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OneDrive\Shared\Gaming\"/>
    </mc:Choice>
  </mc:AlternateContent>
  <xr:revisionPtr revIDLastSave="0" documentId="13_ncr:1_{4E38DD08-C64D-45B4-BBB2-B33E0B16E257}" xr6:coauthVersionLast="45" xr6:coauthVersionMax="45" xr10:uidLastSave="{00000000-0000-0000-0000-000000000000}"/>
  <bookViews>
    <workbookView xWindow="10200" yWindow="-21130" windowWidth="19380" windowHeight="20640" firstSheet="1" activeTab="4" xr2:uid="{1EC5CBCC-2FE2-45A7-A0FD-852EBDF547D2}"/>
  </bookViews>
  <sheets>
    <sheet name="To-do" sheetId="4" r:id="rId1"/>
    <sheet name="Materials" sheetId="1" r:id="rId2"/>
    <sheet name="Exploration" sheetId="3" r:id="rId3"/>
    <sheet name="Trading" sheetId="2" r:id="rId4"/>
    <sheet name="Commodities" sheetId="6" r:id="rId5"/>
    <sheet name="Blueprints" sheetId="7" r:id="rId6"/>
    <sheet name="Recipes" sheetId="8" r:id="rId7"/>
    <sheet name="Lookups" sheetId="5" r:id="rId8"/>
    <sheet name="Ships" sheetId="9" r:id="rId9"/>
  </sheets>
  <definedNames>
    <definedName name="lsMaterials">tbMaterials[Item]</definedName>
    <definedName name="lsSystems">tbSystems[System Name]</definedName>
    <definedName name="tbMaterialsWanted">Table19[#All]</definedName>
    <definedName name="tbTradingPartners">Table2[#All]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15" i="6" l="1"/>
  <c r="B301" i="6"/>
  <c r="E301" i="6"/>
  <c r="G301" i="6"/>
  <c r="B302" i="6"/>
  <c r="E302" i="6"/>
  <c r="G302" i="6"/>
  <c r="B303" i="6"/>
  <c r="E303" i="6"/>
  <c r="G303" i="6"/>
  <c r="B304" i="6"/>
  <c r="E304" i="6"/>
  <c r="G304" i="6"/>
  <c r="B305" i="6"/>
  <c r="E305" i="6"/>
  <c r="G305" i="6"/>
  <c r="B306" i="6"/>
  <c r="E306" i="6"/>
  <c r="G306" i="6"/>
  <c r="B307" i="6"/>
  <c r="E307" i="6"/>
  <c r="G307" i="6"/>
  <c r="B308" i="6"/>
  <c r="E308" i="6"/>
  <c r="G308" i="6"/>
  <c r="B309" i="6"/>
  <c r="E309" i="6"/>
  <c r="G309" i="6"/>
  <c r="B299" i="6"/>
  <c r="E299" i="6"/>
  <c r="G299" i="6"/>
  <c r="D33" i="3"/>
  <c r="J33" i="3"/>
  <c r="K33" i="3"/>
  <c r="L33" i="3"/>
  <c r="M33" i="3"/>
  <c r="N33" i="3"/>
  <c r="B291" i="6"/>
  <c r="E291" i="6"/>
  <c r="B292" i="6"/>
  <c r="E292" i="6"/>
  <c r="B293" i="6"/>
  <c r="E293" i="6"/>
  <c r="B294" i="6"/>
  <c r="E294" i="6"/>
  <c r="B295" i="6"/>
  <c r="E295" i="6"/>
  <c r="B296" i="6"/>
  <c r="E296" i="6"/>
  <c r="G296" i="6"/>
  <c r="B297" i="6"/>
  <c r="E297" i="6"/>
  <c r="B298" i="6"/>
  <c r="E298" i="6"/>
  <c r="B300" i="6"/>
  <c r="E300" i="6"/>
  <c r="B285" i="6"/>
  <c r="E285" i="6"/>
  <c r="D32" i="3"/>
  <c r="J32" i="3"/>
  <c r="K32" i="3"/>
  <c r="G294" i="6" s="1"/>
  <c r="L32" i="3"/>
  <c r="M32" i="3"/>
  <c r="N32" i="3"/>
  <c r="B281" i="6"/>
  <c r="E281" i="6"/>
  <c r="B282" i="6"/>
  <c r="E282" i="6"/>
  <c r="B283" i="6"/>
  <c r="E283" i="6"/>
  <c r="B284" i="6"/>
  <c r="E284" i="6"/>
  <c r="B286" i="6"/>
  <c r="E286" i="6"/>
  <c r="B287" i="6"/>
  <c r="E287" i="6"/>
  <c r="B288" i="6"/>
  <c r="E288" i="6"/>
  <c r="B289" i="6"/>
  <c r="E289" i="6"/>
  <c r="B290" i="6"/>
  <c r="E290" i="6"/>
  <c r="B276" i="6"/>
  <c r="E276" i="6"/>
  <c r="D31" i="3"/>
  <c r="J31" i="3"/>
  <c r="K31" i="3"/>
  <c r="G284" i="6" s="1"/>
  <c r="L31" i="3"/>
  <c r="M31" i="3"/>
  <c r="N31" i="3"/>
  <c r="B279" i="6"/>
  <c r="E279" i="6"/>
  <c r="B278" i="6"/>
  <c r="E278" i="6"/>
  <c r="B280" i="6"/>
  <c r="E280" i="6"/>
  <c r="B275" i="6"/>
  <c r="E275" i="6"/>
  <c r="B277" i="6"/>
  <c r="E277" i="6"/>
  <c r="B269" i="6"/>
  <c r="E269" i="6"/>
  <c r="B270" i="6"/>
  <c r="E270" i="6"/>
  <c r="B271" i="6"/>
  <c r="E271" i="6"/>
  <c r="B272" i="6"/>
  <c r="E272" i="6"/>
  <c r="B273" i="6"/>
  <c r="E273" i="6"/>
  <c r="B274" i="6"/>
  <c r="E274" i="6"/>
  <c r="B88" i="6"/>
  <c r="E88" i="6"/>
  <c r="D30" i="3"/>
  <c r="J30" i="3"/>
  <c r="K30" i="3"/>
  <c r="G278" i="6" s="1"/>
  <c r="L30" i="3"/>
  <c r="M30" i="3"/>
  <c r="N30" i="3"/>
  <c r="L67" i="3"/>
  <c r="L66" i="3"/>
  <c r="L65" i="3"/>
  <c r="L64" i="3"/>
  <c r="L63" i="3"/>
  <c r="L62" i="3"/>
  <c r="F148" i="1"/>
  <c r="G148" i="1" s="1"/>
  <c r="H148" i="1"/>
  <c r="I148" i="1"/>
  <c r="K122" i="7"/>
  <c r="F147" i="1"/>
  <c r="G147" i="1" s="1"/>
  <c r="H147" i="1"/>
  <c r="I147" i="1"/>
  <c r="D315" i="6"/>
  <c r="B253" i="6"/>
  <c r="E253" i="6"/>
  <c r="B252" i="6"/>
  <c r="E252" i="6"/>
  <c r="B250" i="6"/>
  <c r="E250" i="6"/>
  <c r="B251" i="6"/>
  <c r="E251" i="6"/>
  <c r="B243" i="6"/>
  <c r="E243" i="6"/>
  <c r="B244" i="6"/>
  <c r="E244" i="6"/>
  <c r="B245" i="6"/>
  <c r="E245" i="6"/>
  <c r="B246" i="6"/>
  <c r="E246" i="6"/>
  <c r="B247" i="6"/>
  <c r="E247" i="6"/>
  <c r="B248" i="6"/>
  <c r="E248" i="6"/>
  <c r="B249" i="6"/>
  <c r="E249" i="6"/>
  <c r="D29" i="3"/>
  <c r="N29" i="3"/>
  <c r="J29" i="3"/>
  <c r="K29" i="3"/>
  <c r="G250" i="6" s="1"/>
  <c r="L29" i="3"/>
  <c r="M29" i="3"/>
  <c r="F146" i="1"/>
  <c r="G146" i="1" s="1"/>
  <c r="H146" i="1"/>
  <c r="I146" i="1"/>
  <c r="G300" i="6" l="1"/>
  <c r="G287" i="6"/>
  <c r="G285" i="6"/>
  <c r="G290" i="6"/>
  <c r="G282" i="6"/>
  <c r="G291" i="6"/>
  <c r="G293" i="6"/>
  <c r="G298" i="6"/>
  <c r="G281" i="6"/>
  <c r="G295" i="6"/>
  <c r="G292" i="6"/>
  <c r="G276" i="6"/>
  <c r="G297" i="6"/>
  <c r="G283" i="6"/>
  <c r="G289" i="6"/>
  <c r="G88" i="6"/>
  <c r="G286" i="6"/>
  <c r="G275" i="6"/>
  <c r="G288" i="6"/>
  <c r="G274" i="6"/>
  <c r="G270" i="6"/>
  <c r="G280" i="6"/>
  <c r="G271" i="6"/>
  <c r="G272" i="6"/>
  <c r="G279" i="6"/>
  <c r="G269" i="6"/>
  <c r="G277" i="6"/>
  <c r="G273" i="6"/>
  <c r="G246" i="6"/>
  <c r="G245" i="6"/>
  <c r="G248" i="6"/>
  <c r="G252" i="6"/>
  <c r="G243" i="6"/>
  <c r="G253" i="6"/>
  <c r="G251" i="6"/>
  <c r="G247" i="6"/>
  <c r="G244" i="6"/>
  <c r="G249" i="6"/>
  <c r="D28" i="3"/>
  <c r="J28" i="3"/>
  <c r="K28" i="3"/>
  <c r="L28" i="3"/>
  <c r="M28" i="3"/>
  <c r="N28" i="3"/>
  <c r="C315" i="6"/>
  <c r="J56" i="8"/>
  <c r="K56" i="8" s="1"/>
  <c r="J55" i="8"/>
  <c r="K55" i="8" s="1"/>
  <c r="J54" i="8"/>
  <c r="K54" i="8" s="1"/>
  <c r="J53" i="8"/>
  <c r="K53" i="8" s="1"/>
  <c r="J52" i="8"/>
  <c r="K52" i="8" s="1"/>
  <c r="J51" i="8"/>
  <c r="K51" i="8" s="1"/>
  <c r="J50" i="8"/>
  <c r="K50" i="8" s="1"/>
  <c r="J49" i="8"/>
  <c r="K49" i="8" s="1"/>
  <c r="J48" i="8"/>
  <c r="K48" i="8" s="1"/>
  <c r="J47" i="8"/>
  <c r="K47" i="8" s="1"/>
  <c r="J46" i="8"/>
  <c r="K46" i="8" s="1"/>
  <c r="J45" i="8"/>
  <c r="K45" i="8" s="1"/>
  <c r="K121" i="7" l="1"/>
  <c r="K120" i="7"/>
  <c r="K119" i="7"/>
  <c r="K118" i="7"/>
  <c r="K117" i="7"/>
  <c r="K116" i="7"/>
  <c r="K115" i="7"/>
  <c r="K114" i="7"/>
  <c r="K113" i="7"/>
  <c r="K112" i="7"/>
  <c r="F64" i="1"/>
  <c r="G64" i="1" s="1"/>
  <c r="H64" i="1"/>
  <c r="I64" i="1"/>
  <c r="B23" i="6"/>
  <c r="E23" i="6"/>
  <c r="F106" i="1"/>
  <c r="G106" i="1" s="1"/>
  <c r="H106" i="1"/>
  <c r="I106" i="1"/>
  <c r="B172" i="6"/>
  <c r="E172" i="6"/>
  <c r="B171" i="6"/>
  <c r="E171" i="6"/>
  <c r="B40" i="6"/>
  <c r="E40" i="6"/>
  <c r="B9" i="6"/>
  <c r="E9" i="6"/>
  <c r="B264" i="6"/>
  <c r="E264" i="6"/>
  <c r="B263" i="6"/>
  <c r="E263" i="6"/>
  <c r="B262" i="6"/>
  <c r="E262" i="6"/>
  <c r="B260" i="6"/>
  <c r="E260" i="6"/>
  <c r="B71" i="6"/>
  <c r="E71" i="6"/>
  <c r="B44" i="6"/>
  <c r="E44" i="6"/>
  <c r="B257" i="6"/>
  <c r="E257" i="6"/>
  <c r="B265" i="6"/>
  <c r="E265" i="6"/>
  <c r="B170" i="6"/>
  <c r="E170" i="6"/>
  <c r="B242" i="6"/>
  <c r="E242" i="6"/>
  <c r="B254" i="6"/>
  <c r="E254" i="6"/>
  <c r="B255" i="6"/>
  <c r="E255" i="6"/>
  <c r="B239" i="6"/>
  <c r="E239" i="6"/>
  <c r="B240" i="6"/>
  <c r="E240" i="6"/>
  <c r="B241" i="6"/>
  <c r="E241" i="6"/>
  <c r="B200" i="6"/>
  <c r="E200" i="6"/>
  <c r="F24" i="1"/>
  <c r="G24" i="1" s="1"/>
  <c r="H24" i="1"/>
  <c r="I24" i="1"/>
  <c r="F126" i="1"/>
  <c r="G126" i="1" s="1"/>
  <c r="H126" i="1"/>
  <c r="I126" i="1"/>
  <c r="F32" i="1"/>
  <c r="G32" i="1" s="1"/>
  <c r="H32" i="1"/>
  <c r="I32" i="1"/>
  <c r="B237" i="6"/>
  <c r="E237" i="6"/>
  <c r="B77" i="6"/>
  <c r="E77" i="6"/>
  <c r="F124" i="1"/>
  <c r="G124" i="1" s="1"/>
  <c r="H124" i="1"/>
  <c r="I124" i="1"/>
  <c r="B236" i="6"/>
  <c r="E236" i="6"/>
  <c r="F102" i="1"/>
  <c r="G102" i="1" s="1"/>
  <c r="H102" i="1"/>
  <c r="I102" i="1"/>
  <c r="F15" i="1"/>
  <c r="G15" i="1" s="1"/>
  <c r="H15" i="1"/>
  <c r="I15" i="1"/>
  <c r="F137" i="1"/>
  <c r="G137" i="1" s="1"/>
  <c r="H137" i="1"/>
  <c r="I137" i="1"/>
  <c r="B235" i="6"/>
  <c r="E235" i="6"/>
  <c r="B7" i="6"/>
  <c r="E7" i="6"/>
  <c r="B8" i="6"/>
  <c r="E8" i="6"/>
  <c r="F129" i="1"/>
  <c r="G129" i="1" s="1"/>
  <c r="H129" i="1"/>
  <c r="I129" i="1"/>
  <c r="F48" i="1"/>
  <c r="G48" i="1" s="1"/>
  <c r="H48" i="1"/>
  <c r="I48" i="1"/>
  <c r="F59" i="1"/>
  <c r="G59" i="1" s="1"/>
  <c r="H59" i="1"/>
  <c r="I59" i="1"/>
  <c r="F53" i="1"/>
  <c r="G53" i="1" s="1"/>
  <c r="H53" i="1"/>
  <c r="I53" i="1"/>
  <c r="F29" i="1"/>
  <c r="G29" i="1" s="1"/>
  <c r="H29" i="1"/>
  <c r="I29" i="1"/>
  <c r="F74" i="1"/>
  <c r="G74" i="1" s="1"/>
  <c r="H74" i="1"/>
  <c r="I74" i="1"/>
  <c r="F68" i="1"/>
  <c r="G68" i="1" s="1"/>
  <c r="H68" i="1"/>
  <c r="I68" i="1"/>
  <c r="F54" i="1"/>
  <c r="G54" i="1" s="1"/>
  <c r="H54" i="1"/>
  <c r="I54" i="1"/>
  <c r="F43" i="1"/>
  <c r="G43" i="1" s="1"/>
  <c r="H43" i="1"/>
  <c r="I43" i="1"/>
  <c r="F95" i="1"/>
  <c r="G95" i="1" s="1"/>
  <c r="H95" i="1"/>
  <c r="I95" i="1"/>
  <c r="F70" i="1"/>
  <c r="G70" i="1" s="1"/>
  <c r="H70" i="1"/>
  <c r="I70" i="1"/>
  <c r="B231" i="6"/>
  <c r="E231" i="6"/>
  <c r="B256" i="6"/>
  <c r="E256" i="6"/>
  <c r="B230" i="6"/>
  <c r="E230" i="6"/>
  <c r="B227" i="6"/>
  <c r="E227" i="6"/>
  <c r="B228" i="6"/>
  <c r="E228" i="6"/>
  <c r="B229" i="6"/>
  <c r="E229" i="6"/>
  <c r="F86" i="1"/>
  <c r="G86" i="1" s="1"/>
  <c r="H86" i="1"/>
  <c r="I86" i="1"/>
  <c r="K107" i="7"/>
  <c r="K108" i="7"/>
  <c r="F12" i="1"/>
  <c r="G12" i="1" s="1"/>
  <c r="H12" i="1"/>
  <c r="I12" i="1"/>
  <c r="F13" i="1"/>
  <c r="G13" i="1" s="1"/>
  <c r="H13" i="1"/>
  <c r="I13" i="1"/>
  <c r="F11" i="1"/>
  <c r="G11" i="1" s="1"/>
  <c r="H11" i="1"/>
  <c r="I11" i="1"/>
  <c r="K106" i="7"/>
  <c r="B226" i="6"/>
  <c r="E226" i="6"/>
  <c r="B225" i="6"/>
  <c r="E225" i="6"/>
  <c r="B29" i="6"/>
  <c r="E29" i="6"/>
  <c r="B159" i="6"/>
  <c r="E159" i="6"/>
  <c r="B160" i="6"/>
  <c r="E160" i="6"/>
  <c r="F97" i="1"/>
  <c r="G97" i="1" s="1"/>
  <c r="H97" i="1"/>
  <c r="I97" i="1"/>
  <c r="F71" i="1"/>
  <c r="G71" i="1" s="1"/>
  <c r="H71" i="1"/>
  <c r="I71" i="1"/>
  <c r="F90" i="1"/>
  <c r="G90" i="1" s="1"/>
  <c r="H90" i="1"/>
  <c r="I90" i="1"/>
  <c r="F33" i="1"/>
  <c r="G33" i="1" s="1"/>
  <c r="H33" i="1"/>
  <c r="I33" i="1"/>
  <c r="B155" i="6"/>
  <c r="E155" i="6"/>
  <c r="B153" i="6"/>
  <c r="E153" i="6"/>
  <c r="B154" i="6"/>
  <c r="E154" i="6"/>
  <c r="J44" i="8"/>
  <c r="K44" i="8" s="1"/>
  <c r="J43" i="8"/>
  <c r="K43" i="8" s="1"/>
  <c r="J42" i="8"/>
  <c r="K42" i="8" s="1"/>
  <c r="J41" i="8"/>
  <c r="K41" i="8" s="1"/>
  <c r="K111" i="7"/>
  <c r="F42" i="1"/>
  <c r="G42" i="1" s="1"/>
  <c r="H42" i="1"/>
  <c r="I42" i="1"/>
  <c r="K105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J38" i="8"/>
  <c r="K38" i="8" s="1"/>
  <c r="J39" i="8"/>
  <c r="K39" i="8" s="1"/>
  <c r="J40" i="8"/>
  <c r="K40" i="8" s="1"/>
  <c r="J37" i="8"/>
  <c r="K37" i="8" s="1"/>
  <c r="K110" i="7"/>
  <c r="J36" i="8"/>
  <c r="K36" i="8" s="1"/>
  <c r="J35" i="8"/>
  <c r="K35" i="8" s="1"/>
  <c r="J34" i="8"/>
  <c r="K34" i="8" s="1"/>
  <c r="J33" i="8"/>
  <c r="K33" i="8" s="1"/>
  <c r="K109" i="7"/>
  <c r="F92" i="1"/>
  <c r="G92" i="1" s="1"/>
  <c r="H92" i="1"/>
  <c r="I92" i="1"/>
  <c r="F134" i="1"/>
  <c r="G134" i="1" s="1"/>
  <c r="H134" i="1"/>
  <c r="I134" i="1"/>
  <c r="K104" i="7"/>
  <c r="F130" i="1"/>
  <c r="G130" i="1" s="1"/>
  <c r="H130" i="1"/>
  <c r="I130" i="1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K3" i="3"/>
  <c r="G68" i="6" s="1"/>
  <c r="K4" i="3"/>
  <c r="G44" i="6" s="1"/>
  <c r="K5" i="3"/>
  <c r="G215" i="6" s="1"/>
  <c r="K6" i="3"/>
  <c r="G93" i="6" s="1"/>
  <c r="K7" i="3"/>
  <c r="G55" i="6" s="1"/>
  <c r="K8" i="3"/>
  <c r="G117" i="6" s="1"/>
  <c r="K9" i="3"/>
  <c r="G36" i="6" s="1"/>
  <c r="K10" i="3"/>
  <c r="G37" i="6" s="1"/>
  <c r="K11" i="3"/>
  <c r="G109" i="6" s="1"/>
  <c r="K12" i="3"/>
  <c r="G229" i="6" s="1"/>
  <c r="K13" i="3"/>
  <c r="G240" i="6" s="1"/>
  <c r="K14" i="3"/>
  <c r="G84" i="6" s="1"/>
  <c r="K15" i="3"/>
  <c r="G69" i="6" s="1"/>
  <c r="K16" i="3"/>
  <c r="G5" i="6" s="1"/>
  <c r="K17" i="3"/>
  <c r="G157" i="6" s="1"/>
  <c r="K18" i="3"/>
  <c r="G175" i="6" s="1"/>
  <c r="K19" i="3"/>
  <c r="K20" i="3"/>
  <c r="G7" i="6" s="1"/>
  <c r="K21" i="3"/>
  <c r="G28" i="6" s="1"/>
  <c r="K22" i="3"/>
  <c r="G53" i="6" s="1"/>
  <c r="K23" i="3"/>
  <c r="G22" i="6" s="1"/>
  <c r="K24" i="3"/>
  <c r="G171" i="6" s="1"/>
  <c r="K25" i="3"/>
  <c r="G121" i="6" s="1"/>
  <c r="K26" i="3"/>
  <c r="G143" i="6" s="1"/>
  <c r="K27" i="3"/>
  <c r="G76" i="6" s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F88" i="1"/>
  <c r="G88" i="1" s="1"/>
  <c r="H88" i="1"/>
  <c r="I88" i="1"/>
  <c r="F116" i="1"/>
  <c r="G116" i="1" s="1"/>
  <c r="H116" i="1"/>
  <c r="I116" i="1"/>
  <c r="F96" i="1"/>
  <c r="G96" i="1" s="1"/>
  <c r="H96" i="1"/>
  <c r="I96" i="1"/>
  <c r="B209" i="6"/>
  <c r="E209" i="6"/>
  <c r="B136" i="6"/>
  <c r="E136" i="6"/>
  <c r="B142" i="6"/>
  <c r="E142" i="6"/>
  <c r="B127" i="6"/>
  <c r="E127" i="6"/>
  <c r="B125" i="6"/>
  <c r="E125" i="6"/>
  <c r="B131" i="6"/>
  <c r="E131" i="6"/>
  <c r="B130" i="6"/>
  <c r="E130" i="6"/>
  <c r="B129" i="6"/>
  <c r="E129" i="6"/>
  <c r="B128" i="6"/>
  <c r="E128" i="6"/>
  <c r="B132" i="6"/>
  <c r="E132" i="6"/>
  <c r="B134" i="6"/>
  <c r="E134" i="6"/>
  <c r="B135" i="6"/>
  <c r="E135" i="6"/>
  <c r="B220" i="6"/>
  <c r="E220" i="6"/>
  <c r="B221" i="6"/>
  <c r="E221" i="6"/>
  <c r="B76" i="6"/>
  <c r="E76" i="6"/>
  <c r="B223" i="6"/>
  <c r="E223" i="6"/>
  <c r="B133" i="6"/>
  <c r="E133" i="6"/>
  <c r="B224" i="6"/>
  <c r="E224" i="6"/>
  <c r="F113" i="1"/>
  <c r="G113" i="1" s="1"/>
  <c r="H113" i="1"/>
  <c r="I113" i="1"/>
  <c r="F117" i="1"/>
  <c r="G117" i="1" s="1"/>
  <c r="H117" i="1"/>
  <c r="I117" i="1"/>
  <c r="F94" i="1"/>
  <c r="G94" i="1" s="1"/>
  <c r="H94" i="1"/>
  <c r="I94" i="1"/>
  <c r="F120" i="1"/>
  <c r="G120" i="1" s="1"/>
  <c r="H120" i="1"/>
  <c r="I120" i="1"/>
  <c r="F67" i="1"/>
  <c r="G67" i="1" s="1"/>
  <c r="H67" i="1"/>
  <c r="I67" i="1"/>
  <c r="F78" i="1"/>
  <c r="G78" i="1" s="1"/>
  <c r="H78" i="1"/>
  <c r="I78" i="1"/>
  <c r="F93" i="1"/>
  <c r="G93" i="1" s="1"/>
  <c r="H93" i="1"/>
  <c r="I93" i="1"/>
  <c r="F41" i="1"/>
  <c r="G41" i="1" s="1"/>
  <c r="H41" i="1"/>
  <c r="I41" i="1"/>
  <c r="F14" i="1"/>
  <c r="G14" i="1" s="1"/>
  <c r="H14" i="1"/>
  <c r="I14" i="1"/>
  <c r="F31" i="1"/>
  <c r="G31" i="1" s="1"/>
  <c r="H31" i="1"/>
  <c r="I31" i="1"/>
  <c r="F144" i="1"/>
  <c r="G144" i="1" s="1"/>
  <c r="H144" i="1"/>
  <c r="I144" i="1"/>
  <c r="F72" i="1"/>
  <c r="G72" i="1" s="1"/>
  <c r="H72" i="1"/>
  <c r="I72" i="1"/>
  <c r="D27" i="3"/>
  <c r="J32" i="8"/>
  <c r="K32" i="8" s="1"/>
  <c r="J31" i="8"/>
  <c r="K31" i="8" s="1"/>
  <c r="J30" i="8"/>
  <c r="K30" i="8" s="1"/>
  <c r="K103" i="7"/>
  <c r="K102" i="7"/>
  <c r="J29" i="8"/>
  <c r="K29" i="8" s="1"/>
  <c r="J28" i="8"/>
  <c r="K28" i="8" s="1"/>
  <c r="F85" i="1"/>
  <c r="G85" i="1" s="1"/>
  <c r="H85" i="1"/>
  <c r="I85" i="1"/>
  <c r="K101" i="7"/>
  <c r="K100" i="7"/>
  <c r="K99" i="7"/>
  <c r="K98" i="7"/>
  <c r="K97" i="7"/>
  <c r="F138" i="1"/>
  <c r="G138" i="1" s="1"/>
  <c r="H138" i="1"/>
  <c r="I138" i="1"/>
  <c r="F19" i="1"/>
  <c r="G19" i="1" s="1"/>
  <c r="H19" i="1"/>
  <c r="I19" i="1"/>
  <c r="F108" i="1"/>
  <c r="G108" i="1" s="1"/>
  <c r="H108" i="1"/>
  <c r="I108" i="1"/>
  <c r="F20" i="1"/>
  <c r="G20" i="1" s="1"/>
  <c r="H20" i="1"/>
  <c r="I20" i="1"/>
  <c r="F131" i="1"/>
  <c r="G131" i="1" s="1"/>
  <c r="H131" i="1"/>
  <c r="I131" i="1"/>
  <c r="F34" i="1"/>
  <c r="G34" i="1" s="1"/>
  <c r="H34" i="1"/>
  <c r="I34" i="1"/>
  <c r="F9" i="1"/>
  <c r="G9" i="1" s="1"/>
  <c r="H9" i="1"/>
  <c r="I9" i="1"/>
  <c r="F109" i="1"/>
  <c r="G109" i="1" s="1"/>
  <c r="H109" i="1"/>
  <c r="I109" i="1"/>
  <c r="F37" i="1"/>
  <c r="G37" i="1" s="1"/>
  <c r="H37" i="1"/>
  <c r="I37" i="1"/>
  <c r="F145" i="1"/>
  <c r="G145" i="1" s="1"/>
  <c r="H145" i="1"/>
  <c r="I145" i="1"/>
  <c r="B120" i="6"/>
  <c r="E120" i="6"/>
  <c r="B141" i="6"/>
  <c r="E141" i="6"/>
  <c r="B138" i="6"/>
  <c r="E138" i="6"/>
  <c r="B119" i="6"/>
  <c r="E119" i="6"/>
  <c r="B126" i="6"/>
  <c r="E126" i="6"/>
  <c r="B78" i="6"/>
  <c r="E78" i="6"/>
  <c r="B143" i="6"/>
  <c r="E143" i="6"/>
  <c r="B144" i="6"/>
  <c r="E144" i="6"/>
  <c r="D26" i="3"/>
  <c r="F27" i="1"/>
  <c r="G27" i="1" s="1"/>
  <c r="H27" i="1"/>
  <c r="I27" i="1"/>
  <c r="F79" i="1"/>
  <c r="G79" i="1" s="1"/>
  <c r="H79" i="1"/>
  <c r="I79" i="1"/>
  <c r="F135" i="1"/>
  <c r="G135" i="1" s="1"/>
  <c r="H135" i="1"/>
  <c r="I135" i="1"/>
  <c r="F127" i="1"/>
  <c r="G127" i="1" s="1"/>
  <c r="H127" i="1"/>
  <c r="I127" i="1"/>
  <c r="F51" i="1"/>
  <c r="G51" i="1" s="1"/>
  <c r="H51" i="1"/>
  <c r="I51" i="1"/>
  <c r="F118" i="1"/>
  <c r="G118" i="1" s="1"/>
  <c r="H118" i="1"/>
  <c r="I118" i="1"/>
  <c r="F111" i="1"/>
  <c r="G111" i="1" s="1"/>
  <c r="H111" i="1"/>
  <c r="I111" i="1"/>
  <c r="F110" i="1"/>
  <c r="G110" i="1" s="1"/>
  <c r="H110" i="1"/>
  <c r="I110" i="1"/>
  <c r="F104" i="1"/>
  <c r="G104" i="1" s="1"/>
  <c r="H104" i="1"/>
  <c r="I104" i="1"/>
  <c r="F75" i="1"/>
  <c r="G75" i="1" s="1"/>
  <c r="H75" i="1"/>
  <c r="I75" i="1"/>
  <c r="F5" i="1"/>
  <c r="G5" i="1" s="1"/>
  <c r="H5" i="1"/>
  <c r="I5" i="1"/>
  <c r="F125" i="1"/>
  <c r="G125" i="1" s="1"/>
  <c r="H125" i="1"/>
  <c r="I125" i="1"/>
  <c r="F87" i="1"/>
  <c r="G87" i="1" s="1"/>
  <c r="H87" i="1"/>
  <c r="I87" i="1"/>
  <c r="F35" i="1"/>
  <c r="G35" i="1" s="1"/>
  <c r="H35" i="1"/>
  <c r="I35" i="1"/>
  <c r="F3" i="1"/>
  <c r="G3" i="1" s="1"/>
  <c r="H3" i="1"/>
  <c r="I3" i="1"/>
  <c r="F4" i="1"/>
  <c r="G4" i="1" s="1"/>
  <c r="H4" i="1"/>
  <c r="I4" i="1"/>
  <c r="F17" i="1"/>
  <c r="G17" i="1" s="1"/>
  <c r="H17" i="1"/>
  <c r="I17" i="1"/>
  <c r="F7" i="1"/>
  <c r="F52" i="1"/>
  <c r="F10" i="1"/>
  <c r="G10" i="1" s="1"/>
  <c r="F100" i="1"/>
  <c r="F30" i="1"/>
  <c r="G30" i="1" s="1"/>
  <c r="F123" i="1"/>
  <c r="F6" i="1"/>
  <c r="F26" i="1"/>
  <c r="F36" i="1"/>
  <c r="F103" i="1"/>
  <c r="F44" i="1"/>
  <c r="F28" i="1"/>
  <c r="F91" i="1"/>
  <c r="F55" i="1"/>
  <c r="F39" i="1"/>
  <c r="G39" i="1" s="1"/>
  <c r="F23" i="1"/>
  <c r="G23" i="1" s="1"/>
  <c r="F45" i="1"/>
  <c r="F122" i="1"/>
  <c r="F47" i="1"/>
  <c r="F128" i="1"/>
  <c r="F119" i="1"/>
  <c r="F121" i="1"/>
  <c r="F56" i="1"/>
  <c r="G56" i="1" s="1"/>
  <c r="F57" i="1"/>
  <c r="G57" i="1" s="1"/>
  <c r="F58" i="1"/>
  <c r="F21" i="1"/>
  <c r="F61" i="1"/>
  <c r="F62" i="1"/>
  <c r="G62" i="1" s="1"/>
  <c r="F63" i="1"/>
  <c r="G63" i="1" s="1"/>
  <c r="F65" i="1"/>
  <c r="G65" i="1" s="1"/>
  <c r="F16" i="1"/>
  <c r="G16" i="1" s="1"/>
  <c r="F18" i="1"/>
  <c r="F76" i="1"/>
  <c r="G76" i="1" s="1"/>
  <c r="F77" i="1"/>
  <c r="G77" i="1" s="1"/>
  <c r="F80" i="1"/>
  <c r="F46" i="1"/>
  <c r="F83" i="1"/>
  <c r="G83" i="1" s="1"/>
  <c r="F81" i="1"/>
  <c r="F84" i="1"/>
  <c r="G84" i="1" s="1"/>
  <c r="F105" i="1"/>
  <c r="F98" i="1"/>
  <c r="F60" i="1"/>
  <c r="F66" i="1"/>
  <c r="F8" i="1"/>
  <c r="F40" i="1"/>
  <c r="F101" i="1"/>
  <c r="F69" i="1"/>
  <c r="F107" i="1"/>
  <c r="G107" i="1" s="1"/>
  <c r="F112" i="1"/>
  <c r="F22" i="1"/>
  <c r="F140" i="1"/>
  <c r="F38" i="1"/>
  <c r="F82" i="1"/>
  <c r="F115" i="1"/>
  <c r="G115" i="1" s="1"/>
  <c r="F89" i="1"/>
  <c r="G89" i="1" s="1"/>
  <c r="F49" i="1"/>
  <c r="F50" i="1"/>
  <c r="F99" i="1"/>
  <c r="F114" i="1"/>
  <c r="F132" i="1"/>
  <c r="F133" i="1"/>
  <c r="F139" i="1"/>
  <c r="F136" i="1"/>
  <c r="F73" i="1"/>
  <c r="F141" i="1"/>
  <c r="F142" i="1"/>
  <c r="G142" i="1" s="1"/>
  <c r="F143" i="1"/>
  <c r="G143" i="1" s="1"/>
  <c r="H84" i="1"/>
  <c r="I84" i="1"/>
  <c r="H107" i="1"/>
  <c r="I107" i="1"/>
  <c r="H23" i="1"/>
  <c r="I23" i="1"/>
  <c r="B122" i="6"/>
  <c r="E122" i="6"/>
  <c r="B123" i="6"/>
  <c r="E123" i="6"/>
  <c r="B124" i="6"/>
  <c r="E124" i="6"/>
  <c r="B145" i="6"/>
  <c r="E145" i="6"/>
  <c r="B266" i="6"/>
  <c r="E266" i="6"/>
  <c r="B147" i="6"/>
  <c r="E147" i="6"/>
  <c r="B121" i="6"/>
  <c r="E121" i="6"/>
  <c r="L61" i="3"/>
  <c r="I25" i="1"/>
  <c r="H25" i="1"/>
  <c r="F25" i="1"/>
  <c r="G25" i="1" s="1"/>
  <c r="D25" i="3"/>
  <c r="B67" i="6"/>
  <c r="E67" i="6"/>
  <c r="E5" i="6"/>
  <c r="E6" i="6"/>
  <c r="E13" i="6"/>
  <c r="E139" i="6"/>
  <c r="E174" i="6"/>
  <c r="E176" i="6"/>
  <c r="E11" i="6"/>
  <c r="E69" i="6"/>
  <c r="E52" i="6"/>
  <c r="E14" i="6"/>
  <c r="E15" i="6"/>
  <c r="E16" i="6"/>
  <c r="E17" i="6"/>
  <c r="E114" i="6"/>
  <c r="E19" i="6"/>
  <c r="E70" i="6"/>
  <c r="E50" i="6"/>
  <c r="E51" i="6"/>
  <c r="E74" i="6"/>
  <c r="E24" i="6"/>
  <c r="E25" i="6"/>
  <c r="E45" i="6"/>
  <c r="E27" i="6"/>
  <c r="E28" i="6"/>
  <c r="E95" i="6"/>
  <c r="E30" i="6"/>
  <c r="E31" i="6"/>
  <c r="E32" i="6"/>
  <c r="E33" i="6"/>
  <c r="E34" i="6"/>
  <c r="E35" i="6"/>
  <c r="E36" i="6"/>
  <c r="E37" i="6"/>
  <c r="E38" i="6"/>
  <c r="E105" i="6"/>
  <c r="E73" i="6"/>
  <c r="E41" i="6"/>
  <c r="E42" i="6"/>
  <c r="E43" i="6"/>
  <c r="E158" i="6"/>
  <c r="E55" i="6"/>
  <c r="E46" i="6"/>
  <c r="E10" i="6"/>
  <c r="E48" i="6"/>
  <c r="E207" i="6"/>
  <c r="E261" i="6"/>
  <c r="E180" i="6"/>
  <c r="E215" i="6"/>
  <c r="E53" i="6"/>
  <c r="E54" i="6"/>
  <c r="E217" i="6"/>
  <c r="E56" i="6"/>
  <c r="E57" i="6"/>
  <c r="E187" i="6"/>
  <c r="E59" i="6"/>
  <c r="E60" i="6"/>
  <c r="E61" i="6"/>
  <c r="E62" i="6"/>
  <c r="E63" i="6"/>
  <c r="E64" i="6"/>
  <c r="E65" i="6"/>
  <c r="E66" i="6"/>
  <c r="E68" i="6"/>
  <c r="E20" i="6"/>
  <c r="E148" i="6"/>
  <c r="E168" i="6"/>
  <c r="E232" i="6"/>
  <c r="E234" i="6"/>
  <c r="E12" i="6"/>
  <c r="E21" i="6"/>
  <c r="E22" i="6"/>
  <c r="E175" i="6"/>
  <c r="E238" i="6"/>
  <c r="E79" i="6"/>
  <c r="E80" i="6"/>
  <c r="E81" i="6"/>
  <c r="E82" i="6"/>
  <c r="E18" i="6"/>
  <c r="E84" i="6"/>
  <c r="E178" i="6"/>
  <c r="E259" i="6"/>
  <c r="E149" i="6"/>
  <c r="E199" i="6"/>
  <c r="E90" i="6"/>
  <c r="E91" i="6"/>
  <c r="E184" i="6"/>
  <c r="E93" i="6"/>
  <c r="E94" i="6"/>
  <c r="E167" i="6"/>
  <c r="E96" i="6"/>
  <c r="E97" i="6"/>
  <c r="E98" i="6"/>
  <c r="E99" i="6"/>
  <c r="E100" i="6"/>
  <c r="E101" i="6"/>
  <c r="E102" i="6"/>
  <c r="E103" i="6"/>
  <c r="E104" i="6"/>
  <c r="E47" i="6"/>
  <c r="E106" i="6"/>
  <c r="E107" i="6"/>
  <c r="E108" i="6"/>
  <c r="E109" i="6"/>
  <c r="E203" i="6"/>
  <c r="E111" i="6"/>
  <c r="E112" i="6"/>
  <c r="E113" i="6"/>
  <c r="E83" i="6"/>
  <c r="E87" i="6"/>
  <c r="E116" i="6"/>
  <c r="E117" i="6"/>
  <c r="E118" i="6"/>
  <c r="E26" i="6"/>
  <c r="E140" i="6"/>
  <c r="E268" i="6"/>
  <c r="E72" i="6"/>
  <c r="E150" i="6"/>
  <c r="E151" i="6"/>
  <c r="E152" i="6"/>
  <c r="E156" i="6"/>
  <c r="E157" i="6"/>
  <c r="E179" i="6"/>
  <c r="E161" i="6"/>
  <c r="E162" i="6"/>
  <c r="E163" i="6"/>
  <c r="E164" i="6"/>
  <c r="E49" i="6"/>
  <c r="E58" i="6"/>
  <c r="E212" i="6"/>
  <c r="E169" i="6"/>
  <c r="E146" i="6"/>
  <c r="E173" i="6"/>
  <c r="E202" i="6"/>
  <c r="E222" i="6"/>
  <c r="E233" i="6"/>
  <c r="E258" i="6"/>
  <c r="E39" i="6"/>
  <c r="E177" i="6"/>
  <c r="E165" i="6"/>
  <c r="E198" i="6"/>
  <c r="E115" i="6"/>
  <c r="E181" i="6"/>
  <c r="E182" i="6"/>
  <c r="E183" i="6"/>
  <c r="E137" i="6"/>
  <c r="E185" i="6"/>
  <c r="E186" i="6"/>
  <c r="E166" i="6"/>
  <c r="E188" i="6"/>
  <c r="E110" i="6"/>
  <c r="E190" i="6"/>
  <c r="E191" i="6"/>
  <c r="E192" i="6"/>
  <c r="E193" i="6"/>
  <c r="E194" i="6"/>
  <c r="E195" i="6"/>
  <c r="E196" i="6"/>
  <c r="E197" i="6"/>
  <c r="E86" i="6"/>
  <c r="E75" i="6"/>
  <c r="E201" i="6"/>
  <c r="E267" i="6"/>
  <c r="E204" i="6"/>
  <c r="E205" i="6"/>
  <c r="E206" i="6"/>
  <c r="E214" i="6"/>
  <c r="E208" i="6"/>
  <c r="E218" i="6"/>
  <c r="E210" i="6"/>
  <c r="E211" i="6"/>
  <c r="E189" i="6"/>
  <c r="E213" i="6"/>
  <c r="E85" i="6"/>
  <c r="E89" i="6"/>
  <c r="E216" i="6"/>
  <c r="E92" i="6"/>
  <c r="E219" i="6"/>
  <c r="B97" i="6"/>
  <c r="B110" i="6"/>
  <c r="B212" i="6"/>
  <c r="B203" i="6"/>
  <c r="B267" i="6"/>
  <c r="B189" i="6"/>
  <c r="B31" i="6"/>
  <c r="B114" i="6"/>
  <c r="B18" i="6"/>
  <c r="B39" i="6"/>
  <c r="B47" i="6"/>
  <c r="B105" i="6"/>
  <c r="B83" i="6"/>
  <c r="B176" i="6"/>
  <c r="B11" i="6"/>
  <c r="B19" i="6"/>
  <c r="B43" i="6"/>
  <c r="B48" i="6"/>
  <c r="B84" i="6"/>
  <c r="B177" i="6"/>
  <c r="B197" i="6"/>
  <c r="B207" i="6"/>
  <c r="B70" i="6"/>
  <c r="B178" i="6"/>
  <c r="B165" i="6"/>
  <c r="B79" i="6"/>
  <c r="B214" i="6"/>
  <c r="B69" i="6"/>
  <c r="B106" i="6"/>
  <c r="B85" i="6"/>
  <c r="B20" i="6"/>
  <c r="B49" i="6"/>
  <c r="B12" i="6"/>
  <c r="B50" i="6"/>
  <c r="B158" i="6"/>
  <c r="B261" i="6"/>
  <c r="B21" i="6"/>
  <c r="B259" i="6"/>
  <c r="B179" i="6"/>
  <c r="B198" i="6"/>
  <c r="B86" i="6"/>
  <c r="B13" i="6"/>
  <c r="B52" i="6"/>
  <c r="B74" i="6"/>
  <c r="B215" i="6"/>
  <c r="B199" i="6"/>
  <c r="B181" i="6"/>
  <c r="B75" i="6"/>
  <c r="B89" i="6"/>
  <c r="B14" i="6"/>
  <c r="B180" i="6"/>
  <c r="B51" i="6"/>
  <c r="B149" i="6"/>
  <c r="B115" i="6"/>
  <c r="B73" i="6"/>
  <c r="B72" i="6"/>
  <c r="B208" i="6"/>
  <c r="B22" i="6"/>
  <c r="B87" i="6"/>
  <c r="B24" i="6"/>
  <c r="B41" i="6"/>
  <c r="B53" i="6"/>
  <c r="B90" i="6"/>
  <c r="B152" i="6"/>
  <c r="B182" i="6"/>
  <c r="B216" i="6"/>
  <c r="B54" i="6"/>
  <c r="B25" i="6"/>
  <c r="B91" i="6"/>
  <c r="B183" i="6"/>
  <c r="B107" i="6"/>
  <c r="B5" i="6"/>
  <c r="B156" i="6"/>
  <c r="B137" i="6"/>
  <c r="B45" i="6"/>
  <c r="B217" i="6"/>
  <c r="B218" i="6"/>
  <c r="B55" i="6"/>
  <c r="B26" i="6"/>
  <c r="B184" i="6"/>
  <c r="B92" i="6"/>
  <c r="B56" i="6"/>
  <c r="B27" i="6"/>
  <c r="B93" i="6"/>
  <c r="B185" i="6"/>
  <c r="B201" i="6"/>
  <c r="B219" i="6"/>
  <c r="B210" i="6"/>
  <c r="B139" i="6"/>
  <c r="B108" i="6"/>
  <c r="B116" i="6"/>
  <c r="B15" i="6"/>
  <c r="B6" i="6"/>
  <c r="B148" i="6"/>
  <c r="B57" i="6"/>
  <c r="B28" i="6"/>
  <c r="B94" i="6"/>
  <c r="B186" i="6"/>
  <c r="B187" i="6"/>
  <c r="B95" i="6"/>
  <c r="B167" i="6"/>
  <c r="B166" i="6"/>
  <c r="B58" i="6"/>
  <c r="B109" i="6"/>
  <c r="B211" i="6"/>
  <c r="B161" i="6"/>
  <c r="B16" i="6"/>
  <c r="B30" i="6"/>
  <c r="B46" i="6"/>
  <c r="B59" i="6"/>
  <c r="B168" i="6"/>
  <c r="B80" i="6"/>
  <c r="B96" i="6"/>
  <c r="B117" i="6"/>
  <c r="B188" i="6"/>
  <c r="B32" i="6"/>
  <c r="B61" i="6"/>
  <c r="B81" i="6"/>
  <c r="B98" i="6"/>
  <c r="B118" i="6"/>
  <c r="B157" i="6"/>
  <c r="B169" i="6"/>
  <c r="B173" i="6"/>
  <c r="B190" i="6"/>
  <c r="B62" i="6"/>
  <c r="B33" i="6"/>
  <c r="B99" i="6"/>
  <c r="B191" i="6"/>
  <c r="B202" i="6"/>
  <c r="B175" i="6"/>
  <c r="B174" i="6"/>
  <c r="B111" i="6"/>
  <c r="B150" i="6"/>
  <c r="B63" i="6"/>
  <c r="B34" i="6"/>
  <c r="B100" i="6"/>
  <c r="B192" i="6"/>
  <c r="B222" i="6"/>
  <c r="B213" i="6"/>
  <c r="B112" i="6"/>
  <c r="B82" i="6"/>
  <c r="B35" i="6"/>
  <c r="B64" i="6"/>
  <c r="B232" i="6"/>
  <c r="B101" i="6"/>
  <c r="B113" i="6"/>
  <c r="B233" i="6"/>
  <c r="B193" i="6"/>
  <c r="B204" i="6"/>
  <c r="B65" i="6"/>
  <c r="B36" i="6"/>
  <c r="B102" i="6"/>
  <c r="B194" i="6"/>
  <c r="B238" i="6"/>
  <c r="B162" i="6"/>
  <c r="B205" i="6"/>
  <c r="B234" i="6"/>
  <c r="B17" i="6"/>
  <c r="B37" i="6"/>
  <c r="B42" i="6"/>
  <c r="B66" i="6"/>
  <c r="B103" i="6"/>
  <c r="B163" i="6"/>
  <c r="B258" i="6"/>
  <c r="B195" i="6"/>
  <c r="B206" i="6"/>
  <c r="B164" i="6"/>
  <c r="B38" i="6"/>
  <c r="B151" i="6"/>
  <c r="B68" i="6"/>
  <c r="B268" i="6"/>
  <c r="B196" i="6"/>
  <c r="B104" i="6"/>
  <c r="B146" i="6"/>
  <c r="B140" i="6"/>
  <c r="B60" i="6"/>
  <c r="H115" i="1"/>
  <c r="I115" i="1"/>
  <c r="H89" i="1"/>
  <c r="I89" i="1"/>
  <c r="I7" i="1"/>
  <c r="I52" i="1"/>
  <c r="I10" i="1"/>
  <c r="I100" i="1"/>
  <c r="I30" i="1"/>
  <c r="I123" i="1"/>
  <c r="I6" i="1"/>
  <c r="I26" i="1"/>
  <c r="I36" i="1"/>
  <c r="I103" i="1"/>
  <c r="I44" i="1"/>
  <c r="I28" i="1"/>
  <c r="I91" i="1"/>
  <c r="I55" i="1"/>
  <c r="I39" i="1"/>
  <c r="I45" i="1"/>
  <c r="I122" i="1"/>
  <c r="I47" i="1"/>
  <c r="I128" i="1"/>
  <c r="I119" i="1"/>
  <c r="I121" i="1"/>
  <c r="I56" i="1"/>
  <c r="I57" i="1"/>
  <c r="I58" i="1"/>
  <c r="I21" i="1"/>
  <c r="I61" i="1"/>
  <c r="I62" i="1"/>
  <c r="I63" i="1"/>
  <c r="I65" i="1"/>
  <c r="I16" i="1"/>
  <c r="I18" i="1"/>
  <c r="I76" i="1"/>
  <c r="I77" i="1"/>
  <c r="I80" i="1"/>
  <c r="I46" i="1"/>
  <c r="I83" i="1"/>
  <c r="I81" i="1"/>
  <c r="I105" i="1"/>
  <c r="I98" i="1"/>
  <c r="I60" i="1"/>
  <c r="I66" i="1"/>
  <c r="I8" i="1"/>
  <c r="I40" i="1"/>
  <c r="I101" i="1"/>
  <c r="I69" i="1"/>
  <c r="I112" i="1"/>
  <c r="I22" i="1"/>
  <c r="I140" i="1"/>
  <c r="I38" i="1"/>
  <c r="I82" i="1"/>
  <c r="I49" i="1"/>
  <c r="I50" i="1"/>
  <c r="I99" i="1"/>
  <c r="I114" i="1"/>
  <c r="I132" i="1"/>
  <c r="I133" i="1"/>
  <c r="I139" i="1"/>
  <c r="I136" i="1"/>
  <c r="I73" i="1"/>
  <c r="I141" i="1"/>
  <c r="I142" i="1"/>
  <c r="I143" i="1"/>
  <c r="H7" i="1"/>
  <c r="H52" i="1"/>
  <c r="H10" i="1"/>
  <c r="H100" i="1"/>
  <c r="H30" i="1"/>
  <c r="H123" i="1"/>
  <c r="H6" i="1"/>
  <c r="H26" i="1"/>
  <c r="H36" i="1"/>
  <c r="H103" i="1"/>
  <c r="H44" i="1"/>
  <c r="H28" i="1"/>
  <c r="H91" i="1"/>
  <c r="H55" i="1"/>
  <c r="H39" i="1"/>
  <c r="H45" i="1"/>
  <c r="H122" i="1"/>
  <c r="H47" i="1"/>
  <c r="H128" i="1"/>
  <c r="H119" i="1"/>
  <c r="H121" i="1"/>
  <c r="H56" i="1"/>
  <c r="H57" i="1"/>
  <c r="H58" i="1"/>
  <c r="H21" i="1"/>
  <c r="H61" i="1"/>
  <c r="H62" i="1"/>
  <c r="H63" i="1"/>
  <c r="H65" i="1"/>
  <c r="H16" i="1"/>
  <c r="H18" i="1"/>
  <c r="H76" i="1"/>
  <c r="H77" i="1"/>
  <c r="H80" i="1"/>
  <c r="H46" i="1"/>
  <c r="H83" i="1"/>
  <c r="H81" i="1"/>
  <c r="H105" i="1"/>
  <c r="H98" i="1"/>
  <c r="H60" i="1"/>
  <c r="H66" i="1"/>
  <c r="H8" i="1"/>
  <c r="H40" i="1"/>
  <c r="H101" i="1"/>
  <c r="H69" i="1"/>
  <c r="H112" i="1"/>
  <c r="H22" i="1"/>
  <c r="H140" i="1"/>
  <c r="H38" i="1"/>
  <c r="H82" i="1"/>
  <c r="H49" i="1"/>
  <c r="H50" i="1"/>
  <c r="H99" i="1"/>
  <c r="H114" i="1"/>
  <c r="H132" i="1"/>
  <c r="H133" i="1"/>
  <c r="H139" i="1"/>
  <c r="H136" i="1"/>
  <c r="H73" i="1"/>
  <c r="H141" i="1"/>
  <c r="H142" i="1"/>
  <c r="H143" i="1"/>
  <c r="J12" i="8"/>
  <c r="K12" i="8" s="1"/>
  <c r="J13" i="8"/>
  <c r="K13" i="8" s="1"/>
  <c r="J14" i="8"/>
  <c r="K14" i="8" s="1"/>
  <c r="J15" i="8"/>
  <c r="K15" i="8" s="1"/>
  <c r="J16" i="8"/>
  <c r="K16" i="8" s="1"/>
  <c r="J17" i="8"/>
  <c r="K17" i="8" s="1"/>
  <c r="J18" i="8"/>
  <c r="K18" i="8" s="1"/>
  <c r="J19" i="8"/>
  <c r="K19" i="8" s="1"/>
  <c r="J20" i="8"/>
  <c r="K20" i="8" s="1"/>
  <c r="J21" i="8"/>
  <c r="K21" i="8" s="1"/>
  <c r="J22" i="8"/>
  <c r="K22" i="8" s="1"/>
  <c r="J23" i="8"/>
  <c r="K23" i="8" s="1"/>
  <c r="J24" i="8"/>
  <c r="K24" i="8" s="1"/>
  <c r="J25" i="8"/>
  <c r="K25" i="8" s="1"/>
  <c r="J26" i="8"/>
  <c r="K26" i="8" s="1"/>
  <c r="J27" i="8"/>
  <c r="K27" i="8" s="1"/>
  <c r="J3" i="8"/>
  <c r="K3" i="8" s="1"/>
  <c r="J4" i="8"/>
  <c r="K4" i="8" s="1"/>
  <c r="J5" i="8"/>
  <c r="K5" i="8" s="1"/>
  <c r="J6" i="8"/>
  <c r="K6" i="8" s="1"/>
  <c r="J7" i="8"/>
  <c r="K7" i="8" s="1"/>
  <c r="J8" i="8"/>
  <c r="K8" i="8" s="1"/>
  <c r="J9" i="8"/>
  <c r="K9" i="8" s="1"/>
  <c r="J10" i="8"/>
  <c r="K10" i="8" s="1"/>
  <c r="J11" i="8"/>
  <c r="K11" i="8" s="1"/>
  <c r="K3" i="7"/>
  <c r="K4" i="7"/>
  <c r="K5" i="7"/>
  <c r="K6" i="7"/>
  <c r="K7" i="7"/>
  <c r="K8" i="7"/>
  <c r="K59" i="7"/>
  <c r="K80" i="7"/>
  <c r="C68" i="3"/>
  <c r="C34" i="3"/>
  <c r="D24" i="3"/>
  <c r="D23" i="3"/>
  <c r="I46" i="2"/>
  <c r="J46" i="2"/>
  <c r="I45" i="2"/>
  <c r="J45" i="2"/>
  <c r="I44" i="2"/>
  <c r="J44" i="2"/>
  <c r="I43" i="2"/>
  <c r="J43" i="2"/>
  <c r="I42" i="2"/>
  <c r="J42" i="2"/>
  <c r="E41" i="2"/>
  <c r="I41" i="2"/>
  <c r="J41" i="2"/>
  <c r="E40" i="2"/>
  <c r="I40" i="2"/>
  <c r="J40" i="2"/>
  <c r="B10" i="6"/>
  <c r="E39" i="2"/>
  <c r="I39" i="2"/>
  <c r="J39" i="2"/>
  <c r="G196" i="6" l="1"/>
  <c r="G202" i="6"/>
  <c r="G163" i="6"/>
  <c r="G125" i="6"/>
  <c r="G220" i="6"/>
  <c r="G99" i="6"/>
  <c r="G27" i="6"/>
  <c r="G180" i="6"/>
  <c r="G85" i="6"/>
  <c r="G206" i="6"/>
  <c r="G173" i="6"/>
  <c r="G78" i="6"/>
  <c r="G184" i="6"/>
  <c r="G43" i="6"/>
  <c r="G205" i="6"/>
  <c r="G164" i="6"/>
  <c r="G221" i="6"/>
  <c r="G91" i="6"/>
  <c r="G42" i="6"/>
  <c r="G195" i="6"/>
  <c r="G156" i="6"/>
  <c r="G124" i="6"/>
  <c r="G67" i="6"/>
  <c r="G45" i="6"/>
  <c r="G12" i="6"/>
  <c r="G188" i="6"/>
  <c r="G155" i="6"/>
  <c r="G123" i="6"/>
  <c r="G66" i="6"/>
  <c r="G19" i="6"/>
  <c r="G130" i="6"/>
  <c r="G166" i="6"/>
  <c r="G268" i="6"/>
  <c r="G87" i="6"/>
  <c r="G59" i="6"/>
  <c r="G11" i="6"/>
  <c r="G129" i="6"/>
  <c r="G115" i="6"/>
  <c r="G147" i="6"/>
  <c r="G107" i="6"/>
  <c r="G187" i="6"/>
  <c r="G254" i="6"/>
  <c r="G116" i="6"/>
  <c r="G108" i="6"/>
  <c r="G100" i="6"/>
  <c r="G18" i="6"/>
  <c r="G21" i="6"/>
  <c r="G35" i="6"/>
  <c r="G230" i="6"/>
  <c r="G235" i="6"/>
  <c r="G262" i="6"/>
  <c r="G23" i="6"/>
  <c r="G213" i="6"/>
  <c r="G198" i="6"/>
  <c r="G82" i="6"/>
  <c r="G261" i="6"/>
  <c r="G34" i="6"/>
  <c r="G114" i="6"/>
  <c r="G176" i="6"/>
  <c r="G200" i="6"/>
  <c r="G265" i="6"/>
  <c r="G9" i="6"/>
  <c r="G128" i="6"/>
  <c r="G189" i="6"/>
  <c r="G204" i="6"/>
  <c r="G194" i="6"/>
  <c r="G186" i="6"/>
  <c r="G165" i="6"/>
  <c r="G146" i="6"/>
  <c r="G162" i="6"/>
  <c r="G154" i="6"/>
  <c r="G266" i="6"/>
  <c r="G126" i="6"/>
  <c r="G135" i="6"/>
  <c r="G122" i="6"/>
  <c r="G83" i="6"/>
  <c r="G106" i="6"/>
  <c r="G98" i="6"/>
  <c r="G90" i="6"/>
  <c r="G81" i="6"/>
  <c r="G234" i="6"/>
  <c r="G65" i="6"/>
  <c r="G57" i="6"/>
  <c r="G207" i="6"/>
  <c r="G41" i="6"/>
  <c r="G33" i="6"/>
  <c r="G25" i="6"/>
  <c r="G17" i="6"/>
  <c r="G174" i="6"/>
  <c r="G228" i="6"/>
  <c r="G8" i="6"/>
  <c r="G77" i="6"/>
  <c r="G239" i="6"/>
  <c r="G71" i="6"/>
  <c r="G172" i="6"/>
  <c r="G219" i="6"/>
  <c r="G211" i="6"/>
  <c r="G267" i="6"/>
  <c r="G193" i="6"/>
  <c r="G185" i="6"/>
  <c r="G177" i="6"/>
  <c r="G169" i="6"/>
  <c r="G161" i="6"/>
  <c r="G153" i="6"/>
  <c r="G145" i="6"/>
  <c r="G119" i="6"/>
  <c r="G134" i="6"/>
  <c r="G113" i="6"/>
  <c r="G47" i="6"/>
  <c r="G97" i="6"/>
  <c r="G199" i="6"/>
  <c r="G80" i="6"/>
  <c r="G232" i="6"/>
  <c r="G64" i="6"/>
  <c r="G56" i="6"/>
  <c r="G48" i="6"/>
  <c r="G73" i="6"/>
  <c r="G32" i="6"/>
  <c r="G24" i="6"/>
  <c r="G16" i="6"/>
  <c r="G139" i="6"/>
  <c r="G256" i="6"/>
  <c r="G242" i="6"/>
  <c r="G263" i="6"/>
  <c r="G226" i="6"/>
  <c r="G92" i="6"/>
  <c r="G210" i="6"/>
  <c r="G201" i="6"/>
  <c r="G192" i="6"/>
  <c r="G137" i="6"/>
  <c r="G39" i="6"/>
  <c r="G212" i="6"/>
  <c r="G160" i="6"/>
  <c r="G152" i="6"/>
  <c r="G144" i="6"/>
  <c r="G138" i="6"/>
  <c r="G133" i="6"/>
  <c r="G140" i="6"/>
  <c r="G112" i="6"/>
  <c r="G104" i="6"/>
  <c r="G96" i="6"/>
  <c r="G149" i="6"/>
  <c r="G79" i="6"/>
  <c r="G168" i="6"/>
  <c r="G63" i="6"/>
  <c r="G217" i="6"/>
  <c r="G10" i="6"/>
  <c r="G105" i="6"/>
  <c r="G31" i="6"/>
  <c r="G74" i="6"/>
  <c r="G15" i="6"/>
  <c r="G13" i="6"/>
  <c r="G236" i="6"/>
  <c r="G241" i="6"/>
  <c r="G257" i="6"/>
  <c r="G40" i="6"/>
  <c r="G225" i="6"/>
  <c r="G209" i="6"/>
  <c r="G218" i="6"/>
  <c r="G75" i="6"/>
  <c r="G191" i="6"/>
  <c r="G183" i="6"/>
  <c r="G258" i="6"/>
  <c r="G58" i="6"/>
  <c r="G159" i="6"/>
  <c r="G151" i="6"/>
  <c r="G142" i="6"/>
  <c r="G224" i="6"/>
  <c r="G141" i="6"/>
  <c r="G26" i="6"/>
  <c r="G111" i="6"/>
  <c r="G103" i="6"/>
  <c r="G167" i="6"/>
  <c r="G259" i="6"/>
  <c r="G238" i="6"/>
  <c r="G148" i="6"/>
  <c r="G62" i="6"/>
  <c r="G54" i="6"/>
  <c r="G46" i="6"/>
  <c r="G38" i="6"/>
  <c r="G30" i="6"/>
  <c r="G51" i="6"/>
  <c r="G14" i="6"/>
  <c r="G6" i="6"/>
  <c r="G227" i="6"/>
  <c r="G237" i="6"/>
  <c r="G255" i="6"/>
  <c r="G260" i="6"/>
  <c r="G132" i="6"/>
  <c r="G216" i="6"/>
  <c r="G208" i="6"/>
  <c r="G86" i="6"/>
  <c r="G190" i="6"/>
  <c r="G182" i="6"/>
  <c r="G233" i="6"/>
  <c r="G29" i="6"/>
  <c r="G179" i="6"/>
  <c r="G150" i="6"/>
  <c r="G136" i="6"/>
  <c r="G223" i="6"/>
  <c r="G120" i="6"/>
  <c r="G118" i="6"/>
  <c r="G203" i="6"/>
  <c r="G102" i="6"/>
  <c r="G94" i="6"/>
  <c r="G178" i="6"/>
  <c r="G20" i="6"/>
  <c r="G61" i="6"/>
  <c r="G95" i="6"/>
  <c r="G50" i="6"/>
  <c r="G52" i="6"/>
  <c r="G231" i="6"/>
  <c r="G170" i="6"/>
  <c r="G264" i="6"/>
  <c r="G131" i="6"/>
  <c r="G89" i="6"/>
  <c r="G214" i="6"/>
  <c r="G197" i="6"/>
  <c r="G110" i="6"/>
  <c r="G181" i="6"/>
  <c r="G222" i="6"/>
  <c r="G49" i="6"/>
  <c r="G72" i="6"/>
  <c r="G127" i="6"/>
  <c r="G101" i="6"/>
  <c r="G60" i="6"/>
  <c r="G158" i="6"/>
  <c r="G70" i="6"/>
  <c r="K39" i="2"/>
  <c r="K41" i="2"/>
  <c r="K40" i="2"/>
  <c r="E38" i="2"/>
  <c r="I38" i="2"/>
  <c r="J38" i="2"/>
  <c r="E37" i="2"/>
  <c r="I37" i="2"/>
  <c r="J37" i="2"/>
  <c r="E36" i="2"/>
  <c r="I36" i="2"/>
  <c r="J36" i="2"/>
  <c r="D22" i="3"/>
  <c r="K38" i="2" l="1"/>
  <c r="K37" i="2"/>
  <c r="K36" i="2"/>
  <c r="E35" i="2"/>
  <c r="I35" i="2"/>
  <c r="J35" i="2"/>
  <c r="D21" i="3"/>
  <c r="E34" i="2"/>
  <c r="I34" i="2"/>
  <c r="J34" i="2"/>
  <c r="D20" i="3"/>
  <c r="E33" i="2"/>
  <c r="I33" i="2"/>
  <c r="J33" i="2"/>
  <c r="E32" i="2"/>
  <c r="I32" i="2"/>
  <c r="J32" i="2"/>
  <c r="K33" i="2" l="1"/>
  <c r="K35" i="2"/>
  <c r="K34" i="2"/>
  <c r="K32" i="2"/>
  <c r="E31" i="2"/>
  <c r="I31" i="2"/>
  <c r="J31" i="2"/>
  <c r="E30" i="2"/>
  <c r="I30" i="2"/>
  <c r="J30" i="2"/>
  <c r="E29" i="2"/>
  <c r="I29" i="2"/>
  <c r="J29" i="2"/>
  <c r="E28" i="2"/>
  <c r="E27" i="2"/>
  <c r="I28" i="2"/>
  <c r="J28" i="2"/>
  <c r="I27" i="2"/>
  <c r="J27" i="2"/>
  <c r="E26" i="2"/>
  <c r="I26" i="2"/>
  <c r="J26" i="2"/>
  <c r="E25" i="2"/>
  <c r="I25" i="2"/>
  <c r="J25" i="2"/>
  <c r="E24" i="2"/>
  <c r="E23" i="2"/>
  <c r="I24" i="2"/>
  <c r="J24" i="2"/>
  <c r="I23" i="2"/>
  <c r="J23" i="2"/>
  <c r="G18" i="1"/>
  <c r="E22" i="2"/>
  <c r="I22" i="2"/>
  <c r="J22" i="2"/>
  <c r="E21" i="2"/>
  <c r="I21" i="2"/>
  <c r="J21" i="2"/>
  <c r="E20" i="2"/>
  <c r="I20" i="2"/>
  <c r="J20" i="2"/>
  <c r="E19" i="2"/>
  <c r="I19" i="2"/>
  <c r="J19" i="2"/>
  <c r="E18" i="2"/>
  <c r="I18" i="2"/>
  <c r="J18" i="2"/>
  <c r="G101" i="1"/>
  <c r="I12" i="2"/>
  <c r="E12" i="2"/>
  <c r="J17" i="2"/>
  <c r="J16" i="2"/>
  <c r="J15" i="2"/>
  <c r="J14" i="2"/>
  <c r="J13" i="2"/>
  <c r="J12" i="2"/>
  <c r="J9" i="2"/>
  <c r="J10" i="2"/>
  <c r="J11" i="2"/>
  <c r="E9" i="2"/>
  <c r="I9" i="2" s="1"/>
  <c r="E10" i="2"/>
  <c r="I10" i="2" s="1"/>
  <c r="E11" i="2"/>
  <c r="E13" i="2"/>
  <c r="E14" i="2"/>
  <c r="E15" i="2"/>
  <c r="I15" i="2" s="1"/>
  <c r="E16" i="2"/>
  <c r="I16" i="2" s="1"/>
  <c r="E17" i="2"/>
  <c r="I17" i="2" s="1"/>
  <c r="I11" i="2"/>
  <c r="I13" i="2"/>
  <c r="I14" i="2"/>
  <c r="G80" i="1"/>
  <c r="G26" i="1"/>
  <c r="K31" i="2" l="1"/>
  <c r="K29" i="2"/>
  <c r="K30" i="2"/>
  <c r="K28" i="2"/>
  <c r="K26" i="2"/>
  <c r="K25" i="2"/>
  <c r="K24" i="2"/>
  <c r="K23" i="2"/>
  <c r="K22" i="2"/>
  <c r="K21" i="2"/>
  <c r="K20" i="2"/>
  <c r="K19" i="2"/>
  <c r="K9" i="2"/>
  <c r="K17" i="2"/>
  <c r="K16" i="2"/>
  <c r="K15" i="2"/>
  <c r="K14" i="2"/>
  <c r="K13" i="2"/>
  <c r="K12" i="2"/>
  <c r="K11" i="2"/>
  <c r="K10" i="2"/>
  <c r="G103" i="1"/>
  <c r="L60" i="3"/>
  <c r="L59" i="3"/>
  <c r="D16" i="3"/>
  <c r="L58" i="3"/>
  <c r="L57" i="3"/>
  <c r="L53" i="3"/>
  <c r="L54" i="3"/>
  <c r="L55" i="3"/>
  <c r="L56" i="3"/>
  <c r="D18" i="3"/>
  <c r="D15" i="3"/>
  <c r="G119" i="1"/>
  <c r="D17" i="3"/>
  <c r="D11" i="3" l="1"/>
  <c r="L52" i="3"/>
  <c r="G69" i="1"/>
  <c r="G100" i="1"/>
  <c r="D12" i="3"/>
  <c r="D13" i="3"/>
  <c r="L50" i="3"/>
  <c r="L49" i="3"/>
  <c r="D3" i="3"/>
  <c r="L48" i="3"/>
  <c r="L47" i="3"/>
  <c r="G112" i="1"/>
  <c r="G310" i="6" l="1"/>
  <c r="D8" i="3"/>
  <c r="D10" i="3"/>
  <c r="D9" i="3"/>
  <c r="L44" i="3"/>
  <c r="L45" i="3"/>
  <c r="G55" i="1" l="1"/>
  <c r="D19" i="3"/>
  <c r="G52" i="1"/>
  <c r="G6" i="1"/>
  <c r="G22" i="1"/>
  <c r="G73" i="1"/>
  <c r="G99" i="1"/>
  <c r="G128" i="1"/>
  <c r="G121" i="1"/>
  <c r="G46" i="1"/>
  <c r="L43" i="3"/>
  <c r="L39" i="3"/>
  <c r="L41" i="3"/>
  <c r="L37" i="3"/>
  <c r="L38" i="3"/>
  <c r="D7" i="3" l="1"/>
  <c r="D14" i="3"/>
  <c r="D4" i="3"/>
  <c r="L42" i="3" l="1"/>
  <c r="D6" i="3" l="1"/>
  <c r="D5" i="3"/>
  <c r="L40" i="3" l="1"/>
  <c r="G60" i="1"/>
  <c r="G114" i="1" l="1"/>
  <c r="G66" i="1"/>
  <c r="G133" i="1"/>
  <c r="G40" i="1"/>
  <c r="G141" i="1"/>
  <c r="G61" i="1" l="1"/>
  <c r="G139" i="1"/>
  <c r="G21" i="1"/>
  <c r="G47" i="1"/>
  <c r="G105" i="1"/>
  <c r="G136" i="1"/>
  <c r="G38" i="1"/>
  <c r="G8" i="1"/>
  <c r="G28" i="1"/>
  <c r="G132" i="1"/>
  <c r="G140" i="1"/>
  <c r="G50" i="1"/>
  <c r="G58" i="1"/>
  <c r="G122" i="1"/>
  <c r="G49" i="1"/>
  <c r="G91" i="1"/>
  <c r="G7" i="1"/>
  <c r="G44" i="1"/>
  <c r="G36" i="1"/>
  <c r="G123" i="1"/>
  <c r="G81" i="1"/>
  <c r="G45" i="1"/>
  <c r="G98" i="1"/>
  <c r="G82" i="1"/>
  <c r="K18" i="2"/>
  <c r="K27" i="2"/>
  <c r="E42" i="2"/>
  <c r="K42" i="2" s="1"/>
  <c r="E43" i="2"/>
  <c r="K43" i="2" s="1"/>
  <c r="E44" i="2"/>
  <c r="K44" i="2" s="1"/>
  <c r="E45" i="2"/>
  <c r="K45" i="2" s="1"/>
  <c r="E46" i="2"/>
  <c r="K46" i="2" s="1"/>
</calcChain>
</file>

<file path=xl/sharedStrings.xml><?xml version="1.0" encoding="utf-8"?>
<sst xmlns="http://schemas.openxmlformats.org/spreadsheetml/2006/main" count="2830" uniqueCount="671">
  <si>
    <t>Item</t>
  </si>
  <si>
    <t>Value</t>
  </si>
  <si>
    <t>Max Stack</t>
  </si>
  <si>
    <t>Stack value</t>
  </si>
  <si>
    <t>Albumen Pearl</t>
  </si>
  <si>
    <t>Copper</t>
  </si>
  <si>
    <t>Cobalt</t>
  </si>
  <si>
    <t>Carbon</t>
  </si>
  <si>
    <t>Feline livers</t>
  </si>
  <si>
    <t>Oxygen</t>
  </si>
  <si>
    <t>Sodium</t>
  </si>
  <si>
    <t>Di-Hydrogen</t>
  </si>
  <si>
    <t>Sodium Nitrate</t>
  </si>
  <si>
    <t>Ferrite Dust</t>
  </si>
  <si>
    <t>Geode</t>
  </si>
  <si>
    <t>Solanium</t>
  </si>
  <si>
    <t>Silicate Powder</t>
  </si>
  <si>
    <t>Sweetroot</t>
  </si>
  <si>
    <t>Crystal Fragment</t>
  </si>
  <si>
    <t>Platinum</t>
  </si>
  <si>
    <t>Silver</t>
  </si>
  <si>
    <t>Notes</t>
  </si>
  <si>
    <t>Nitrogen</t>
  </si>
  <si>
    <t>Fireberry</t>
  </si>
  <si>
    <t>Recharge life support</t>
  </si>
  <si>
    <t>Recharge health</t>
  </si>
  <si>
    <t>Marrow Bulb</t>
  </si>
  <si>
    <t>Gold</t>
  </si>
  <si>
    <t>Tritium</t>
  </si>
  <si>
    <t>Gold nugget</t>
  </si>
  <si>
    <t>Decrypted User Data</t>
  </si>
  <si>
    <t>Sale price</t>
  </si>
  <si>
    <t>Profit</t>
  </si>
  <si>
    <t>Planet</t>
  </si>
  <si>
    <t>System</t>
  </si>
  <si>
    <t>Coup's Land</t>
  </si>
  <si>
    <t>Yoperoc Colony</t>
  </si>
  <si>
    <t>Yoperoc</t>
  </si>
  <si>
    <t>TetraCobalt</t>
  </si>
  <si>
    <t>Phosphorus</t>
  </si>
  <si>
    <t>Sulphurine</t>
  </si>
  <si>
    <t>System Name</t>
  </si>
  <si>
    <t>Colony Name</t>
  </si>
  <si>
    <t>Planet Name</t>
  </si>
  <si>
    <t>Type</t>
  </si>
  <si>
    <t>Teleporter</t>
  </si>
  <si>
    <t>Yes</t>
  </si>
  <si>
    <t>Refiner</t>
  </si>
  <si>
    <t>Construction Research</t>
  </si>
  <si>
    <t>Edog 67/C3</t>
  </si>
  <si>
    <t>Resource 1</t>
  </si>
  <si>
    <t>Resource 2</t>
  </si>
  <si>
    <t>Resource 3</t>
  </si>
  <si>
    <t>Resource 4</t>
  </si>
  <si>
    <t>Climate</t>
  </si>
  <si>
    <t>Hot</t>
  </si>
  <si>
    <t>Flora</t>
  </si>
  <si>
    <t>Fauna</t>
  </si>
  <si>
    <t>Minerals</t>
  </si>
  <si>
    <t>Yedexi VII</t>
  </si>
  <si>
    <t>New Yeovi</t>
  </si>
  <si>
    <t>Nancangz XV</t>
  </si>
  <si>
    <t>Gamma Root</t>
  </si>
  <si>
    <t>Salt</t>
  </si>
  <si>
    <t>Uranium</t>
  </si>
  <si>
    <t>Irradiated</t>
  </si>
  <si>
    <t>Storage</t>
  </si>
  <si>
    <t>No</t>
  </si>
  <si>
    <t>Neutral</t>
  </si>
  <si>
    <t>Paraffinium</t>
  </si>
  <si>
    <t>Discoveries</t>
  </si>
  <si>
    <t>Signal Booster</t>
  </si>
  <si>
    <t>Save Point</t>
  </si>
  <si>
    <t>Race</t>
  </si>
  <si>
    <t>Vy'keen</t>
  </si>
  <si>
    <t>De-Scented Pheremone Bottle</t>
  </si>
  <si>
    <t>Neutron Microscope</t>
  </si>
  <si>
    <t>Gek</t>
  </si>
  <si>
    <t>Star Silk</t>
  </si>
  <si>
    <t>Verma XIV</t>
  </si>
  <si>
    <t>Cold</t>
  </si>
  <si>
    <t>Frost Crystal</t>
  </si>
  <si>
    <t>Dioxite</t>
  </si>
  <si>
    <t>Hutahi</t>
  </si>
  <si>
    <t>Water world</t>
  </si>
  <si>
    <t>Egarondo</t>
  </si>
  <si>
    <t>Arjorda-Kug</t>
  </si>
  <si>
    <t>Ierajev Suki</t>
  </si>
  <si>
    <t>New Yeovi I</t>
  </si>
  <si>
    <t>Ancity-Niyh</t>
  </si>
  <si>
    <t>Nalangni</t>
  </si>
  <si>
    <t>Dulve Alpha</t>
  </si>
  <si>
    <t>Nuclear</t>
  </si>
  <si>
    <t>Suangi D31</t>
  </si>
  <si>
    <t>Magnetized Ferrite</t>
  </si>
  <si>
    <t>Star Bulb</t>
  </si>
  <si>
    <t>Chlorine</t>
  </si>
  <si>
    <t>Ammonia</t>
  </si>
  <si>
    <t>Gather some dioxite</t>
  </si>
  <si>
    <t>Gather some ammonia</t>
  </si>
  <si>
    <t>Discover the only planet in Egarondo</t>
  </si>
  <si>
    <t>Uixing</t>
  </si>
  <si>
    <t>Fix my Efficient Air Purifier (Exosuit)</t>
  </si>
  <si>
    <t>Discover the last fauna at Ierajev Suki (Rare Ground)</t>
  </si>
  <si>
    <t>x</t>
  </si>
  <si>
    <t>Rivorst Magoy</t>
  </si>
  <si>
    <t>Price expanding my ship</t>
  </si>
  <si>
    <t>Extend further into  galaxy</t>
  </si>
  <si>
    <t>Xishuai</t>
  </si>
  <si>
    <t>Get my survey device</t>
  </si>
  <si>
    <t>Place my medium refiner</t>
  </si>
  <si>
    <t>Xishuanq</t>
  </si>
  <si>
    <t>Paddoc-Keha</t>
  </si>
  <si>
    <t>Find a cadium source</t>
  </si>
  <si>
    <t>Find some indium</t>
  </si>
  <si>
    <t>Place my signal booster in the other 2 spots</t>
  </si>
  <si>
    <t>Explore the remaining planets in Yadexi VII</t>
  </si>
  <si>
    <t>Ludonas</t>
  </si>
  <si>
    <t>Empty</t>
  </si>
  <si>
    <t>Rusted Metal</t>
  </si>
  <si>
    <t>Miyo 98/F3</t>
  </si>
  <si>
    <t>Spined</t>
  </si>
  <si>
    <t>Azio X</t>
  </si>
  <si>
    <t>Moon of Ludonis</t>
  </si>
  <si>
    <t>Aamandran Tend</t>
  </si>
  <si>
    <t>Good for Copper mining</t>
  </si>
  <si>
    <t>Viridant</t>
  </si>
  <si>
    <t>Explore some planets in Padoc-Keha</t>
  </si>
  <si>
    <t>Ladfo Minor</t>
  </si>
  <si>
    <t>Flourishing</t>
  </si>
  <si>
    <t>Oquoide</t>
  </si>
  <si>
    <t>Zopo</t>
  </si>
  <si>
    <t>Aggressive sentionels</t>
  </si>
  <si>
    <t>Supercritical</t>
  </si>
  <si>
    <t>Oqoide</t>
  </si>
  <si>
    <t>Wagorma</t>
  </si>
  <si>
    <t>Urumqi XV</t>
  </si>
  <si>
    <t>New Avidiu</t>
  </si>
  <si>
    <t>Abandoned</t>
  </si>
  <si>
    <t>Cactus Flesh</t>
  </si>
  <si>
    <t>Pyrite</t>
  </si>
  <si>
    <t>Ubzhan-Reg V</t>
  </si>
  <si>
    <t>Unthreatening</t>
  </si>
  <si>
    <t>Peaceful</t>
  </si>
  <si>
    <t>Aggressive</t>
  </si>
  <si>
    <t>Medium</t>
  </si>
  <si>
    <t>Intermittent</t>
  </si>
  <si>
    <t>Economy</t>
  </si>
  <si>
    <t>Korvax</t>
  </si>
  <si>
    <t>Low</t>
  </si>
  <si>
    <t>Unstable</t>
  </si>
  <si>
    <t>Dangerous</t>
  </si>
  <si>
    <t>Relaxed</t>
  </si>
  <si>
    <t>Gentle</t>
  </si>
  <si>
    <t>Formidable</t>
  </si>
  <si>
    <t>High</t>
  </si>
  <si>
    <t>At war</t>
  </si>
  <si>
    <t>Wealth description</t>
  </si>
  <si>
    <t>Wealth level</t>
  </si>
  <si>
    <t>Declining</t>
  </si>
  <si>
    <t>Destitute</t>
  </si>
  <si>
    <t>Failing</t>
  </si>
  <si>
    <t>Fledgling</t>
  </si>
  <si>
    <t>Low supply</t>
  </si>
  <si>
    <t>Struggling</t>
  </si>
  <si>
    <t>Unsuccessful</t>
  </si>
  <si>
    <t>Unpromising</t>
  </si>
  <si>
    <t>Adequate</t>
  </si>
  <si>
    <t>Balanced</t>
  </si>
  <si>
    <t>Comfortable</t>
  </si>
  <si>
    <t>Developing</t>
  </si>
  <si>
    <t>Medium Supply</t>
  </si>
  <si>
    <t>Promising</t>
  </si>
  <si>
    <t>Satisfactory</t>
  </si>
  <si>
    <t>Sustainable</t>
  </si>
  <si>
    <t>Advanced</t>
  </si>
  <si>
    <t>Affluent</t>
  </si>
  <si>
    <t>Booming</t>
  </si>
  <si>
    <t>High Supply</t>
  </si>
  <si>
    <t>Opulent</t>
  </si>
  <si>
    <t>Prosperous</t>
  </si>
  <si>
    <t>Wealthy</t>
  </si>
  <si>
    <t>Wealth</t>
  </si>
  <si>
    <t>Economy description</t>
  </si>
  <si>
    <t>Economy type</t>
  </si>
  <si>
    <t>Mercantile</t>
  </si>
  <si>
    <t>Trading</t>
  </si>
  <si>
    <t>Shipping</t>
  </si>
  <si>
    <t>Commercial</t>
  </si>
  <si>
    <t>Buys from</t>
  </si>
  <si>
    <t>Scientific</t>
  </si>
  <si>
    <t>Sells to</t>
  </si>
  <si>
    <t>Advanced Materials</t>
  </si>
  <si>
    <t>Alchemical</t>
  </si>
  <si>
    <t>Material Fusion</t>
  </si>
  <si>
    <t>Metal Processing</t>
  </si>
  <si>
    <t>Ore Processing</t>
  </si>
  <si>
    <t>Research</t>
  </si>
  <si>
    <t>Experimental</t>
  </si>
  <si>
    <t>Mathematical</t>
  </si>
  <si>
    <t>Mining</t>
  </si>
  <si>
    <t>Ore Extraction</t>
  </si>
  <si>
    <t>Prospecting</t>
  </si>
  <si>
    <t>Manufacturing</t>
  </si>
  <si>
    <t>Power generation</t>
  </si>
  <si>
    <t>Demand level</t>
  </si>
  <si>
    <t>Spark Canister</t>
  </si>
  <si>
    <t>Industrial-Grade Battery</t>
  </si>
  <si>
    <t>Ohmic Gel</t>
  </si>
  <si>
    <t>Experimental Power Fluid</t>
  </si>
  <si>
    <t>Fusion Core</t>
  </si>
  <si>
    <t>Produce level</t>
  </si>
  <si>
    <t>Dirt</t>
  </si>
  <si>
    <t>Unrefined Purite Grease</t>
  </si>
  <si>
    <t>Bromide Salt</t>
  </si>
  <si>
    <t>Polychromatic Zirconium</t>
  </si>
  <si>
    <t>Re-latticed Arc Crystal</t>
  </si>
  <si>
    <t>Instability Injector</t>
  </si>
  <si>
    <t>Organic Piping</t>
  </si>
  <si>
    <t>Neural Duct</t>
  </si>
  <si>
    <t>Comet Droplets</t>
  </si>
  <si>
    <t>Ion Sphere</t>
  </si>
  <si>
    <t>Teleport Coordinators</t>
  </si>
  <si>
    <t>Nanotube Crate</t>
  </si>
  <si>
    <t>Self-Repairing Heridium</t>
  </si>
  <si>
    <t>Optical Solvent</t>
  </si>
  <si>
    <t>Five Dimensional Torus</t>
  </si>
  <si>
    <t>Superconducting Fibre</t>
  </si>
  <si>
    <t>Mass Production</t>
  </si>
  <si>
    <t>Construction</t>
  </si>
  <si>
    <t>Industrial</t>
  </si>
  <si>
    <t>Technology</t>
  </si>
  <si>
    <t>Enormous Metal Cog</t>
  </si>
  <si>
    <t>Non-Stick Piston</t>
  </si>
  <si>
    <t>Six-Pronged Mesh Decoupler</t>
  </si>
  <si>
    <t>Holographic Crankshaft</t>
  </si>
  <si>
    <t>High Capacity Vector Compression</t>
  </si>
  <si>
    <t>Power Generation</t>
  </si>
  <si>
    <t>High Voltage</t>
  </si>
  <si>
    <t>Fuel Generation</t>
  </si>
  <si>
    <t>Energy Supply</t>
  </si>
  <si>
    <t>Decommissioned Circuit Board</t>
  </si>
  <si>
    <t>Welding Soap</t>
  </si>
  <si>
    <t>Ion Capacitor</t>
  </si>
  <si>
    <t>Autonomous Positioning Unit</t>
  </si>
  <si>
    <t>Quantum Accelerator</t>
  </si>
  <si>
    <t>Engineering</t>
  </si>
  <si>
    <t>Economy Type</t>
  </si>
  <si>
    <t>Wealth Level</t>
  </si>
  <si>
    <t>High Tech</t>
  </si>
  <si>
    <t>Nano-construction</t>
  </si>
  <si>
    <t>Conflict</t>
  </si>
  <si>
    <t>Conflict Level</t>
  </si>
  <si>
    <t>Mild</t>
  </si>
  <si>
    <t>Belligerent</t>
  </si>
  <si>
    <t>Boisterous</t>
  </si>
  <si>
    <t>Alarming</t>
  </si>
  <si>
    <t>At War</t>
  </si>
  <si>
    <t>Critical</t>
  </si>
  <si>
    <t>Fractious</t>
  </si>
  <si>
    <t>Ubzhan-Reg 5</t>
  </si>
  <si>
    <t>Seogwip</t>
  </si>
  <si>
    <t>Tranquil</t>
  </si>
  <si>
    <t>Ealphu T25</t>
  </si>
  <si>
    <t>Laurar</t>
  </si>
  <si>
    <t>Blaythetf IV</t>
  </si>
  <si>
    <t>Rotting</t>
  </si>
  <si>
    <t>Fungal Mould</t>
  </si>
  <si>
    <t>Magnetised Ferrite</t>
  </si>
  <si>
    <t>Low Atmposphere</t>
  </si>
  <si>
    <t>High Sentinel Activity</t>
  </si>
  <si>
    <t>Arctic</t>
  </si>
  <si>
    <t>Anxiex</t>
  </si>
  <si>
    <t>Stable</t>
  </si>
  <si>
    <t>Duenedona Jino</t>
  </si>
  <si>
    <t>Sedgew XIV</t>
  </si>
  <si>
    <t>Tucam Major</t>
  </si>
  <si>
    <t>Charred</t>
  </si>
  <si>
    <t>Kiheensbo XVII</t>
  </si>
  <si>
    <t>Buys From</t>
  </si>
  <si>
    <t>Sells To</t>
  </si>
  <si>
    <t>Supplier</t>
  </si>
  <si>
    <t>Purchaser</t>
  </si>
  <si>
    <t>Rating</t>
  </si>
  <si>
    <t>Luyne</t>
  </si>
  <si>
    <t>Giyth Delta</t>
  </si>
  <si>
    <t>Corrosive</t>
  </si>
  <si>
    <t>Salvageable scrap</t>
  </si>
  <si>
    <t>Verdant</t>
  </si>
  <si>
    <t>Station</t>
  </si>
  <si>
    <t>Condensed Carbon</t>
  </si>
  <si>
    <t>Chromatic Metal</t>
  </si>
  <si>
    <t>Pugneum</t>
  </si>
  <si>
    <t>Purchase System</t>
  </si>
  <si>
    <t>Sale System</t>
  </si>
  <si>
    <t>Commodity</t>
  </si>
  <si>
    <t>Units</t>
  </si>
  <si>
    <t>Unit value</t>
  </si>
  <si>
    <t>Lemmium</t>
  </si>
  <si>
    <t>Unit Price</t>
  </si>
  <si>
    <t>Cost</t>
  </si>
  <si>
    <t>Base Price</t>
  </si>
  <si>
    <t>Premium over Base</t>
  </si>
  <si>
    <t>Sellers (Buy tab) - Lower is better</t>
  </si>
  <si>
    <t>Pure Ferrite</t>
  </si>
  <si>
    <t>Ionised Cobalt</t>
  </si>
  <si>
    <t>Count</t>
  </si>
  <si>
    <t>Date Discovered</t>
  </si>
  <si>
    <t>Alhaim</t>
  </si>
  <si>
    <t>Nokungb</t>
  </si>
  <si>
    <t>Helkarsh V</t>
  </si>
  <si>
    <t>Untroubled</t>
  </si>
  <si>
    <t>SearchName</t>
  </si>
  <si>
    <t>Parafinium</t>
  </si>
  <si>
    <t>Cuomul-Tos</t>
  </si>
  <si>
    <t>Resource Type</t>
  </si>
  <si>
    <t>Tradeable</t>
  </si>
  <si>
    <t>Resource</t>
  </si>
  <si>
    <t>Puningt</t>
  </si>
  <si>
    <t>Visit some systems near Yedexi VII</t>
  </si>
  <si>
    <t>Build a Cadmium drive</t>
  </si>
  <si>
    <t>Build an Indium drive</t>
  </si>
  <si>
    <t>Buy a star fighter</t>
  </si>
  <si>
    <t>Curiosity</t>
  </si>
  <si>
    <t>Vy'Keen Dagger</t>
  </si>
  <si>
    <t>Vy'Keen Effigy</t>
  </si>
  <si>
    <t>Korvax Casing</t>
  </si>
  <si>
    <t>Korvax Convergence Cube</t>
  </si>
  <si>
    <t>GekNip</t>
  </si>
  <si>
    <t>Gek Relic</t>
  </si>
  <si>
    <t>Consumable</t>
  </si>
  <si>
    <t>Tritium Hypercluster</t>
  </si>
  <si>
    <t>Gravitino Ball</t>
  </si>
  <si>
    <t>Sac Venom</t>
  </si>
  <si>
    <t>Indium</t>
  </si>
  <si>
    <t>Cadmium</t>
  </si>
  <si>
    <t>Status</t>
  </si>
  <si>
    <t>Task</t>
  </si>
  <si>
    <t>Location</t>
  </si>
  <si>
    <t>Comments</t>
  </si>
  <si>
    <t>n/a</t>
  </si>
  <si>
    <t>Acquire a freighter</t>
  </si>
  <si>
    <t>Yadexi VII</t>
  </si>
  <si>
    <t>Padoc-Keha</t>
  </si>
  <si>
    <t>Anomaly</t>
  </si>
  <si>
    <t>Buy the blueprint from Hyperion</t>
  </si>
  <si>
    <t>Herox</t>
  </si>
  <si>
    <t>Aronium</t>
  </si>
  <si>
    <t>Dirty Bronze</t>
  </si>
  <si>
    <t>Grantine</t>
  </si>
  <si>
    <t>Magno-Gold</t>
  </si>
  <si>
    <t>Sub-type</t>
  </si>
  <si>
    <t>Item 1</t>
  </si>
  <si>
    <t>Quantity 1</t>
  </si>
  <si>
    <t>Item 2</t>
  </si>
  <si>
    <t>Quantity 2</t>
  </si>
  <si>
    <t>Item 3</t>
  </si>
  <si>
    <t>Quantity 3</t>
  </si>
  <si>
    <t>Total Cost</t>
  </si>
  <si>
    <t>Stack Size</t>
  </si>
  <si>
    <t>Craftable</t>
  </si>
  <si>
    <t>Refinable</t>
  </si>
  <si>
    <t>Navigation Data</t>
  </si>
  <si>
    <t>Salvaged Data</t>
  </si>
  <si>
    <t>Misc</t>
  </si>
  <si>
    <t>Yartan-Awkin</t>
  </si>
  <si>
    <t>Moskirkesv Minor</t>
  </si>
  <si>
    <t>Activated Copper</t>
  </si>
  <si>
    <t>Output Qty</t>
  </si>
  <si>
    <t>Cost per Unit</t>
  </si>
  <si>
    <t>Collect some Activated Copper</t>
  </si>
  <si>
    <t>Emeril</t>
  </si>
  <si>
    <t>Radon</t>
  </si>
  <si>
    <t>Mordite</t>
  </si>
  <si>
    <t>Activated Cadmium</t>
  </si>
  <si>
    <t>Activated Emeril</t>
  </si>
  <si>
    <t>Activated Indium</t>
  </si>
  <si>
    <t>Stellar</t>
  </si>
  <si>
    <t>Localised</t>
  </si>
  <si>
    <t>Agricultural</t>
  </si>
  <si>
    <t>Organic</t>
  </si>
  <si>
    <t>Aquatic</t>
  </si>
  <si>
    <t>Subterranean</t>
  </si>
  <si>
    <t>Cyto-Phosphate</t>
  </si>
  <si>
    <t>High Energy</t>
  </si>
  <si>
    <t>Deuterium</t>
  </si>
  <si>
    <t>Faecium</t>
  </si>
  <si>
    <t>Metallic</t>
  </si>
  <si>
    <t>Asteroid</t>
  </si>
  <si>
    <t>Hexite</t>
  </si>
  <si>
    <t>Kelp Sac</t>
  </si>
  <si>
    <t>Living Slime</t>
  </si>
  <si>
    <t>Junk</t>
  </si>
  <si>
    <t>Harvested</t>
  </si>
  <si>
    <t>Gas</t>
  </si>
  <si>
    <t>Anomalous</t>
  </si>
  <si>
    <t>Residual Goop</t>
  </si>
  <si>
    <t>Runaway Mould</t>
  </si>
  <si>
    <t>Catalytic</t>
  </si>
  <si>
    <t>Viscous Fluids</t>
  </si>
  <si>
    <t>Frozen Tubers</t>
  </si>
  <si>
    <t>Raw Ingredient</t>
  </si>
  <si>
    <t>Storm Crystal</t>
  </si>
  <si>
    <t>Unique Valueable</t>
  </si>
  <si>
    <t>Storm crystals</t>
  </si>
  <si>
    <t>Leg Meat</t>
  </si>
  <si>
    <t>Creature Pellets</t>
  </si>
  <si>
    <t>Compressed Nutrients</t>
  </si>
  <si>
    <t>Pulse Engine</t>
  </si>
  <si>
    <t>Instability Drive</t>
  </si>
  <si>
    <t>Teleport Receiver</t>
  </si>
  <si>
    <t>Hyperdrive</t>
  </si>
  <si>
    <t>Launch Thruster</t>
  </si>
  <si>
    <t>Acquired?</t>
  </si>
  <si>
    <t>Starship Upgrades</t>
  </si>
  <si>
    <t>Deflector Shield</t>
  </si>
  <si>
    <t>Photon Cannon</t>
  </si>
  <si>
    <t>Sub-Light Amplifier</t>
  </si>
  <si>
    <t>Hyperion</t>
  </si>
  <si>
    <t>Conflict Scanner</t>
  </si>
  <si>
    <t>Economy Scanner</t>
  </si>
  <si>
    <t>Cadmium Drive</t>
  </si>
  <si>
    <t>Efficient Thrusters</t>
  </si>
  <si>
    <t>Ablative Armour</t>
  </si>
  <si>
    <t>Emergency Warp Unit</t>
  </si>
  <si>
    <t>Nonlinear Optics</t>
  </si>
  <si>
    <t>Rocket Launcher</t>
  </si>
  <si>
    <t>Phase Beam</t>
  </si>
  <si>
    <t>Positron Ejector</t>
  </si>
  <si>
    <t>Infra-Knife Accelerator</t>
  </si>
  <si>
    <t>Cyclotron Ballista</t>
  </si>
  <si>
    <t>Large Rocket Tubes</t>
  </si>
  <si>
    <t>Fourier De-Limiter</t>
  </si>
  <si>
    <t>Fragment Supercharger</t>
  </si>
  <si>
    <t>Q-Resonator</t>
  </si>
  <si>
    <t>Dyson Pump</t>
  </si>
  <si>
    <t>Indium Drive</t>
  </si>
  <si>
    <t>Simple Translator</t>
  </si>
  <si>
    <t>Exosuit Upgrades</t>
  </si>
  <si>
    <t>Superior Translator</t>
  </si>
  <si>
    <t>Advanced Translator</t>
  </si>
  <si>
    <t>Selene</t>
  </si>
  <si>
    <t>Life Support</t>
  </si>
  <si>
    <t>Haz-Mat Gauntlet</t>
  </si>
  <si>
    <t>Hazard Protection</t>
  </si>
  <si>
    <t>Oxygen Recycler</t>
  </si>
  <si>
    <t>Jetpack</t>
  </si>
  <si>
    <t>Personal Refiner</t>
  </si>
  <si>
    <t>Coolant Network</t>
  </si>
  <si>
    <t>Thermic Layer</t>
  </si>
  <si>
    <t>Toxic Suppressor</t>
  </si>
  <si>
    <t>Radiation Deflector</t>
  </si>
  <si>
    <t>Aeration Membrane</t>
  </si>
  <si>
    <t>Shield Lattice</t>
  </si>
  <si>
    <t>Oxygen Rerouter</t>
  </si>
  <si>
    <t>Neural Stimulatopr</t>
  </si>
  <si>
    <t>Rocket Boots</t>
  </si>
  <si>
    <t>Efficient Water Jets</t>
  </si>
  <si>
    <t>Airburst Engine</t>
  </si>
  <si>
    <t>Multi-Tool Upgrades</t>
  </si>
  <si>
    <t>Mining Beam</t>
  </si>
  <si>
    <t>Boltcaster</t>
  </si>
  <si>
    <t>Personal Forcefield</t>
  </si>
  <si>
    <t>Advanced Mining Laser</t>
  </si>
  <si>
    <t>Waveform Recycler</t>
  </si>
  <si>
    <t>Barrel Ioniser</t>
  </si>
  <si>
    <t>Plasma Launcher</t>
  </si>
  <si>
    <t>Blaze Javelin</t>
  </si>
  <si>
    <t>Scatter Blaster</t>
  </si>
  <si>
    <t>Pulse Splitter</t>
  </si>
  <si>
    <t>Combat Scope</t>
  </si>
  <si>
    <t>Optical Drill</t>
  </si>
  <si>
    <t>Survey Device</t>
  </si>
  <si>
    <t>Geology Cannon</t>
  </si>
  <si>
    <t>Shell Greaser</t>
  </si>
  <si>
    <t>Amplified Cartridges</t>
  </si>
  <si>
    <t>Eos</t>
  </si>
  <si>
    <t>Exocraft Upgrades</t>
  </si>
  <si>
    <t>Perses</t>
  </si>
  <si>
    <t>Fusion Engine</t>
  </si>
  <si>
    <t>Daedalus Engine</t>
  </si>
  <si>
    <t>Humboldt Drive</t>
  </si>
  <si>
    <t>Megawatt Heater</t>
  </si>
  <si>
    <t>Air Filtration Unit</t>
  </si>
  <si>
    <t>Neutron Shielding</t>
  </si>
  <si>
    <t>Thermal Buffer</t>
  </si>
  <si>
    <t>Exocraft Signal Booster</t>
  </si>
  <si>
    <t>Exocraft Acceleration Module</t>
  </si>
  <si>
    <t>Exocraft Mining Laser</t>
  </si>
  <si>
    <t>High-Power Sonar</t>
  </si>
  <si>
    <t>Advanced Signal Booster</t>
  </si>
  <si>
    <t>Icarus Fuel System</t>
  </si>
  <si>
    <t>Exocraft Mining Laser Upgrade Sigma</t>
  </si>
  <si>
    <t>Exocraft Mounted Cannon</t>
  </si>
  <si>
    <t>Environment Control Unit</t>
  </si>
  <si>
    <t>Minotaur Radar Array</t>
  </si>
  <si>
    <t>Minotaur Laser</t>
  </si>
  <si>
    <t>Ariadne's Flame</t>
  </si>
  <si>
    <t>Self-Greasing Servos</t>
  </si>
  <si>
    <t>Precision Minotaur Laser</t>
  </si>
  <si>
    <t>Minotaur Cannon</t>
  </si>
  <si>
    <t>Minotaur Bore</t>
  </si>
  <si>
    <t>Exocraft Signal Booster Tau</t>
  </si>
  <si>
    <t>Iijinc XV</t>
  </si>
  <si>
    <t>Rattle Spine</t>
  </si>
  <si>
    <t>Base Building</t>
  </si>
  <si>
    <t>Stabilised Reality Glitch</t>
  </si>
  <si>
    <t>Di-hydrogen Jelly</t>
  </si>
  <si>
    <t>Component</t>
  </si>
  <si>
    <t>Di-Hydrogen Jelly</t>
  </si>
  <si>
    <t>Portable Life Support Power</t>
  </si>
  <si>
    <t>Wiring Loom</t>
  </si>
  <si>
    <t>Universal Technology Platform</t>
  </si>
  <si>
    <t>Just break them down into Di-Hydrogen</t>
  </si>
  <si>
    <t>Just break them down into Gold</t>
  </si>
  <si>
    <t>Chloride Lattice</t>
  </si>
  <si>
    <t>Superoxide Crystal</t>
  </si>
  <si>
    <t>Destabilised Sodium</t>
  </si>
  <si>
    <t>Just break them down into Tritium</t>
  </si>
  <si>
    <t>Antimatter</t>
  </si>
  <si>
    <t>Just break them down into Ferrite or Cobalt</t>
  </si>
  <si>
    <t>Rare Metal Element</t>
  </si>
  <si>
    <t>Space</t>
  </si>
  <si>
    <t>Defend a freighter, speak to captain, refuse the freighter, then defend another and accept it the second time to get a Capital Freighter for free.</t>
  </si>
  <si>
    <t>Acquire an S Class Explorer</t>
  </si>
  <si>
    <t>Acquire an Exotic</t>
  </si>
  <si>
    <t>Acquire an A-Class Hauler</t>
  </si>
  <si>
    <t>Carbon Crystal</t>
  </si>
  <si>
    <t>Unstable Plasma</t>
  </si>
  <si>
    <t>Crafting component.  Acquired from Submerged Relics.</t>
  </si>
  <si>
    <t>Crafted Technology Component</t>
  </si>
  <si>
    <t>Plasma Launcher Recharge</t>
  </si>
  <si>
    <t>Ammo for Plasma Launcher</t>
  </si>
  <si>
    <t>Metal Plating</t>
  </si>
  <si>
    <t>Discover a Cadmium system</t>
  </si>
  <si>
    <t>Larval Core</t>
  </si>
  <si>
    <t>Nitrogen Salt</t>
  </si>
  <si>
    <t>Semiconductor</t>
  </si>
  <si>
    <t>Gepohalih III</t>
  </si>
  <si>
    <t>Terminal</t>
  </si>
  <si>
    <t>Cadmium?</t>
  </si>
  <si>
    <t>Spectral Class</t>
  </si>
  <si>
    <t>Technology Parts</t>
  </si>
  <si>
    <t>Industrial Components</t>
  </si>
  <si>
    <t>Monstrosity</t>
  </si>
  <si>
    <t>Enhanced Gas Product</t>
  </si>
  <si>
    <t>Manufactured Gas Product</t>
  </si>
  <si>
    <t>Advanced Construction Materials</t>
  </si>
  <si>
    <t>Superconductor</t>
  </si>
  <si>
    <t>Thermic Condensate</t>
  </si>
  <si>
    <t>Collect a bunch of Sulfurine to make Thermic Condensate</t>
  </si>
  <si>
    <t>Collect a bunch of Nitrogen to make Nitrogen Salt</t>
  </si>
  <si>
    <t>Complete a bunch of secure sites missions to collect blueprints</t>
  </si>
  <si>
    <t>Upgrade Type</t>
  </si>
  <si>
    <t>Source</t>
  </si>
  <si>
    <t>Enriched Carbon</t>
  </si>
  <si>
    <t>Get My AtlasPass v2</t>
  </si>
  <si>
    <t>AtlasPass v1</t>
  </si>
  <si>
    <t>Access Card</t>
  </si>
  <si>
    <t>AtlasPass v2</t>
  </si>
  <si>
    <t>AtlasPass v3</t>
  </si>
  <si>
    <t>Microprocessor</t>
  </si>
  <si>
    <t>Get it from Specialist Polo or Secure Facility missions</t>
  </si>
  <si>
    <t>Scientific Components</t>
  </si>
  <si>
    <t>Alloy Metal</t>
  </si>
  <si>
    <t>Vortex Cube</t>
  </si>
  <si>
    <t>Race Curiosity</t>
  </si>
  <si>
    <t>Concentrated Element Shard</t>
  </si>
  <si>
    <t>Hot Ice</t>
  </si>
  <si>
    <t>Iridesite</t>
  </si>
  <si>
    <t>Crystal Sulphide</t>
  </si>
  <si>
    <t>Fusion Accelerant</t>
  </si>
  <si>
    <t>Geodesite</t>
  </si>
  <si>
    <t>Five Dimernsional Torus</t>
  </si>
  <si>
    <t>Unrefined Pyrite Grease</t>
  </si>
  <si>
    <t>Spark Cannister</t>
  </si>
  <si>
    <t>Farm Nanites</t>
  </si>
  <si>
    <t>B or higher, 2.5 million or less</t>
  </si>
  <si>
    <t>Hermetic Seal</t>
  </si>
  <si>
    <t>Carbon Nanotubes</t>
  </si>
  <si>
    <t>Ion Battery</t>
  </si>
  <si>
    <t>Warp Cell</t>
  </si>
  <si>
    <t>Antimatter Housing</t>
  </si>
  <si>
    <t>Sodium Diode</t>
  </si>
  <si>
    <t>Salt Refractor</t>
  </si>
  <si>
    <t>Starship Launch Fuel</t>
  </si>
  <si>
    <t>Projectile Ammunition</t>
  </si>
  <si>
    <t>Life Support Gel</t>
  </si>
  <si>
    <t>Get rid of some of my large stacks of cheap minerals by refining them</t>
  </si>
  <si>
    <t>Do a circuit of vendors that Buy ammonia to get more.</t>
  </si>
  <si>
    <t>Do a circuit of vendors that Buy gold to get more.</t>
  </si>
  <si>
    <t>Fat Stack Location</t>
  </si>
  <si>
    <t>Hauler</t>
  </si>
  <si>
    <t>Enriched Alloy Metal</t>
  </si>
  <si>
    <t>Material Wanted</t>
  </si>
  <si>
    <t>Reason</t>
  </si>
  <si>
    <t>Make Chlorine with Chlorine or Salt</t>
  </si>
  <si>
    <t>Make Chlorine with Oxygen</t>
  </si>
  <si>
    <t>Make Platinum with Gold and Silver</t>
  </si>
  <si>
    <t>Make Platinum with Oxygen and Ferrite Dust and Chromatic Metal</t>
  </si>
  <si>
    <t>Get the blueprint for a Large Refiner</t>
  </si>
  <si>
    <t>Storage 1</t>
  </si>
  <si>
    <t>Chlorine locations:</t>
  </si>
  <si>
    <t>Miryankho</t>
  </si>
  <si>
    <t>K8pf</t>
  </si>
  <si>
    <t>G6</t>
  </si>
  <si>
    <t>G0p</t>
  </si>
  <si>
    <t>G1p</t>
  </si>
  <si>
    <t>G8pf</t>
  </si>
  <si>
    <t>G2p</t>
  </si>
  <si>
    <t>G4</t>
  </si>
  <si>
    <t>G5pf</t>
  </si>
  <si>
    <t>Ewcas IV</t>
  </si>
  <si>
    <t>Scarlet</t>
  </si>
  <si>
    <t>Scarlet planet</t>
  </si>
  <si>
    <t>Yakshanbu Nanak</t>
  </si>
  <si>
    <t>Hotspot</t>
  </si>
  <si>
    <t>Hyelesme</t>
  </si>
  <si>
    <t>Webbed planet</t>
  </si>
  <si>
    <t>Very safe, lots of Cadmium</t>
  </si>
  <si>
    <t>Uncharted</t>
  </si>
  <si>
    <t>Arrive from Egarondo</t>
  </si>
  <si>
    <t>Tradable Energy Source</t>
  </si>
  <si>
    <t>Compressed Mineral</t>
  </si>
  <si>
    <t>Tradeable Minderals</t>
  </si>
  <si>
    <t>Tradeable Energy Source</t>
  </si>
  <si>
    <t>Trade Commodity</t>
  </si>
  <si>
    <t>Takshanbu Nanak</t>
  </si>
  <si>
    <t>Mamonakri XV</t>
  </si>
  <si>
    <t>Planetary Anomaly</t>
  </si>
  <si>
    <t>Normal</t>
  </si>
  <si>
    <t>Hexaberry</t>
  </si>
  <si>
    <t>Nice semi aquatic planet, heat storms.  Lots of mineral deposits incl Cadmium.</t>
  </si>
  <si>
    <t>Eeoocoma</t>
  </si>
  <si>
    <t>G7f</t>
  </si>
  <si>
    <t>Walanori Beta</t>
  </si>
  <si>
    <t>None</t>
  </si>
  <si>
    <t>Great flat area to build a base</t>
  </si>
  <si>
    <t>Quantum Processor</t>
  </si>
  <si>
    <t>Circuit Board</t>
  </si>
  <si>
    <t>Advanced Agricultural Product</t>
  </si>
  <si>
    <t>Advanced Crafted Product</t>
  </si>
  <si>
    <t>Ridunxi</t>
  </si>
  <si>
    <t>G4f</t>
  </si>
  <si>
    <t>Yendono</t>
  </si>
  <si>
    <t>Lawless</t>
  </si>
  <si>
    <t>Seruss-Edoga</t>
  </si>
  <si>
    <t>G4pf</t>
  </si>
  <si>
    <t>Nuswick-Paye</t>
  </si>
  <si>
    <t>Get My AtlasPass v3</t>
  </si>
  <si>
    <t>Collect 200 Emeril</t>
  </si>
  <si>
    <t>Make sure all my ships have two major Photon Cannon upgrades</t>
  </si>
  <si>
    <t>Make sure all my ships have two major Shield upgrades</t>
  </si>
  <si>
    <t>Name</t>
  </si>
  <si>
    <t>Class</t>
  </si>
  <si>
    <t>Shields</t>
  </si>
  <si>
    <t>Ikomat DQ4</t>
  </si>
  <si>
    <t>Damage Potential</t>
  </si>
  <si>
    <t>Shield Strength</t>
  </si>
  <si>
    <t>Hyperdrive Range</t>
  </si>
  <si>
    <t>Maneuverability</t>
  </si>
  <si>
    <t>Hauler A</t>
  </si>
  <si>
    <t>AA</t>
  </si>
  <si>
    <t>A</t>
  </si>
  <si>
    <t>Kuchu's Champion</t>
  </si>
  <si>
    <t>Explorer S</t>
  </si>
  <si>
    <t>AAB</t>
  </si>
  <si>
    <t>AB</t>
  </si>
  <si>
    <t>Gujolan Forerunner VI</t>
  </si>
  <si>
    <t>Fighter S</t>
  </si>
  <si>
    <t>SAC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</si>
</sst>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0.0%;[Red]\(0.0%\)"/>
    <numFmt numFmtId="165" formatCode="[Red]0.0%;\(0.0%\)"/>
    <numFmt numFmtId="166" formatCode="[$-409]dd/mmm/yy;@"/>
    <numFmt numFmtId="167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Segoe UI Light"/>
      <family val="2"/>
    </font>
    <font>
      <sz val="11"/>
      <color theme="1"/>
      <name val="Calibri"/>
      <family val="2"/>
      <scheme val="minor"/>
    </font>
    <font>
      <b/>
      <sz val="10"/>
      <color theme="1"/>
      <name val="Segoe UI Light"/>
      <family val="2"/>
    </font>
    <font>
      <sz val="8"/>
      <name val="Calibri"/>
      <family val="2"/>
      <scheme val="minor"/>
    </font>
    <font>
      <sz val="14"/>
      <color theme="1"/>
      <name val="Segoe UI Light"/>
      <family val="2"/>
    </font>
    <font>
      <sz val="10"/>
      <name val="Segoe UI Light"/>
      <family val="2"/>
    </font>
    <font>
      <sz val="10"/>
      <color theme="0"/>
      <name val="Segoe U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hair">
        <color auto="1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3" fontId="1" fillId="0" borderId="0" xfId="0" applyNumberFormat="1" applyFont="1" applyAlignment="1">
      <alignment horizontal="center" vertical="center" wrapText="1"/>
    </xf>
    <xf numFmtId="9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vertical="center"/>
    </xf>
    <xf numFmtId="1" fontId="1" fillId="0" borderId="0" xfId="0" applyNumberFormat="1" applyFont="1" applyAlignment="1">
      <alignment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wrapText="1"/>
    </xf>
    <xf numFmtId="9" fontId="1" fillId="0" borderId="0" xfId="1" applyFont="1" applyAlignment="1">
      <alignment horizontal="center" vertical="center"/>
    </xf>
    <xf numFmtId="0" fontId="1" fillId="2" borderId="0" xfId="0" applyFont="1" applyFill="1" applyAlignment="1">
      <alignment vertical="center"/>
    </xf>
    <xf numFmtId="3" fontId="1" fillId="0" borderId="0" xfId="0" applyNumberFormat="1" applyFont="1" applyAlignment="1">
      <alignment horizontal="left" vertical="center"/>
    </xf>
    <xf numFmtId="0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" fillId="0" borderId="0" xfId="0" applyNumberFormat="1" applyFont="1" applyAlignment="1">
      <alignment horizontal="left" vertical="center"/>
    </xf>
    <xf numFmtId="0" fontId="1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left" vertical="center" wrapText="1"/>
    </xf>
    <xf numFmtId="3" fontId="1" fillId="0" borderId="0" xfId="0" applyNumberFormat="1" applyFont="1" applyAlignment="1">
      <alignment vertical="center"/>
    </xf>
    <xf numFmtId="0" fontId="5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3" fontId="6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vertical="center"/>
    </xf>
    <xf numFmtId="0" fontId="1" fillId="0" borderId="0" xfId="0" applyNumberFormat="1" applyFont="1" applyFill="1" applyAlignment="1">
      <alignment vertical="center"/>
    </xf>
    <xf numFmtId="0" fontId="1" fillId="0" borderId="1" xfId="0" applyFont="1" applyBorder="1"/>
    <xf numFmtId="3" fontId="1" fillId="2" borderId="0" xfId="0" applyNumberFormat="1" applyFont="1" applyFill="1" applyAlignment="1">
      <alignment horizontal="center" vertical="center"/>
    </xf>
    <xf numFmtId="3" fontId="1" fillId="0" borderId="0" xfId="0" applyNumberFormat="1" applyFont="1" applyAlignment="1">
      <alignment horizont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1" xfId="0" applyFont="1" applyBorder="1" applyAlignment="1">
      <alignment vertical="center"/>
    </xf>
    <xf numFmtId="37" fontId="1" fillId="0" borderId="0" xfId="2" applyNumberFormat="1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3" fontId="3" fillId="2" borderId="0" xfId="0" applyNumberFormat="1" applyFont="1" applyFill="1" applyAlignment="1">
      <alignment horizontal="center" vertical="center"/>
    </xf>
    <xf numFmtId="167" fontId="1" fillId="0" borderId="0" xfId="2" applyNumberFormat="1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3">
    <cellStyle name="Comma" xfId="2" builtinId="3"/>
    <cellStyle name="Normal" xfId="0" builtinId="0"/>
    <cellStyle name="Percent" xfId="1" builtinId="5"/>
  </cellStyles>
  <dxfs count="20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5" formatCode="#,##0_);\(#,##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3" formatCode="#,##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166" formatCode="[$-409]dd/mmm/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alignment vertical="center" textRotation="0" wrapText="0" indent="0" justifyLastLine="0" shrinkToFit="0" readingOrder="0"/>
    </dxf>
    <dxf>
      <font>
        <b/>
        <i val="0"/>
      </font>
      <border>
        <top style="thin">
          <color auto="1"/>
        </top>
      </border>
    </dxf>
    <dxf>
      <font>
        <b/>
        <i val="0"/>
      </font>
      <border diagonalUp="1">
        <bottom style="thin">
          <color auto="1"/>
        </bottom>
        <diagonal style="thin">
          <color auto="1"/>
        </diagonal>
        <horizontal/>
      </border>
    </dxf>
    <dxf>
      <border>
        <horizontal style="hair">
          <color auto="1"/>
        </horizontal>
      </border>
    </dxf>
  </dxfs>
  <tableStyles count="1" defaultTableStyle="TableStyleMedium2" defaultPivotStyle="PivotStyleLight16">
    <tableStyle name="Simple" pivot="0" count="3" xr9:uid="{F68AABF8-3784-47FC-8181-7893C11F22BE}">
      <tableStyleElement type="wholeTable" dxfId="207"/>
      <tableStyleElement type="headerRow" dxfId="206"/>
      <tableStyleElement type="totalRow" dxfId="20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90ACCBF-2B73-4825-A229-4BA260E1F20D}" name="Table7" displayName="Table7" ref="B2:E38" totalsRowShown="0" headerRowDxfId="204" dataDxfId="203">
  <autoFilter ref="B2:E38" xr:uid="{E3E7C695-EC05-42B6-8E70-CFC77177648D}"/>
  <sortState xmlns:xlrd2="http://schemas.microsoft.com/office/spreadsheetml/2017/richdata2" ref="B3:E35">
    <sortCondition ref="B2:B35"/>
  </sortState>
  <tableColumns count="4">
    <tableColumn id="1" xr3:uid="{6C3C68C8-6A7C-4E0C-AA54-9DBC89AA04AC}" name="Status" dataDxfId="202"/>
    <tableColumn id="2" xr3:uid="{647FABE0-1ECF-4B72-A4AA-017D5BA47AF3}" name="Task" dataDxfId="201"/>
    <tableColumn id="3" xr3:uid="{5B3C2764-F67F-4735-9787-8924A77AE93F}" name="Location" dataDxfId="200"/>
    <tableColumn id="4" xr3:uid="{317BF596-1245-4814-BCB5-4F78996014D7}" name="Comments" dataDxfId="199"/>
  </tableColumns>
  <tableStyleInfo name="Simple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09F62BF-CFF6-4661-876F-9BA0CA6BE907}" name="tbBluePrintSources" displayName="tbBluePrintSources" ref="B128:D134" totalsRowShown="0" headerRowDxfId="66">
  <autoFilter ref="B128:D134" xr:uid="{08024F7D-DF7E-4E5E-8AE9-FAD98DB26FAD}"/>
  <tableColumns count="3">
    <tableColumn id="1" xr3:uid="{7A9D8EC7-4E00-4402-AAA7-5A2FE8BF45B7}" name="Upgrade Type" dataDxfId="65"/>
    <tableColumn id="2" xr3:uid="{623CDC4C-EF10-4EC9-834D-AC0D2F8E75F3}" name="Source" dataDxfId="64"/>
    <tableColumn id="3" xr3:uid="{4F1A9CF8-A26A-48C4-A3C8-94AB80DE030F}" name="Location" dataDxfId="63"/>
  </tableColumns>
  <tableStyleInfo name="Simple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3C5A754-6967-41D0-BD42-08476EA0739E}" name="tbRecipes" displayName="tbRecipes" ref="B2:K56" totalsRowShown="0" headerRowDxfId="62" dataDxfId="61">
  <autoFilter ref="B2:K56" xr:uid="{79BBC247-A8B4-4912-9A21-60CB768BB009}"/>
  <tableColumns count="10">
    <tableColumn id="1" xr3:uid="{D9BC1002-0663-4EC5-B48A-6636D869A145}" name="Item" dataDxfId="60"/>
    <tableColumn id="2" xr3:uid="{98992F4E-DCEC-4CEE-A9AB-A823502FAD8F}" name="Item 1" dataDxfId="59"/>
    <tableColumn id="3" xr3:uid="{01C1203E-F817-4F15-8E8D-153FD26BBA9E}" name="Quantity 1" dataDxfId="58"/>
    <tableColumn id="4" xr3:uid="{D4B3C722-BB87-498F-B441-43C9DD1AA6AE}" name="Item 2" dataDxfId="57"/>
    <tableColumn id="5" xr3:uid="{913FD033-E02C-4FE6-939F-13D6018A9842}" name="Quantity 2" dataDxfId="56"/>
    <tableColumn id="6" xr3:uid="{14B891BC-97A3-46EC-8DFF-8BF5812D615B}" name="Item 3" dataDxfId="55"/>
    <tableColumn id="7" xr3:uid="{16381BC5-0A5C-49B0-AFFD-4D52261163A8}" name="Quantity 3" dataDxfId="54"/>
    <tableColumn id="9" xr3:uid="{F5F8F22F-B6E6-47D2-9854-E20312989E60}" name="Output Qty" dataDxfId="53"/>
    <tableColumn id="8" xr3:uid="{8A984B4E-1EDF-430A-864E-55D0A2AB7372}" name="Total Cost" dataDxfId="52">
      <calculatedColumnFormula>IF(ISTEXT(tbRecipes[[#This Row],[Item 3]]),tbRecipes[[#This Row],[Quantity 1]]*(VLOOKUP(tbRecipes[[#This Row],[Item 1]],tbMaterials[],4,FALSE))+tbRecipes[[#This Row],[Quantity 2]]*(VLOOKUP(tbRecipes[[#This Row],[Item 2]],tbMaterials[],4,FALSE))+tbRecipes[[#This Row],[Quantity 3]]*(VLOOKUP(tbRecipes[[#This Row],[Item 3]],tbMaterials[],4,FALSE)),IF(ISTEXT(tbRecipes[[#This Row],[Item 2]]),tbRecipes[[#This Row],[Quantity 1]]*(VLOOKUP(tbRecipes[[#This Row],[Item 1]],tbMaterials[],4,FALSE))+tbRecipes[[#This Row],[Quantity 2]]*(VLOOKUP(tbRecipes[[#This Row],[Item 2]],tbMaterials[],4,FALSE)),IF(ISTEXT(tbRecipes[[#This Row],[Item 1]]),tbRecipes[[#This Row],[Quantity 1]]*(VLOOKUP(tbRecipes[[#This Row],[Item 1]],tbMaterials[],4,FALSE)),"")))</calculatedColumnFormula>
    </tableColumn>
    <tableColumn id="10" xr3:uid="{7F318196-DCB6-4D73-93BF-76FE230A8083}" name="Cost per Unit" dataDxfId="51">
      <calculatedColumnFormula>IF(ISNUMBER(tbRecipes[[#This Row],[Total Cost]]),tbRecipes[[#This Row],[Total Cost]]/tbRecipes[[#This Row],[Output Qty]],"")</calculatedColumnFormula>
    </tableColumn>
  </tableColumns>
  <tableStyleInfo name="Simple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6CA504-5A11-4279-94E0-F605166C8D5B}" name="tbWealthLevels" displayName="tbWealthLevels" ref="B2:C28" totalsRowShown="0" headerRowDxfId="50" dataDxfId="49">
  <autoFilter ref="B2:C28" xr:uid="{2598DA56-1868-4AFC-870A-2443819B86BA}"/>
  <tableColumns count="2">
    <tableColumn id="1" xr3:uid="{C534A6EA-1174-40C9-ACDC-61CB7881520E}" name="Wealth description" dataDxfId="48"/>
    <tableColumn id="2" xr3:uid="{343D04D4-D767-4F27-97D2-2FDAF24CE49D}" name="Wealth level" dataDxfId="47"/>
  </tableColumns>
  <tableStyleInfo name="Simple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3CD7EC2-0B9E-4E31-A18B-650960CE5705}" name="tbDemandLEvels" displayName="tbDemandLEvels" ref="B62:D97" totalsRowShown="0" headerRowDxfId="46" dataDxfId="45">
  <autoFilter ref="B62:D97" xr:uid="{05F6BAC1-664D-427D-B323-0284362373B4}"/>
  <tableColumns count="3">
    <tableColumn id="1" xr3:uid="{5282192B-58B2-46FF-ABB4-D13D8DAE1675}" name="Economy type" dataDxfId="44"/>
    <tableColumn id="2" xr3:uid="{9F86CABF-3665-41C9-BB52-907632E6AFA8}" name="Item" dataDxfId="43"/>
    <tableColumn id="3" xr3:uid="{54E2C5FD-989F-4E8D-9FB7-46F01D25AAAA}" name="Demand level" dataDxfId="42"/>
  </tableColumns>
  <tableStyleInfo name="Simple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0FD5D-5C49-4C63-AFB8-3B69EDCAE369}" name="tbProduceLevels" displayName="tbProduceLevels" ref="B99:D134" totalsRowShown="0" headerRowDxfId="41" dataDxfId="40">
  <autoFilter ref="B99:D134" xr:uid="{88C7F9FA-F45D-4E18-B00B-CDF4AB833408}"/>
  <tableColumns count="3">
    <tableColumn id="1" xr3:uid="{1AC237BE-B656-4964-B7F3-FDC7CAAA6117}" name="Economy type" dataDxfId="39"/>
    <tableColumn id="2" xr3:uid="{97763112-D2ED-4DD0-A59F-C9A5F2C74614}" name="Item" dataDxfId="38"/>
    <tableColumn id="3" xr3:uid="{E7906B9E-31A8-4979-ACD5-F3EAB958F2EE}" name="Produce level" dataDxfId="37"/>
  </tableColumns>
  <tableStyleInfo name="Simple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B7CE12B-B75F-4563-9156-372BEA402E80}" name="tbEconomyTypes" displayName="tbEconomyTypes" ref="B30:E60" totalsRowShown="0" headerRowDxfId="36" dataDxfId="35">
  <autoFilter ref="B30:E60" xr:uid="{1DA000CC-2C69-41BB-A456-F1A4D9B4C845}"/>
  <tableColumns count="4">
    <tableColumn id="1" xr3:uid="{CD66DF14-DA42-41C1-A0D5-FC3DFD740800}" name="Economy description" dataDxfId="34"/>
    <tableColumn id="2" xr3:uid="{A0FF893A-048C-4CEB-B977-8A8D45CFD2AF}" name="Economy type" dataDxfId="33"/>
    <tableColumn id="3" xr3:uid="{6BD37DB8-7D37-49F9-9463-99D4544393B5}" name="Buys from" dataDxfId="32"/>
    <tableColumn id="4" xr3:uid="{48E35785-66A4-4716-9B7E-33DFF6D22BD4}" name="Sells to" dataDxfId="31"/>
  </tableColumns>
  <tableStyleInfo name="Simple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13A5D34-99C8-4DE0-8184-2CFCCF596583}" name="tbConflictLevels" displayName="tbConflictLevels" ref="B136:C160" totalsRowShown="0" headerRowDxfId="30" dataDxfId="29">
  <autoFilter ref="B136:C160" xr:uid="{4372D3D5-B63A-48BA-8A4C-0C7F230366CE}"/>
  <tableColumns count="2">
    <tableColumn id="1" xr3:uid="{E704B8FC-5511-42FA-A33E-1B04DBA5B82C}" name="Conflict" dataDxfId="28"/>
    <tableColumn id="2" xr3:uid="{E1FA5246-C4A5-4977-B44B-C7E8948281B8}" name="Conflict Level" dataDxfId="27"/>
  </tableColumns>
  <tableStyleInfo name="Simple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61CF02E-5376-4EFE-8C38-A35ED1D6FC17}" name="tbStackSizes" displayName="tbStackSizes" ref="B162:C168" totalsRowShown="0" headerRowDxfId="26" dataDxfId="25">
  <autoFilter ref="B162:C168" xr:uid="{16E8B4BF-C301-4B3A-8EFD-6BF25EF98F57}"/>
  <tableColumns count="2">
    <tableColumn id="1" xr3:uid="{51F30982-0B39-46C6-BFFF-7CB145AA4653}" name="Resource Type" dataDxfId="24"/>
    <tableColumn id="2" xr3:uid="{D7C89B4F-DD96-4B47-BAB7-56F2EAE02D87}" name="Stack Size" dataDxfId="23" dataCellStyle="Comma"/>
  </tableColumns>
  <tableStyleInfo name="Simple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E580E16-5603-47EE-BBED-ECFC128EC8E7}" name="Table8" displayName="Table8" ref="B170:C189" totalsRowShown="0" headerRowDxfId="22" dataDxfId="21">
  <autoFilter ref="B170:C189" xr:uid="{891FF5C1-BE33-430A-9411-5672DD56861E}"/>
  <sortState xmlns:xlrd2="http://schemas.microsoft.com/office/spreadsheetml/2017/richdata2" ref="B171:C189">
    <sortCondition ref="B170:B189"/>
  </sortState>
  <tableColumns count="2">
    <tableColumn id="1" xr3:uid="{A1873F64-8D82-43D0-8F99-7F3DA910FC96}" name="Resource" dataDxfId="20"/>
    <tableColumn id="2" xr3:uid="{587C8401-3AEC-4716-AFC4-3A48B21BD3D6}" name="Fat Stack Location" dataDxfId="19"/>
  </tableColumns>
  <tableStyleInfo name="Simple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1FDF421D-7FDD-486D-B12A-D9F7C52A1FB3}" name="Table19" displayName="Table19" ref="B191:C196" totalsRowShown="0" headerRowDxfId="18" dataDxfId="17">
  <autoFilter ref="B191:C196" xr:uid="{241CEB18-AF73-4B6B-847C-D477292A5756}"/>
  <tableColumns count="2">
    <tableColumn id="1" xr3:uid="{FA79356F-938F-4E6E-86C4-FE1E7C403A84}" name="Material Wanted" dataDxfId="16"/>
    <tableColumn id="2" xr3:uid="{D420CD95-DDA4-4544-BB53-78D151DD8E35}" name="Reason" dataDxfId="15"/>
  </tableColumns>
  <tableStyleInfo name="Simp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45B546-1412-4D08-8894-D9F8C651C882}" name="tbMaterials" displayName="tbMaterials" ref="B2:J148" totalsRowShown="0" headerRowDxfId="198" dataDxfId="197">
  <autoFilter ref="B2:J148" xr:uid="{4DB5A524-9521-43EA-A66B-6BCF9BCD70BB}">
    <filterColumn colId="1">
      <filters>
        <filter val="Resource"/>
      </filters>
    </filterColumn>
  </autoFilter>
  <sortState xmlns:xlrd2="http://schemas.microsoft.com/office/spreadsheetml/2017/richdata2" ref="B3:J140">
    <sortCondition descending="1" ref="E2:E145"/>
  </sortState>
  <tableColumns count="9">
    <tableColumn id="1" xr3:uid="{BCEF04BA-A28D-4EDD-98F7-C01D89F0D6BC}" name="Item" dataDxfId="196"/>
    <tableColumn id="2" xr3:uid="{49820882-698E-41A7-B444-1BA0E16FBA31}" name="Type" dataDxfId="195"/>
    <tableColumn id="6" xr3:uid="{91B0BBEE-7F98-41E9-AAE4-B2BDA28BA7E9}" name="Sub-type" dataDxfId="194"/>
    <tableColumn id="3" xr3:uid="{3B103B95-0498-4D95-8376-E02B6CC65526}" name="Value" dataDxfId="193"/>
    <tableColumn id="4" xr3:uid="{3D347AB8-A309-443A-8A2A-04A051C770B8}" name="Max Stack" dataDxfId="192">
      <calculatedColumnFormula>VLOOKUP(tbMaterials[[#This Row],[Type]],tbStackSizes[],2,FALSE)</calculatedColumnFormula>
    </tableColumn>
    <tableColumn id="5" xr3:uid="{A8DF1C51-8111-44BC-B06F-A06E4B5AFB11}" name="Stack value" dataDxfId="191">
      <calculatedColumnFormula>tbMaterials[[#This Row],[Value]]*tbMaterials[[#This Row],[Max Stack]]</calculatedColumnFormula>
    </tableColumn>
    <tableColumn id="8" xr3:uid="{7DBCC7D0-5138-4139-8CB6-7746C6FEF944}" name="Craftable" dataDxfId="190">
      <calculatedColumnFormula>IF(ISTEXT(VLOOKUP(tbMaterials[[#This Row],[Item]],tbBlueprints[],1,FALSE)),"Yes","No")</calculatedColumnFormula>
    </tableColumn>
    <tableColumn id="9" xr3:uid="{ADE7AFE4-7C1C-4629-9EDE-819A79050C3C}" name="Refinable" dataDxfId="189">
      <calculatedColumnFormula>IF(ISTEXT(VLOOKUP(tbMaterials[[#This Row],[Item]],tbRecipes[],1,FALSE)),"Yes","No")</calculatedColumnFormula>
    </tableColumn>
    <tableColumn id="7" xr3:uid="{12D72AF5-9E0A-4D63-A1A1-6A9D8843307E}" name="Notes" dataDxfId="188"/>
  </tableColumns>
  <tableStyleInfo name="Simple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9F9518A-872B-4440-8BF2-0047484D85AF}" name="tbShips" displayName="tbShips" ref="B2:N5" totalsRowShown="0" headerRowDxfId="14" dataDxfId="13">
  <autoFilter ref="B2:N5" xr:uid="{421E54D2-A9B9-4830-9ABA-BB48C675BE95}"/>
  <tableColumns count="13">
    <tableColumn id="1" xr3:uid="{19206910-48EE-4575-9B78-641419BF3586}" name="Name" dataDxfId="12"/>
    <tableColumn id="2" xr3:uid="{156A1535-642B-4509-A723-5A35A1A84C82}" name="Class" dataDxfId="11"/>
    <tableColumn id="3" xr3:uid="{7442B98B-2F0F-4343-816C-ACB35B4D5810}" name="Damage Potential" dataDxfId="10"/>
    <tableColumn id="4" xr3:uid="{38335201-B247-4CBD-A0D1-38A4A6CAFBCC}" name="Shield Strength" dataDxfId="9"/>
    <tableColumn id="5" xr3:uid="{C19B3513-8B67-484C-A08C-1F3B4B1FC1A6}" name="Hyperdrive Range" dataDxfId="8"/>
    <tableColumn id="6" xr3:uid="{04DF4589-EFF1-4C2B-9573-D2348C200335}" name="Maneuverability" dataDxfId="7"/>
    <tableColumn id="7" xr3:uid="{B0BF2F2F-FFDA-4A2C-B720-0BDB1E18FDFF}" name="Hyperdrive" dataDxfId="6"/>
    <tableColumn id="8" xr3:uid="{D1E8B43B-95CC-49E3-8781-CD24D4ACA434}" name="Photon Cannon" dataDxfId="5"/>
    <tableColumn id="9" xr3:uid="{F5CCAB50-1053-4E5E-90F1-63A3572DB363}" name="Shields" dataDxfId="4"/>
    <tableColumn id="13" xr3:uid="{920913D3-7A35-4604-9EF1-2DE4B9B5DAA5}" name="Pulse Engine" dataDxfId="3"/>
    <tableColumn id="10" xr3:uid="{11076F15-61DB-4522-9147-802590641AA9}" name="Cadmium" dataDxfId="2"/>
    <tableColumn id="11" xr3:uid="{70077C4E-38CD-480E-B86B-26B1D71FB06A}" name="Emeril" dataDxfId="1"/>
    <tableColumn id="12" xr3:uid="{7DE90678-9C7A-4BC0-B307-574C5DBF5012}" name="Indium" dataDxfId="0"/>
  </tableColumns>
  <tableStyleInfo name="Simpl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E37DA5-1273-4580-A885-26F89DCE11B6}" name="tbColonies" displayName="tbColonies" ref="B70:J73" totalsRowShown="0" headerRowDxfId="183" dataDxfId="182">
  <autoFilter ref="B70:J73" xr:uid="{C0FC5851-C033-4095-BE88-7B69D6DF7FC0}"/>
  <tableColumns count="9">
    <tableColumn id="1" xr3:uid="{6D3FE36D-6964-4677-B40C-A87CE61963B8}" name="Colony Name" dataDxfId="181"/>
    <tableColumn id="2" xr3:uid="{78ECD60E-A36D-4760-B547-0E15808375D9}" name="Planet" dataDxfId="180"/>
    <tableColumn id="3" xr3:uid="{B88A242A-BF66-45BB-8F66-070DEA49F8AF}" name="System" dataDxfId="179"/>
    <tableColumn id="4" xr3:uid="{E0F983F9-6448-4C51-AED9-489E14A1D7D0}" name="Teleporter" dataDxfId="178"/>
    <tableColumn id="5" xr3:uid="{E42EB243-96D7-41B7-91E1-4548DFA89DE5}" name="Refiner" dataDxfId="177"/>
    <tableColumn id="6" xr3:uid="{CE9D77C9-2A9E-467E-8CE3-42652478C26E}" name="Construction Research" dataDxfId="176"/>
    <tableColumn id="7" xr3:uid="{F1B89426-EF68-4BEF-901D-01BC2F65E9F0}" name="Signal Booster" dataDxfId="175"/>
    <tableColumn id="8" xr3:uid="{C2E010D2-3383-4625-B4CB-CB6CB25D4798}" name="Storage" dataDxfId="174"/>
    <tableColumn id="9" xr3:uid="{4EBF4729-0018-4DFB-B346-55719A9D0767}" name="Save Point" dataDxfId="173"/>
  </tableColumns>
  <tableStyleInfo name="Simple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9858B35-EF24-4CE6-8396-315F733BF048}" name="tbSystems" displayName="tbSystems" ref="B2:O34" totalsRowCount="1" headerRowDxfId="172" dataDxfId="171">
  <autoFilter ref="B2:O33" xr:uid="{1FC4DA1E-775A-4296-B395-52F09FC72D04}"/>
  <sortState xmlns:xlrd2="http://schemas.microsoft.com/office/spreadsheetml/2017/richdata2" ref="B3:M19">
    <sortCondition ref="C2:C19"/>
  </sortState>
  <tableColumns count="14">
    <tableColumn id="1" xr3:uid="{C275D492-0B2D-4117-BB88-7B9467DADB52}" name="System Name" totalsRowLabel="Count" dataDxfId="170" totalsRowDxfId="169"/>
    <tableColumn id="2" xr3:uid="{62A42349-0532-4AAB-B3F5-1D7644ADD415}" name="Date Discovered" totalsRowFunction="count" dataDxfId="168" totalsRowDxfId="167"/>
    <tableColumn id="3" xr3:uid="{A4EF5CEA-5F17-4139-9D1E-EAA31471FFB1}" name="Discoveries" dataDxfId="166" totalsRowDxfId="165"/>
    <tableColumn id="4" xr3:uid="{AF505542-AC4C-4DA5-B586-1CECD9543CD3}" name="Race" dataDxfId="164" totalsRowDxfId="163"/>
    <tableColumn id="5" xr3:uid="{8AC46C45-CBA1-4CC0-809B-F59759023101}" name="Spectral Class" dataDxfId="162" totalsRowDxfId="161"/>
    <tableColumn id="6" xr3:uid="{5D8BF5B5-4633-40AD-BA04-FB5E74FD2141}" name="Economy" dataDxfId="160" totalsRowDxfId="159"/>
    <tableColumn id="7" xr3:uid="{A4E7881A-5D2E-43E6-9E3C-4EA9BAB1D54F}" name="Wealth" dataDxfId="158" totalsRowDxfId="157"/>
    <tableColumn id="8" xr3:uid="{4BBFBB8A-63A9-48DD-8C93-C4F723C6D04D}" name="Conflict" dataDxfId="156" totalsRowDxfId="155"/>
    <tableColumn id="9" xr3:uid="{43560CBB-85C9-43C6-99BC-EDB24546E4BB}" name="Economy Type" dataDxfId="154" totalsRowDxfId="153">
      <calculatedColumnFormula>VLOOKUP(tbSystems[[#This Row],[Economy]],tbEconomyTypes[],2,FALSE)</calculatedColumnFormula>
    </tableColumn>
    <tableColumn id="10" xr3:uid="{003DD748-3372-4382-98F8-925EA43AC0A2}" name="Wealth Level" dataDxfId="152" totalsRowDxfId="151">
      <calculatedColumnFormula>VLOOKUP(tbSystems[[#This Row],[Wealth]],tbWealthLevels[],2,FALSE)</calculatedColumnFormula>
    </tableColumn>
    <tableColumn id="11" xr3:uid="{13833D90-04ED-4A05-AC38-116FD8716029}" name="Conflict Level" dataDxfId="150" totalsRowDxfId="149">
      <calculatedColumnFormula>VLOOKUP(tbSystems[[#This Row],[Conflict]],tbConflictLevels[],2,FALSE)</calculatedColumnFormula>
    </tableColumn>
    <tableColumn id="12" xr3:uid="{8EA676A7-2EFC-4E81-A144-BF7D7FBDDDFA}" name="Buys From" dataDxfId="148" totalsRowDxfId="147">
      <calculatedColumnFormula>VLOOKUP(tbSystems[[#This Row],[Economy]],tbEconomyTypes[],3,FALSE)</calculatedColumnFormula>
    </tableColumn>
    <tableColumn id="13" xr3:uid="{D2C6722B-DCB8-4E14-B20D-BDF2986853A2}" name="Sells To" dataDxfId="146" totalsRowDxfId="145">
      <calculatedColumnFormula>VLOOKUP(tbSystems[[#This Row],[Economy]],tbEconomyTypes[],4,FALSE)</calculatedColumnFormula>
    </tableColumn>
    <tableColumn id="14" xr3:uid="{4314DF7D-D8F9-4418-BF23-BB665E028C35}" name="Notes" dataDxfId="144" totalsRowDxfId="143"/>
  </tableColumns>
  <tableStyleInfo name="Simple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9335FDC-9B31-4DD8-BDAE-154EFBF3510C}" name="tbPlanets" displayName="tbPlanets" ref="B36:N68" totalsRowCount="1" headerRowDxfId="142" dataDxfId="141">
  <autoFilter ref="B36:N67" xr:uid="{AB315804-38D5-454C-A589-9BF48AE05B5F}"/>
  <tableColumns count="13">
    <tableColumn id="1" xr3:uid="{06E4F659-AFA6-4DC9-93B7-D42A5E7718E5}" name="Planet Name" totalsRowLabel="Count" dataDxfId="140" totalsRowDxfId="139"/>
    <tableColumn id="2" xr3:uid="{76D80B65-B02D-4887-BA58-47DAC54807B3}" name="System" totalsRowFunction="count" dataDxfId="138" totalsRowDxfId="137"/>
    <tableColumn id="3" xr3:uid="{BA2583E5-8C02-454C-B07B-3B163FA25BAE}" name="Type" dataDxfId="136" totalsRowDxfId="135"/>
    <tableColumn id="4" xr3:uid="{29E0080E-A36D-4814-A32B-F06ED3C4FAD7}" name="Climate" dataDxfId="134" totalsRowDxfId="133"/>
    <tableColumn id="5" xr3:uid="{40A51F6C-D5D4-4FAF-AD8E-C1ADEA1295C9}" name="Resource 1" dataDxfId="132" totalsRowDxfId="131"/>
    <tableColumn id="6" xr3:uid="{F84CE246-EEAC-4E8F-86A3-605D2BA89E11}" name="Resource 2" dataDxfId="130" totalsRowDxfId="129"/>
    <tableColumn id="7" xr3:uid="{248A90DF-0D64-44A7-A96F-667F488A593A}" name="Resource 3" dataDxfId="128" totalsRowDxfId="127"/>
    <tableColumn id="8" xr3:uid="{C41DBE2B-A58D-48CF-A422-E305A2E434D8}" name="Resource 4" dataDxfId="126" totalsRowDxfId="125"/>
    <tableColumn id="13" xr3:uid="{8AB2D72C-C346-4749-BDFB-85106A7D7582}" name="Hotspot" dataDxfId="124" totalsRowDxfId="123"/>
    <tableColumn id="9" xr3:uid="{1C38F176-BDD3-4466-8FAC-82CFED4C422D}" name="Flora" dataDxfId="122" totalsRowDxfId="121"/>
    <tableColumn id="10" xr3:uid="{92C95CE1-C4C5-4B7C-A512-507780755A98}" name="Fauna" dataDxfId="120" totalsRowDxfId="119">
      <calculatedColumnFormula>2/5</calculatedColumnFormula>
    </tableColumn>
    <tableColumn id="11" xr3:uid="{03E0DF15-4E33-4B58-9B0A-89CDCC1446CE}" name="Minerals" dataDxfId="118" totalsRowDxfId="117"/>
    <tableColumn id="12" xr3:uid="{651BAD30-EF8D-4FBA-93FB-BB040C80F1AC}" name="Notes" dataDxfId="116" totalsRowDxfId="115"/>
  </tableColumns>
  <tableStyleInfo name="Simple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2722FC-F02D-499A-B709-1629894A9041}" name="Table2" displayName="Table2" ref="B2:D6" totalsRowShown="0" headerRowDxfId="114" dataDxfId="113">
  <autoFilter ref="B2:D6" xr:uid="{55A6240E-C6DA-4BED-8EB6-53371DA40F8A}"/>
  <tableColumns count="3">
    <tableColumn id="1" xr3:uid="{A3B310C3-1889-4777-93DC-9C4E41388D5F}" name="Supplier" dataDxfId="112"/>
    <tableColumn id="2" xr3:uid="{76D9B1BD-723E-403E-ACC4-2C45DBD826D6}" name="Purchaser" dataDxfId="111"/>
    <tableColumn id="3" xr3:uid="{4780B622-988B-4B3B-A0A4-71FE095239A3}" name="Rating" dataDxfId="110"/>
  </tableColumns>
  <tableStyleInfo name="Simple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0C5A408-9114-4709-8450-B445ECFA884B}" name="tbSales" displayName="tbSales" ref="B8:K46" totalsRowShown="0" headerRowDxfId="109" dataDxfId="108">
  <autoFilter ref="B8:K46" xr:uid="{9EE1EF2D-C256-460D-B17E-B799827FC414}"/>
  <tableColumns count="10">
    <tableColumn id="1" xr3:uid="{78817B41-25D9-4E4C-86AE-7454A56C21EB}" name="Purchase System" dataDxfId="107"/>
    <tableColumn id="2" xr3:uid="{D46FEEE5-D386-4284-BA24-FFF635E6138F}" name="Sale System" dataDxfId="106"/>
    <tableColumn id="3" xr3:uid="{A9FF2E2D-6C64-41F7-A5C4-8816DCF5B819}" name="Commodity" dataDxfId="105"/>
    <tableColumn id="4" xr3:uid="{D96D3F2F-8A1B-47C5-A38A-A35FA02E0580}" name="Unit Price" dataDxfId="104"/>
    <tableColumn id="5" xr3:uid="{D427C451-3BB4-46F9-8DFF-F90A07FBE243}" name="Units" dataDxfId="103"/>
    <tableColumn id="6" xr3:uid="{D76AAE9A-E03F-42FE-9A7E-C3335767C71A}" name="Cost" dataDxfId="102"/>
    <tableColumn id="7" xr3:uid="{B6140807-EF13-40E0-9FAC-3EC4A7137C75}" name="Sale price" dataDxfId="101"/>
    <tableColumn id="8" xr3:uid="{1651675A-0D06-40EE-BB09-5BD8420943A8}" name="Profit" dataDxfId="100">
      <calculatedColumnFormula>IF(ISNUMBER(tbSales[[#This Row],[Sale price]]),tbSales[[#This Row],[Sale price]]-tbSales[[#This Row],[Cost]],"")</calculatedColumnFormula>
    </tableColumn>
    <tableColumn id="9" xr3:uid="{E79C74C3-054C-445E-A57E-0949230B07D8}" name="Base Price" dataDxfId="99">
      <calculatedColumnFormula>IF(NOT(ISBLANK(tbSales[[#This Row],[Purchase System]])),VLOOKUP(tbSales[[#This Row],[Commodity]],tbMaterials[],3,FALSE),"")</calculatedColumnFormula>
    </tableColumn>
    <tableColumn id="10" xr3:uid="{F49CAB92-4350-4997-8C86-DE090DAB778E}" name="Premium over Base" dataDxfId="98">
      <calculatedColumnFormula>(tbSales[[#This Row],[Unit Price]]-tbSales[[#This Row],[Base Price]])/tbSales[[#This Row],[Base Price]]</calculatedColumnFormula>
    </tableColumn>
  </tableColumns>
  <tableStyleInfo name="Simple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020412B-E5B5-49FD-96F0-63141584839D}" name="tbSellers" displayName="tbSellers" ref="B4:G310" totalsRowCount="1" headerRowDxfId="94" dataDxfId="92" totalsRowDxfId="91" headerRowBorderDxfId="93">
  <autoFilter ref="B4:G309" xr:uid="{53D6BE49-6291-45E0-9268-168D49EB10C5}">
    <filterColumn colId="2">
      <filters>
        <filter val="Chlorine"/>
      </filters>
    </filterColumn>
  </autoFilter>
  <sortState xmlns:xlrd2="http://schemas.microsoft.com/office/spreadsheetml/2017/richdata2" ref="B29:G211">
    <sortCondition descending="1" ref="E4:E268"/>
  </sortState>
  <tableColumns count="6">
    <tableColumn id="6" xr3:uid="{E37A0DD5-905B-4B3F-B3E2-EA09E87D06EA}" name="SearchName" dataDxfId="90" totalsRowDxfId="89">
      <calculatedColumnFormula>_xlfn.CONCAT(tbSellers[[#This Row],[Station]],tbSellers[[#This Row],[Item]])</calculatedColumnFormula>
    </tableColumn>
    <tableColumn id="1" xr3:uid="{4589B66C-FE63-4DE4-86FE-6F24F057AC11}" name="Station" totalsRowLabel="Count" dataDxfId="88" totalsRowDxfId="87"/>
    <tableColumn id="2" xr3:uid="{96E82534-96EF-41FD-ADED-EDE88F7E4AEF}" name="Item" dataDxfId="86" totalsRowDxfId="85"/>
    <tableColumn id="5" xr3:uid="{0695666D-D4AB-4AB3-A39E-AE18DAEA769F}" name="Unit value" dataDxfId="84" totalsRowDxfId="83">
      <calculatedColumnFormula>VLOOKUP(tbSellers[[#This Row],[Item]],tbMaterials[],4,FALSE)</calculatedColumnFormula>
    </tableColumn>
    <tableColumn id="3" xr3:uid="{332FFBC2-DCA9-492C-9B83-538FDEDB8C11}" name="Terminal" dataDxfId="82" totalsRowDxfId="81" dataCellStyle="Percent"/>
    <tableColumn id="4" xr3:uid="{192C925A-5ABE-4F8E-BF6C-E3EE366E1B52}" name="Wealth Level" totalsRowFunction="count" dataDxfId="80" totalsRowDxfId="79">
      <calculatedColumnFormula>VLOOKUP(tbSellers[[#This Row],[Station]],tbSystems[],10,FALSE)</calculatedColumnFormula>
    </tableColumn>
  </tableColumns>
  <tableStyleInfo name="Simple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03DEDE7-CBB6-4A23-8898-F58EA41AE68B}" name="tbBlueprints" displayName="tbBlueprints" ref="B2:K122" totalsRowShown="0" headerRowDxfId="78" dataDxfId="77">
  <autoFilter ref="B2:K122" xr:uid="{77744AD1-C6AD-47FD-A93E-1F5357FDA66C}">
    <filterColumn colId="2">
      <filters>
        <filter val="Exocraft Upgrades"/>
      </filters>
    </filterColumn>
  </autoFilter>
  <tableColumns count="10">
    <tableColumn id="1" xr3:uid="{51F07490-0680-4B40-9C4E-3541D60F990A}" name="Item" dataDxfId="76"/>
    <tableColumn id="10" xr3:uid="{5D7A0699-E7DC-46D4-BD15-F90A368A8D2B}" name="Acquired?" dataDxfId="75"/>
    <tableColumn id="11" xr3:uid="{4673A421-40FF-4812-BC12-E2291CE7500B}" name="Type" dataDxfId="74"/>
    <tableColumn id="3" xr3:uid="{E0DFC7B7-F67F-4DA9-A3F6-C6D847F61478}" name="Item 1" dataDxfId="73"/>
    <tableColumn id="4" xr3:uid="{D15BBCDB-0305-4AB2-9ADE-59F547538B1C}" name="Quantity 1" dataDxfId="72"/>
    <tableColumn id="5" xr3:uid="{DA2A9168-361C-4241-A88F-0381FD6899E3}" name="Item 2" dataDxfId="71"/>
    <tableColumn id="6" xr3:uid="{23954321-C8B2-4E24-9970-E2D0057398F7}" name="Quantity 2" dataDxfId="70"/>
    <tableColumn id="7" xr3:uid="{AB15A9CB-1D8E-447B-AFC1-6BF856304432}" name="Item 3" dataDxfId="69"/>
    <tableColumn id="8" xr3:uid="{876BB4D3-44AB-4BA9-B2BB-6948B69F22A0}" name="Quantity 3" dataDxfId="68"/>
    <tableColumn id="9" xr3:uid="{DED59DBB-7F1D-4C52-82CB-2373A41393D2}" name="Total Cost" dataDxfId="67">
      <calculatedColumnFormula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calculatedColumnFormula>
    </tableColumn>
  </tableColumns>
  <tableStyleInfo name="Simp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8.xml"/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Relationship Id="rId9" Type="http://schemas.openxmlformats.org/officeDocument/2006/relationships/table" Target="../tables/table19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76A3-7321-43D5-990D-4E235D171019}">
  <sheetPr codeName="Sheet1"/>
  <dimension ref="B1:E115"/>
  <sheetViews>
    <sheetView showGridLines="0" topLeftCell="A13" zoomScaleNormal="100" workbookViewId="0">
      <selection activeCell="E37" sqref="E37"/>
    </sheetView>
  </sheetViews>
  <sheetFormatPr defaultRowHeight="14.25" x14ac:dyDescent="0.25"/>
  <cols>
    <col min="1" max="1" width="1.5703125" style="1" customWidth="1"/>
    <col min="2" max="2" width="8.42578125" style="6" customWidth="1"/>
    <col min="3" max="3" width="39.5703125" style="15" customWidth="1"/>
    <col min="4" max="4" width="26.7109375" style="1" customWidth="1"/>
    <col min="5" max="5" width="62.140625" style="15" customWidth="1"/>
    <col min="6" max="16384" width="9.140625" style="1"/>
  </cols>
  <sheetData>
    <row r="1" spans="2:5" ht="7.5" customHeight="1" x14ac:dyDescent="0.25"/>
    <row r="2" spans="2:5" s="2" customFormat="1" ht="27.95" customHeight="1" x14ac:dyDescent="0.25">
      <c r="B2" s="42" t="s">
        <v>336</v>
      </c>
      <c r="C2" s="3" t="s">
        <v>337</v>
      </c>
      <c r="D2" s="2" t="s">
        <v>338</v>
      </c>
      <c r="E2" s="3" t="s">
        <v>339</v>
      </c>
    </row>
    <row r="3" spans="2:5" s="2" customFormat="1" ht="27.95" customHeight="1" x14ac:dyDescent="0.25">
      <c r="B3" s="4" t="s">
        <v>104</v>
      </c>
      <c r="C3" s="3" t="s">
        <v>98</v>
      </c>
      <c r="D3" s="2" t="s">
        <v>340</v>
      </c>
      <c r="E3" s="3"/>
    </row>
    <row r="4" spans="2:5" s="2" customFormat="1" ht="27.95" customHeight="1" x14ac:dyDescent="0.25">
      <c r="B4" s="4" t="s">
        <v>104</v>
      </c>
      <c r="C4" s="3" t="s">
        <v>99</v>
      </c>
      <c r="D4" s="2" t="s">
        <v>340</v>
      </c>
      <c r="E4" s="3"/>
    </row>
    <row r="5" spans="2:5" s="2" customFormat="1" ht="27.95" customHeight="1" x14ac:dyDescent="0.25">
      <c r="B5" s="4" t="s">
        <v>104</v>
      </c>
      <c r="C5" s="3" t="s">
        <v>100</v>
      </c>
      <c r="D5" s="2" t="s">
        <v>85</v>
      </c>
      <c r="E5" s="3"/>
    </row>
    <row r="6" spans="2:5" s="2" customFormat="1" ht="27.95" customHeight="1" x14ac:dyDescent="0.25">
      <c r="B6" s="4" t="s">
        <v>104</v>
      </c>
      <c r="C6" s="3" t="s">
        <v>102</v>
      </c>
      <c r="D6" s="2" t="s">
        <v>340</v>
      </c>
      <c r="E6" s="3"/>
    </row>
    <row r="7" spans="2:5" s="2" customFormat="1" ht="27.95" customHeight="1" x14ac:dyDescent="0.25">
      <c r="B7" s="4" t="s">
        <v>104</v>
      </c>
      <c r="C7" s="3" t="s">
        <v>106</v>
      </c>
      <c r="D7" s="2" t="s">
        <v>340</v>
      </c>
      <c r="E7" s="3"/>
    </row>
    <row r="8" spans="2:5" s="2" customFormat="1" ht="27.95" customHeight="1" x14ac:dyDescent="0.25">
      <c r="B8" s="4" t="s">
        <v>104</v>
      </c>
      <c r="C8" s="3" t="s">
        <v>107</v>
      </c>
      <c r="D8" s="2" t="s">
        <v>340</v>
      </c>
      <c r="E8" s="3"/>
    </row>
    <row r="9" spans="2:5" s="2" customFormat="1" ht="27.95" customHeight="1" x14ac:dyDescent="0.25">
      <c r="B9" s="4" t="s">
        <v>104</v>
      </c>
      <c r="C9" s="3" t="s">
        <v>110</v>
      </c>
      <c r="D9" s="2" t="s">
        <v>340</v>
      </c>
      <c r="E9" s="3"/>
    </row>
    <row r="10" spans="2:5" s="2" customFormat="1" ht="27.95" customHeight="1" x14ac:dyDescent="0.25">
      <c r="B10" s="4" t="s">
        <v>104</v>
      </c>
      <c r="C10" s="3" t="s">
        <v>109</v>
      </c>
      <c r="D10" s="2" t="s">
        <v>340</v>
      </c>
      <c r="E10" s="3"/>
    </row>
    <row r="11" spans="2:5" s="2" customFormat="1" ht="27.95" customHeight="1" x14ac:dyDescent="0.25">
      <c r="B11" s="4" t="s">
        <v>104</v>
      </c>
      <c r="C11" s="3" t="s">
        <v>115</v>
      </c>
      <c r="D11" s="2" t="s">
        <v>340</v>
      </c>
      <c r="E11" s="3"/>
    </row>
    <row r="12" spans="2:5" s="2" customFormat="1" ht="27.95" customHeight="1" x14ac:dyDescent="0.25">
      <c r="B12" s="4" t="s">
        <v>104</v>
      </c>
      <c r="C12" s="3" t="s">
        <v>116</v>
      </c>
      <c r="D12" s="2" t="s">
        <v>342</v>
      </c>
      <c r="E12" s="3"/>
    </row>
    <row r="13" spans="2:5" s="2" customFormat="1" ht="27.95" customHeight="1" x14ac:dyDescent="0.25">
      <c r="B13" s="4" t="s">
        <v>104</v>
      </c>
      <c r="C13" s="3" t="s">
        <v>127</v>
      </c>
      <c r="D13" s="2" t="s">
        <v>343</v>
      </c>
      <c r="E13" s="3"/>
    </row>
    <row r="14" spans="2:5" s="2" customFormat="1" ht="27.95" customHeight="1" x14ac:dyDescent="0.25">
      <c r="B14" s="4" t="s">
        <v>104</v>
      </c>
      <c r="C14" s="3" t="s">
        <v>320</v>
      </c>
      <c r="D14" s="2" t="s">
        <v>344</v>
      </c>
      <c r="E14" s="3" t="s">
        <v>345</v>
      </c>
    </row>
    <row r="15" spans="2:5" s="2" customFormat="1" ht="27.95" customHeight="1" x14ac:dyDescent="0.25">
      <c r="B15" s="4" t="s">
        <v>104</v>
      </c>
      <c r="C15" s="3" t="s">
        <v>534</v>
      </c>
      <c r="E15" s="3"/>
    </row>
    <row r="16" spans="2:5" s="2" customFormat="1" ht="27.95" customHeight="1" x14ac:dyDescent="0.25">
      <c r="B16" s="4"/>
      <c r="C16" s="3" t="s">
        <v>103</v>
      </c>
      <c r="D16" s="2" t="s">
        <v>87</v>
      </c>
      <c r="E16" s="3"/>
    </row>
    <row r="17" spans="2:5" s="2" customFormat="1" ht="27.95" customHeight="1" x14ac:dyDescent="0.25">
      <c r="B17" s="4"/>
      <c r="C17" s="3" t="s">
        <v>341</v>
      </c>
      <c r="D17" s="2" t="s">
        <v>522</v>
      </c>
      <c r="E17" s="3" t="s">
        <v>523</v>
      </c>
    </row>
    <row r="18" spans="2:5" s="2" customFormat="1" ht="27.95" customHeight="1" x14ac:dyDescent="0.25">
      <c r="B18" s="4" t="s">
        <v>104</v>
      </c>
      <c r="C18" s="3" t="s">
        <v>113</v>
      </c>
      <c r="D18" s="2" t="s">
        <v>340</v>
      </c>
      <c r="E18" s="3"/>
    </row>
    <row r="19" spans="2:5" s="2" customFormat="1" ht="27.95" customHeight="1" x14ac:dyDescent="0.25">
      <c r="B19" s="4"/>
      <c r="C19" s="3" t="s">
        <v>114</v>
      </c>
      <c r="D19" s="2" t="s">
        <v>340</v>
      </c>
      <c r="E19" s="3"/>
    </row>
    <row r="20" spans="2:5" s="2" customFormat="1" ht="27.95" customHeight="1" x14ac:dyDescent="0.25">
      <c r="B20" s="4" t="s">
        <v>104</v>
      </c>
      <c r="C20" s="3" t="s">
        <v>319</v>
      </c>
      <c r="D20" s="2" t="s">
        <v>342</v>
      </c>
      <c r="E20" s="3"/>
    </row>
    <row r="21" spans="2:5" s="2" customFormat="1" ht="27.95" customHeight="1" x14ac:dyDescent="0.25">
      <c r="B21" s="4" t="s">
        <v>104</v>
      </c>
      <c r="C21" s="3" t="s">
        <v>524</v>
      </c>
      <c r="D21" s="2" t="s">
        <v>340</v>
      </c>
      <c r="E21" s="3"/>
    </row>
    <row r="22" spans="2:5" s="2" customFormat="1" ht="27.95" customHeight="1" x14ac:dyDescent="0.25">
      <c r="B22" s="4"/>
      <c r="C22" s="3" t="s">
        <v>321</v>
      </c>
      <c r="D22" s="2" t="s">
        <v>344</v>
      </c>
      <c r="E22" s="3" t="s">
        <v>345</v>
      </c>
    </row>
    <row r="23" spans="2:5" s="2" customFormat="1" ht="27.95" customHeight="1" x14ac:dyDescent="0.25">
      <c r="B23" s="4" t="s">
        <v>104</v>
      </c>
      <c r="C23" s="3" t="s">
        <v>322</v>
      </c>
      <c r="D23" s="2" t="s">
        <v>340</v>
      </c>
      <c r="E23" s="3"/>
    </row>
    <row r="24" spans="2:5" s="2" customFormat="1" ht="27.95" customHeight="1" x14ac:dyDescent="0.25">
      <c r="B24" s="4" t="s">
        <v>104</v>
      </c>
      <c r="C24" s="3" t="s">
        <v>370</v>
      </c>
      <c r="D24" s="2" t="s">
        <v>366</v>
      </c>
      <c r="E24" s="3"/>
    </row>
    <row r="25" spans="2:5" s="2" customFormat="1" ht="27.95" customHeight="1" x14ac:dyDescent="0.25">
      <c r="B25" s="4"/>
      <c r="C25" s="3" t="s">
        <v>525</v>
      </c>
      <c r="D25" s="2" t="s">
        <v>340</v>
      </c>
      <c r="E25" s="3"/>
    </row>
    <row r="26" spans="2:5" s="2" customFormat="1" ht="27.95" customHeight="1" x14ac:dyDescent="0.25">
      <c r="B26" s="4" t="s">
        <v>104</v>
      </c>
      <c r="C26" s="3" t="s">
        <v>526</v>
      </c>
      <c r="D26" s="2" t="s">
        <v>340</v>
      </c>
      <c r="E26" s="3"/>
    </row>
    <row r="27" spans="2:5" s="2" customFormat="1" ht="27.95" customHeight="1" x14ac:dyDescent="0.25">
      <c r="B27" s="4"/>
      <c r="C27" s="3" t="s">
        <v>550</v>
      </c>
      <c r="E27" s="3"/>
    </row>
    <row r="28" spans="2:5" s="2" customFormat="1" ht="27.95" customHeight="1" x14ac:dyDescent="0.25">
      <c r="B28" s="4"/>
      <c r="C28" s="3" t="s">
        <v>551</v>
      </c>
      <c r="E28" s="3"/>
    </row>
    <row r="29" spans="2:5" s="2" customFormat="1" ht="27.95" customHeight="1" x14ac:dyDescent="0.25">
      <c r="B29" s="4"/>
      <c r="C29" s="3" t="s">
        <v>552</v>
      </c>
      <c r="E29" s="3"/>
    </row>
    <row r="30" spans="2:5" s="2" customFormat="1" ht="27.95" customHeight="1" x14ac:dyDescent="0.25">
      <c r="B30" s="4" t="s">
        <v>104</v>
      </c>
      <c r="C30" s="3" t="s">
        <v>556</v>
      </c>
      <c r="D30" s="2" t="s">
        <v>344</v>
      </c>
      <c r="E30" s="3" t="s">
        <v>562</v>
      </c>
    </row>
    <row r="31" spans="2:5" s="2" customFormat="1" ht="27.95" customHeight="1" x14ac:dyDescent="0.25">
      <c r="B31" s="4" t="s">
        <v>104</v>
      </c>
      <c r="C31" s="3" t="s">
        <v>576</v>
      </c>
      <c r="E31" s="3" t="s">
        <v>577</v>
      </c>
    </row>
    <row r="32" spans="2:5" s="2" customFormat="1" ht="27.95" customHeight="1" x14ac:dyDescent="0.25">
      <c r="B32" s="4" t="s">
        <v>104</v>
      </c>
      <c r="C32" s="3" t="s">
        <v>588</v>
      </c>
      <c r="E32" s="3"/>
    </row>
    <row r="33" spans="2:5" s="2" customFormat="1" ht="27.95" customHeight="1" x14ac:dyDescent="0.25">
      <c r="B33" s="4"/>
      <c r="C33" s="3" t="s">
        <v>589</v>
      </c>
      <c r="E33" s="3"/>
    </row>
    <row r="34" spans="2:5" s="2" customFormat="1" ht="27.95" customHeight="1" x14ac:dyDescent="0.25">
      <c r="B34" s="4"/>
      <c r="C34" s="3" t="s">
        <v>590</v>
      </c>
      <c r="E34" s="3"/>
    </row>
    <row r="35" spans="2:5" s="2" customFormat="1" ht="27.95" customHeight="1" x14ac:dyDescent="0.25">
      <c r="B35" s="4" t="s">
        <v>104</v>
      </c>
      <c r="C35" s="3" t="s">
        <v>600</v>
      </c>
      <c r="E35" s="3"/>
    </row>
    <row r="36" spans="2:5" s="2" customFormat="1" ht="27.95" customHeight="1" x14ac:dyDescent="0.25">
      <c r="B36" s="4"/>
      <c r="C36" s="3" t="s">
        <v>649</v>
      </c>
      <c r="E36" s="3" t="s">
        <v>650</v>
      </c>
    </row>
    <row r="37" spans="2:5" s="2" customFormat="1" ht="27.95" customHeight="1" x14ac:dyDescent="0.25">
      <c r="B37" s="4"/>
      <c r="C37" s="3" t="s">
        <v>651</v>
      </c>
      <c r="E37" s="3"/>
    </row>
    <row r="38" spans="2:5" s="2" customFormat="1" ht="27.95" customHeight="1" x14ac:dyDescent="0.25">
      <c r="B38" s="4"/>
      <c r="C38" s="3" t="s">
        <v>652</v>
      </c>
      <c r="E38" s="3"/>
    </row>
    <row r="39" spans="2:5" s="2" customFormat="1" ht="27.95" customHeight="1" x14ac:dyDescent="0.25">
      <c r="B39" s="4"/>
      <c r="C39" s="3"/>
      <c r="E39" s="3"/>
    </row>
    <row r="40" spans="2:5" s="2" customFormat="1" ht="27.95" customHeight="1" x14ac:dyDescent="0.25">
      <c r="B40" s="4"/>
      <c r="C40" s="3"/>
      <c r="E40" s="3"/>
    </row>
    <row r="41" spans="2:5" s="2" customFormat="1" ht="27.95" customHeight="1" x14ac:dyDescent="0.25">
      <c r="B41" s="4"/>
      <c r="C41" s="3"/>
      <c r="E41" s="3"/>
    </row>
    <row r="42" spans="2:5" s="2" customFormat="1" ht="27.95" customHeight="1" x14ac:dyDescent="0.25">
      <c r="B42" s="4"/>
      <c r="C42" s="3"/>
      <c r="E42" s="3"/>
    </row>
    <row r="43" spans="2:5" s="2" customFormat="1" ht="27.95" customHeight="1" x14ac:dyDescent="0.25">
      <c r="B43" s="4"/>
      <c r="C43" s="3"/>
      <c r="E43" s="3"/>
    </row>
    <row r="44" spans="2:5" s="2" customFormat="1" ht="27.95" customHeight="1" x14ac:dyDescent="0.25">
      <c r="B44" s="4"/>
      <c r="C44" s="3"/>
      <c r="E44" s="3"/>
    </row>
    <row r="45" spans="2:5" s="2" customFormat="1" ht="27.95" customHeight="1" x14ac:dyDescent="0.25">
      <c r="B45" s="4"/>
      <c r="C45" s="3"/>
      <c r="E45" s="3"/>
    </row>
    <row r="46" spans="2:5" s="2" customFormat="1" ht="27.95" customHeight="1" x14ac:dyDescent="0.25">
      <c r="B46" s="4"/>
      <c r="C46" s="3"/>
      <c r="E46" s="3"/>
    </row>
    <row r="47" spans="2:5" s="2" customFormat="1" ht="27.95" customHeight="1" x14ac:dyDescent="0.25">
      <c r="B47" s="4"/>
      <c r="C47" s="3"/>
      <c r="E47" s="3"/>
    </row>
    <row r="48" spans="2:5" s="2" customFormat="1" ht="27.95" customHeight="1" x14ac:dyDescent="0.25">
      <c r="B48" s="4"/>
      <c r="C48" s="3"/>
      <c r="E48" s="3"/>
    </row>
    <row r="49" spans="2:5" s="2" customFormat="1" ht="27.95" customHeight="1" x14ac:dyDescent="0.25">
      <c r="B49" s="4"/>
      <c r="C49" s="3"/>
      <c r="E49" s="3"/>
    </row>
    <row r="50" spans="2:5" s="2" customFormat="1" ht="27.95" customHeight="1" x14ac:dyDescent="0.25">
      <c r="B50" s="4"/>
      <c r="C50" s="3"/>
      <c r="E50" s="3"/>
    </row>
    <row r="51" spans="2:5" s="2" customFormat="1" ht="27.95" customHeight="1" x14ac:dyDescent="0.25">
      <c r="B51" s="4"/>
      <c r="C51" s="3"/>
      <c r="E51" s="3"/>
    </row>
    <row r="52" spans="2:5" s="2" customFormat="1" ht="27.95" customHeight="1" x14ac:dyDescent="0.25">
      <c r="B52" s="4"/>
      <c r="C52" s="3"/>
      <c r="E52" s="3"/>
    </row>
    <row r="53" spans="2:5" s="2" customFormat="1" ht="27.95" customHeight="1" x14ac:dyDescent="0.25">
      <c r="B53" s="4"/>
      <c r="C53" s="3"/>
      <c r="E53" s="3"/>
    </row>
    <row r="54" spans="2:5" s="2" customFormat="1" ht="27.95" customHeight="1" x14ac:dyDescent="0.25">
      <c r="B54" s="4"/>
      <c r="C54" s="3"/>
      <c r="E54" s="3"/>
    </row>
    <row r="55" spans="2:5" s="2" customFormat="1" ht="27.95" customHeight="1" x14ac:dyDescent="0.25">
      <c r="B55" s="4"/>
      <c r="C55" s="3"/>
      <c r="E55" s="3"/>
    </row>
    <row r="56" spans="2:5" s="2" customFormat="1" ht="27.95" customHeight="1" x14ac:dyDescent="0.25">
      <c r="B56" s="4"/>
      <c r="C56" s="3"/>
      <c r="E56" s="3"/>
    </row>
    <row r="57" spans="2:5" s="2" customFormat="1" ht="27.95" customHeight="1" x14ac:dyDescent="0.25">
      <c r="B57" s="4"/>
      <c r="C57" s="3"/>
      <c r="E57" s="3"/>
    </row>
    <row r="58" spans="2:5" s="2" customFormat="1" ht="27.95" customHeight="1" x14ac:dyDescent="0.25">
      <c r="B58" s="4"/>
      <c r="C58" s="3"/>
      <c r="E58" s="3"/>
    </row>
    <row r="59" spans="2:5" s="2" customFormat="1" ht="27.95" customHeight="1" x14ac:dyDescent="0.25">
      <c r="B59" s="4"/>
      <c r="C59" s="3"/>
      <c r="E59" s="3"/>
    </row>
    <row r="60" spans="2:5" s="2" customFormat="1" ht="27.95" customHeight="1" x14ac:dyDescent="0.25">
      <c r="B60" s="4"/>
      <c r="C60" s="3"/>
      <c r="E60" s="3"/>
    </row>
    <row r="61" spans="2:5" s="2" customFormat="1" ht="27.95" customHeight="1" x14ac:dyDescent="0.25">
      <c r="B61" s="4"/>
      <c r="C61" s="3"/>
      <c r="E61" s="3"/>
    </row>
    <row r="62" spans="2:5" s="2" customFormat="1" ht="27.95" customHeight="1" x14ac:dyDescent="0.25">
      <c r="B62" s="4"/>
      <c r="C62" s="3"/>
      <c r="E62" s="3"/>
    </row>
    <row r="63" spans="2:5" s="2" customFormat="1" ht="27.95" customHeight="1" x14ac:dyDescent="0.25">
      <c r="B63" s="4"/>
      <c r="C63" s="3"/>
      <c r="E63" s="3"/>
    </row>
    <row r="64" spans="2:5" s="2" customFormat="1" ht="27.95" customHeight="1" x14ac:dyDescent="0.25">
      <c r="B64" s="4"/>
      <c r="C64" s="3"/>
      <c r="E64" s="3"/>
    </row>
    <row r="65" spans="2:5" s="2" customFormat="1" ht="27.95" customHeight="1" x14ac:dyDescent="0.25">
      <c r="B65" s="4"/>
      <c r="C65" s="3"/>
      <c r="E65" s="3"/>
    </row>
    <row r="66" spans="2:5" s="2" customFormat="1" ht="27.95" customHeight="1" x14ac:dyDescent="0.25">
      <c r="B66" s="4"/>
      <c r="C66" s="3"/>
      <c r="E66" s="3"/>
    </row>
    <row r="67" spans="2:5" s="2" customFormat="1" ht="27.95" customHeight="1" x14ac:dyDescent="0.25">
      <c r="B67" s="4"/>
      <c r="C67" s="3"/>
      <c r="E67" s="3"/>
    </row>
    <row r="68" spans="2:5" s="2" customFormat="1" ht="27.95" customHeight="1" x14ac:dyDescent="0.25">
      <c r="B68" s="4"/>
      <c r="C68" s="3"/>
      <c r="E68" s="3"/>
    </row>
    <row r="69" spans="2:5" s="2" customFormat="1" ht="27.95" customHeight="1" x14ac:dyDescent="0.25">
      <c r="B69" s="4"/>
      <c r="C69" s="3"/>
      <c r="E69" s="3"/>
    </row>
    <row r="70" spans="2:5" s="2" customFormat="1" ht="27.95" customHeight="1" x14ac:dyDescent="0.25">
      <c r="B70" s="4"/>
      <c r="C70" s="3"/>
      <c r="E70" s="3"/>
    </row>
    <row r="71" spans="2:5" s="2" customFormat="1" ht="27.95" customHeight="1" x14ac:dyDescent="0.25">
      <c r="B71" s="4"/>
      <c r="C71" s="3"/>
      <c r="E71" s="3"/>
    </row>
    <row r="72" spans="2:5" s="2" customFormat="1" ht="27.95" customHeight="1" x14ac:dyDescent="0.25">
      <c r="B72" s="4"/>
      <c r="C72" s="3"/>
      <c r="E72" s="3"/>
    </row>
    <row r="73" spans="2:5" s="2" customFormat="1" ht="27.95" customHeight="1" x14ac:dyDescent="0.25">
      <c r="B73" s="4"/>
      <c r="C73" s="3"/>
      <c r="E73" s="3"/>
    </row>
    <row r="74" spans="2:5" s="2" customFormat="1" ht="27.95" customHeight="1" x14ac:dyDescent="0.25">
      <c r="B74" s="4"/>
      <c r="C74" s="3"/>
      <c r="E74" s="3"/>
    </row>
    <row r="75" spans="2:5" s="2" customFormat="1" ht="27.95" customHeight="1" x14ac:dyDescent="0.25">
      <c r="B75" s="4"/>
      <c r="C75" s="3"/>
      <c r="E75" s="3"/>
    </row>
    <row r="76" spans="2:5" s="2" customFormat="1" ht="27.95" customHeight="1" x14ac:dyDescent="0.25">
      <c r="B76" s="4"/>
      <c r="C76" s="3"/>
      <c r="E76" s="3"/>
    </row>
    <row r="77" spans="2:5" s="2" customFormat="1" ht="27.95" customHeight="1" x14ac:dyDescent="0.25">
      <c r="B77" s="4"/>
      <c r="C77" s="3"/>
      <c r="E77" s="3"/>
    </row>
    <row r="78" spans="2:5" s="2" customFormat="1" ht="27.95" customHeight="1" x14ac:dyDescent="0.25">
      <c r="B78" s="4"/>
      <c r="C78" s="3"/>
      <c r="E78" s="3"/>
    </row>
    <row r="79" spans="2:5" s="2" customFormat="1" ht="27.95" customHeight="1" x14ac:dyDescent="0.25">
      <c r="B79" s="4"/>
      <c r="C79" s="3"/>
      <c r="E79" s="3"/>
    </row>
    <row r="80" spans="2:5" s="2" customFormat="1" ht="27.95" customHeight="1" x14ac:dyDescent="0.25">
      <c r="B80" s="4"/>
      <c r="C80" s="3"/>
      <c r="E80" s="3"/>
    </row>
    <row r="81" spans="2:5" s="2" customFormat="1" ht="27.95" customHeight="1" x14ac:dyDescent="0.25">
      <c r="B81" s="4"/>
      <c r="C81" s="3"/>
      <c r="E81" s="3"/>
    </row>
    <row r="82" spans="2:5" s="2" customFormat="1" ht="27.95" customHeight="1" x14ac:dyDescent="0.25">
      <c r="B82" s="4"/>
      <c r="C82" s="3"/>
      <c r="E82" s="3"/>
    </row>
    <row r="83" spans="2:5" s="2" customFormat="1" ht="27.95" customHeight="1" x14ac:dyDescent="0.25">
      <c r="B83" s="4"/>
      <c r="C83" s="3"/>
      <c r="E83" s="3"/>
    </row>
    <row r="84" spans="2:5" s="2" customFormat="1" ht="27.95" customHeight="1" x14ac:dyDescent="0.25">
      <c r="B84" s="4"/>
      <c r="C84" s="3"/>
      <c r="E84" s="3"/>
    </row>
    <row r="85" spans="2:5" s="2" customFormat="1" ht="27.95" customHeight="1" x14ac:dyDescent="0.25">
      <c r="B85" s="4"/>
      <c r="C85" s="3"/>
      <c r="E85" s="3"/>
    </row>
    <row r="86" spans="2:5" s="2" customFormat="1" ht="27.95" customHeight="1" x14ac:dyDescent="0.25">
      <c r="B86" s="4"/>
      <c r="C86" s="3"/>
      <c r="E86" s="3"/>
    </row>
    <row r="87" spans="2:5" s="2" customFormat="1" ht="27.95" customHeight="1" x14ac:dyDescent="0.25">
      <c r="B87" s="4"/>
      <c r="C87" s="3"/>
      <c r="E87" s="3"/>
    </row>
    <row r="88" spans="2:5" s="2" customFormat="1" ht="27.95" customHeight="1" x14ac:dyDescent="0.25">
      <c r="B88" s="4"/>
      <c r="C88" s="3"/>
      <c r="E88" s="3"/>
    </row>
    <row r="89" spans="2:5" s="2" customFormat="1" ht="27.95" customHeight="1" x14ac:dyDescent="0.25">
      <c r="B89" s="4"/>
      <c r="C89" s="3"/>
      <c r="E89" s="3"/>
    </row>
    <row r="90" spans="2:5" s="2" customFormat="1" ht="27.95" customHeight="1" x14ac:dyDescent="0.25">
      <c r="B90" s="4"/>
      <c r="C90" s="3"/>
      <c r="E90" s="3"/>
    </row>
    <row r="91" spans="2:5" s="2" customFormat="1" ht="27.95" customHeight="1" x14ac:dyDescent="0.25">
      <c r="B91" s="4"/>
      <c r="C91" s="3"/>
      <c r="E91" s="3"/>
    </row>
    <row r="92" spans="2:5" s="2" customFormat="1" ht="27.95" customHeight="1" x14ac:dyDescent="0.25">
      <c r="B92" s="4"/>
      <c r="C92" s="3"/>
      <c r="E92" s="3"/>
    </row>
    <row r="93" spans="2:5" s="2" customFormat="1" ht="27.95" customHeight="1" x14ac:dyDescent="0.25">
      <c r="B93" s="4"/>
      <c r="C93" s="3"/>
      <c r="E93" s="3"/>
    </row>
    <row r="94" spans="2:5" s="2" customFormat="1" ht="27.95" customHeight="1" x14ac:dyDescent="0.25">
      <c r="B94" s="4"/>
      <c r="C94" s="3"/>
      <c r="E94" s="3"/>
    </row>
    <row r="95" spans="2:5" s="2" customFormat="1" ht="27.95" customHeight="1" x14ac:dyDescent="0.25">
      <c r="B95" s="4"/>
      <c r="C95" s="3"/>
      <c r="E95" s="3"/>
    </row>
    <row r="96" spans="2:5" s="2" customFormat="1" ht="27.95" customHeight="1" x14ac:dyDescent="0.25">
      <c r="B96" s="4"/>
      <c r="C96" s="3"/>
      <c r="E96" s="3"/>
    </row>
    <row r="97" spans="2:5" s="2" customFormat="1" ht="27.95" customHeight="1" x14ac:dyDescent="0.25">
      <c r="B97" s="4"/>
      <c r="C97" s="3"/>
      <c r="E97" s="3"/>
    </row>
    <row r="98" spans="2:5" s="2" customFormat="1" ht="27.95" customHeight="1" x14ac:dyDescent="0.25">
      <c r="B98" s="4"/>
      <c r="C98" s="3"/>
      <c r="E98" s="3"/>
    </row>
    <row r="99" spans="2:5" s="2" customFormat="1" ht="27.95" customHeight="1" x14ac:dyDescent="0.25">
      <c r="B99" s="4"/>
      <c r="C99" s="3"/>
      <c r="E99" s="3"/>
    </row>
    <row r="100" spans="2:5" s="2" customFormat="1" ht="27.95" customHeight="1" x14ac:dyDescent="0.25">
      <c r="B100" s="4"/>
      <c r="C100" s="3"/>
      <c r="E100" s="3"/>
    </row>
    <row r="101" spans="2:5" s="2" customFormat="1" ht="27.95" customHeight="1" x14ac:dyDescent="0.25">
      <c r="B101" s="4"/>
      <c r="C101" s="3"/>
      <c r="E101" s="3"/>
    </row>
    <row r="102" spans="2:5" s="2" customFormat="1" ht="27.95" customHeight="1" x14ac:dyDescent="0.25">
      <c r="B102" s="4"/>
      <c r="C102" s="3"/>
      <c r="E102" s="3"/>
    </row>
    <row r="103" spans="2:5" s="2" customFormat="1" ht="27.95" customHeight="1" x14ac:dyDescent="0.25">
      <c r="B103" s="4"/>
      <c r="C103" s="3"/>
      <c r="E103" s="3"/>
    </row>
    <row r="104" spans="2:5" s="2" customFormat="1" ht="27.95" customHeight="1" x14ac:dyDescent="0.25">
      <c r="B104" s="4"/>
      <c r="C104" s="3"/>
      <c r="E104" s="3"/>
    </row>
    <row r="105" spans="2:5" s="2" customFormat="1" ht="27.95" customHeight="1" x14ac:dyDescent="0.25">
      <c r="B105" s="4"/>
      <c r="C105" s="3"/>
      <c r="E105" s="3"/>
    </row>
    <row r="106" spans="2:5" s="2" customFormat="1" ht="27.95" customHeight="1" x14ac:dyDescent="0.25">
      <c r="B106" s="4"/>
      <c r="C106" s="3"/>
      <c r="E106" s="3"/>
    </row>
    <row r="107" spans="2:5" s="2" customFormat="1" ht="27.95" customHeight="1" x14ac:dyDescent="0.25">
      <c r="B107" s="4"/>
      <c r="C107" s="3"/>
      <c r="E107" s="3"/>
    </row>
    <row r="108" spans="2:5" s="2" customFormat="1" ht="27.95" customHeight="1" x14ac:dyDescent="0.25">
      <c r="B108" s="4"/>
      <c r="C108" s="3"/>
      <c r="E108" s="3"/>
    </row>
    <row r="109" spans="2:5" s="2" customFormat="1" ht="27.95" customHeight="1" x14ac:dyDescent="0.25">
      <c r="B109" s="4"/>
      <c r="C109" s="3"/>
      <c r="E109" s="3"/>
    </row>
    <row r="110" spans="2:5" s="2" customFormat="1" ht="27.95" customHeight="1" x14ac:dyDescent="0.25">
      <c r="B110" s="4"/>
      <c r="C110" s="3"/>
      <c r="E110" s="3"/>
    </row>
    <row r="111" spans="2:5" s="2" customFormat="1" ht="27.95" customHeight="1" x14ac:dyDescent="0.25">
      <c r="B111" s="4"/>
      <c r="C111" s="3"/>
      <c r="E111" s="3"/>
    </row>
    <row r="112" spans="2:5" s="2" customFormat="1" ht="27.95" customHeight="1" x14ac:dyDescent="0.25">
      <c r="B112" s="4"/>
      <c r="C112" s="3"/>
      <c r="E112" s="3"/>
    </row>
    <row r="113" spans="2:5" s="2" customFormat="1" ht="27.95" customHeight="1" x14ac:dyDescent="0.25">
      <c r="B113" s="4"/>
      <c r="C113" s="3"/>
      <c r="E113" s="3"/>
    </row>
    <row r="114" spans="2:5" s="2" customFormat="1" ht="27.95" customHeight="1" x14ac:dyDescent="0.25">
      <c r="B114" s="4"/>
      <c r="C114" s="3"/>
      <c r="E114" s="3"/>
    </row>
    <row r="115" spans="2:5" s="2" customFormat="1" ht="27.95" customHeight="1" x14ac:dyDescent="0.25">
      <c r="B115" s="4"/>
      <c r="C115" s="3"/>
      <c r="E115" s="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92959-388F-475C-87BB-ADAF9AD22FA0}">
  <sheetPr codeName="Sheet2"/>
  <dimension ref="B1:J169"/>
  <sheetViews>
    <sheetView showGridLines="0" workbookViewId="0">
      <pane ySplit="2" topLeftCell="A98" activePane="bottomLeft" state="frozen"/>
      <selection pane="bottomLeft" activeCell="B148" sqref="B148"/>
    </sheetView>
  </sheetViews>
  <sheetFormatPr defaultRowHeight="14.25" x14ac:dyDescent="0.25"/>
  <cols>
    <col min="1" max="1" width="1.5703125" style="1" customWidth="1"/>
    <col min="2" max="2" width="18.28515625" style="1" customWidth="1"/>
    <col min="3" max="3" width="10.85546875" style="4" customWidth="1"/>
    <col min="4" max="4" width="10.85546875" style="5" customWidth="1"/>
    <col min="5" max="5" width="9.5703125" style="39" bestFit="1" customWidth="1"/>
    <col min="6" max="6" width="11.85546875" style="6" customWidth="1"/>
    <col min="7" max="9" width="12.7109375" style="6" customWidth="1"/>
    <col min="10" max="10" width="38.140625" style="1" customWidth="1"/>
    <col min="11" max="16384" width="9.140625" style="1"/>
  </cols>
  <sheetData>
    <row r="1" spans="2:10" ht="8.25" customHeight="1" x14ac:dyDescent="0.25"/>
    <row r="2" spans="2:10" s="2" customFormat="1" ht="27.95" customHeight="1" x14ac:dyDescent="0.25">
      <c r="B2" s="3" t="s">
        <v>0</v>
      </c>
      <c r="C2" s="5" t="s">
        <v>44</v>
      </c>
      <c r="D2" s="5" t="s">
        <v>351</v>
      </c>
      <c r="E2" s="10" t="s">
        <v>1</v>
      </c>
      <c r="F2" s="5" t="s">
        <v>2</v>
      </c>
      <c r="G2" s="5" t="s">
        <v>3</v>
      </c>
      <c r="H2" s="5" t="s">
        <v>360</v>
      </c>
      <c r="I2" s="5" t="s">
        <v>361</v>
      </c>
      <c r="J2" s="3" t="s">
        <v>21</v>
      </c>
    </row>
    <row r="3" spans="2:10" s="2" customFormat="1" ht="27.95" customHeight="1" x14ac:dyDescent="0.25">
      <c r="B3" s="3" t="s">
        <v>376</v>
      </c>
      <c r="C3" s="5" t="s">
        <v>317</v>
      </c>
      <c r="D3" s="5" t="s">
        <v>377</v>
      </c>
      <c r="E3" s="10">
        <v>949</v>
      </c>
      <c r="F3" s="38">
        <f>VLOOKUP(tbMaterials[[#This Row],[Type]],tbStackSizes[],2,FALSE)</f>
        <v>9999</v>
      </c>
      <c r="G3" s="38">
        <f>tbMaterials[[#This Row],[Value]]*tbMaterials[[#This Row],[Max Stack]]</f>
        <v>9489051</v>
      </c>
      <c r="H3" s="38" t="str">
        <f>IF(ISTEXT(VLOOKUP(tbMaterials[[#This Row],[Item]],tbBlueprints[],1,FALSE)),"Yes","No")</f>
        <v>No</v>
      </c>
      <c r="I3" s="38" t="str">
        <f>IF(ISTEXT(VLOOKUP(tbMaterials[[#This Row],[Item]],tbRecipes[],1,FALSE)),"Yes","No")</f>
        <v>No</v>
      </c>
      <c r="J3" s="3"/>
    </row>
    <row r="4" spans="2:10" s="2" customFormat="1" ht="27.95" customHeight="1" x14ac:dyDescent="0.25">
      <c r="B4" s="3" t="s">
        <v>375</v>
      </c>
      <c r="C4" s="5" t="s">
        <v>317</v>
      </c>
      <c r="D4" s="5" t="s">
        <v>377</v>
      </c>
      <c r="E4" s="10">
        <v>696</v>
      </c>
      <c r="F4" s="38">
        <f>VLOOKUP(tbMaterials[[#This Row],[Type]],tbStackSizes[],2,FALSE)</f>
        <v>9999</v>
      </c>
      <c r="G4" s="38">
        <f>tbMaterials[[#This Row],[Value]]*tbMaterials[[#This Row],[Max Stack]]</f>
        <v>6959304</v>
      </c>
      <c r="H4" s="38" t="str">
        <f>IF(ISTEXT(VLOOKUP(tbMaterials[[#This Row],[Item]],tbBlueprints[],1,FALSE)),"Yes","No")</f>
        <v>No</v>
      </c>
      <c r="I4" s="38" t="str">
        <f>IF(ISTEXT(VLOOKUP(tbMaterials[[#This Row],[Item]],tbRecipes[],1,FALSE)),"Yes","No")</f>
        <v>No</v>
      </c>
      <c r="J4" s="3"/>
    </row>
    <row r="5" spans="2:10" s="2" customFormat="1" ht="27.95" customHeight="1" x14ac:dyDescent="0.25">
      <c r="B5" s="2" t="s">
        <v>389</v>
      </c>
      <c r="C5" s="4" t="s">
        <v>317</v>
      </c>
      <c r="D5" s="5" t="s">
        <v>380</v>
      </c>
      <c r="E5" s="7">
        <v>654</v>
      </c>
      <c r="F5" s="38">
        <f>VLOOKUP(tbMaterials[[#This Row],[Type]],tbStackSizes[],2,FALSE)</f>
        <v>9999</v>
      </c>
      <c r="G5" s="38">
        <f>tbMaterials[[#This Row],[Value]]*tbMaterials[[#This Row],[Max Stack]]</f>
        <v>6539346</v>
      </c>
      <c r="H5" s="38" t="str">
        <f>IF(ISTEXT(VLOOKUP(tbMaterials[[#This Row],[Item]],tbBlueprints[],1,FALSE)),"Yes","No")</f>
        <v>No</v>
      </c>
      <c r="I5" s="38" t="str">
        <f>IF(ISTEXT(VLOOKUP(tbMaterials[[#This Row],[Item]],tbRecipes[],1,FALSE)),"Yes","No")</f>
        <v>No</v>
      </c>
    </row>
    <row r="6" spans="2:10" s="2" customFormat="1" ht="27.95" customHeight="1" x14ac:dyDescent="0.25">
      <c r="B6" s="2" t="s">
        <v>96</v>
      </c>
      <c r="C6" s="4" t="s">
        <v>317</v>
      </c>
      <c r="D6" s="5" t="s">
        <v>381</v>
      </c>
      <c r="E6" s="7">
        <v>602</v>
      </c>
      <c r="F6" s="38">
        <f>VLOOKUP(tbMaterials[[#This Row],[Type]],tbStackSizes[],2,FALSE)</f>
        <v>9999</v>
      </c>
      <c r="G6" s="38">
        <f>tbMaterials[[#This Row],[Value]]*tbMaterials[[#This Row],[Max Stack]]</f>
        <v>6019398</v>
      </c>
      <c r="H6" s="38" t="str">
        <f>IF(ISTEXT(VLOOKUP(tbMaterials[[#This Row],[Item]],tbBlueprints[],1,FALSE)),"Yes","No")</f>
        <v>No</v>
      </c>
      <c r="I6" s="38" t="str">
        <f>IF(ISTEXT(VLOOKUP(tbMaterials[[#This Row],[Item]],tbRecipes[],1,FALSE)),"Yes","No")</f>
        <v>Yes</v>
      </c>
    </row>
    <row r="7" spans="2:10" s="2" customFormat="1" ht="27.95" hidden="1" customHeight="1" x14ac:dyDescent="0.25">
      <c r="B7" s="2" t="s">
        <v>4</v>
      </c>
      <c r="C7" s="4" t="s">
        <v>316</v>
      </c>
      <c r="D7" s="5" t="s">
        <v>377</v>
      </c>
      <c r="E7" s="7">
        <v>9025</v>
      </c>
      <c r="F7" s="38">
        <f>VLOOKUP(tbMaterials[[#This Row],[Type]],tbStackSizes[],2,FALSE)</f>
        <v>20</v>
      </c>
      <c r="G7" s="38">
        <f>tbMaterials[[#This Row],[Value]]*tbMaterials[[#This Row],[Max Stack]]</f>
        <v>180500</v>
      </c>
      <c r="H7" s="38" t="str">
        <f>IF(ISTEXT(VLOOKUP(tbMaterials[[#This Row],[Item]],tbBlueprints[],1,FALSE)),"Yes","No")</f>
        <v>No</v>
      </c>
      <c r="I7" s="38" t="str">
        <f>IF(ISTEXT(VLOOKUP(tbMaterials[[#This Row],[Item]],tbRecipes[],1,FALSE)),"Yes","No")</f>
        <v>No</v>
      </c>
    </row>
    <row r="8" spans="2:10" s="2" customFormat="1" ht="27.95" customHeight="1" x14ac:dyDescent="0.25">
      <c r="B8" s="2" t="s">
        <v>19</v>
      </c>
      <c r="C8" s="4" t="s">
        <v>317</v>
      </c>
      <c r="D8" s="5" t="s">
        <v>388</v>
      </c>
      <c r="E8" s="7">
        <v>505</v>
      </c>
      <c r="F8" s="38">
        <f>VLOOKUP(tbMaterials[[#This Row],[Type]],tbStackSizes[],2,FALSE)</f>
        <v>9999</v>
      </c>
      <c r="G8" s="38">
        <f>tbMaterials[[#This Row],[Value]]*tbMaterials[[#This Row],[Max Stack]]</f>
        <v>5049495</v>
      </c>
      <c r="H8" s="38" t="str">
        <f>IF(ISTEXT(VLOOKUP(tbMaterials[[#This Row],[Item]],tbBlueprints[],1,FALSE)),"Yes","No")</f>
        <v>No</v>
      </c>
      <c r="I8" s="38" t="str">
        <f>IF(ISTEXT(VLOOKUP(tbMaterials[[#This Row],[Item]],tbRecipes[],1,FALSE)),"Yes","No")</f>
        <v>Yes</v>
      </c>
    </row>
    <row r="9" spans="2:10" s="2" customFormat="1" ht="27.95" hidden="1" customHeight="1" x14ac:dyDescent="0.25">
      <c r="B9" s="3" t="s">
        <v>519</v>
      </c>
      <c r="C9" s="5" t="s">
        <v>508</v>
      </c>
      <c r="D9" s="5" t="s">
        <v>530</v>
      </c>
      <c r="E9" s="10">
        <v>5233</v>
      </c>
      <c r="F9" s="52">
        <f>VLOOKUP(tbMaterials[[#This Row],[Type]],tbStackSizes[],2,FALSE)</f>
        <v>10</v>
      </c>
      <c r="G9" s="52">
        <f>tbMaterials[[#This Row],[Value]]*tbMaterials[[#This Row],[Max Stack]]</f>
        <v>52330</v>
      </c>
      <c r="H9" s="52" t="str">
        <f>IF(ISTEXT(VLOOKUP(tbMaterials[[#This Row],[Item]],tbBlueprints[],1,FALSE)),"Yes","No")</f>
        <v>Yes</v>
      </c>
      <c r="I9" s="52" t="str">
        <f>IF(ISTEXT(VLOOKUP(tbMaterials[[#This Row],[Item]],tbRecipes[],1,FALSE)),"Yes","No")</f>
        <v>No</v>
      </c>
      <c r="J9" s="3"/>
    </row>
    <row r="10" spans="2:10" s="2" customFormat="1" ht="27.95" hidden="1" customHeight="1" x14ac:dyDescent="0.25">
      <c r="B10" s="2" t="s">
        <v>347</v>
      </c>
      <c r="C10" s="4" t="s">
        <v>316</v>
      </c>
      <c r="D10" s="5" t="s">
        <v>564</v>
      </c>
      <c r="E10" s="7">
        <v>25000</v>
      </c>
      <c r="F10" s="38">
        <f>VLOOKUP(tbMaterials[[#This Row],[Type]],tbStackSizes[],2,FALSE)</f>
        <v>20</v>
      </c>
      <c r="G10" s="38">
        <f>tbMaterials[[#This Row],[Value]]*tbMaterials[[#This Row],[Max Stack]]</f>
        <v>500000</v>
      </c>
      <c r="H10" s="38" t="str">
        <f>IF(ISTEXT(VLOOKUP(tbMaterials[[#This Row],[Item]],tbBlueprints[],1,FALSE)),"Yes","No")</f>
        <v>Yes</v>
      </c>
      <c r="I10" s="38" t="str">
        <f>IF(ISTEXT(VLOOKUP(tbMaterials[[#This Row],[Item]],tbRecipes[],1,FALSE)),"Yes","No")</f>
        <v>Yes</v>
      </c>
    </row>
    <row r="11" spans="2:10" s="2" customFormat="1" ht="27.95" hidden="1" customHeight="1" x14ac:dyDescent="0.25">
      <c r="B11" s="3" t="s">
        <v>557</v>
      </c>
      <c r="C11" s="5" t="s">
        <v>323</v>
      </c>
      <c r="D11" s="5" t="s">
        <v>558</v>
      </c>
      <c r="E11" s="10">
        <v>825</v>
      </c>
      <c r="F11" s="52">
        <f>VLOOKUP(tbMaterials[[#This Row],[Type]],tbStackSizes[],2,FALSE)</f>
        <v>5</v>
      </c>
      <c r="G11" s="52">
        <f>tbMaterials[[#This Row],[Value]]*tbMaterials[[#This Row],[Max Stack]]</f>
        <v>4125</v>
      </c>
      <c r="H11" s="52" t="str">
        <f>IF(ISTEXT(VLOOKUP(tbMaterials[[#This Row],[Item]],tbBlueprints[],1,FALSE)),"Yes","No")</f>
        <v>Yes</v>
      </c>
      <c r="I11" s="52" t="str">
        <f>IF(ISTEXT(VLOOKUP(tbMaterials[[#This Row],[Item]],tbRecipes[],1,FALSE)),"Yes","No")</f>
        <v>No</v>
      </c>
      <c r="J11" s="3"/>
    </row>
    <row r="12" spans="2:10" s="2" customFormat="1" ht="27.95" hidden="1" customHeight="1" x14ac:dyDescent="0.25">
      <c r="B12" s="3" t="s">
        <v>559</v>
      </c>
      <c r="C12" s="5" t="s">
        <v>323</v>
      </c>
      <c r="D12" s="5" t="s">
        <v>558</v>
      </c>
      <c r="E12" s="10">
        <v>1856</v>
      </c>
      <c r="F12" s="52">
        <f>VLOOKUP(tbMaterials[[#This Row],[Type]],tbStackSizes[],2,FALSE)</f>
        <v>5</v>
      </c>
      <c r="G12" s="52">
        <f>tbMaterials[[#This Row],[Value]]*tbMaterials[[#This Row],[Max Stack]]</f>
        <v>9280</v>
      </c>
      <c r="H12" s="52" t="str">
        <f>IF(ISTEXT(VLOOKUP(tbMaterials[[#This Row],[Item]],tbBlueprints[],1,FALSE)),"Yes","No")</f>
        <v>Yes</v>
      </c>
      <c r="I12" s="52" t="str">
        <f>IF(ISTEXT(VLOOKUP(tbMaterials[[#This Row],[Item]],tbRecipes[],1,FALSE)),"Yes","No")</f>
        <v>No</v>
      </c>
      <c r="J12" s="3"/>
    </row>
    <row r="13" spans="2:10" s="2" customFormat="1" ht="27.95" hidden="1" customHeight="1" x14ac:dyDescent="0.25">
      <c r="B13" s="3" t="s">
        <v>560</v>
      </c>
      <c r="C13" s="5" t="s">
        <v>323</v>
      </c>
      <c r="D13" s="5" t="s">
        <v>558</v>
      </c>
      <c r="E13" s="10">
        <v>2613</v>
      </c>
      <c r="F13" s="52">
        <f>VLOOKUP(tbMaterials[[#This Row],[Type]],tbStackSizes[],2,FALSE)</f>
        <v>5</v>
      </c>
      <c r="G13" s="52">
        <f>tbMaterials[[#This Row],[Value]]*tbMaterials[[#This Row],[Max Stack]]</f>
        <v>13065</v>
      </c>
      <c r="H13" s="52" t="str">
        <f>IF(ISTEXT(VLOOKUP(tbMaterials[[#This Row],[Item]],tbBlueprints[],1,FALSE)),"Yes","No")</f>
        <v>Yes</v>
      </c>
      <c r="I13" s="52" t="str">
        <f>IF(ISTEXT(VLOOKUP(tbMaterials[[#This Row],[Item]],tbRecipes[],1,FALSE)),"Yes","No")</f>
        <v>No</v>
      </c>
      <c r="J13" s="3"/>
    </row>
    <row r="14" spans="2:10" s="2" customFormat="1" ht="27.95" hidden="1" customHeight="1" x14ac:dyDescent="0.25">
      <c r="B14" s="3" t="s">
        <v>244</v>
      </c>
      <c r="C14" s="5" t="s">
        <v>316</v>
      </c>
      <c r="D14" s="5" t="s">
        <v>542</v>
      </c>
      <c r="E14" s="10">
        <v>30000</v>
      </c>
      <c r="F14" s="52">
        <f>VLOOKUP(tbMaterials[[#This Row],[Type]],tbStackSizes[],2,FALSE)</f>
        <v>20</v>
      </c>
      <c r="G14" s="52">
        <f>tbMaterials[[#This Row],[Value]]*tbMaterials[[#This Row],[Max Stack]]</f>
        <v>600000</v>
      </c>
      <c r="H14" s="52" t="str">
        <f>IF(ISTEXT(VLOOKUP(tbMaterials[[#This Row],[Item]],tbBlueprints[],1,FALSE)),"Yes","No")</f>
        <v>No</v>
      </c>
      <c r="I14" s="52" t="str">
        <f>IF(ISTEXT(VLOOKUP(tbMaterials[[#This Row],[Item]],tbRecipes[],1,FALSE)),"Yes","No")</f>
        <v>No</v>
      </c>
      <c r="J14" s="3"/>
    </row>
    <row r="15" spans="2:10" s="2" customFormat="1" ht="27.95" hidden="1" customHeight="1" x14ac:dyDescent="0.25">
      <c r="B15" s="2" t="s">
        <v>214</v>
      </c>
      <c r="C15" s="4" t="s">
        <v>316</v>
      </c>
      <c r="D15" s="5" t="s">
        <v>624</v>
      </c>
      <c r="E15" s="7">
        <v>15000</v>
      </c>
      <c r="F15" s="38">
        <f>VLOOKUP(tbMaterials[[#This Row],[Type]],tbStackSizes[],2,FALSE)</f>
        <v>20</v>
      </c>
      <c r="G15" s="38">
        <f>tbMaterials[[#This Row],[Value]]*tbMaterials[[#This Row],[Max Stack]]</f>
        <v>300000</v>
      </c>
      <c r="H15" s="38" t="str">
        <f>IF(ISTEXT(VLOOKUP(tbMaterials[[#This Row],[Item]],tbBlueprints[],1,FALSE)),"Yes","No")</f>
        <v>No</v>
      </c>
      <c r="I15" s="38" t="str">
        <f>IF(ISTEXT(VLOOKUP(tbMaterials[[#This Row],[Item]],tbRecipes[],1,FALSE)),"Yes","No")</f>
        <v>No</v>
      </c>
    </row>
    <row r="16" spans="2:10" s="2" customFormat="1" ht="27.95" customHeight="1" x14ac:dyDescent="0.25">
      <c r="B16" s="2" t="s">
        <v>334</v>
      </c>
      <c r="C16" s="4" t="s">
        <v>317</v>
      </c>
      <c r="D16" s="5" t="s">
        <v>377</v>
      </c>
      <c r="E16" s="7">
        <v>464</v>
      </c>
      <c r="F16" s="38">
        <f>VLOOKUP(tbMaterials[[#This Row],[Type]],tbStackSizes[],2,FALSE)</f>
        <v>9999</v>
      </c>
      <c r="G16" s="38">
        <f>tbMaterials[[#This Row],[Value]]*tbMaterials[[#This Row],[Max Stack]]</f>
        <v>4639536</v>
      </c>
      <c r="H16" s="38" t="str">
        <f>IF(ISTEXT(VLOOKUP(tbMaterials[[#This Row],[Item]],tbBlueprints[],1,FALSE)),"Yes","No")</f>
        <v>No</v>
      </c>
      <c r="I16" s="38" t="str">
        <f>IF(ISTEXT(VLOOKUP(tbMaterials[[#This Row],[Item]],tbRecipes[],1,FALSE)),"Yes","No")</f>
        <v>No</v>
      </c>
    </row>
    <row r="17" spans="2:10" s="2" customFormat="1" ht="27.95" customHeight="1" x14ac:dyDescent="0.25">
      <c r="B17" s="3" t="s">
        <v>374</v>
      </c>
      <c r="C17" s="5" t="s">
        <v>317</v>
      </c>
      <c r="D17" s="5" t="s">
        <v>377</v>
      </c>
      <c r="E17" s="10">
        <v>450</v>
      </c>
      <c r="F17" s="38">
        <f>VLOOKUP(tbMaterials[[#This Row],[Type]],tbStackSizes[],2,FALSE)</f>
        <v>9999</v>
      </c>
      <c r="G17" s="38">
        <f>tbMaterials[[#This Row],[Value]]*tbMaterials[[#This Row],[Max Stack]]</f>
        <v>4499550</v>
      </c>
      <c r="H17" s="38" t="str">
        <f>IF(ISTEXT(VLOOKUP(tbMaterials[[#This Row],[Item]],tbBlueprints[],1,FALSE)),"Yes","No")</f>
        <v>No</v>
      </c>
      <c r="I17" s="38" t="str">
        <f>IF(ISTEXT(VLOOKUP(tbMaterials[[#This Row],[Item]],tbRecipes[],1,FALSE)),"Yes","No")</f>
        <v>No</v>
      </c>
      <c r="J17" s="3"/>
    </row>
    <row r="18" spans="2:10" s="2" customFormat="1" ht="27.95" customHeight="1" x14ac:dyDescent="0.25">
      <c r="B18" s="2" t="s">
        <v>305</v>
      </c>
      <c r="C18" s="4" t="s">
        <v>317</v>
      </c>
      <c r="D18" s="5" t="s">
        <v>382</v>
      </c>
      <c r="E18" s="7">
        <v>401</v>
      </c>
      <c r="F18" s="38">
        <f>VLOOKUP(tbMaterials[[#This Row],[Type]],tbStackSizes[],2,FALSE)</f>
        <v>9999</v>
      </c>
      <c r="G18" s="38">
        <f>tbMaterials[[#This Row],[Value]]*tbMaterials[[#This Row],[Max Stack]]</f>
        <v>4009599</v>
      </c>
      <c r="H18" s="38" t="str">
        <f>IF(ISTEXT(VLOOKUP(tbMaterials[[#This Row],[Item]],tbBlueprints[],1,FALSE)),"Yes","No")</f>
        <v>No</v>
      </c>
      <c r="I18" s="38" t="str">
        <f>IF(ISTEXT(VLOOKUP(tbMaterials[[#This Row],[Item]],tbRecipes[],1,FALSE)),"Yes","No")</f>
        <v>No</v>
      </c>
    </row>
    <row r="19" spans="2:10" s="2" customFormat="1" ht="27.95" hidden="1" customHeight="1" x14ac:dyDescent="0.25">
      <c r="B19" s="3" t="s">
        <v>527</v>
      </c>
      <c r="C19" s="5" t="s">
        <v>323</v>
      </c>
      <c r="D19" s="5" t="s">
        <v>508</v>
      </c>
      <c r="E19" s="10">
        <v>3600</v>
      </c>
      <c r="F19" s="52">
        <f>VLOOKUP(tbMaterials[[#This Row],[Type]],tbStackSizes[],2,FALSE)</f>
        <v>5</v>
      </c>
      <c r="G19" s="52">
        <f>tbMaterials[[#This Row],[Value]]*tbMaterials[[#This Row],[Max Stack]]</f>
        <v>18000</v>
      </c>
      <c r="H19" s="52" t="str">
        <f>IF(ISTEXT(VLOOKUP(tbMaterials[[#This Row],[Item]],tbBlueprints[],1,FALSE)),"Yes","No")</f>
        <v>Yes</v>
      </c>
      <c r="I19" s="52" t="str">
        <f>IF(ISTEXT(VLOOKUP(tbMaterials[[#This Row],[Item]],tbRecipes[],1,FALSE)),"Yes","No")</f>
        <v>Yes</v>
      </c>
      <c r="J19" s="3"/>
    </row>
    <row r="20" spans="2:10" s="2" customFormat="1" ht="27.95" hidden="1" customHeight="1" x14ac:dyDescent="0.25">
      <c r="B20" s="3" t="s">
        <v>515</v>
      </c>
      <c r="C20" s="5" t="s">
        <v>323</v>
      </c>
      <c r="D20" s="5" t="s">
        <v>508</v>
      </c>
      <c r="E20" s="10">
        <v>6150</v>
      </c>
      <c r="F20" s="52">
        <f>VLOOKUP(tbMaterials[[#This Row],[Type]],tbStackSizes[],2,FALSE)</f>
        <v>5</v>
      </c>
      <c r="G20" s="52">
        <f>tbMaterials[[#This Row],[Value]]*tbMaterials[[#This Row],[Max Stack]]</f>
        <v>30750</v>
      </c>
      <c r="H20" s="52" t="str">
        <f>IF(ISTEXT(VLOOKUP(tbMaterials[[#This Row],[Item]],tbBlueprints[],1,FALSE)),"Yes","No")</f>
        <v>Yes</v>
      </c>
      <c r="I20" s="52" t="str">
        <f>IF(ISTEXT(VLOOKUP(tbMaterials[[#This Row],[Item]],tbRecipes[],1,FALSE)),"Yes","No")</f>
        <v>Yes</v>
      </c>
      <c r="J20" s="3" t="s">
        <v>529</v>
      </c>
    </row>
    <row r="21" spans="2:10" s="2" customFormat="1" ht="27.95" customHeight="1" x14ac:dyDescent="0.25">
      <c r="B21" s="2" t="s">
        <v>27</v>
      </c>
      <c r="C21" s="4" t="s">
        <v>317</v>
      </c>
      <c r="D21" s="5" t="s">
        <v>388</v>
      </c>
      <c r="E21" s="7">
        <v>353</v>
      </c>
      <c r="F21" s="38">
        <f>VLOOKUP(tbMaterials[[#This Row],[Type]],tbStackSizes[],2,FALSE)</f>
        <v>9999</v>
      </c>
      <c r="G21" s="38">
        <f>tbMaterials[[#This Row],[Value]]*tbMaterials[[#This Row],[Max Stack]]</f>
        <v>3529647</v>
      </c>
      <c r="H21" s="38" t="str">
        <f>IF(ISTEXT(VLOOKUP(tbMaterials[[#This Row],[Item]],tbBlueprints[],1,FALSE)),"Yes","No")</f>
        <v>No</v>
      </c>
      <c r="I21" s="38" t="str">
        <f>IF(ISTEXT(VLOOKUP(tbMaterials[[#This Row],[Item]],tbRecipes[],1,FALSE)),"Yes","No")</f>
        <v>No</v>
      </c>
    </row>
    <row r="22" spans="2:10" s="2" customFormat="1" ht="27.95" customHeight="1" x14ac:dyDescent="0.25">
      <c r="B22" s="2" t="s">
        <v>63</v>
      </c>
      <c r="C22" s="4" t="s">
        <v>317</v>
      </c>
      <c r="D22" s="5" t="s">
        <v>381</v>
      </c>
      <c r="E22" s="7">
        <v>299</v>
      </c>
      <c r="F22" s="38">
        <f>VLOOKUP(tbMaterials[[#This Row],[Type]],tbStackSizes[],2,FALSE)</f>
        <v>9999</v>
      </c>
      <c r="G22" s="38">
        <f>tbMaterials[[#This Row],[Value]]*tbMaterials[[#This Row],[Max Stack]]</f>
        <v>2989701</v>
      </c>
      <c r="H22" s="38" t="str">
        <f>IF(ISTEXT(VLOOKUP(tbMaterials[[#This Row],[Item]],tbBlueprints[],1,FALSE)),"Yes","No")</f>
        <v>No</v>
      </c>
      <c r="I22" s="38" t="str">
        <f>IF(ISTEXT(VLOOKUP(tbMaterials[[#This Row],[Item]],tbRecipes[],1,FALSE)),"Yes","No")</f>
        <v>No</v>
      </c>
    </row>
    <row r="23" spans="2:10" s="2" customFormat="1" ht="27.95" customHeight="1" x14ac:dyDescent="0.25">
      <c r="B23" s="2" t="s">
        <v>371</v>
      </c>
      <c r="C23" s="4" t="s">
        <v>317</v>
      </c>
      <c r="D23" s="5" t="s">
        <v>377</v>
      </c>
      <c r="E23" s="7">
        <v>275</v>
      </c>
      <c r="F23" s="38">
        <f>VLOOKUP(tbMaterials[[#This Row],[Type]],tbStackSizes[],2,FALSE)</f>
        <v>9999</v>
      </c>
      <c r="G23" s="38">
        <f>tbMaterials[[#This Row],[Value]]*tbMaterials[[#This Row],[Max Stack]]</f>
        <v>2749725</v>
      </c>
      <c r="H23" s="38" t="str">
        <f>IF(ISTEXT(VLOOKUP(tbMaterials[[#This Row],[Item]],tbBlueprints[],1,FALSE)),"Yes","No")</f>
        <v>No</v>
      </c>
      <c r="I23" s="38" t="str">
        <f>IF(ISTEXT(VLOOKUP(tbMaterials[[#This Row],[Item]],tbRecipes[],1,FALSE)),"Yes","No")</f>
        <v>No</v>
      </c>
    </row>
    <row r="24" spans="2:10" s="2" customFormat="1" ht="27.95" hidden="1" customHeight="1" x14ac:dyDescent="0.25">
      <c r="B24" s="2" t="s">
        <v>220</v>
      </c>
      <c r="C24" s="4" t="s">
        <v>316</v>
      </c>
      <c r="D24" s="5" t="s">
        <v>626</v>
      </c>
      <c r="E24" s="7">
        <v>15000</v>
      </c>
      <c r="F24" s="38">
        <f>VLOOKUP(tbMaterials[[#This Row],[Type]],tbStackSizes[],2,FALSE)</f>
        <v>20</v>
      </c>
      <c r="G24" s="38">
        <f>tbMaterials[[#This Row],[Value]]*tbMaterials[[#This Row],[Max Stack]]</f>
        <v>300000</v>
      </c>
      <c r="H24" s="38" t="str">
        <f>IF(ISTEXT(VLOOKUP(tbMaterials[[#This Row],[Item]],tbBlueprints[],1,FALSE)),"Yes","No")</f>
        <v>No</v>
      </c>
      <c r="I24" s="38" t="str">
        <f>IF(ISTEXT(VLOOKUP(tbMaterials[[#This Row],[Item]],tbRecipes[],1,FALSE)),"Yes","No")</f>
        <v>No</v>
      </c>
    </row>
    <row r="25" spans="2:10" s="2" customFormat="1" ht="27.95" customHeight="1" x14ac:dyDescent="0.25">
      <c r="B25" s="3" t="s">
        <v>367</v>
      </c>
      <c r="C25" s="5" t="s">
        <v>317</v>
      </c>
      <c r="D25" s="5" t="s">
        <v>377</v>
      </c>
      <c r="E25" s="10">
        <v>245</v>
      </c>
      <c r="F25" s="38">
        <f>VLOOKUP(tbMaterials[[#This Row],[Type]],tbStackSizes[],2,FALSE)</f>
        <v>9999</v>
      </c>
      <c r="G25" s="38">
        <f>tbMaterials[[#This Row],[Value]]*tbMaterials[[#This Row],[Max Stack]]</f>
        <v>2449755</v>
      </c>
      <c r="H25" s="38" t="str">
        <f>IF(ISTEXT(VLOOKUP(tbMaterials[[#This Row],[Item]],tbBlueprints[],1,FALSE)),"Yes","No")</f>
        <v>No</v>
      </c>
      <c r="I25" s="38" t="str">
        <f>IF(ISTEXT(VLOOKUP(tbMaterials[[#This Row],[Item]],tbRecipes[],1,FALSE)),"Yes","No")</f>
        <v>No</v>
      </c>
      <c r="J25" s="3"/>
    </row>
    <row r="26" spans="2:10" s="2" customFormat="1" ht="27.95" customHeight="1" x14ac:dyDescent="0.25">
      <c r="B26" s="2" t="s">
        <v>291</v>
      </c>
      <c r="C26" s="4" t="s">
        <v>317</v>
      </c>
      <c r="D26" s="5" t="s">
        <v>377</v>
      </c>
      <c r="E26" s="7">
        <v>245</v>
      </c>
      <c r="F26" s="38">
        <f>VLOOKUP(tbMaterials[[#This Row],[Type]],tbStackSizes[],2,FALSE)</f>
        <v>9999</v>
      </c>
      <c r="G26" s="38">
        <f>tbMaterials[[#This Row],[Value]]*tbMaterials[[#This Row],[Max Stack]]</f>
        <v>2449755</v>
      </c>
      <c r="H26" s="38" t="str">
        <f>IF(ISTEXT(VLOOKUP(tbMaterials[[#This Row],[Item]],tbBlueprints[],1,FALSE)),"Yes","No")</f>
        <v>No</v>
      </c>
      <c r="I26" s="38" t="str">
        <f>IF(ISTEXT(VLOOKUP(tbMaterials[[#This Row],[Item]],tbRecipes[],1,FALSE)),"Yes","No")</f>
        <v>Yes</v>
      </c>
    </row>
    <row r="27" spans="2:10" s="2" customFormat="1" ht="27.95" hidden="1" customHeight="1" x14ac:dyDescent="0.25">
      <c r="B27" s="2" t="s">
        <v>406</v>
      </c>
      <c r="C27" s="4" t="s">
        <v>330</v>
      </c>
      <c r="D27" s="5" t="s">
        <v>407</v>
      </c>
      <c r="E27" s="7">
        <v>20</v>
      </c>
      <c r="F27" s="38">
        <f>VLOOKUP(tbMaterials[[#This Row],[Type]],tbStackSizes[],2,FALSE)</f>
        <v>20</v>
      </c>
      <c r="G27" s="38">
        <f>tbMaterials[[#This Row],[Value]]*tbMaterials[[#This Row],[Max Stack]]</f>
        <v>400</v>
      </c>
      <c r="H27" s="38" t="str">
        <f>IF(ISTEXT(VLOOKUP(tbMaterials[[#This Row],[Item]],tbBlueprints[],1,FALSE)),"Yes","No")</f>
        <v>No</v>
      </c>
      <c r="I27" s="38" t="str">
        <f>IF(ISTEXT(VLOOKUP(tbMaterials[[#This Row],[Item]],tbRecipes[],1,FALSE)),"Yes","No")</f>
        <v>No</v>
      </c>
    </row>
    <row r="28" spans="2:10" s="2" customFormat="1" ht="27.95" hidden="1" customHeight="1" x14ac:dyDescent="0.25">
      <c r="B28" s="2" t="s">
        <v>18</v>
      </c>
      <c r="C28" s="4" t="s">
        <v>323</v>
      </c>
      <c r="D28" s="5" t="s">
        <v>567</v>
      </c>
      <c r="E28" s="7">
        <v>3280</v>
      </c>
      <c r="F28" s="38">
        <f>VLOOKUP(tbMaterials[[#This Row],[Type]],tbStackSizes[],2,FALSE)</f>
        <v>5</v>
      </c>
      <c r="G28" s="38">
        <f>tbMaterials[[#This Row],[Value]]*tbMaterials[[#This Row],[Max Stack]]</f>
        <v>16400</v>
      </c>
      <c r="H28" s="38" t="str">
        <f>IF(ISTEXT(VLOOKUP(tbMaterials[[#This Row],[Item]],tbBlueprints[],1,FALSE)),"Yes","No")</f>
        <v>No</v>
      </c>
      <c r="I28" s="38" t="str">
        <f>IF(ISTEXT(VLOOKUP(tbMaterials[[#This Row],[Item]],tbRecipes[],1,FALSE)),"Yes","No")</f>
        <v>No</v>
      </c>
      <c r="J28" s="2" t="s">
        <v>513</v>
      </c>
    </row>
    <row r="29" spans="2:10" s="2" customFormat="1" ht="27.95" hidden="1" customHeight="1" x14ac:dyDescent="0.25">
      <c r="B29" s="2" t="s">
        <v>570</v>
      </c>
      <c r="C29" s="4" t="s">
        <v>316</v>
      </c>
      <c r="D29" s="5" t="s">
        <v>623</v>
      </c>
      <c r="E29" s="7">
        <v>7410</v>
      </c>
      <c r="F29" s="38">
        <f>VLOOKUP(tbMaterials[[#This Row],[Type]],tbStackSizes[],2,FALSE)</f>
        <v>20</v>
      </c>
      <c r="G29" s="38">
        <f>tbMaterials[[#This Row],[Value]]*tbMaterials[[#This Row],[Max Stack]]</f>
        <v>148200</v>
      </c>
      <c r="H29" s="38" t="str">
        <f>IF(ISTEXT(VLOOKUP(tbMaterials[[#This Row],[Item]],tbBlueprints[],1,FALSE)),"Yes","No")</f>
        <v>No</v>
      </c>
      <c r="I29" s="38" t="str">
        <f>IF(ISTEXT(VLOOKUP(tbMaterials[[#This Row],[Item]],tbRecipes[],1,FALSE)),"Yes","No")</f>
        <v>No</v>
      </c>
    </row>
    <row r="30" spans="2:10" s="2" customFormat="1" ht="27.95" customHeight="1" x14ac:dyDescent="0.25">
      <c r="B30" s="2" t="s">
        <v>335</v>
      </c>
      <c r="C30" s="4" t="s">
        <v>317</v>
      </c>
      <c r="D30" s="5" t="s">
        <v>377</v>
      </c>
      <c r="E30" s="7">
        <v>234</v>
      </c>
      <c r="F30" s="38">
        <f>VLOOKUP(tbMaterials[[#This Row],[Type]],tbStackSizes[],2,FALSE)</f>
        <v>9999</v>
      </c>
      <c r="G30" s="38">
        <f>tbMaterials[[#This Row],[Value]]*tbMaterials[[#This Row],[Max Stack]]</f>
        <v>2339766</v>
      </c>
      <c r="H30" s="38" t="str">
        <f>IF(ISTEXT(VLOOKUP(tbMaterials[[#This Row],[Item]],tbBlueprints[],1,FALSE)),"Yes","No")</f>
        <v>No</v>
      </c>
      <c r="I30" s="38" t="str">
        <f>IF(ISTEXT(VLOOKUP(tbMaterials[[#This Row],[Item]],tbRecipes[],1,FALSE)),"Yes","No")</f>
        <v>Yes</v>
      </c>
    </row>
    <row r="31" spans="2:10" s="2" customFormat="1" ht="27.95" hidden="1" customHeight="1" x14ac:dyDescent="0.25">
      <c r="B31" s="3" t="s">
        <v>241</v>
      </c>
      <c r="C31" s="5" t="s">
        <v>316</v>
      </c>
      <c r="D31" s="5" t="s">
        <v>542</v>
      </c>
      <c r="E31" s="10">
        <v>1000</v>
      </c>
      <c r="F31" s="52">
        <f>VLOOKUP(tbMaterials[[#This Row],[Type]],tbStackSizes[],2,FALSE)</f>
        <v>20</v>
      </c>
      <c r="G31" s="52">
        <f>tbMaterials[[#This Row],[Value]]*tbMaterials[[#This Row],[Max Stack]]</f>
        <v>20000</v>
      </c>
      <c r="H31" s="52" t="str">
        <f>IF(ISTEXT(VLOOKUP(tbMaterials[[#This Row],[Item]],tbBlueprints[],1,FALSE)),"Yes","No")</f>
        <v>No</v>
      </c>
      <c r="I31" s="52" t="str">
        <f>IF(ISTEXT(VLOOKUP(tbMaterials[[#This Row],[Item]],tbRecipes[],1,FALSE)),"Yes","No")</f>
        <v>No</v>
      </c>
      <c r="J31" s="3"/>
    </row>
    <row r="32" spans="2:10" s="2" customFormat="1" ht="27.95" hidden="1" customHeight="1" x14ac:dyDescent="0.25">
      <c r="B32" s="2" t="s">
        <v>30</v>
      </c>
      <c r="C32" s="4" t="s">
        <v>316</v>
      </c>
      <c r="D32" s="5" t="s">
        <v>626</v>
      </c>
      <c r="E32" s="7">
        <v>1000</v>
      </c>
      <c r="F32" s="38">
        <f>VLOOKUP(tbMaterials[[#This Row],[Type]],tbStackSizes[],2,FALSE)</f>
        <v>20</v>
      </c>
      <c r="G32" s="38">
        <f>tbMaterials[[#This Row],[Value]]*tbMaterials[[#This Row],[Max Stack]]</f>
        <v>20000</v>
      </c>
      <c r="H32" s="38" t="str">
        <f>IF(ISTEXT(VLOOKUP(tbMaterials[[#This Row],[Item]],tbBlueprints[],1,FALSE)),"Yes","No")</f>
        <v>No</v>
      </c>
      <c r="I32" s="38" t="str">
        <f>IF(ISTEXT(VLOOKUP(tbMaterials[[#This Row],[Item]],tbRecipes[],1,FALSE)),"Yes","No")</f>
        <v>No</v>
      </c>
    </row>
    <row r="33" spans="2:10" s="2" customFormat="1" ht="27.95" hidden="1" customHeight="1" x14ac:dyDescent="0.25">
      <c r="B33" s="3" t="s">
        <v>75</v>
      </c>
      <c r="C33" s="5" t="s">
        <v>316</v>
      </c>
      <c r="D33" s="5" t="s">
        <v>563</v>
      </c>
      <c r="E33" s="10">
        <v>1000</v>
      </c>
      <c r="F33" s="52">
        <f>VLOOKUP(tbMaterials[[#This Row],[Type]],tbStackSizes[],2,FALSE)</f>
        <v>20</v>
      </c>
      <c r="G33" s="52">
        <f>tbMaterials[[#This Row],[Value]]*tbMaterials[[#This Row],[Max Stack]]</f>
        <v>20000</v>
      </c>
      <c r="H33" s="52" t="str">
        <f>IF(ISTEXT(VLOOKUP(tbMaterials[[#This Row],[Item]],tbBlueprints[],1,FALSE)),"Yes","No")</f>
        <v>No</v>
      </c>
      <c r="I33" s="52" t="str">
        <f>IF(ISTEXT(VLOOKUP(tbMaterials[[#This Row],[Item]],tbRecipes[],1,FALSE)),"Yes","No")</f>
        <v>No</v>
      </c>
      <c r="J33" s="3"/>
    </row>
    <row r="34" spans="2:10" s="2" customFormat="1" ht="27.95" hidden="1" customHeight="1" x14ac:dyDescent="0.25">
      <c r="B34" s="3" t="s">
        <v>517</v>
      </c>
      <c r="C34" s="5" t="s">
        <v>323</v>
      </c>
      <c r="D34" s="5" t="s">
        <v>508</v>
      </c>
      <c r="E34" s="10">
        <v>12300</v>
      </c>
      <c r="F34" s="52">
        <f>VLOOKUP(tbMaterials[[#This Row],[Type]],tbStackSizes[],2,FALSE)</f>
        <v>5</v>
      </c>
      <c r="G34" s="52">
        <f>tbMaterials[[#This Row],[Value]]*tbMaterials[[#This Row],[Max Stack]]</f>
        <v>61500</v>
      </c>
      <c r="H34" s="52" t="str">
        <f>IF(ISTEXT(VLOOKUP(tbMaterials[[#This Row],[Item]],tbBlueprints[],1,FALSE)),"Yes","No")</f>
        <v>Yes</v>
      </c>
      <c r="I34" s="52" t="str">
        <f>IF(ISTEXT(VLOOKUP(tbMaterials[[#This Row],[Item]],tbRecipes[],1,FALSE)),"Yes","No")</f>
        <v>Yes</v>
      </c>
      <c r="J34" s="3"/>
    </row>
    <row r="35" spans="2:10" s="2" customFormat="1" ht="27.95" customHeight="1" x14ac:dyDescent="0.25">
      <c r="B35" s="2" t="s">
        <v>383</v>
      </c>
      <c r="C35" s="4" t="s">
        <v>317</v>
      </c>
      <c r="D35" s="5" t="s">
        <v>380</v>
      </c>
      <c r="E35" s="7">
        <v>201</v>
      </c>
      <c r="F35" s="38">
        <f>VLOOKUP(tbMaterials[[#This Row],[Type]],tbStackSizes[],2,FALSE)</f>
        <v>9999</v>
      </c>
      <c r="G35" s="38">
        <f>tbMaterials[[#This Row],[Value]]*tbMaterials[[#This Row],[Max Stack]]</f>
        <v>2009799</v>
      </c>
      <c r="H35" s="38" t="str">
        <f>IF(ISTEXT(VLOOKUP(tbMaterials[[#This Row],[Item]],tbBlueprints[],1,FALSE)),"Yes","No")</f>
        <v>No</v>
      </c>
      <c r="I35" s="38" t="str">
        <f>IF(ISTEXT(VLOOKUP(tbMaterials[[#This Row],[Item]],tbRecipes[],1,FALSE)),"Yes","No")</f>
        <v>No</v>
      </c>
    </row>
    <row r="36" spans="2:10" s="2" customFormat="1" ht="27.95" customHeight="1" x14ac:dyDescent="0.25">
      <c r="B36" s="2" t="s">
        <v>6</v>
      </c>
      <c r="C36" s="4" t="s">
        <v>317</v>
      </c>
      <c r="D36" s="5" t="s">
        <v>382</v>
      </c>
      <c r="E36" s="7">
        <v>198</v>
      </c>
      <c r="F36" s="38">
        <f>VLOOKUP(tbMaterials[[#This Row],[Type]],tbStackSizes[],2,FALSE)</f>
        <v>9999</v>
      </c>
      <c r="G36" s="38">
        <f>tbMaterials[[#This Row],[Value]]*tbMaterials[[#This Row],[Max Stack]]</f>
        <v>1979802</v>
      </c>
      <c r="H36" s="38" t="str">
        <f>IF(ISTEXT(VLOOKUP(tbMaterials[[#This Row],[Item]],tbBlueprints[],1,FALSE)),"Yes","No")</f>
        <v>No</v>
      </c>
      <c r="I36" s="38" t="str">
        <f>IF(ISTEXT(VLOOKUP(tbMaterials[[#This Row],[Item]],tbRecipes[],1,FALSE)),"Yes","No")</f>
        <v>No</v>
      </c>
    </row>
    <row r="37" spans="2:10" s="2" customFormat="1" ht="27.95" hidden="1" customHeight="1" x14ac:dyDescent="0.25">
      <c r="B37" s="2" t="s">
        <v>507</v>
      </c>
      <c r="C37" s="4" t="s">
        <v>508</v>
      </c>
      <c r="D37" s="5" t="s">
        <v>510</v>
      </c>
      <c r="E37" s="7">
        <v>200</v>
      </c>
      <c r="F37" s="38">
        <f>VLOOKUP(tbMaterials[[#This Row],[Type]],tbStackSizes[],2,FALSE)</f>
        <v>10</v>
      </c>
      <c r="G37" s="38">
        <f>tbMaterials[[#This Row],[Value]]*tbMaterials[[#This Row],[Max Stack]]</f>
        <v>2000</v>
      </c>
      <c r="H37" s="38" t="str">
        <f>IF(ISTEXT(VLOOKUP(tbMaterials[[#This Row],[Item]],tbBlueprints[],1,FALSE)),"Yes","No")</f>
        <v>Yes</v>
      </c>
      <c r="I37" s="38" t="str">
        <f>IF(ISTEXT(VLOOKUP(tbMaterials[[#This Row],[Item]],tbRecipes[],1,FALSE)),"Yes","No")</f>
        <v>Yes</v>
      </c>
    </row>
    <row r="38" spans="2:10" s="2" customFormat="1" ht="27.95" customHeight="1" x14ac:dyDescent="0.25">
      <c r="B38" s="2" t="s">
        <v>20</v>
      </c>
      <c r="C38" s="4" t="s">
        <v>317</v>
      </c>
      <c r="D38" s="5" t="s">
        <v>388</v>
      </c>
      <c r="E38" s="7">
        <v>186</v>
      </c>
      <c r="F38" s="38">
        <f>VLOOKUP(tbMaterials[[#This Row],[Type]],tbStackSizes[],2,FALSE)</f>
        <v>9999</v>
      </c>
      <c r="G38" s="38">
        <f>tbMaterials[[#This Row],[Value]]*tbMaterials[[#This Row],[Max Stack]]</f>
        <v>1859814</v>
      </c>
      <c r="H38" s="38" t="str">
        <f>IF(ISTEXT(VLOOKUP(tbMaterials[[#This Row],[Item]],tbBlueprints[],1,FALSE)),"Yes","No")</f>
        <v>No</v>
      </c>
      <c r="I38" s="38" t="str">
        <f>IF(ISTEXT(VLOOKUP(tbMaterials[[#This Row],[Item]],tbRecipes[],1,FALSE)),"Yes","No")</f>
        <v>No</v>
      </c>
    </row>
    <row r="39" spans="2:10" s="2" customFormat="1" ht="27.95" hidden="1" customHeight="1" x14ac:dyDescent="0.25">
      <c r="B39" s="2" t="s">
        <v>348</v>
      </c>
      <c r="C39" s="4" t="s">
        <v>316</v>
      </c>
      <c r="D39" s="5" t="s">
        <v>564</v>
      </c>
      <c r="E39" s="7">
        <v>25000</v>
      </c>
      <c r="F39" s="38">
        <f>VLOOKUP(tbMaterials[[#This Row],[Type]],tbStackSizes[],2,FALSE)</f>
        <v>20</v>
      </c>
      <c r="G39" s="38">
        <f>tbMaterials[[#This Row],[Value]]*tbMaterials[[#This Row],[Max Stack]]</f>
        <v>500000</v>
      </c>
      <c r="H39" s="38" t="str">
        <f>IF(ISTEXT(VLOOKUP(tbMaterials[[#This Row],[Item]],tbBlueprints[],1,FALSE)),"Yes","No")</f>
        <v>No</v>
      </c>
      <c r="I39" s="38" t="str">
        <f>IF(ISTEXT(VLOOKUP(tbMaterials[[#This Row],[Item]],tbRecipes[],1,FALSE)),"Yes","No")</f>
        <v>No</v>
      </c>
    </row>
    <row r="40" spans="2:10" s="2" customFormat="1" ht="27.95" customHeight="1" x14ac:dyDescent="0.25">
      <c r="B40" s="2" t="s">
        <v>292</v>
      </c>
      <c r="C40" s="4" t="s">
        <v>317</v>
      </c>
      <c r="D40" s="5" t="s">
        <v>395</v>
      </c>
      <c r="E40" s="7">
        <v>138</v>
      </c>
      <c r="F40" s="38">
        <f>VLOOKUP(tbMaterials[[#This Row],[Type]],tbStackSizes[],2,FALSE)</f>
        <v>9999</v>
      </c>
      <c r="G40" s="38">
        <f>tbMaterials[[#This Row],[Value]]*tbMaterials[[#This Row],[Max Stack]]</f>
        <v>1379862</v>
      </c>
      <c r="H40" s="38" t="str">
        <f>IF(ISTEXT(VLOOKUP(tbMaterials[[#This Row],[Item]],tbBlueprints[],1,FALSE)),"Yes","No")</f>
        <v>No</v>
      </c>
      <c r="I40" s="38" t="str">
        <f>IF(ISTEXT(VLOOKUP(tbMaterials[[#This Row],[Item]],tbRecipes[],1,FALSE)),"Yes","No")</f>
        <v>No</v>
      </c>
    </row>
    <row r="41" spans="2:10" s="2" customFormat="1" ht="27.95" hidden="1" customHeight="1" x14ac:dyDescent="0.25">
      <c r="B41" s="3" t="s">
        <v>232</v>
      </c>
      <c r="C41" s="5" t="s">
        <v>316</v>
      </c>
      <c r="D41" s="5" t="s">
        <v>543</v>
      </c>
      <c r="E41" s="10">
        <v>1000</v>
      </c>
      <c r="F41" s="52">
        <f>VLOOKUP(tbMaterials[[#This Row],[Type]],tbStackSizes[],2,FALSE)</f>
        <v>20</v>
      </c>
      <c r="G41" s="52">
        <f>tbMaterials[[#This Row],[Value]]*tbMaterials[[#This Row],[Max Stack]]</f>
        <v>20000</v>
      </c>
      <c r="H41" s="52" t="str">
        <f>IF(ISTEXT(VLOOKUP(tbMaterials[[#This Row],[Item]],tbBlueprints[],1,FALSE)),"Yes","No")</f>
        <v>No</v>
      </c>
      <c r="I41" s="52" t="str">
        <f>IF(ISTEXT(VLOOKUP(tbMaterials[[#This Row],[Item]],tbRecipes[],1,FALSE)),"Yes","No")</f>
        <v>No</v>
      </c>
      <c r="J41" s="3"/>
    </row>
    <row r="42" spans="2:10" s="2" customFormat="1" ht="27.95" hidden="1" customHeight="1" x14ac:dyDescent="0.25">
      <c r="B42" s="3" t="s">
        <v>555</v>
      </c>
      <c r="C42" s="5" t="s">
        <v>316</v>
      </c>
      <c r="D42" s="5" t="s">
        <v>545</v>
      </c>
      <c r="E42" s="10">
        <v>50000</v>
      </c>
      <c r="F42" s="52">
        <f>VLOOKUP(tbMaterials[[#This Row],[Type]],tbStackSizes[],2,FALSE)</f>
        <v>20</v>
      </c>
      <c r="G42" s="52">
        <f>tbMaterials[[#This Row],[Value]]*tbMaterials[[#This Row],[Max Stack]]</f>
        <v>1000000</v>
      </c>
      <c r="H42" s="52" t="str">
        <f>IF(ISTEXT(VLOOKUP(tbMaterials[[#This Row],[Item]],tbBlueprints[],1,FALSE)),"Yes","No")</f>
        <v>Yes</v>
      </c>
      <c r="I42" s="52" t="str">
        <f>IF(ISTEXT(VLOOKUP(tbMaterials[[#This Row],[Item]],tbRecipes[],1,FALSE)),"Yes","No")</f>
        <v>Yes</v>
      </c>
      <c r="J42" s="3"/>
    </row>
    <row r="43" spans="2:10" s="2" customFormat="1" ht="27.95" hidden="1" customHeight="1" x14ac:dyDescent="0.25">
      <c r="B43" s="2" t="s">
        <v>209</v>
      </c>
      <c r="C43" s="4" t="s">
        <v>316</v>
      </c>
      <c r="D43" s="5" t="s">
        <v>622</v>
      </c>
      <c r="E43" s="7">
        <v>30000</v>
      </c>
      <c r="F43" s="38">
        <f>VLOOKUP(tbMaterials[[#This Row],[Type]],tbStackSizes[],2,FALSE)</f>
        <v>20</v>
      </c>
      <c r="G43" s="38">
        <f>tbMaterials[[#This Row],[Value]]*tbMaterials[[#This Row],[Max Stack]]</f>
        <v>600000</v>
      </c>
      <c r="H43" s="38" t="str">
        <f>IF(ISTEXT(VLOOKUP(tbMaterials[[#This Row],[Item]],tbBlueprints[],1,FALSE)),"Yes","No")</f>
        <v>No</v>
      </c>
      <c r="I43" s="38" t="str">
        <f>IF(ISTEXT(VLOOKUP(tbMaterials[[#This Row],[Item]],tbRecipes[],1,FALSE)),"Yes","No")</f>
        <v>No</v>
      </c>
    </row>
    <row r="44" spans="2:10" s="2" customFormat="1" ht="27.95" customHeight="1" x14ac:dyDescent="0.25">
      <c r="B44" s="2" t="s">
        <v>5</v>
      </c>
      <c r="C44" s="4" t="s">
        <v>317</v>
      </c>
      <c r="D44" s="5" t="s">
        <v>377</v>
      </c>
      <c r="E44" s="7">
        <v>121</v>
      </c>
      <c r="F44" s="38">
        <f>VLOOKUP(tbMaterials[[#This Row],[Type]],tbStackSizes[],2,FALSE)</f>
        <v>9999</v>
      </c>
      <c r="G44" s="38">
        <f>tbMaterials[[#This Row],[Value]]*tbMaterials[[#This Row],[Max Stack]]</f>
        <v>1209879</v>
      </c>
      <c r="H44" s="38" t="str">
        <f>IF(ISTEXT(VLOOKUP(tbMaterials[[#This Row],[Item]],tbBlueprints[],1,FALSE)),"Yes","No")</f>
        <v>No</v>
      </c>
      <c r="I44" s="38" t="str">
        <f>IF(ISTEXT(VLOOKUP(tbMaterials[[#This Row],[Item]],tbRecipes[],1,FALSE)),"Yes","No")</f>
        <v>No</v>
      </c>
    </row>
    <row r="45" spans="2:10" s="2" customFormat="1" ht="27.95" hidden="1" customHeight="1" x14ac:dyDescent="0.25">
      <c r="B45" s="2" t="s">
        <v>8</v>
      </c>
      <c r="C45" s="4" t="s">
        <v>330</v>
      </c>
      <c r="D45" s="5" t="s">
        <v>401</v>
      </c>
      <c r="E45" s="7">
        <v>1400</v>
      </c>
      <c r="F45" s="38">
        <f>VLOOKUP(tbMaterials[[#This Row],[Type]],tbStackSizes[],2,FALSE)</f>
        <v>20</v>
      </c>
      <c r="G45" s="38">
        <f>tbMaterials[[#This Row],[Value]]*tbMaterials[[#This Row],[Max Stack]]</f>
        <v>28000</v>
      </c>
      <c r="H45" s="38" t="str">
        <f>IF(ISTEXT(VLOOKUP(tbMaterials[[#This Row],[Item]],tbBlueprints[],1,FALSE)),"Yes","No")</f>
        <v>No</v>
      </c>
      <c r="I45" s="38" t="str">
        <f>IF(ISTEXT(VLOOKUP(tbMaterials[[#This Row],[Item]],tbRecipes[],1,FALSE)),"Yes","No")</f>
        <v>No</v>
      </c>
      <c r="J45" s="2" t="s">
        <v>25</v>
      </c>
    </row>
    <row r="46" spans="2:10" s="2" customFormat="1" ht="27.95" customHeight="1" x14ac:dyDescent="0.25">
      <c r="B46" s="18" t="s">
        <v>268</v>
      </c>
      <c r="C46" s="4" t="s">
        <v>317</v>
      </c>
      <c r="D46" s="5" t="s">
        <v>387</v>
      </c>
      <c r="E46" s="7">
        <v>82</v>
      </c>
      <c r="F46" s="38">
        <f>VLOOKUP(tbMaterials[[#This Row],[Type]],tbStackSizes[],2,FALSE)</f>
        <v>9999</v>
      </c>
      <c r="G46" s="38">
        <f>tbMaterials[[#This Row],[Value]]*tbMaterials[[#This Row],[Max Stack]]</f>
        <v>819918</v>
      </c>
      <c r="H46" s="38" t="str">
        <f>IF(ISTEXT(VLOOKUP(tbMaterials[[#This Row],[Item]],tbBlueprints[],1,FALSE)),"Yes","No")</f>
        <v>No</v>
      </c>
      <c r="I46" s="38" t="str">
        <f>IF(ISTEXT(VLOOKUP(tbMaterials[[#This Row],[Item]],tbRecipes[],1,FALSE)),"Yes","No")</f>
        <v>Yes</v>
      </c>
    </row>
    <row r="47" spans="2:10" s="2" customFormat="1" ht="27.95" hidden="1" customHeight="1" x14ac:dyDescent="0.25">
      <c r="B47" s="2" t="s">
        <v>23</v>
      </c>
      <c r="C47" s="4" t="s">
        <v>330</v>
      </c>
      <c r="D47" s="5" t="s">
        <v>401</v>
      </c>
      <c r="E47" s="7">
        <v>800</v>
      </c>
      <c r="F47" s="38">
        <f>VLOOKUP(tbMaterials[[#This Row],[Type]],tbStackSizes[],2,FALSE)</f>
        <v>20</v>
      </c>
      <c r="G47" s="38">
        <f>tbMaterials[[#This Row],[Value]]*tbMaterials[[#This Row],[Max Stack]]</f>
        <v>16000</v>
      </c>
      <c r="H47" s="38" t="str">
        <f>IF(ISTEXT(VLOOKUP(tbMaterials[[#This Row],[Item]],tbBlueprints[],1,FALSE)),"Yes","No")</f>
        <v>No</v>
      </c>
      <c r="I47" s="38" t="str">
        <f>IF(ISTEXT(VLOOKUP(tbMaterials[[#This Row],[Item]],tbRecipes[],1,FALSE)),"Yes","No")</f>
        <v>No</v>
      </c>
      <c r="J47" s="2" t="s">
        <v>24</v>
      </c>
    </row>
    <row r="48" spans="2:10" s="2" customFormat="1" ht="27.95" hidden="1" customHeight="1" x14ac:dyDescent="0.25">
      <c r="B48" s="2" t="s">
        <v>573</v>
      </c>
      <c r="C48" s="4" t="s">
        <v>316</v>
      </c>
      <c r="D48" s="5" t="s">
        <v>547</v>
      </c>
      <c r="E48" s="7">
        <v>30000</v>
      </c>
      <c r="F48" s="38">
        <f>VLOOKUP(tbMaterials[[#This Row],[Type]],tbStackSizes[],2,FALSE)</f>
        <v>20</v>
      </c>
      <c r="G48" s="38">
        <f>tbMaterials[[#This Row],[Value]]*tbMaterials[[#This Row],[Max Stack]]</f>
        <v>600000</v>
      </c>
      <c r="H48" s="38" t="str">
        <f>IF(ISTEXT(VLOOKUP(tbMaterials[[#This Row],[Item]],tbBlueprints[],1,FALSE)),"Yes","No")</f>
        <v>No</v>
      </c>
      <c r="I48" s="38" t="str">
        <f>IF(ISTEXT(VLOOKUP(tbMaterials[[#This Row],[Item]],tbRecipes[],1,FALSE)),"Yes","No")</f>
        <v>No</v>
      </c>
    </row>
    <row r="49" spans="2:10" s="2" customFormat="1" ht="27.95" customHeight="1" x14ac:dyDescent="0.25">
      <c r="B49" s="2" t="s">
        <v>12</v>
      </c>
      <c r="C49" s="4" t="s">
        <v>317</v>
      </c>
      <c r="D49" s="5" t="s">
        <v>398</v>
      </c>
      <c r="E49" s="7">
        <v>82</v>
      </c>
      <c r="F49" s="38">
        <f>VLOOKUP(tbMaterials[[#This Row],[Type]],tbStackSizes[],2,FALSE)</f>
        <v>9999</v>
      </c>
      <c r="G49" s="38">
        <f>tbMaterials[[#This Row],[Value]]*tbMaterials[[#This Row],[Max Stack]]</f>
        <v>819918</v>
      </c>
      <c r="H49" s="38" t="str">
        <f>IF(ISTEXT(VLOOKUP(tbMaterials[[#This Row],[Item]],tbBlueprints[],1,FALSE)),"Yes","No")</f>
        <v>No</v>
      </c>
      <c r="I49" s="38" t="str">
        <f>IF(ISTEXT(VLOOKUP(tbMaterials[[#This Row],[Item]],tbRecipes[],1,FALSE)),"Yes","No")</f>
        <v>No</v>
      </c>
    </row>
    <row r="50" spans="2:10" s="2" customFormat="1" ht="27.95" customHeight="1" x14ac:dyDescent="0.25">
      <c r="B50" s="2" t="s">
        <v>15</v>
      </c>
      <c r="C50" s="4" t="s">
        <v>317</v>
      </c>
      <c r="D50" s="5" t="s">
        <v>379</v>
      </c>
      <c r="E50" s="7">
        <v>70</v>
      </c>
      <c r="F50" s="38">
        <f>VLOOKUP(tbMaterials[[#This Row],[Type]],tbStackSizes[],2,FALSE)</f>
        <v>9999</v>
      </c>
      <c r="G50" s="38">
        <f>tbMaterials[[#This Row],[Value]]*tbMaterials[[#This Row],[Max Stack]]</f>
        <v>699930</v>
      </c>
      <c r="H50" s="38" t="str">
        <f>IF(ISTEXT(VLOOKUP(tbMaterials[[#This Row],[Item]],tbBlueprints[],1,FALSE)),"Yes","No")</f>
        <v>No</v>
      </c>
      <c r="I50" s="38" t="str">
        <f>IF(ISTEXT(VLOOKUP(tbMaterials[[#This Row],[Item]],tbRecipes[],1,FALSE)),"Yes","No")</f>
        <v>No</v>
      </c>
    </row>
    <row r="51" spans="2:10" s="2" customFormat="1" ht="27.95" hidden="1" customHeight="1" x14ac:dyDescent="0.25">
      <c r="B51" s="2" t="s">
        <v>400</v>
      </c>
      <c r="C51" s="4" t="s">
        <v>330</v>
      </c>
      <c r="D51" s="5" t="s">
        <v>401</v>
      </c>
      <c r="E51" s="7">
        <v>300</v>
      </c>
      <c r="F51" s="38">
        <f>VLOOKUP(tbMaterials[[#This Row],[Type]],tbStackSizes[],2,FALSE)</f>
        <v>20</v>
      </c>
      <c r="G51" s="38">
        <f>tbMaterials[[#This Row],[Value]]*tbMaterials[[#This Row],[Max Stack]]</f>
        <v>6000</v>
      </c>
      <c r="H51" s="38" t="str">
        <f>IF(ISTEXT(VLOOKUP(tbMaterials[[#This Row],[Item]],tbBlueprints[],1,FALSE)),"Yes","No")</f>
        <v>No</v>
      </c>
      <c r="I51" s="38" t="str">
        <f>IF(ISTEXT(VLOOKUP(tbMaterials[[#This Row],[Item]],tbRecipes[],1,FALSE)),"Yes","No")</f>
        <v>No</v>
      </c>
    </row>
    <row r="52" spans="2:10" s="2" customFormat="1" ht="27.95" customHeight="1" x14ac:dyDescent="0.25">
      <c r="B52" s="2" t="s">
        <v>97</v>
      </c>
      <c r="C52" s="4" t="s">
        <v>317</v>
      </c>
      <c r="D52" s="5" t="s">
        <v>378</v>
      </c>
      <c r="E52" s="7">
        <v>62</v>
      </c>
      <c r="F52" s="38">
        <f>VLOOKUP(tbMaterials[[#This Row],[Type]],tbStackSizes[],2,FALSE)</f>
        <v>9999</v>
      </c>
      <c r="G52" s="38">
        <f>tbMaterials[[#This Row],[Value]]*tbMaterials[[#This Row],[Max Stack]]</f>
        <v>619938</v>
      </c>
      <c r="H52" s="38" t="str">
        <f>IF(ISTEXT(VLOOKUP(tbMaterials[[#This Row],[Item]],tbBlueprints[],1,FALSE)),"Yes","No")</f>
        <v>No</v>
      </c>
      <c r="I52" s="38" t="str">
        <f>IF(ISTEXT(VLOOKUP(tbMaterials[[#This Row],[Item]],tbRecipes[],1,FALSE)),"Yes","No")</f>
        <v>No</v>
      </c>
    </row>
    <row r="53" spans="2:10" s="2" customFormat="1" ht="27.95" hidden="1" customHeight="1" x14ac:dyDescent="0.25">
      <c r="B53" s="2" t="s">
        <v>571</v>
      </c>
      <c r="C53" s="4" t="s">
        <v>316</v>
      </c>
      <c r="D53" s="5" t="s">
        <v>546</v>
      </c>
      <c r="E53" s="7">
        <v>15000000</v>
      </c>
      <c r="F53" s="38">
        <f>VLOOKUP(tbMaterials[[#This Row],[Type]],tbStackSizes[],2,FALSE)</f>
        <v>20</v>
      </c>
      <c r="G53" s="38">
        <f>tbMaterials[[#This Row],[Value]]*tbMaterials[[#This Row],[Max Stack]]</f>
        <v>300000000</v>
      </c>
      <c r="H53" s="38" t="str">
        <f>IF(ISTEXT(VLOOKUP(tbMaterials[[#This Row],[Item]],tbBlueprints[],1,FALSE)),"Yes","No")</f>
        <v>No</v>
      </c>
      <c r="I53" s="38" t="str">
        <f>IF(ISTEXT(VLOOKUP(tbMaterials[[#This Row],[Item]],tbRecipes[],1,FALSE)),"Yes","No")</f>
        <v>No</v>
      </c>
    </row>
    <row r="54" spans="2:10" s="2" customFormat="1" ht="27.95" hidden="1" customHeight="1" x14ac:dyDescent="0.25">
      <c r="B54" s="2" t="s">
        <v>210</v>
      </c>
      <c r="C54" s="4" t="s">
        <v>316</v>
      </c>
      <c r="D54" s="5" t="s">
        <v>622</v>
      </c>
      <c r="E54" s="7">
        <v>50000</v>
      </c>
      <c r="F54" s="38">
        <f>VLOOKUP(tbMaterials[[#This Row],[Type]],tbStackSizes[],2,FALSE)</f>
        <v>20</v>
      </c>
      <c r="G54" s="38">
        <f>tbMaterials[[#This Row],[Value]]*tbMaterials[[#This Row],[Max Stack]]</f>
        <v>1000000</v>
      </c>
      <c r="H54" s="38" t="str">
        <f>IF(ISTEXT(VLOOKUP(tbMaterials[[#This Row],[Item]],tbBlueprints[],1,FALSE)),"Yes","No")</f>
        <v>No</v>
      </c>
      <c r="I54" s="38" t="str">
        <f>IF(ISTEXT(VLOOKUP(tbMaterials[[#This Row],[Item]],tbRecipes[],1,FALSE)),"Yes","No")</f>
        <v>No</v>
      </c>
    </row>
    <row r="55" spans="2:10" s="2" customFormat="1" ht="27.95" customHeight="1" x14ac:dyDescent="0.25">
      <c r="B55" s="2" t="s">
        <v>82</v>
      </c>
      <c r="C55" s="4" t="s">
        <v>317</v>
      </c>
      <c r="D55" s="5" t="s">
        <v>378</v>
      </c>
      <c r="E55" s="7">
        <v>62</v>
      </c>
      <c r="F55" s="38">
        <f>VLOOKUP(tbMaterials[[#This Row],[Type]],tbStackSizes[],2,FALSE)</f>
        <v>9999</v>
      </c>
      <c r="G55" s="38">
        <f>tbMaterials[[#This Row],[Value]]*tbMaterials[[#This Row],[Max Stack]]</f>
        <v>619938</v>
      </c>
      <c r="H55" s="38" t="str">
        <f>IF(ISTEXT(VLOOKUP(tbMaterials[[#This Row],[Item]],tbBlueprints[],1,FALSE)),"Yes","No")</f>
        <v>No</v>
      </c>
      <c r="I55" s="38" t="str">
        <f>IF(ISTEXT(VLOOKUP(tbMaterials[[#This Row],[Item]],tbRecipes[],1,FALSE)),"Yes","No")</f>
        <v>No</v>
      </c>
    </row>
    <row r="56" spans="2:10" s="2" customFormat="1" ht="27.95" hidden="1" customHeight="1" x14ac:dyDescent="0.25">
      <c r="B56" s="2" t="s">
        <v>329</v>
      </c>
      <c r="C56" s="4" t="s">
        <v>323</v>
      </c>
      <c r="D56" s="5" t="s">
        <v>566</v>
      </c>
      <c r="E56" s="7">
        <v>23375</v>
      </c>
      <c r="F56" s="38">
        <f>VLOOKUP(tbMaterials[[#This Row],[Type]],tbStackSizes[],2,FALSE)</f>
        <v>5</v>
      </c>
      <c r="G56" s="38">
        <f>tbMaterials[[#This Row],[Value]]*tbMaterials[[#This Row],[Max Stack]]</f>
        <v>116875</v>
      </c>
      <c r="H56" s="38" t="str">
        <f>IF(ISTEXT(VLOOKUP(tbMaterials[[#This Row],[Item]],tbBlueprints[],1,FALSE)),"Yes","No")</f>
        <v>No</v>
      </c>
      <c r="I56" s="38" t="str">
        <f>IF(ISTEXT(VLOOKUP(tbMaterials[[#This Row],[Item]],tbRecipes[],1,FALSE)),"Yes","No")</f>
        <v>No</v>
      </c>
    </row>
    <row r="57" spans="2:10" s="2" customFormat="1" ht="27.95" hidden="1" customHeight="1" x14ac:dyDescent="0.25">
      <c r="B57" s="2" t="s">
        <v>328</v>
      </c>
      <c r="C57" s="4" t="s">
        <v>323</v>
      </c>
      <c r="D57" s="5" t="s">
        <v>566</v>
      </c>
      <c r="E57" s="7">
        <v>20625</v>
      </c>
      <c r="F57" s="38">
        <f>VLOOKUP(tbMaterials[[#This Row],[Type]],tbStackSizes[],2,FALSE)</f>
        <v>5</v>
      </c>
      <c r="G57" s="38">
        <f>tbMaterials[[#This Row],[Value]]*tbMaterials[[#This Row],[Max Stack]]</f>
        <v>103125</v>
      </c>
      <c r="H57" s="38" t="str">
        <f>IF(ISTEXT(VLOOKUP(tbMaterials[[#This Row],[Item]],tbBlueprints[],1,FALSE)),"Yes","No")</f>
        <v>No</v>
      </c>
      <c r="I57" s="38" t="str">
        <f>IF(ISTEXT(VLOOKUP(tbMaterials[[#This Row],[Item]],tbRecipes[],1,FALSE)),"Yes","No")</f>
        <v>No</v>
      </c>
    </row>
    <row r="58" spans="2:10" s="2" customFormat="1" ht="27.95" hidden="1" customHeight="1" x14ac:dyDescent="0.25">
      <c r="B58" s="2" t="s">
        <v>14</v>
      </c>
      <c r="C58" s="4" t="s">
        <v>323</v>
      </c>
      <c r="D58" s="5" t="s">
        <v>567</v>
      </c>
      <c r="E58" s="7">
        <v>3280</v>
      </c>
      <c r="F58" s="38">
        <f>VLOOKUP(tbMaterials[[#This Row],[Type]],tbStackSizes[],2,FALSE)</f>
        <v>5</v>
      </c>
      <c r="G58" s="38">
        <f>tbMaterials[[#This Row],[Value]]*tbMaterials[[#This Row],[Max Stack]]</f>
        <v>16400</v>
      </c>
      <c r="H58" s="38" t="str">
        <f>IF(ISTEXT(VLOOKUP(tbMaterials[[#This Row],[Item]],tbBlueprints[],1,FALSE)),"Yes","No")</f>
        <v>No</v>
      </c>
      <c r="I58" s="38" t="str">
        <f>IF(ISTEXT(VLOOKUP(tbMaterials[[#This Row],[Item]],tbRecipes[],1,FALSE)),"Yes","No")</f>
        <v>No</v>
      </c>
      <c r="J58" s="2" t="s">
        <v>520</v>
      </c>
    </row>
    <row r="59" spans="2:10" s="2" customFormat="1" ht="27.95" hidden="1" customHeight="1" x14ac:dyDescent="0.25">
      <c r="B59" s="2" t="s">
        <v>572</v>
      </c>
      <c r="C59" s="4" t="s">
        <v>316</v>
      </c>
      <c r="D59" s="5" t="s">
        <v>593</v>
      </c>
      <c r="E59" s="7">
        <v>150000</v>
      </c>
      <c r="F59" s="38">
        <f>VLOOKUP(tbMaterials[[#This Row],[Type]],tbStackSizes[],2,FALSE)</f>
        <v>20</v>
      </c>
      <c r="G59" s="38">
        <f>tbMaterials[[#This Row],[Value]]*tbMaterials[[#This Row],[Max Stack]]</f>
        <v>3000000</v>
      </c>
      <c r="H59" s="38" t="str">
        <f>IF(ISTEXT(VLOOKUP(tbMaterials[[#This Row],[Item]],tbBlueprints[],1,FALSE)),"Yes","No")</f>
        <v>No</v>
      </c>
      <c r="I59" s="38" t="str">
        <f>IF(ISTEXT(VLOOKUP(tbMaterials[[#This Row],[Item]],tbRecipes[],1,FALSE)),"Yes","No")</f>
        <v>No</v>
      </c>
    </row>
    <row r="60" spans="2:10" s="2" customFormat="1" ht="27.95" customHeight="1" x14ac:dyDescent="0.25">
      <c r="B60" s="2" t="s">
        <v>69</v>
      </c>
      <c r="C60" s="4" t="s">
        <v>317</v>
      </c>
      <c r="D60" s="5" t="s">
        <v>378</v>
      </c>
      <c r="E60" s="7">
        <v>62</v>
      </c>
      <c r="F60" s="38">
        <f>VLOOKUP(tbMaterials[[#This Row],[Type]],tbStackSizes[],2,FALSE)</f>
        <v>9999</v>
      </c>
      <c r="G60" s="38">
        <f>tbMaterials[[#This Row],[Value]]*tbMaterials[[#This Row],[Max Stack]]</f>
        <v>619938</v>
      </c>
      <c r="H60" s="38" t="str">
        <f>IF(ISTEXT(VLOOKUP(tbMaterials[[#This Row],[Item]],tbBlueprints[],1,FALSE)),"Yes","No")</f>
        <v>No</v>
      </c>
      <c r="I60" s="38" t="str">
        <f>IF(ISTEXT(VLOOKUP(tbMaterials[[#This Row],[Item]],tbRecipes[],1,FALSE)),"Yes","No")</f>
        <v>No</v>
      </c>
    </row>
    <row r="61" spans="2:10" s="2" customFormat="1" ht="27.95" hidden="1" customHeight="1" x14ac:dyDescent="0.25">
      <c r="B61" s="2" t="s">
        <v>29</v>
      </c>
      <c r="C61" s="4" t="s">
        <v>323</v>
      </c>
      <c r="D61" s="5" t="s">
        <v>567</v>
      </c>
      <c r="E61" s="7">
        <v>3280</v>
      </c>
      <c r="F61" s="38">
        <f>VLOOKUP(tbMaterials[[#This Row],[Type]],tbStackSizes[],2,FALSE)</f>
        <v>5</v>
      </c>
      <c r="G61" s="38">
        <f>tbMaterials[[#This Row],[Value]]*tbMaterials[[#This Row],[Max Stack]]</f>
        <v>16400</v>
      </c>
      <c r="H61" s="38" t="str">
        <f>IF(ISTEXT(VLOOKUP(tbMaterials[[#This Row],[Item]],tbBlueprints[],1,FALSE)),"Yes","No")</f>
        <v>No</v>
      </c>
      <c r="I61" s="38" t="str">
        <f>IF(ISTEXT(VLOOKUP(tbMaterials[[#This Row],[Item]],tbRecipes[],1,FALSE)),"Yes","No")</f>
        <v>No</v>
      </c>
      <c r="J61" s="2" t="s">
        <v>514</v>
      </c>
    </row>
    <row r="62" spans="2:10" s="2" customFormat="1" ht="27.95" hidden="1" customHeight="1" x14ac:dyDescent="0.25">
      <c r="B62" s="2" t="s">
        <v>349</v>
      </c>
      <c r="C62" s="4" t="s">
        <v>316</v>
      </c>
      <c r="D62" s="5" t="s">
        <v>564</v>
      </c>
      <c r="E62" s="7">
        <v>25000</v>
      </c>
      <c r="F62" s="38">
        <f>VLOOKUP(tbMaterials[[#This Row],[Type]],tbStackSizes[],2,FALSE)</f>
        <v>20</v>
      </c>
      <c r="G62" s="38">
        <f>tbMaterials[[#This Row],[Value]]*tbMaterials[[#This Row],[Max Stack]]</f>
        <v>500000</v>
      </c>
      <c r="H62" s="38" t="str">
        <f>IF(ISTEXT(VLOOKUP(tbMaterials[[#This Row],[Item]],tbBlueprints[],1,FALSE)),"Yes","No")</f>
        <v>No</v>
      </c>
      <c r="I62" s="38" t="str">
        <f>IF(ISTEXT(VLOOKUP(tbMaterials[[#This Row],[Item]],tbRecipes[],1,FALSE)),"Yes","No")</f>
        <v>No</v>
      </c>
    </row>
    <row r="63" spans="2:10" s="2" customFormat="1" ht="27.95" hidden="1" customHeight="1" x14ac:dyDescent="0.25">
      <c r="B63" s="2" t="s">
        <v>332</v>
      </c>
      <c r="C63" s="4" t="s">
        <v>316</v>
      </c>
      <c r="D63" s="5" t="s">
        <v>364</v>
      </c>
      <c r="E63" s="7">
        <v>12445</v>
      </c>
      <c r="F63" s="38">
        <f>VLOOKUP(tbMaterials[[#This Row],[Type]],tbStackSizes[],2,FALSE)</f>
        <v>20</v>
      </c>
      <c r="G63" s="38">
        <f>tbMaterials[[#This Row],[Value]]*tbMaterials[[#This Row],[Max Stack]]</f>
        <v>248900</v>
      </c>
      <c r="H63" s="38" t="str">
        <f>IF(ISTEXT(VLOOKUP(tbMaterials[[#This Row],[Item]],tbBlueprints[],1,FALSE)),"Yes","No")</f>
        <v>No</v>
      </c>
      <c r="I63" s="38" t="str">
        <f>IF(ISTEXT(VLOOKUP(tbMaterials[[#This Row],[Item]],tbRecipes[],1,FALSE)),"Yes","No")</f>
        <v>No</v>
      </c>
    </row>
    <row r="64" spans="2:10" s="2" customFormat="1" ht="27.95" hidden="1" customHeight="1" x14ac:dyDescent="0.25">
      <c r="B64" s="2" t="s">
        <v>578</v>
      </c>
      <c r="C64" s="4" t="s">
        <v>508</v>
      </c>
      <c r="D64" s="5" t="s">
        <v>530</v>
      </c>
      <c r="E64" s="7">
        <v>800</v>
      </c>
      <c r="F64" s="38">
        <f>VLOOKUP(tbMaterials[[#This Row],[Type]],tbStackSizes[],2,FALSE)</f>
        <v>10</v>
      </c>
      <c r="G64" s="38">
        <f>tbMaterials[[#This Row],[Value]]*tbMaterials[[#This Row],[Max Stack]]</f>
        <v>8000</v>
      </c>
      <c r="H64" s="38" t="str">
        <f>IF(ISTEXT(VLOOKUP(tbMaterials[[#This Row],[Item]],tbBlueprints[],1,FALSE)),"Yes","No")</f>
        <v>Yes</v>
      </c>
      <c r="I64" s="38" t="str">
        <f>IF(ISTEXT(VLOOKUP(tbMaterials[[#This Row],[Item]],tbRecipes[],1,FALSE)),"Yes","No")</f>
        <v>No</v>
      </c>
    </row>
    <row r="65" spans="2:10" s="2" customFormat="1" ht="27.95" hidden="1" customHeight="1" x14ac:dyDescent="0.25">
      <c r="B65" s="2" t="s">
        <v>346</v>
      </c>
      <c r="C65" s="4" t="s">
        <v>316</v>
      </c>
      <c r="D65" s="5" t="s">
        <v>564</v>
      </c>
      <c r="E65" s="7">
        <v>25000</v>
      </c>
      <c r="F65" s="38">
        <f>VLOOKUP(tbMaterials[[#This Row],[Type]],tbStackSizes[],2,FALSE)</f>
        <v>20</v>
      </c>
      <c r="G65" s="38">
        <f>tbMaterials[[#This Row],[Value]]*tbMaterials[[#This Row],[Max Stack]]</f>
        <v>500000</v>
      </c>
      <c r="H65" s="38" t="str">
        <f>IF(ISTEXT(VLOOKUP(tbMaterials[[#This Row],[Item]],tbBlueprints[],1,FALSE)),"Yes","No")</f>
        <v>No</v>
      </c>
      <c r="I65" s="38" t="str">
        <f>IF(ISTEXT(VLOOKUP(tbMaterials[[#This Row],[Item]],tbRecipes[],1,FALSE)),"Yes","No")</f>
        <v>No</v>
      </c>
    </row>
    <row r="66" spans="2:10" s="2" customFormat="1" ht="27.95" customHeight="1" x14ac:dyDescent="0.25">
      <c r="B66" s="2" t="s">
        <v>39</v>
      </c>
      <c r="C66" s="4" t="s">
        <v>317</v>
      </c>
      <c r="D66" s="5" t="s">
        <v>378</v>
      </c>
      <c r="E66" s="7">
        <v>62</v>
      </c>
      <c r="F66" s="38">
        <f>VLOOKUP(tbMaterials[[#This Row],[Type]],tbStackSizes[],2,FALSE)</f>
        <v>9999</v>
      </c>
      <c r="G66" s="38">
        <f>tbMaterials[[#This Row],[Value]]*tbMaterials[[#This Row],[Max Stack]]</f>
        <v>619938</v>
      </c>
      <c r="H66" s="38" t="str">
        <f>IF(ISTEXT(VLOOKUP(tbMaterials[[#This Row],[Item]],tbBlueprints[],1,FALSE)),"Yes","No")</f>
        <v>No</v>
      </c>
      <c r="I66" s="38" t="str">
        <f>IF(ISTEXT(VLOOKUP(tbMaterials[[#This Row],[Item]],tbRecipes[],1,FALSE)),"Yes","No")</f>
        <v>No</v>
      </c>
    </row>
    <row r="67" spans="2:10" s="2" customFormat="1" ht="27.95" hidden="1" customHeight="1" x14ac:dyDescent="0.25">
      <c r="B67" s="3" t="s">
        <v>235</v>
      </c>
      <c r="C67" s="5" t="s">
        <v>316</v>
      </c>
      <c r="D67" s="5" t="s">
        <v>543</v>
      </c>
      <c r="E67" s="10">
        <v>30000</v>
      </c>
      <c r="F67" s="52">
        <f>VLOOKUP(tbMaterials[[#This Row],[Type]],tbStackSizes[],2,FALSE)</f>
        <v>20</v>
      </c>
      <c r="G67" s="52">
        <f>tbMaterials[[#This Row],[Value]]*tbMaterials[[#This Row],[Max Stack]]</f>
        <v>600000</v>
      </c>
      <c r="H67" s="52" t="str">
        <f>IF(ISTEXT(VLOOKUP(tbMaterials[[#This Row],[Item]],tbBlueprints[],1,FALSE)),"Yes","No")</f>
        <v>No</v>
      </c>
      <c r="I67" s="52" t="str">
        <f>IF(ISTEXT(VLOOKUP(tbMaterials[[#This Row],[Item]],tbRecipes[],1,FALSE)),"Yes","No")</f>
        <v>No</v>
      </c>
      <c r="J67" s="3"/>
    </row>
    <row r="68" spans="2:10" s="2" customFormat="1" ht="27.95" hidden="1" customHeight="1" x14ac:dyDescent="0.25">
      <c r="B68" s="2" t="s">
        <v>568</v>
      </c>
      <c r="C68" s="4" t="s">
        <v>316</v>
      </c>
      <c r="D68" s="5" t="s">
        <v>546</v>
      </c>
      <c r="E68" s="7">
        <v>320000</v>
      </c>
      <c r="F68" s="38">
        <f>VLOOKUP(tbMaterials[[#This Row],[Type]],tbStackSizes[],2,FALSE)</f>
        <v>20</v>
      </c>
      <c r="G68" s="38">
        <f>tbMaterials[[#This Row],[Value]]*tbMaterials[[#This Row],[Max Stack]]</f>
        <v>6400000</v>
      </c>
      <c r="H68" s="38" t="str">
        <f>IF(ISTEXT(VLOOKUP(tbMaterials[[#This Row],[Item]],tbBlueprints[],1,FALSE)),"Yes","No")</f>
        <v>No</v>
      </c>
      <c r="I68" s="38" t="str">
        <f>IF(ISTEXT(VLOOKUP(tbMaterials[[#This Row],[Item]],tbRecipes[],1,FALSE)),"Yes","No")</f>
        <v>No</v>
      </c>
    </row>
    <row r="69" spans="2:10" s="2" customFormat="1" ht="27.95" customHeight="1" x14ac:dyDescent="0.25">
      <c r="B69" s="2" t="s">
        <v>140</v>
      </c>
      <c r="C69" s="4" t="s">
        <v>317</v>
      </c>
      <c r="D69" s="5" t="s">
        <v>378</v>
      </c>
      <c r="E69" s="7">
        <v>62</v>
      </c>
      <c r="F69" s="38">
        <f>VLOOKUP(tbMaterials[[#This Row],[Type]],tbStackSizes[],2,FALSE)</f>
        <v>9999</v>
      </c>
      <c r="G69" s="38">
        <f>tbMaterials[[#This Row],[Value]]*tbMaterials[[#This Row],[Max Stack]]</f>
        <v>619938</v>
      </c>
      <c r="H69" s="38" t="str">
        <f>IF(ISTEXT(VLOOKUP(tbMaterials[[#This Row],[Item]],tbBlueprints[],1,FALSE)),"Yes","No")</f>
        <v>No</v>
      </c>
      <c r="I69" s="38" t="str">
        <f>IF(ISTEXT(VLOOKUP(tbMaterials[[#This Row],[Item]],tbRecipes[],1,FALSE)),"Yes","No")</f>
        <v>No</v>
      </c>
    </row>
    <row r="70" spans="2:10" s="2" customFormat="1" ht="27.95" hidden="1" customHeight="1" x14ac:dyDescent="0.25">
      <c r="B70" s="2" t="s">
        <v>207</v>
      </c>
      <c r="C70" s="4" t="s">
        <v>316</v>
      </c>
      <c r="D70" s="5" t="s">
        <v>622</v>
      </c>
      <c r="E70" s="7">
        <v>6000</v>
      </c>
      <c r="F70" s="38">
        <f>VLOOKUP(tbMaterials[[#This Row],[Type]],tbStackSizes[],2,FALSE)</f>
        <v>20</v>
      </c>
      <c r="G70" s="38">
        <f>tbMaterials[[#This Row],[Value]]*tbMaterials[[#This Row],[Max Stack]]</f>
        <v>120000</v>
      </c>
      <c r="H70" s="38" t="str">
        <f>IF(ISTEXT(VLOOKUP(tbMaterials[[#This Row],[Item]],tbBlueprints[],1,FALSE)),"Yes","No")</f>
        <v>No</v>
      </c>
      <c r="I70" s="38" t="str">
        <f>IF(ISTEXT(VLOOKUP(tbMaterials[[#This Row],[Item]],tbRecipes[],1,FALSE)),"Yes","No")</f>
        <v>No</v>
      </c>
    </row>
    <row r="71" spans="2:10" s="2" customFormat="1" ht="27.95" hidden="1" customHeight="1" x14ac:dyDescent="0.25">
      <c r="B71" s="3" t="s">
        <v>217</v>
      </c>
      <c r="C71" s="5" t="s">
        <v>316</v>
      </c>
      <c r="D71" s="5" t="s">
        <v>563</v>
      </c>
      <c r="E71" s="10">
        <v>15000</v>
      </c>
      <c r="F71" s="52">
        <f>VLOOKUP(tbMaterials[[#This Row],[Type]],tbStackSizes[],2,FALSE)</f>
        <v>20</v>
      </c>
      <c r="G71" s="52">
        <f>tbMaterials[[#This Row],[Value]]*tbMaterials[[#This Row],[Max Stack]]</f>
        <v>300000</v>
      </c>
      <c r="H71" s="52" t="str">
        <f>IF(ISTEXT(VLOOKUP(tbMaterials[[#This Row],[Item]],tbBlueprints[],1,FALSE)),"Yes","No")</f>
        <v>No</v>
      </c>
      <c r="I71" s="52" t="str">
        <f>IF(ISTEXT(VLOOKUP(tbMaterials[[#This Row],[Item]],tbRecipes[],1,FALSE)),"Yes","No")</f>
        <v>No</v>
      </c>
      <c r="J71" s="3"/>
    </row>
    <row r="72" spans="2:10" s="2" customFormat="1" ht="27.95" hidden="1" customHeight="1" x14ac:dyDescent="0.25">
      <c r="B72" s="3" t="s">
        <v>243</v>
      </c>
      <c r="C72" s="5" t="s">
        <v>316</v>
      </c>
      <c r="D72" s="5" t="s">
        <v>542</v>
      </c>
      <c r="E72" s="10">
        <v>15000</v>
      </c>
      <c r="F72" s="52">
        <f>VLOOKUP(tbMaterials[[#This Row],[Type]],tbStackSizes[],2,FALSE)</f>
        <v>20</v>
      </c>
      <c r="G72" s="52">
        <f>tbMaterials[[#This Row],[Value]]*tbMaterials[[#This Row],[Max Stack]]</f>
        <v>300000</v>
      </c>
      <c r="H72" s="52" t="str">
        <f>IF(ISTEXT(VLOOKUP(tbMaterials[[#This Row],[Item]],tbBlueprints[],1,FALSE)),"Yes","No")</f>
        <v>No</v>
      </c>
      <c r="I72" s="52" t="str">
        <f>IF(ISTEXT(VLOOKUP(tbMaterials[[#This Row],[Item]],tbRecipes[],1,FALSE)),"Yes","No")</f>
        <v>No</v>
      </c>
      <c r="J72" s="3"/>
    </row>
    <row r="73" spans="2:10" s="2" customFormat="1" ht="27.95" customHeight="1" x14ac:dyDescent="0.25">
      <c r="B73" s="2" t="s">
        <v>64</v>
      </c>
      <c r="C73" s="4" t="s">
        <v>317</v>
      </c>
      <c r="D73" s="5" t="s">
        <v>378</v>
      </c>
      <c r="E73" s="7">
        <v>62</v>
      </c>
      <c r="F73" s="38">
        <f>VLOOKUP(tbMaterials[[#This Row],[Type]],tbStackSizes[],2,FALSE)</f>
        <v>9999</v>
      </c>
      <c r="G73" s="38">
        <f>tbMaterials[[#This Row],[Value]]*tbMaterials[[#This Row],[Max Stack]]</f>
        <v>619938</v>
      </c>
      <c r="H73" s="38" t="str">
        <f>IF(ISTEXT(VLOOKUP(tbMaterials[[#This Row],[Item]],tbBlueprints[],1,FALSE)),"Yes","No")</f>
        <v>No</v>
      </c>
      <c r="I73" s="38" t="str">
        <f>IF(ISTEXT(VLOOKUP(tbMaterials[[#This Row],[Item]],tbRecipes[],1,FALSE)),"Yes","No")</f>
        <v>No</v>
      </c>
    </row>
    <row r="74" spans="2:10" s="2" customFormat="1" ht="27.95" hidden="1" customHeight="1" x14ac:dyDescent="0.25">
      <c r="B74" s="2" t="s">
        <v>569</v>
      </c>
      <c r="C74" s="4" t="s">
        <v>316</v>
      </c>
      <c r="D74" s="5" t="s">
        <v>593</v>
      </c>
      <c r="E74" s="7">
        <v>150000</v>
      </c>
      <c r="F74" s="38">
        <f>VLOOKUP(tbMaterials[[#This Row],[Type]],tbStackSizes[],2,FALSE)</f>
        <v>20</v>
      </c>
      <c r="G74" s="38">
        <f>tbMaterials[[#This Row],[Value]]*tbMaterials[[#This Row],[Max Stack]]</f>
        <v>3000000</v>
      </c>
      <c r="H74" s="38" t="str">
        <f>IF(ISTEXT(VLOOKUP(tbMaterials[[#This Row],[Item]],tbBlueprints[],1,FALSE)),"Yes","No")</f>
        <v>No</v>
      </c>
      <c r="I74" s="38" t="str">
        <f>IF(ISTEXT(VLOOKUP(tbMaterials[[#This Row],[Item]],tbRecipes[],1,FALSE)),"Yes","No")</f>
        <v>No</v>
      </c>
    </row>
    <row r="75" spans="2:10" s="2" customFormat="1" ht="27.95" customHeight="1" x14ac:dyDescent="0.25">
      <c r="B75" s="2" t="s">
        <v>390</v>
      </c>
      <c r="C75" s="4" t="s">
        <v>317</v>
      </c>
      <c r="D75" s="5" t="s">
        <v>379</v>
      </c>
      <c r="E75" s="7">
        <v>41</v>
      </c>
      <c r="F75" s="38">
        <f>VLOOKUP(tbMaterials[[#This Row],[Type]],tbStackSizes[],2,FALSE)</f>
        <v>9999</v>
      </c>
      <c r="G75" s="38">
        <f>tbMaterials[[#This Row],[Value]]*tbMaterials[[#This Row],[Max Stack]]</f>
        <v>409959</v>
      </c>
      <c r="H75" s="38" t="str">
        <f>IF(ISTEXT(VLOOKUP(tbMaterials[[#This Row],[Item]],tbBlueprints[],1,FALSE)),"Yes","No")</f>
        <v>No</v>
      </c>
      <c r="I75" s="38" t="str">
        <f>IF(ISTEXT(VLOOKUP(tbMaterials[[#This Row],[Item]],tbRecipes[],1,FALSE)),"Yes","No")</f>
        <v>No</v>
      </c>
    </row>
    <row r="76" spans="2:10" s="2" customFormat="1" ht="27.95" hidden="1" customHeight="1" x14ac:dyDescent="0.25">
      <c r="B76" s="2" t="s">
        <v>326</v>
      </c>
      <c r="C76" s="4" t="s">
        <v>323</v>
      </c>
      <c r="D76" s="5" t="s">
        <v>566</v>
      </c>
      <c r="E76" s="7">
        <v>22000</v>
      </c>
      <c r="F76" s="38">
        <f>VLOOKUP(tbMaterials[[#This Row],[Type]],tbStackSizes[],2,FALSE)</f>
        <v>5</v>
      </c>
      <c r="G76" s="38">
        <f>tbMaterials[[#This Row],[Value]]*tbMaterials[[#This Row],[Max Stack]]</f>
        <v>110000</v>
      </c>
      <c r="H76" s="38" t="str">
        <f>IF(ISTEXT(VLOOKUP(tbMaterials[[#This Row],[Item]],tbBlueprints[],1,FALSE)),"Yes","No")</f>
        <v>No</v>
      </c>
      <c r="I76" s="38" t="str">
        <f>IF(ISTEXT(VLOOKUP(tbMaterials[[#This Row],[Item]],tbRecipes[],1,FALSE)),"Yes","No")</f>
        <v>No</v>
      </c>
    </row>
    <row r="77" spans="2:10" s="2" customFormat="1" ht="27.95" hidden="1" customHeight="1" x14ac:dyDescent="0.25">
      <c r="B77" s="2" t="s">
        <v>327</v>
      </c>
      <c r="C77" s="4" t="s">
        <v>323</v>
      </c>
      <c r="D77" s="5" t="s">
        <v>508</v>
      </c>
      <c r="E77" s="7">
        <v>13063</v>
      </c>
      <c r="F77" s="38">
        <f>VLOOKUP(tbMaterials[[#This Row],[Type]],tbStackSizes[],2,FALSE)</f>
        <v>5</v>
      </c>
      <c r="G77" s="38">
        <f>tbMaterials[[#This Row],[Value]]*tbMaterials[[#This Row],[Max Stack]]</f>
        <v>65315</v>
      </c>
      <c r="H77" s="38" t="str">
        <f>IF(ISTEXT(VLOOKUP(tbMaterials[[#This Row],[Item]],tbBlueprints[],1,FALSE)),"Yes","No")</f>
        <v>No</v>
      </c>
      <c r="I77" s="38" t="str">
        <f>IF(ISTEXT(VLOOKUP(tbMaterials[[#This Row],[Item]],tbRecipes[],1,FALSE)),"Yes","No")</f>
        <v>No</v>
      </c>
    </row>
    <row r="78" spans="2:10" s="2" customFormat="1" ht="27.95" hidden="1" customHeight="1" x14ac:dyDescent="0.25">
      <c r="B78" s="3" t="s">
        <v>535</v>
      </c>
      <c r="C78" s="5" t="s">
        <v>323</v>
      </c>
      <c r="D78" s="5" t="s">
        <v>544</v>
      </c>
      <c r="E78" s="10">
        <v>69875</v>
      </c>
      <c r="F78" s="52">
        <f>VLOOKUP(tbMaterials[[#This Row],[Type]],tbStackSizes[],2,FALSE)</f>
        <v>5</v>
      </c>
      <c r="G78" s="52">
        <f>tbMaterials[[#This Row],[Value]]*tbMaterials[[#This Row],[Max Stack]]</f>
        <v>349375</v>
      </c>
      <c r="H78" s="52" t="str">
        <f>IF(ISTEXT(VLOOKUP(tbMaterials[[#This Row],[Item]],tbBlueprints[],1,FALSE)),"Yes","No")</f>
        <v>No</v>
      </c>
      <c r="I78" s="52" t="str">
        <f>IF(ISTEXT(VLOOKUP(tbMaterials[[#This Row],[Item]],tbRecipes[],1,FALSE)),"Yes","No")</f>
        <v>No</v>
      </c>
      <c r="J78" s="3"/>
    </row>
    <row r="79" spans="2:10" s="2" customFormat="1" ht="27.95" hidden="1" customHeight="1" x14ac:dyDescent="0.25">
      <c r="B79" s="2" t="s">
        <v>405</v>
      </c>
      <c r="C79" s="4" t="s">
        <v>330</v>
      </c>
      <c r="D79" s="5" t="s">
        <v>401</v>
      </c>
      <c r="E79" s="7">
        <v>1400</v>
      </c>
      <c r="F79" s="38">
        <f>VLOOKUP(tbMaterials[[#This Row],[Type]],tbStackSizes[],2,FALSE)</f>
        <v>20</v>
      </c>
      <c r="G79" s="38">
        <f>tbMaterials[[#This Row],[Value]]*tbMaterials[[#This Row],[Max Stack]]</f>
        <v>28000</v>
      </c>
      <c r="H79" s="38" t="str">
        <f>IF(ISTEXT(VLOOKUP(tbMaterials[[#This Row],[Item]],tbBlueprints[],1,FALSE)),"Yes","No")</f>
        <v>No</v>
      </c>
      <c r="I79" s="38" t="str">
        <f>IF(ISTEXT(VLOOKUP(tbMaterials[[#This Row],[Item]],tbRecipes[],1,FALSE)),"Yes","No")</f>
        <v>No</v>
      </c>
    </row>
    <row r="80" spans="2:10" s="2" customFormat="1" ht="27.95" hidden="1" customHeight="1" x14ac:dyDescent="0.25">
      <c r="B80" s="2" t="s">
        <v>298</v>
      </c>
      <c r="C80" s="4" t="s">
        <v>316</v>
      </c>
      <c r="D80" s="5" t="s">
        <v>564</v>
      </c>
      <c r="E80" s="7">
        <v>25000</v>
      </c>
      <c r="F80" s="38">
        <f>VLOOKUP(tbMaterials[[#This Row],[Type]],tbStackSizes[],2,FALSE)</f>
        <v>20</v>
      </c>
      <c r="G80" s="38">
        <f>tbMaterials[[#This Row],[Value]]*tbMaterials[[#This Row],[Max Stack]]</f>
        <v>500000</v>
      </c>
      <c r="H80" s="38" t="str">
        <f>IF(ISTEXT(VLOOKUP(tbMaterials[[#This Row],[Item]],tbBlueprints[],1,FALSE)),"Yes","No")</f>
        <v>No</v>
      </c>
      <c r="I80" s="38" t="str">
        <f>IF(ISTEXT(VLOOKUP(tbMaterials[[#This Row],[Item]],tbRecipes[],1,FALSE)),"Yes","No")</f>
        <v>No</v>
      </c>
    </row>
    <row r="81" spans="2:10" s="2" customFormat="1" ht="27.95" customHeight="1" x14ac:dyDescent="0.25">
      <c r="B81" s="2" t="s">
        <v>26</v>
      </c>
      <c r="C81" s="4" t="s">
        <v>317</v>
      </c>
      <c r="D81" s="5" t="s">
        <v>379</v>
      </c>
      <c r="E81" s="7">
        <v>41</v>
      </c>
      <c r="F81" s="38">
        <f>VLOOKUP(tbMaterials[[#This Row],[Type]],tbStackSizes[],2,FALSE)</f>
        <v>9999</v>
      </c>
      <c r="G81" s="38">
        <f>tbMaterials[[#This Row],[Value]]*tbMaterials[[#This Row],[Max Stack]]</f>
        <v>409959</v>
      </c>
      <c r="H81" s="38" t="str">
        <f>IF(ISTEXT(VLOOKUP(tbMaterials[[#This Row],[Item]],tbBlueprints[],1,FALSE)),"Yes","No")</f>
        <v>No</v>
      </c>
      <c r="I81" s="38" t="str">
        <f>IF(ISTEXT(VLOOKUP(tbMaterials[[#This Row],[Item]],tbRecipes[],1,FALSE)),"Yes","No")</f>
        <v>No</v>
      </c>
    </row>
    <row r="82" spans="2:10" s="2" customFormat="1" ht="27.95" customHeight="1" x14ac:dyDescent="0.25">
      <c r="B82" s="2" t="s">
        <v>10</v>
      </c>
      <c r="C82" s="4" t="s">
        <v>317</v>
      </c>
      <c r="D82" s="5" t="s">
        <v>398</v>
      </c>
      <c r="E82" s="7">
        <v>41</v>
      </c>
      <c r="F82" s="38">
        <f>VLOOKUP(tbMaterials[[#This Row],[Type]],tbStackSizes[],2,FALSE)</f>
        <v>9999</v>
      </c>
      <c r="G82" s="38">
        <f>tbMaterials[[#This Row],[Value]]*tbMaterials[[#This Row],[Max Stack]]</f>
        <v>409959</v>
      </c>
      <c r="H82" s="38" t="str">
        <f>IF(ISTEXT(VLOOKUP(tbMaterials[[#This Row],[Item]],tbBlueprints[],1,FALSE)),"Yes","No")</f>
        <v>No</v>
      </c>
      <c r="I82" s="38" t="str">
        <f>IF(ISTEXT(VLOOKUP(tbMaterials[[#This Row],[Item]],tbRecipes[],1,FALSE)),"Yes","No")</f>
        <v>No</v>
      </c>
    </row>
    <row r="83" spans="2:10" s="2" customFormat="1" ht="27.95" hidden="1" customHeight="1" x14ac:dyDescent="0.25">
      <c r="B83" s="2" t="s">
        <v>350</v>
      </c>
      <c r="C83" s="4" t="s">
        <v>316</v>
      </c>
      <c r="D83" s="5" t="s">
        <v>564</v>
      </c>
      <c r="E83" s="7">
        <v>25000</v>
      </c>
      <c r="F83" s="38">
        <f>VLOOKUP(tbMaterials[[#This Row],[Type]],tbStackSizes[],2,FALSE)</f>
        <v>20</v>
      </c>
      <c r="G83" s="38">
        <f>tbMaterials[[#This Row],[Value]]*tbMaterials[[#This Row],[Max Stack]]</f>
        <v>500000</v>
      </c>
      <c r="H83" s="38" t="str">
        <f>IF(ISTEXT(VLOOKUP(tbMaterials[[#This Row],[Item]],tbBlueprints[],1,FALSE)),"Yes","No")</f>
        <v>No</v>
      </c>
      <c r="I83" s="38" t="str">
        <f>IF(ISTEXT(VLOOKUP(tbMaterials[[#This Row],[Item]],tbRecipes[],1,FALSE)),"Yes","No")</f>
        <v>No</v>
      </c>
    </row>
    <row r="84" spans="2:10" s="2" customFormat="1" ht="27.95" customHeight="1" x14ac:dyDescent="0.25">
      <c r="B84" s="2" t="s">
        <v>373</v>
      </c>
      <c r="C84" s="4" t="s">
        <v>317</v>
      </c>
      <c r="D84" s="5" t="s">
        <v>393</v>
      </c>
      <c r="E84" s="7">
        <v>40</v>
      </c>
      <c r="F84" s="38">
        <f>VLOOKUP(tbMaterials[[#This Row],[Type]],tbStackSizes[],2,FALSE)</f>
        <v>9999</v>
      </c>
      <c r="G84" s="38">
        <f>tbMaterials[[#This Row],[Value]]*tbMaterials[[#This Row],[Max Stack]]</f>
        <v>399960</v>
      </c>
      <c r="H84" s="38" t="str">
        <f>IF(ISTEXT(VLOOKUP(tbMaterials[[#This Row],[Item]],tbBlueprints[],1,FALSE)),"Yes","No")</f>
        <v>No</v>
      </c>
      <c r="I84" s="38" t="str">
        <f>IF(ISTEXT(VLOOKUP(tbMaterials[[#This Row],[Item]],tbRecipes[],1,FALSE)),"Yes","No")</f>
        <v>No</v>
      </c>
    </row>
    <row r="85" spans="2:10" s="2" customFormat="1" ht="27.95" hidden="1" customHeight="1" x14ac:dyDescent="0.25">
      <c r="B85" s="3" t="s">
        <v>533</v>
      </c>
      <c r="C85" s="5" t="s">
        <v>508</v>
      </c>
      <c r="D85" s="5" t="s">
        <v>530</v>
      </c>
      <c r="E85" s="10">
        <v>800</v>
      </c>
      <c r="F85" s="52">
        <f>VLOOKUP(tbMaterials[[#This Row],[Type]],tbStackSizes[],2,FALSE)</f>
        <v>10</v>
      </c>
      <c r="G85" s="52">
        <f>tbMaterials[[#This Row],[Value]]*tbMaterials[[#This Row],[Max Stack]]</f>
        <v>8000</v>
      </c>
      <c r="H85" s="52" t="str">
        <f>IF(ISTEXT(VLOOKUP(tbMaterials[[#This Row],[Item]],tbBlueprints[],1,FALSE)),"Yes","No")</f>
        <v>Yes</v>
      </c>
      <c r="I85" s="52" t="str">
        <f>IF(ISTEXT(VLOOKUP(tbMaterials[[#This Row],[Item]],tbRecipes[],1,FALSE)),"Yes","No")</f>
        <v>No</v>
      </c>
      <c r="J85" s="3"/>
    </row>
    <row r="86" spans="2:10" s="2" customFormat="1" ht="27.95" hidden="1" customHeight="1" x14ac:dyDescent="0.25">
      <c r="B86" s="3" t="s">
        <v>561</v>
      </c>
      <c r="C86" s="5" t="s">
        <v>508</v>
      </c>
      <c r="D86" s="5" t="s">
        <v>530</v>
      </c>
      <c r="E86" s="10">
        <v>2000</v>
      </c>
      <c r="F86" s="52">
        <f>VLOOKUP(tbMaterials[[#This Row],[Type]],tbStackSizes[],2,FALSE)</f>
        <v>10</v>
      </c>
      <c r="G86" s="52">
        <f>tbMaterials[[#This Row],[Value]]*tbMaterials[[#This Row],[Max Stack]]</f>
        <v>20000</v>
      </c>
      <c r="H86" s="52" t="str">
        <f>IF(ISTEXT(VLOOKUP(tbMaterials[[#This Row],[Item]],tbBlueprints[],1,FALSE)),"Yes","No")</f>
        <v>No</v>
      </c>
      <c r="I86" s="52" t="str">
        <f>IF(ISTEXT(VLOOKUP(tbMaterials[[#This Row],[Item]],tbRecipes[],1,FALSE)),"Yes","No")</f>
        <v>No</v>
      </c>
      <c r="J86" s="3"/>
    </row>
    <row r="87" spans="2:10" s="2" customFormat="1" ht="27.95" customHeight="1" x14ac:dyDescent="0.25">
      <c r="B87" s="2" t="s">
        <v>385</v>
      </c>
      <c r="C87" s="4" t="s">
        <v>317</v>
      </c>
      <c r="D87" s="5" t="s">
        <v>384</v>
      </c>
      <c r="E87" s="7">
        <v>34</v>
      </c>
      <c r="F87" s="38">
        <f>VLOOKUP(tbMaterials[[#This Row],[Type]],tbStackSizes[],2,FALSE)</f>
        <v>9999</v>
      </c>
      <c r="G87" s="38">
        <f>tbMaterials[[#This Row],[Value]]*tbMaterials[[#This Row],[Max Stack]]</f>
        <v>339966</v>
      </c>
      <c r="H87" s="38" t="str">
        <f>IF(ISTEXT(VLOOKUP(tbMaterials[[#This Row],[Item]],tbBlueprints[],1,FALSE)),"Yes","No")</f>
        <v>No</v>
      </c>
      <c r="I87" s="38" t="str">
        <f>IF(ISTEXT(VLOOKUP(tbMaterials[[#This Row],[Item]],tbRecipes[],1,FALSE)),"Yes","No")</f>
        <v>Yes</v>
      </c>
    </row>
    <row r="88" spans="2:10" s="2" customFormat="1" ht="27.95" hidden="1" customHeight="1" x14ac:dyDescent="0.25">
      <c r="B88" s="3" t="s">
        <v>223</v>
      </c>
      <c r="C88" s="5" t="s">
        <v>316</v>
      </c>
      <c r="D88" s="5" t="s">
        <v>547</v>
      </c>
      <c r="E88" s="10">
        <v>1000</v>
      </c>
      <c r="F88" s="52">
        <f>VLOOKUP(tbMaterials[[#This Row],[Type]],tbStackSizes[],2,FALSE)</f>
        <v>20</v>
      </c>
      <c r="G88" s="52">
        <f>tbMaterials[[#This Row],[Value]]*tbMaterials[[#This Row],[Max Stack]]</f>
        <v>20000</v>
      </c>
      <c r="H88" s="52" t="str">
        <f>IF(ISTEXT(VLOOKUP(tbMaterials[[#This Row],[Item]],tbBlueprints[],1,FALSE)),"Yes","No")</f>
        <v>No</v>
      </c>
      <c r="I88" s="52" t="str">
        <f>IF(ISTEXT(VLOOKUP(tbMaterials[[#This Row],[Item]],tbRecipes[],1,FALSE)),"Yes","No")</f>
        <v>No</v>
      </c>
      <c r="J88" s="3"/>
    </row>
    <row r="89" spans="2:10" s="2" customFormat="1" ht="27.95" hidden="1" customHeight="1" x14ac:dyDescent="0.25">
      <c r="B89" s="2" t="s">
        <v>362</v>
      </c>
      <c r="C89" s="4" t="s">
        <v>323</v>
      </c>
      <c r="D89" s="5" t="s">
        <v>364</v>
      </c>
      <c r="E89" s="7">
        <v>1000</v>
      </c>
      <c r="F89" s="38">
        <f>VLOOKUP(tbMaterials[[#This Row],[Type]],tbStackSizes[],2,FALSE)</f>
        <v>5</v>
      </c>
      <c r="G89" s="38">
        <f>tbMaterials[[#This Row],[Value]]*tbMaterials[[#This Row],[Max Stack]]</f>
        <v>5000</v>
      </c>
      <c r="H89" s="38" t="str">
        <f>IF(ISTEXT(VLOOKUP(tbMaterials[[#This Row],[Item]],tbBlueprints[],1,FALSE)),"Yes","No")</f>
        <v>No</v>
      </c>
      <c r="I89" s="38" t="str">
        <f>IF(ISTEXT(VLOOKUP(tbMaterials[[#This Row],[Item]],tbRecipes[],1,FALSE)),"Yes","No")</f>
        <v>No</v>
      </c>
    </row>
    <row r="90" spans="2:10" s="2" customFormat="1" ht="27.95" hidden="1" customHeight="1" x14ac:dyDescent="0.25">
      <c r="B90" s="3" t="s">
        <v>76</v>
      </c>
      <c r="C90" s="5" t="s">
        <v>316</v>
      </c>
      <c r="D90" s="5" t="s">
        <v>563</v>
      </c>
      <c r="E90" s="10">
        <v>6000</v>
      </c>
      <c r="F90" s="52">
        <f>VLOOKUP(tbMaterials[[#This Row],[Type]],tbStackSizes[],2,FALSE)</f>
        <v>20</v>
      </c>
      <c r="G90" s="52">
        <f>tbMaterials[[#This Row],[Value]]*tbMaterials[[#This Row],[Max Stack]]</f>
        <v>120000</v>
      </c>
      <c r="H90" s="52" t="str">
        <f>IF(ISTEXT(VLOOKUP(tbMaterials[[#This Row],[Item]],tbBlueprints[],1,FALSE)),"Yes","No")</f>
        <v>No</v>
      </c>
      <c r="I90" s="52" t="str">
        <f>IF(ISTEXT(VLOOKUP(tbMaterials[[#This Row],[Item]],tbRecipes[],1,FALSE)),"Yes","No")</f>
        <v>No</v>
      </c>
      <c r="J90" s="3"/>
    </row>
    <row r="91" spans="2:10" s="2" customFormat="1" ht="27.95" customHeight="1" x14ac:dyDescent="0.25">
      <c r="B91" s="2" t="s">
        <v>11</v>
      </c>
      <c r="C91" s="4" t="s">
        <v>317</v>
      </c>
      <c r="D91" s="5" t="s">
        <v>384</v>
      </c>
      <c r="E91" s="7">
        <v>34</v>
      </c>
      <c r="F91" s="38">
        <f>VLOOKUP(tbMaterials[[#This Row],[Type]],tbStackSizes[],2,FALSE)</f>
        <v>9999</v>
      </c>
      <c r="G91" s="38">
        <f>tbMaterials[[#This Row],[Value]]*tbMaterials[[#This Row],[Max Stack]]</f>
        <v>339966</v>
      </c>
      <c r="H91" s="38" t="str">
        <f>IF(ISTEXT(VLOOKUP(tbMaterials[[#This Row],[Item]],tbBlueprints[],1,FALSE)),"Yes","No")</f>
        <v>No</v>
      </c>
      <c r="I91" s="38" t="str">
        <f>IF(ISTEXT(VLOOKUP(tbMaterials[[#This Row],[Item]],tbRecipes[],1,FALSE)),"Yes","No")</f>
        <v>No</v>
      </c>
    </row>
    <row r="92" spans="2:10" s="2" customFormat="1" ht="27.95" hidden="1" customHeight="1" x14ac:dyDescent="0.25">
      <c r="B92" s="3" t="s">
        <v>536</v>
      </c>
      <c r="C92" s="5" t="s">
        <v>316</v>
      </c>
      <c r="D92" s="5" t="s">
        <v>545</v>
      </c>
      <c r="E92" s="10">
        <v>50000</v>
      </c>
      <c r="F92" s="52">
        <f>VLOOKUP(tbMaterials[[#This Row],[Type]],tbStackSizes[],2,FALSE)</f>
        <v>20</v>
      </c>
      <c r="G92" s="52">
        <f>tbMaterials[[#This Row],[Value]]*tbMaterials[[#This Row],[Max Stack]]</f>
        <v>1000000</v>
      </c>
      <c r="H92" s="52" t="str">
        <f>IF(ISTEXT(VLOOKUP(tbMaterials[[#This Row],[Item]],tbBlueprints[],1,FALSE)),"Yes","No")</f>
        <v>Yes</v>
      </c>
      <c r="I92" s="52" t="str">
        <f>IF(ISTEXT(VLOOKUP(tbMaterials[[#This Row],[Item]],tbRecipes[],1,FALSE)),"Yes","No")</f>
        <v>Yes</v>
      </c>
      <c r="J92" s="3"/>
    </row>
    <row r="93" spans="2:10" s="2" customFormat="1" ht="27.95" hidden="1" customHeight="1" x14ac:dyDescent="0.25">
      <c r="B93" s="3" t="s">
        <v>536</v>
      </c>
      <c r="C93" s="5" t="s">
        <v>316</v>
      </c>
      <c r="D93" s="5" t="s">
        <v>545</v>
      </c>
      <c r="E93" s="10">
        <v>50000</v>
      </c>
      <c r="F93" s="52">
        <f>VLOOKUP(tbMaterials[[#This Row],[Type]],tbStackSizes[],2,FALSE)</f>
        <v>20</v>
      </c>
      <c r="G93" s="52">
        <f>tbMaterials[[#This Row],[Value]]*tbMaterials[[#This Row],[Max Stack]]</f>
        <v>1000000</v>
      </c>
      <c r="H93" s="52" t="str">
        <f>IF(ISTEXT(VLOOKUP(tbMaterials[[#This Row],[Item]],tbBlueprints[],1,FALSE)),"Yes","No")</f>
        <v>Yes</v>
      </c>
      <c r="I93" s="52" t="str">
        <f>IF(ISTEXT(VLOOKUP(tbMaterials[[#This Row],[Item]],tbRecipes[],1,FALSE)),"Yes","No")</f>
        <v>Yes</v>
      </c>
      <c r="J93" s="3"/>
    </row>
    <row r="94" spans="2:10" s="2" customFormat="1" ht="27.95" hidden="1" customHeight="1" x14ac:dyDescent="0.25">
      <c r="B94" s="3" t="s">
        <v>233</v>
      </c>
      <c r="C94" s="5" t="s">
        <v>316</v>
      </c>
      <c r="D94" s="5" t="s">
        <v>543</v>
      </c>
      <c r="E94" s="10">
        <v>6000</v>
      </c>
      <c r="F94" s="52">
        <f>VLOOKUP(tbMaterials[[#This Row],[Type]],tbStackSizes[],2,FALSE)</f>
        <v>20</v>
      </c>
      <c r="G94" s="52">
        <f>tbMaterials[[#This Row],[Value]]*tbMaterials[[#This Row],[Max Stack]]</f>
        <v>120000</v>
      </c>
      <c r="H94" s="52" t="str">
        <f>IF(ISTEXT(VLOOKUP(tbMaterials[[#This Row],[Item]],tbBlueprints[],1,FALSE)),"Yes","No")</f>
        <v>No</v>
      </c>
      <c r="I94" s="52" t="str">
        <f>IF(ISTEXT(VLOOKUP(tbMaterials[[#This Row],[Item]],tbRecipes[],1,FALSE)),"Yes","No")</f>
        <v>No</v>
      </c>
      <c r="J94" s="3"/>
    </row>
    <row r="95" spans="2:10" s="2" customFormat="1" ht="27.95" hidden="1" customHeight="1" x14ac:dyDescent="0.25">
      <c r="B95" s="2" t="s">
        <v>208</v>
      </c>
      <c r="C95" s="4" t="s">
        <v>316</v>
      </c>
      <c r="D95" s="5" t="s">
        <v>622</v>
      </c>
      <c r="E95" s="7">
        <v>15000</v>
      </c>
      <c r="F95" s="38">
        <f>VLOOKUP(tbMaterials[[#This Row],[Type]],tbStackSizes[],2,FALSE)</f>
        <v>20</v>
      </c>
      <c r="G95" s="38">
        <f>tbMaterials[[#This Row],[Value]]*tbMaterials[[#This Row],[Max Stack]]</f>
        <v>300000</v>
      </c>
      <c r="H95" s="38" t="str">
        <f>IF(ISTEXT(VLOOKUP(tbMaterials[[#This Row],[Item]],tbBlueprints[],1,FALSE)),"Yes","No")</f>
        <v>No</v>
      </c>
      <c r="I95" s="38" t="str">
        <f>IF(ISTEXT(VLOOKUP(tbMaterials[[#This Row],[Item]],tbRecipes[],1,FALSE)),"Yes","No")</f>
        <v>No</v>
      </c>
    </row>
    <row r="96" spans="2:10" s="2" customFormat="1" ht="27.95" hidden="1" customHeight="1" x14ac:dyDescent="0.25">
      <c r="B96" s="3" t="s">
        <v>225</v>
      </c>
      <c r="C96" s="5" t="s">
        <v>316</v>
      </c>
      <c r="D96" s="5" t="s">
        <v>547</v>
      </c>
      <c r="E96" s="10">
        <v>15000</v>
      </c>
      <c r="F96" s="52">
        <f>VLOOKUP(tbMaterials[[#This Row],[Type]],tbStackSizes[],2,FALSE)</f>
        <v>20</v>
      </c>
      <c r="G96" s="52">
        <f>tbMaterials[[#This Row],[Value]]*tbMaterials[[#This Row],[Max Stack]]</f>
        <v>300000</v>
      </c>
      <c r="H96" s="52" t="str">
        <f>IF(ISTEXT(VLOOKUP(tbMaterials[[#This Row],[Item]],tbBlueprints[],1,FALSE)),"Yes","No")</f>
        <v>No</v>
      </c>
      <c r="I96" s="52" t="str">
        <f>IF(ISTEXT(VLOOKUP(tbMaterials[[#This Row],[Item]],tbRecipes[],1,FALSE)),"Yes","No")</f>
        <v>No</v>
      </c>
      <c r="J96" s="3"/>
    </row>
    <row r="97" spans="2:10" s="2" customFormat="1" ht="27.95" hidden="1" customHeight="1" x14ac:dyDescent="0.25">
      <c r="B97" s="3" t="s">
        <v>218</v>
      </c>
      <c r="C97" s="5" t="s">
        <v>316</v>
      </c>
      <c r="D97" s="5" t="s">
        <v>563</v>
      </c>
      <c r="E97" s="10">
        <v>30000</v>
      </c>
      <c r="F97" s="52">
        <f>VLOOKUP(tbMaterials[[#This Row],[Type]],tbStackSizes[],2,FALSE)</f>
        <v>20</v>
      </c>
      <c r="G97" s="52">
        <f>tbMaterials[[#This Row],[Value]]*tbMaterials[[#This Row],[Max Stack]]</f>
        <v>600000</v>
      </c>
      <c r="H97" s="52" t="str">
        <f>IF(ISTEXT(VLOOKUP(tbMaterials[[#This Row],[Item]],tbBlueprints[],1,FALSE)),"Yes","No")</f>
        <v>No</v>
      </c>
      <c r="I97" s="52" t="str">
        <f>IF(ISTEXT(VLOOKUP(tbMaterials[[#This Row],[Item]],tbRecipes[],1,FALSE)),"Yes","No")</f>
        <v>No</v>
      </c>
      <c r="J97" s="3"/>
    </row>
    <row r="98" spans="2:10" s="2" customFormat="1" ht="27.95" customHeight="1" x14ac:dyDescent="0.25">
      <c r="B98" s="2" t="s">
        <v>9</v>
      </c>
      <c r="C98" s="4" t="s">
        <v>317</v>
      </c>
      <c r="D98" s="5" t="s">
        <v>380</v>
      </c>
      <c r="E98" s="7">
        <v>34</v>
      </c>
      <c r="F98" s="38">
        <f>VLOOKUP(tbMaterials[[#This Row],[Type]],tbStackSizes[],2,FALSE)</f>
        <v>9999</v>
      </c>
      <c r="G98" s="38">
        <f>tbMaterials[[#This Row],[Value]]*tbMaterials[[#This Row],[Max Stack]]</f>
        <v>339966</v>
      </c>
      <c r="H98" s="38" t="str">
        <f>IF(ISTEXT(VLOOKUP(tbMaterials[[#This Row],[Item]],tbBlueprints[],1,FALSE)),"Yes","No")</f>
        <v>No</v>
      </c>
      <c r="I98" s="38" t="str">
        <f>IF(ISTEXT(VLOOKUP(tbMaterials[[#This Row],[Item]],tbRecipes[],1,FALSE)),"Yes","No")</f>
        <v>No</v>
      </c>
    </row>
    <row r="99" spans="2:10" s="2" customFormat="1" ht="27.95" customHeight="1" x14ac:dyDescent="0.25">
      <c r="B99" s="2" t="s">
        <v>95</v>
      </c>
      <c r="C99" s="4" t="s">
        <v>317</v>
      </c>
      <c r="D99" s="5" t="s">
        <v>379</v>
      </c>
      <c r="E99" s="7">
        <v>32</v>
      </c>
      <c r="F99" s="38">
        <f>VLOOKUP(tbMaterials[[#This Row],[Type]],tbStackSizes[],2,FALSE)</f>
        <v>9999</v>
      </c>
      <c r="G99" s="38">
        <f>tbMaterials[[#This Row],[Value]]*tbMaterials[[#This Row],[Max Stack]]</f>
        <v>319968</v>
      </c>
      <c r="H99" s="38" t="str">
        <f>IF(ISTEXT(VLOOKUP(tbMaterials[[#This Row],[Item]],tbBlueprints[],1,FALSE)),"Yes","No")</f>
        <v>No</v>
      </c>
      <c r="I99" s="38" t="str">
        <f>IF(ISTEXT(VLOOKUP(tbMaterials[[#This Row],[Item]],tbRecipes[],1,FALSE)),"Yes","No")</f>
        <v>No</v>
      </c>
    </row>
    <row r="100" spans="2:10" s="2" customFormat="1" ht="27.95" customHeight="1" x14ac:dyDescent="0.25">
      <c r="B100" s="2" t="s">
        <v>139</v>
      </c>
      <c r="C100" s="4" t="s">
        <v>317</v>
      </c>
      <c r="D100" s="5" t="s">
        <v>379</v>
      </c>
      <c r="E100" s="7">
        <v>28</v>
      </c>
      <c r="F100" s="38">
        <f>VLOOKUP(tbMaterials[[#This Row],[Type]],tbStackSizes[],2,FALSE)</f>
        <v>9999</v>
      </c>
      <c r="G100" s="38">
        <f>tbMaterials[[#This Row],[Value]]*tbMaterials[[#This Row],[Max Stack]]</f>
        <v>279972</v>
      </c>
      <c r="H100" s="38" t="str">
        <f>IF(ISTEXT(VLOOKUP(tbMaterials[[#This Row],[Item]],tbBlueprints[],1,FALSE)),"Yes","No")</f>
        <v>No</v>
      </c>
      <c r="I100" s="38" t="str">
        <f>IF(ISTEXT(VLOOKUP(tbMaterials[[#This Row],[Item]],tbRecipes[],1,FALSE)),"Yes","No")</f>
        <v>No</v>
      </c>
    </row>
    <row r="101" spans="2:10" s="2" customFormat="1" ht="27.95" customHeight="1" x14ac:dyDescent="0.25">
      <c r="B101" s="2" t="s">
        <v>304</v>
      </c>
      <c r="C101" s="4" t="s">
        <v>317</v>
      </c>
      <c r="D101" s="5" t="s">
        <v>387</v>
      </c>
      <c r="E101" s="7">
        <v>28</v>
      </c>
      <c r="F101" s="38">
        <f>VLOOKUP(tbMaterials[[#This Row],[Type]],tbStackSizes[],2,FALSE)</f>
        <v>9999</v>
      </c>
      <c r="G101" s="38">
        <f>tbMaterials[[#This Row],[Value]]*tbMaterials[[#This Row],[Max Stack]]</f>
        <v>279972</v>
      </c>
      <c r="H101" s="38" t="str">
        <f>IF(ISTEXT(VLOOKUP(tbMaterials[[#This Row],[Item]],tbBlueprints[],1,FALSE)),"Yes","No")</f>
        <v>No</v>
      </c>
      <c r="I101" s="38" t="str">
        <f>IF(ISTEXT(VLOOKUP(tbMaterials[[#This Row],[Item]],tbRecipes[],1,FALSE)),"Yes","No")</f>
        <v>No</v>
      </c>
    </row>
    <row r="102" spans="2:10" s="2" customFormat="1" ht="27.95" hidden="1" customHeight="1" x14ac:dyDescent="0.25">
      <c r="B102" s="2" t="s">
        <v>215</v>
      </c>
      <c r="C102" s="4" t="s">
        <v>316</v>
      </c>
      <c r="D102" s="5" t="s">
        <v>624</v>
      </c>
      <c r="E102" s="7">
        <v>30000</v>
      </c>
      <c r="F102" s="38">
        <f>VLOOKUP(tbMaterials[[#This Row],[Type]],tbStackSizes[],2,FALSE)</f>
        <v>20</v>
      </c>
      <c r="G102" s="38">
        <f>tbMaterials[[#This Row],[Value]]*tbMaterials[[#This Row],[Max Stack]]</f>
        <v>600000</v>
      </c>
      <c r="H102" s="38" t="str">
        <f>IF(ISTEXT(VLOOKUP(tbMaterials[[#This Row],[Item]],tbBlueprints[],1,FALSE)),"Yes","No")</f>
        <v>No</v>
      </c>
      <c r="I102" s="38" t="str">
        <f>IF(ISTEXT(VLOOKUP(tbMaterials[[#This Row],[Item]],tbRecipes[],1,FALSE)),"Yes","No")</f>
        <v>No</v>
      </c>
    </row>
    <row r="103" spans="2:10" s="2" customFormat="1" ht="27.95" customHeight="1" x14ac:dyDescent="0.25">
      <c r="B103" s="2" t="s">
        <v>290</v>
      </c>
      <c r="C103" s="4" t="s">
        <v>317</v>
      </c>
      <c r="D103" s="5" t="s">
        <v>380</v>
      </c>
      <c r="E103" s="7">
        <v>24</v>
      </c>
      <c r="F103" s="38">
        <f>VLOOKUP(tbMaterials[[#This Row],[Type]],tbStackSizes[],2,FALSE)</f>
        <v>9999</v>
      </c>
      <c r="G103" s="38">
        <f>tbMaterials[[#This Row],[Value]]*tbMaterials[[#This Row],[Max Stack]]</f>
        <v>239976</v>
      </c>
      <c r="H103" s="38" t="str">
        <f>IF(ISTEXT(VLOOKUP(tbMaterials[[#This Row],[Item]],tbBlueprints[],1,FALSE)),"Yes","No")</f>
        <v>No</v>
      </c>
      <c r="I103" s="38" t="str">
        <f>IF(ISTEXT(VLOOKUP(tbMaterials[[#This Row],[Item]],tbRecipes[],1,FALSE)),"Yes","No")</f>
        <v>No</v>
      </c>
    </row>
    <row r="104" spans="2:10" s="2" customFormat="1" ht="27.95" customHeight="1" x14ac:dyDescent="0.25">
      <c r="B104" s="2" t="s">
        <v>391</v>
      </c>
      <c r="C104" s="4" t="s">
        <v>317</v>
      </c>
      <c r="D104" s="5" t="s">
        <v>392</v>
      </c>
      <c r="E104" s="7">
        <v>20</v>
      </c>
      <c r="F104" s="38">
        <f>VLOOKUP(tbMaterials[[#This Row],[Type]],tbStackSizes[],2,FALSE)</f>
        <v>9999</v>
      </c>
      <c r="G104" s="38">
        <f>tbMaterials[[#This Row],[Value]]*tbMaterials[[#This Row],[Max Stack]]</f>
        <v>199980</v>
      </c>
      <c r="H104" s="38" t="str">
        <f>IF(ISTEXT(VLOOKUP(tbMaterials[[#This Row],[Item]],tbBlueprints[],1,FALSE)),"Yes","No")</f>
        <v>No</v>
      </c>
      <c r="I104" s="38" t="str">
        <f>IF(ISTEXT(VLOOKUP(tbMaterials[[#This Row],[Item]],tbRecipes[],1,FALSE)),"Yes","No")</f>
        <v>No</v>
      </c>
    </row>
    <row r="105" spans="2:10" s="2" customFormat="1" ht="27.95" customHeight="1" x14ac:dyDescent="0.25">
      <c r="B105" s="2" t="s">
        <v>22</v>
      </c>
      <c r="C105" s="4" t="s">
        <v>317</v>
      </c>
      <c r="D105" s="5" t="s">
        <v>394</v>
      </c>
      <c r="E105" s="7">
        <v>20</v>
      </c>
      <c r="F105" s="38">
        <f>VLOOKUP(tbMaterials[[#This Row],[Type]],tbStackSizes[],2,FALSE)</f>
        <v>9999</v>
      </c>
      <c r="G105" s="38">
        <f>tbMaterials[[#This Row],[Value]]*tbMaterials[[#This Row],[Max Stack]]</f>
        <v>199980</v>
      </c>
      <c r="H105" s="38" t="str">
        <f>IF(ISTEXT(VLOOKUP(tbMaterials[[#This Row],[Item]],tbBlueprints[],1,FALSE)),"Yes","No")</f>
        <v>No</v>
      </c>
      <c r="I105" s="38" t="str">
        <f>IF(ISTEXT(VLOOKUP(tbMaterials[[#This Row],[Item]],tbRecipes[],1,FALSE)),"Yes","No")</f>
        <v>No</v>
      </c>
    </row>
    <row r="106" spans="2:10" s="2" customFormat="1" ht="27.95" hidden="1" customHeight="1" x14ac:dyDescent="0.25">
      <c r="B106" s="2" t="s">
        <v>245</v>
      </c>
      <c r="C106" s="4" t="s">
        <v>316</v>
      </c>
      <c r="D106" s="5" t="s">
        <v>626</v>
      </c>
      <c r="E106" s="7">
        <v>50000</v>
      </c>
      <c r="F106" s="38">
        <f>VLOOKUP(tbMaterials[[#This Row],[Type]],tbStackSizes[],2,FALSE)</f>
        <v>20</v>
      </c>
      <c r="G106" s="38">
        <f>tbMaterials[[#This Row],[Value]]*tbMaterials[[#This Row],[Max Stack]]</f>
        <v>1000000</v>
      </c>
      <c r="H106" s="38" t="str">
        <f>IF(ISTEXT(VLOOKUP(tbMaterials[[#This Row],[Item]],tbBlueprints[],1,FALSE)),"Yes","No")</f>
        <v>No</v>
      </c>
      <c r="I106" s="38" t="str">
        <f>IF(ISTEXT(VLOOKUP(tbMaterials[[#This Row],[Item]],tbRecipes[],1,FALSE)),"Yes","No")</f>
        <v>No</v>
      </c>
    </row>
    <row r="107" spans="2:10" s="2" customFormat="1" ht="27.95" customHeight="1" x14ac:dyDescent="0.25">
      <c r="B107" s="2" t="s">
        <v>372</v>
      </c>
      <c r="C107" s="4" t="s">
        <v>317</v>
      </c>
      <c r="D107" s="5" t="s">
        <v>394</v>
      </c>
      <c r="E107" s="7">
        <v>20</v>
      </c>
      <c r="F107" s="38">
        <f>VLOOKUP(tbMaterials[[#This Row],[Type]],tbStackSizes[],2,FALSE)</f>
        <v>9999</v>
      </c>
      <c r="G107" s="38">
        <f>tbMaterials[[#This Row],[Value]]*tbMaterials[[#This Row],[Max Stack]]</f>
        <v>199980</v>
      </c>
      <c r="H107" s="38" t="str">
        <f>IF(ISTEXT(VLOOKUP(tbMaterials[[#This Row],[Item]],tbBlueprints[],1,FALSE)),"Yes","No")</f>
        <v>No</v>
      </c>
      <c r="I107" s="38" t="str">
        <f>IF(ISTEXT(VLOOKUP(tbMaterials[[#This Row],[Item]],tbRecipes[],1,FALSE)),"Yes","No")</f>
        <v>No</v>
      </c>
    </row>
    <row r="108" spans="2:10" s="2" customFormat="1" ht="27.95" hidden="1" customHeight="1" x14ac:dyDescent="0.25">
      <c r="B108" s="3" t="s">
        <v>521</v>
      </c>
      <c r="C108" s="5" t="s">
        <v>323</v>
      </c>
      <c r="D108" s="5" t="s">
        <v>508</v>
      </c>
      <c r="E108" s="10">
        <v>4200</v>
      </c>
      <c r="F108" s="52">
        <f>VLOOKUP(tbMaterials[[#This Row],[Type]],tbStackSizes[],2,FALSE)</f>
        <v>5</v>
      </c>
      <c r="G108" s="52">
        <f>tbMaterials[[#This Row],[Value]]*tbMaterials[[#This Row],[Max Stack]]</f>
        <v>21000</v>
      </c>
      <c r="H108" s="52" t="str">
        <f>IF(ISTEXT(VLOOKUP(tbMaterials[[#This Row],[Item]],tbBlueprints[],1,FALSE)),"Yes","No")</f>
        <v>Yes</v>
      </c>
      <c r="I108" s="52" t="str">
        <f>IF(ISTEXT(VLOOKUP(tbMaterials[[#This Row],[Item]],tbRecipes[],1,FALSE)),"Yes","No")</f>
        <v>Yes</v>
      </c>
      <c r="J108" s="3"/>
    </row>
    <row r="109" spans="2:10" s="2" customFormat="1" ht="27.95" hidden="1" customHeight="1" x14ac:dyDescent="0.25">
      <c r="B109" s="2" t="s">
        <v>504</v>
      </c>
      <c r="C109" s="4" t="s">
        <v>505</v>
      </c>
      <c r="D109" s="5" t="s">
        <v>506</v>
      </c>
      <c r="E109" s="7">
        <v>1000</v>
      </c>
      <c r="F109" s="38">
        <f>VLOOKUP(tbMaterials[[#This Row],[Type]],tbStackSizes[],2,FALSE)</f>
        <v>20</v>
      </c>
      <c r="G109" s="38">
        <f>tbMaterials[[#This Row],[Value]]*tbMaterials[[#This Row],[Max Stack]]</f>
        <v>20000</v>
      </c>
      <c r="H109" s="38" t="str">
        <f>IF(ISTEXT(VLOOKUP(tbMaterials[[#This Row],[Item]],tbBlueprints[],1,FALSE)),"Yes","No")</f>
        <v>No</v>
      </c>
      <c r="I109" s="38" t="str">
        <f>IF(ISTEXT(VLOOKUP(tbMaterials[[#This Row],[Item]],tbRecipes[],1,FALSE)),"Yes","No")</f>
        <v>No</v>
      </c>
    </row>
    <row r="110" spans="2:10" s="2" customFormat="1" ht="27.95" customHeight="1" x14ac:dyDescent="0.25">
      <c r="B110" s="2" t="s">
        <v>396</v>
      </c>
      <c r="C110" s="4" t="s">
        <v>317</v>
      </c>
      <c r="D110" s="5" t="s">
        <v>392</v>
      </c>
      <c r="E110" s="7">
        <v>20</v>
      </c>
      <c r="F110" s="38">
        <f>VLOOKUP(tbMaterials[[#This Row],[Type]],tbStackSizes[],2,FALSE)</f>
        <v>9999</v>
      </c>
      <c r="G110" s="38">
        <f>tbMaterials[[#This Row],[Value]]*tbMaterials[[#This Row],[Max Stack]]</f>
        <v>199980</v>
      </c>
      <c r="H110" s="38" t="str">
        <f>IF(ISTEXT(VLOOKUP(tbMaterials[[#This Row],[Item]],tbBlueprints[],1,FALSE)),"Yes","No")</f>
        <v>No</v>
      </c>
      <c r="I110" s="38" t="str">
        <f>IF(ISTEXT(VLOOKUP(tbMaterials[[#This Row],[Item]],tbRecipes[],1,FALSE)),"Yes","No")</f>
        <v>No</v>
      </c>
    </row>
    <row r="111" spans="2:10" s="2" customFormat="1" ht="27.95" customHeight="1" x14ac:dyDescent="0.25">
      <c r="B111" s="2" t="s">
        <v>397</v>
      </c>
      <c r="C111" s="4" t="s">
        <v>317</v>
      </c>
      <c r="D111" s="5" t="s">
        <v>392</v>
      </c>
      <c r="E111" s="7">
        <v>20</v>
      </c>
      <c r="F111" s="38">
        <f>VLOOKUP(tbMaterials[[#This Row],[Type]],tbStackSizes[],2,FALSE)</f>
        <v>9999</v>
      </c>
      <c r="G111" s="38">
        <f>tbMaterials[[#This Row],[Value]]*tbMaterials[[#This Row],[Max Stack]]</f>
        <v>199980</v>
      </c>
      <c r="H111" s="38" t="str">
        <f>IF(ISTEXT(VLOOKUP(tbMaterials[[#This Row],[Item]],tbBlueprints[],1,FALSE)),"Yes","No")</f>
        <v>No</v>
      </c>
      <c r="I111" s="38" t="str">
        <f>IF(ISTEXT(VLOOKUP(tbMaterials[[#This Row],[Item]],tbRecipes[],1,FALSE)),"Yes","No")</f>
        <v>No</v>
      </c>
    </row>
    <row r="112" spans="2:10" s="2" customFormat="1" ht="27.95" customHeight="1" x14ac:dyDescent="0.25">
      <c r="B112" s="2" t="s">
        <v>119</v>
      </c>
      <c r="C112" s="4" t="s">
        <v>317</v>
      </c>
      <c r="D112" s="5" t="s">
        <v>392</v>
      </c>
      <c r="E112" s="7">
        <v>20</v>
      </c>
      <c r="F112" s="38">
        <f>VLOOKUP(tbMaterials[[#This Row],[Type]],tbStackSizes[],2,FALSE)</f>
        <v>9999</v>
      </c>
      <c r="G112" s="38">
        <f>tbMaterials[[#This Row],[Value]]*tbMaterials[[#This Row],[Max Stack]]</f>
        <v>199980</v>
      </c>
      <c r="H112" s="38" t="str">
        <f>IF(ISTEXT(VLOOKUP(tbMaterials[[#This Row],[Item]],tbBlueprints[],1,FALSE)),"Yes","No")</f>
        <v>No</v>
      </c>
      <c r="I112" s="38" t="str">
        <f>IF(ISTEXT(VLOOKUP(tbMaterials[[#This Row],[Item]],tbRecipes[],1,FALSE)),"Yes","No")</f>
        <v>No</v>
      </c>
    </row>
    <row r="113" spans="2:10" s="2" customFormat="1" ht="27.95" hidden="1" customHeight="1" x14ac:dyDescent="0.25">
      <c r="B113" s="3" t="s">
        <v>333</v>
      </c>
      <c r="C113" s="5" t="s">
        <v>316</v>
      </c>
      <c r="D113" s="5" t="s">
        <v>364</v>
      </c>
      <c r="E113" s="10">
        <v>11685</v>
      </c>
      <c r="F113" s="52">
        <f>VLOOKUP(tbMaterials[[#This Row],[Type]],tbStackSizes[],2,FALSE)</f>
        <v>20</v>
      </c>
      <c r="G113" s="52">
        <f>tbMaterials[[#This Row],[Value]]*tbMaterials[[#This Row],[Max Stack]]</f>
        <v>233700</v>
      </c>
      <c r="H113" s="52" t="str">
        <f>IF(ISTEXT(VLOOKUP(tbMaterials[[#This Row],[Item]],tbBlueprints[],1,FALSE)),"Yes","No")</f>
        <v>No</v>
      </c>
      <c r="I113" s="52" t="str">
        <f>IF(ISTEXT(VLOOKUP(tbMaterials[[#This Row],[Item]],tbRecipes[],1,FALSE)),"Yes","No")</f>
        <v>No</v>
      </c>
      <c r="J113" s="3"/>
    </row>
    <row r="114" spans="2:10" s="2" customFormat="1" ht="27.95" customHeight="1" x14ac:dyDescent="0.25">
      <c r="B114" s="2" t="s">
        <v>40</v>
      </c>
      <c r="C114" s="4" t="s">
        <v>317</v>
      </c>
      <c r="D114" s="5" t="s">
        <v>394</v>
      </c>
      <c r="E114" s="7">
        <v>20</v>
      </c>
      <c r="F114" s="38">
        <f>VLOOKUP(tbMaterials[[#This Row],[Type]],tbStackSizes[],2,FALSE)</f>
        <v>9999</v>
      </c>
      <c r="G114" s="38">
        <f>tbMaterials[[#This Row],[Value]]*tbMaterials[[#This Row],[Max Stack]]</f>
        <v>199980</v>
      </c>
      <c r="H114" s="38" t="str">
        <f>IF(ISTEXT(VLOOKUP(tbMaterials[[#This Row],[Item]],tbBlueprints[],1,FALSE)),"Yes","No")</f>
        <v>No</v>
      </c>
      <c r="I114" s="38" t="str">
        <f>IF(ISTEXT(VLOOKUP(tbMaterials[[#This Row],[Item]],tbRecipes[],1,FALSE)),"Yes","No")</f>
        <v>No</v>
      </c>
    </row>
    <row r="115" spans="2:10" s="2" customFormat="1" ht="27.95" hidden="1" customHeight="1" x14ac:dyDescent="0.25">
      <c r="B115" s="2" t="s">
        <v>363</v>
      </c>
      <c r="C115" s="4" t="s">
        <v>323</v>
      </c>
      <c r="D115" s="5" t="s">
        <v>364</v>
      </c>
      <c r="E115" s="7">
        <v>50000</v>
      </c>
      <c r="F115" s="38">
        <f>VLOOKUP(tbMaterials[[#This Row],[Type]],tbStackSizes[],2,FALSE)</f>
        <v>5</v>
      </c>
      <c r="G115" s="38">
        <f>tbMaterials[[#This Row],[Value]]*tbMaterials[[#This Row],[Max Stack]]</f>
        <v>250000</v>
      </c>
      <c r="H115" s="38" t="str">
        <f>IF(ISTEXT(VLOOKUP(tbMaterials[[#This Row],[Item]],tbBlueprints[],1,FALSE)),"Yes","No")</f>
        <v>No</v>
      </c>
      <c r="I115" s="38" t="str">
        <f>IF(ISTEXT(VLOOKUP(tbMaterials[[#This Row],[Item]],tbRecipes[],1,FALSE)),"Yes","No")</f>
        <v>No</v>
      </c>
    </row>
    <row r="116" spans="2:10" s="2" customFormat="1" ht="27.95" hidden="1" customHeight="1" x14ac:dyDescent="0.25">
      <c r="B116" s="3" t="s">
        <v>224</v>
      </c>
      <c r="C116" s="5" t="s">
        <v>316</v>
      </c>
      <c r="D116" s="5" t="s">
        <v>547</v>
      </c>
      <c r="E116" s="10">
        <v>6000</v>
      </c>
      <c r="F116" s="52">
        <f>VLOOKUP(tbMaterials[[#This Row],[Type]],tbStackSizes[],2,FALSE)</f>
        <v>20</v>
      </c>
      <c r="G116" s="52">
        <f>tbMaterials[[#This Row],[Value]]*tbMaterials[[#This Row],[Max Stack]]</f>
        <v>120000</v>
      </c>
      <c r="H116" s="52" t="str">
        <f>IF(ISTEXT(VLOOKUP(tbMaterials[[#This Row],[Item]],tbBlueprints[],1,FALSE)),"Yes","No")</f>
        <v>No</v>
      </c>
      <c r="I116" s="52" t="str">
        <f>IF(ISTEXT(VLOOKUP(tbMaterials[[#This Row],[Item]],tbRecipes[],1,FALSE)),"Yes","No")</f>
        <v>No</v>
      </c>
      <c r="J116" s="3"/>
    </row>
    <row r="117" spans="2:10" s="2" customFormat="1" ht="27.95" hidden="1" customHeight="1" x14ac:dyDescent="0.25">
      <c r="B117" s="3" t="s">
        <v>537</v>
      </c>
      <c r="C117" s="5" t="s">
        <v>316</v>
      </c>
      <c r="D117" s="5" t="s">
        <v>546</v>
      </c>
      <c r="E117" s="10">
        <v>400000</v>
      </c>
      <c r="F117" s="52">
        <f>VLOOKUP(tbMaterials[[#This Row],[Type]],tbStackSizes[],2,FALSE)</f>
        <v>20</v>
      </c>
      <c r="G117" s="52">
        <f>tbMaterials[[#This Row],[Value]]*tbMaterials[[#This Row],[Max Stack]]</f>
        <v>8000000</v>
      </c>
      <c r="H117" s="52" t="str">
        <f>IF(ISTEXT(VLOOKUP(tbMaterials[[#This Row],[Item]],tbBlueprints[],1,FALSE)),"Yes","No")</f>
        <v>Yes</v>
      </c>
      <c r="I117" s="52" t="str">
        <f>IF(ISTEXT(VLOOKUP(tbMaterials[[#This Row],[Item]],tbRecipes[],1,FALSE)),"Yes","No")</f>
        <v>No</v>
      </c>
      <c r="J117" s="3"/>
    </row>
    <row r="118" spans="2:10" s="2" customFormat="1" ht="27.95" customHeight="1" x14ac:dyDescent="0.25">
      <c r="B118" s="2" t="s">
        <v>399</v>
      </c>
      <c r="C118" s="4" t="s">
        <v>317</v>
      </c>
      <c r="D118" s="5" t="s">
        <v>392</v>
      </c>
      <c r="E118" s="7">
        <v>20</v>
      </c>
      <c r="F118" s="38">
        <f>VLOOKUP(tbMaterials[[#This Row],[Type]],tbStackSizes[],2,FALSE)</f>
        <v>9999</v>
      </c>
      <c r="G118" s="38">
        <f>tbMaterials[[#This Row],[Value]]*tbMaterials[[#This Row],[Max Stack]]</f>
        <v>199980</v>
      </c>
      <c r="H118" s="38" t="str">
        <f>IF(ISTEXT(VLOOKUP(tbMaterials[[#This Row],[Item]],tbBlueprints[],1,FALSE)),"Yes","No")</f>
        <v>No</v>
      </c>
      <c r="I118" s="38" t="str">
        <f>IF(ISTEXT(VLOOKUP(tbMaterials[[#This Row],[Item]],tbRecipes[],1,FALSE)),"Yes","No")</f>
        <v>No</v>
      </c>
    </row>
    <row r="119" spans="2:10" s="2" customFormat="1" ht="27.95" customHeight="1" x14ac:dyDescent="0.25">
      <c r="B119" s="2" t="s">
        <v>267</v>
      </c>
      <c r="C119" s="4" t="s">
        <v>317</v>
      </c>
      <c r="D119" s="5" t="s">
        <v>379</v>
      </c>
      <c r="E119" s="7">
        <v>16</v>
      </c>
      <c r="F119" s="38">
        <f>VLOOKUP(tbMaterials[[#This Row],[Type]],tbStackSizes[],2,FALSE)</f>
        <v>9999</v>
      </c>
      <c r="G119" s="38">
        <f>tbMaterials[[#This Row],[Value]]*tbMaterials[[#This Row],[Max Stack]]</f>
        <v>159984</v>
      </c>
      <c r="H119" s="38" t="str">
        <f>IF(ISTEXT(VLOOKUP(tbMaterials[[#This Row],[Item]],tbBlueprints[],1,FALSE)),"Yes","No")</f>
        <v>No</v>
      </c>
      <c r="I119" s="38" t="str">
        <f>IF(ISTEXT(VLOOKUP(tbMaterials[[#This Row],[Item]],tbRecipes[],1,FALSE)),"Yes","No")</f>
        <v>No</v>
      </c>
    </row>
    <row r="120" spans="2:10" s="2" customFormat="1" ht="27.95" hidden="1" customHeight="1" x14ac:dyDescent="0.25">
      <c r="B120" s="3" t="s">
        <v>234</v>
      </c>
      <c r="C120" s="5" t="s">
        <v>316</v>
      </c>
      <c r="D120" s="5" t="s">
        <v>543</v>
      </c>
      <c r="E120" s="10">
        <v>15000</v>
      </c>
      <c r="F120" s="52">
        <f>VLOOKUP(tbMaterials[[#This Row],[Type]],tbStackSizes[],2,FALSE)</f>
        <v>20</v>
      </c>
      <c r="G120" s="52">
        <f>tbMaterials[[#This Row],[Value]]*tbMaterials[[#This Row],[Max Stack]]</f>
        <v>300000</v>
      </c>
      <c r="H120" s="52" t="str">
        <f>IF(ISTEXT(VLOOKUP(tbMaterials[[#This Row],[Item]],tbBlueprints[],1,FALSE)),"Yes","No")</f>
        <v>No</v>
      </c>
      <c r="I120" s="52" t="str">
        <f>IF(ISTEXT(VLOOKUP(tbMaterials[[#This Row],[Item]],tbRecipes[],1,FALSE)),"Yes","No")</f>
        <v>No</v>
      </c>
      <c r="J120" s="3"/>
    </row>
    <row r="121" spans="2:10" s="2" customFormat="1" ht="27.95" customHeight="1" x14ac:dyDescent="0.25">
      <c r="B121" s="2" t="s">
        <v>62</v>
      </c>
      <c r="C121" s="4" t="s">
        <v>317</v>
      </c>
      <c r="D121" s="5" t="s">
        <v>379</v>
      </c>
      <c r="E121" s="7">
        <v>16</v>
      </c>
      <c r="F121" s="38">
        <f>VLOOKUP(tbMaterials[[#This Row],[Type]],tbStackSizes[],2,FALSE)</f>
        <v>9999</v>
      </c>
      <c r="G121" s="38">
        <f>tbMaterials[[#This Row],[Value]]*tbMaterials[[#This Row],[Max Stack]]</f>
        <v>159984</v>
      </c>
      <c r="H121" s="38" t="str">
        <f>IF(ISTEXT(VLOOKUP(tbMaterials[[#This Row],[Item]],tbBlueprints[],1,FALSE)),"Yes","No")</f>
        <v>No</v>
      </c>
      <c r="I121" s="38" t="str">
        <f>IF(ISTEXT(VLOOKUP(tbMaterials[[#This Row],[Item]],tbRecipes[],1,FALSE)),"Yes","No")</f>
        <v>No</v>
      </c>
    </row>
    <row r="122" spans="2:10" s="2" customFormat="1" ht="27.95" customHeight="1" x14ac:dyDescent="0.25">
      <c r="B122" s="2" t="s">
        <v>13</v>
      </c>
      <c r="C122" s="4" t="s">
        <v>317</v>
      </c>
      <c r="D122" s="5" t="s">
        <v>387</v>
      </c>
      <c r="E122" s="7">
        <v>14</v>
      </c>
      <c r="F122" s="38">
        <f>VLOOKUP(tbMaterials[[#This Row],[Type]],tbStackSizes[],2,FALSE)</f>
        <v>9999</v>
      </c>
      <c r="G122" s="38">
        <f>tbMaterials[[#This Row],[Value]]*tbMaterials[[#This Row],[Max Stack]]</f>
        <v>139986</v>
      </c>
      <c r="H122" s="38" t="str">
        <f>IF(ISTEXT(VLOOKUP(tbMaterials[[#This Row],[Item]],tbBlueprints[],1,FALSE)),"Yes","No")</f>
        <v>No</v>
      </c>
      <c r="I122" s="38" t="str">
        <f>IF(ISTEXT(VLOOKUP(tbMaterials[[#This Row],[Item]],tbRecipes[],1,FALSE)),"Yes","No")</f>
        <v>No</v>
      </c>
    </row>
    <row r="123" spans="2:10" s="2" customFormat="1" ht="27.95" customHeight="1" x14ac:dyDescent="0.25">
      <c r="B123" s="2" t="s">
        <v>7</v>
      </c>
      <c r="C123" s="4" t="s">
        <v>317</v>
      </c>
      <c r="D123" s="5" t="s">
        <v>380</v>
      </c>
      <c r="E123" s="7">
        <v>12</v>
      </c>
      <c r="F123" s="38">
        <f>VLOOKUP(tbMaterials[[#This Row],[Type]],tbStackSizes[],2,FALSE)</f>
        <v>9999</v>
      </c>
      <c r="G123" s="38">
        <f>tbMaterials[[#This Row],[Value]]*tbMaterials[[#This Row],[Max Stack]]</f>
        <v>119988</v>
      </c>
      <c r="H123" s="38" t="str">
        <f>IF(ISTEXT(VLOOKUP(tbMaterials[[#This Row],[Item]],tbBlueprints[],1,FALSE)),"Yes","No")</f>
        <v>No</v>
      </c>
      <c r="I123" s="38" t="str">
        <f>IF(ISTEXT(VLOOKUP(tbMaterials[[#This Row],[Item]],tbRecipes[],1,FALSE)),"Yes","No")</f>
        <v>No</v>
      </c>
    </row>
    <row r="124" spans="2:10" s="2" customFormat="1" ht="27.95" hidden="1" customHeight="1" x14ac:dyDescent="0.25">
      <c r="B124" s="2" t="s">
        <v>575</v>
      </c>
      <c r="C124" s="4" t="s">
        <v>316</v>
      </c>
      <c r="D124" s="5" t="s">
        <v>625</v>
      </c>
      <c r="E124" s="7">
        <v>1000</v>
      </c>
      <c r="F124" s="38">
        <f>VLOOKUP(tbMaterials[[#This Row],[Type]],tbStackSizes[],2,FALSE)</f>
        <v>20</v>
      </c>
      <c r="G124" s="38">
        <f>tbMaterials[[#This Row],[Value]]*tbMaterials[[#This Row],[Max Stack]]</f>
        <v>20000</v>
      </c>
      <c r="H124" s="38" t="str">
        <f>IF(ISTEXT(VLOOKUP(tbMaterials[[#This Row],[Item]],tbBlueprints[],1,FALSE)),"Yes","No")</f>
        <v>No</v>
      </c>
      <c r="I124" s="38" t="str">
        <f>IF(ISTEXT(VLOOKUP(tbMaterials[[#This Row],[Item]],tbRecipes[],1,FALSE)),"Yes","No")</f>
        <v>No</v>
      </c>
    </row>
    <row r="125" spans="2:10" s="2" customFormat="1" ht="27.95" customHeight="1" x14ac:dyDescent="0.25">
      <c r="B125" s="2" t="s">
        <v>386</v>
      </c>
      <c r="C125" s="4" t="s">
        <v>317</v>
      </c>
      <c r="D125" s="5" t="s">
        <v>379</v>
      </c>
      <c r="E125" s="7">
        <v>12</v>
      </c>
      <c r="F125" s="38">
        <f>VLOOKUP(tbMaterials[[#This Row],[Type]],tbStackSizes[],2,FALSE)</f>
        <v>9999</v>
      </c>
      <c r="G125" s="38">
        <f>tbMaterials[[#This Row],[Value]]*tbMaterials[[#This Row],[Max Stack]]</f>
        <v>119988</v>
      </c>
      <c r="H125" s="38" t="str">
        <f>IF(ISTEXT(VLOOKUP(tbMaterials[[#This Row],[Item]],tbBlueprints[],1,FALSE)),"Yes","No")</f>
        <v>No</v>
      </c>
      <c r="I125" s="38" t="str">
        <f>IF(ISTEXT(VLOOKUP(tbMaterials[[#This Row],[Item]],tbRecipes[],1,FALSE)),"Yes","No")</f>
        <v>No</v>
      </c>
    </row>
    <row r="126" spans="2:10" s="2" customFormat="1" ht="27.95" hidden="1" customHeight="1" x14ac:dyDescent="0.25">
      <c r="B126" s="2" t="s">
        <v>78</v>
      </c>
      <c r="C126" s="4" t="s">
        <v>316</v>
      </c>
      <c r="D126" s="5" t="s">
        <v>626</v>
      </c>
      <c r="E126" s="7">
        <v>6000</v>
      </c>
      <c r="F126" s="38">
        <f>VLOOKUP(tbMaterials[[#This Row],[Type]],tbStackSizes[],2,FALSE)</f>
        <v>20</v>
      </c>
      <c r="G126" s="38">
        <f>tbMaterials[[#This Row],[Value]]*tbMaterials[[#This Row],[Max Stack]]</f>
        <v>120000</v>
      </c>
      <c r="H126" s="38" t="str">
        <f>IF(ISTEXT(VLOOKUP(tbMaterials[[#This Row],[Item]],tbBlueprints[],1,FALSE)),"Yes","No")</f>
        <v>No</v>
      </c>
      <c r="I126" s="38" t="str">
        <f>IF(ISTEXT(VLOOKUP(tbMaterials[[#This Row],[Item]],tbRecipes[],1,FALSE)),"Yes","No")</f>
        <v>No</v>
      </c>
    </row>
    <row r="127" spans="2:10" s="2" customFormat="1" ht="27.95" hidden="1" customHeight="1" x14ac:dyDescent="0.25">
      <c r="B127" s="2" t="s">
        <v>402</v>
      </c>
      <c r="C127" s="4" t="s">
        <v>323</v>
      </c>
      <c r="D127" s="5" t="s">
        <v>403</v>
      </c>
      <c r="E127" s="7">
        <v>129150</v>
      </c>
      <c r="F127" s="38">
        <f>VLOOKUP(tbMaterials[[#This Row],[Type]],tbStackSizes[],2,FALSE)</f>
        <v>5</v>
      </c>
      <c r="G127" s="38">
        <f>tbMaterials[[#This Row],[Value]]*tbMaterials[[#This Row],[Max Stack]]</f>
        <v>645750</v>
      </c>
      <c r="H127" s="38" t="str">
        <f>IF(ISTEXT(VLOOKUP(tbMaterials[[#This Row],[Item]],tbBlueprints[],1,FALSE)),"Yes","No")</f>
        <v>No</v>
      </c>
      <c r="I127" s="38" t="str">
        <f>IF(ISTEXT(VLOOKUP(tbMaterials[[#This Row],[Item]],tbRecipes[],1,FALSE)),"Yes","No")</f>
        <v>No</v>
      </c>
    </row>
    <row r="128" spans="2:10" s="2" customFormat="1" ht="27.95" customHeight="1" x14ac:dyDescent="0.25">
      <c r="B128" s="2" t="s">
        <v>81</v>
      </c>
      <c r="C128" s="4" t="s">
        <v>317</v>
      </c>
      <c r="D128" s="5" t="s">
        <v>379</v>
      </c>
      <c r="E128" s="7">
        <v>12</v>
      </c>
      <c r="F128" s="38">
        <f>VLOOKUP(tbMaterials[[#This Row],[Type]],tbStackSizes[],2,FALSE)</f>
        <v>9999</v>
      </c>
      <c r="G128" s="38">
        <f>tbMaterials[[#This Row],[Value]]*tbMaterials[[#This Row],[Max Stack]]</f>
        <v>119988</v>
      </c>
      <c r="H128" s="38" t="str">
        <f>IF(ISTEXT(VLOOKUP(tbMaterials[[#This Row],[Item]],tbBlueprints[],1,FALSE)),"Yes","No")</f>
        <v>No</v>
      </c>
      <c r="I128" s="38" t="str">
        <f>IF(ISTEXT(VLOOKUP(tbMaterials[[#This Row],[Item]],tbRecipes[],1,FALSE)),"Yes","No")</f>
        <v>No</v>
      </c>
    </row>
    <row r="129" spans="2:10" s="2" customFormat="1" ht="27.95" hidden="1" customHeight="1" x14ac:dyDescent="0.25">
      <c r="B129" s="2" t="s">
        <v>227</v>
      </c>
      <c r="C129" s="4" t="s">
        <v>316</v>
      </c>
      <c r="D129" s="5" t="s">
        <v>547</v>
      </c>
      <c r="E129" s="7">
        <v>50000</v>
      </c>
      <c r="F129" s="38">
        <f>VLOOKUP(tbMaterials[[#This Row],[Type]],tbStackSizes[],2,FALSE)</f>
        <v>20</v>
      </c>
      <c r="G129" s="38">
        <f>tbMaterials[[#This Row],[Value]]*tbMaterials[[#This Row],[Max Stack]]</f>
        <v>1000000</v>
      </c>
      <c r="H129" s="38" t="str">
        <f>IF(ISTEXT(VLOOKUP(tbMaterials[[#This Row],[Item]],tbBlueprints[],1,FALSE)),"Yes","No")</f>
        <v>No</v>
      </c>
      <c r="I129" s="38" t="str">
        <f>IF(ISTEXT(VLOOKUP(tbMaterials[[#This Row],[Item]],tbRecipes[],1,FALSE)),"Yes","No")</f>
        <v>No</v>
      </c>
    </row>
    <row r="130" spans="2:10" s="2" customFormat="1" ht="27.95" hidden="1" customHeight="1" x14ac:dyDescent="0.25">
      <c r="B130" s="3" t="s">
        <v>548</v>
      </c>
      <c r="C130" s="5" t="s">
        <v>316</v>
      </c>
      <c r="D130" s="5" t="s">
        <v>546</v>
      </c>
      <c r="E130" s="10">
        <v>2000000</v>
      </c>
      <c r="F130" s="52">
        <f>VLOOKUP(tbMaterials[[#This Row],[Type]],tbStackSizes[],2,FALSE)</f>
        <v>20</v>
      </c>
      <c r="G130" s="52">
        <f>tbMaterials[[#This Row],[Value]]*tbMaterials[[#This Row],[Max Stack]]</f>
        <v>40000000</v>
      </c>
      <c r="H130" s="52" t="str">
        <f>IF(ISTEXT(VLOOKUP(tbMaterials[[#This Row],[Item]],tbBlueprints[],1,FALSE)),"Yes","No")</f>
        <v>Yes</v>
      </c>
      <c r="I130" s="52" t="str">
        <f>IF(ISTEXT(VLOOKUP(tbMaterials[[#This Row],[Item]],tbRecipes[],1,FALSE)),"Yes","No")</f>
        <v>No</v>
      </c>
      <c r="J130" s="3"/>
    </row>
    <row r="131" spans="2:10" s="2" customFormat="1" ht="27.95" hidden="1" customHeight="1" x14ac:dyDescent="0.25">
      <c r="B131" s="3" t="s">
        <v>516</v>
      </c>
      <c r="C131" s="5" t="s">
        <v>323</v>
      </c>
      <c r="D131" s="5" t="s">
        <v>508</v>
      </c>
      <c r="E131" s="10">
        <v>5100</v>
      </c>
      <c r="F131" s="52">
        <f>VLOOKUP(tbMaterials[[#This Row],[Type]],tbStackSizes[],2,FALSE)</f>
        <v>5</v>
      </c>
      <c r="G131" s="52">
        <f>tbMaterials[[#This Row],[Value]]*tbMaterials[[#This Row],[Max Stack]]</f>
        <v>25500</v>
      </c>
      <c r="H131" s="52" t="str">
        <f>IF(ISTEXT(VLOOKUP(tbMaterials[[#This Row],[Item]],tbBlueprints[],1,FALSE)),"Yes","No")</f>
        <v>Yes</v>
      </c>
      <c r="I131" s="52" t="str">
        <f>IF(ISTEXT(VLOOKUP(tbMaterials[[#This Row],[Item]],tbRecipes[],1,FALSE)),"Yes","No")</f>
        <v>Yes</v>
      </c>
      <c r="J131" s="3"/>
    </row>
    <row r="132" spans="2:10" s="2" customFormat="1" ht="27.95" hidden="1" customHeight="1" x14ac:dyDescent="0.25">
      <c r="B132" s="2" t="s">
        <v>17</v>
      </c>
      <c r="C132" s="4" t="s">
        <v>330</v>
      </c>
      <c r="D132" s="5" t="s">
        <v>401</v>
      </c>
      <c r="E132" s="7">
        <v>300</v>
      </c>
      <c r="F132" s="38">
        <f>VLOOKUP(tbMaterials[[#This Row],[Type]],tbStackSizes[],2,FALSE)</f>
        <v>20</v>
      </c>
      <c r="G132" s="38">
        <f>tbMaterials[[#This Row],[Value]]*tbMaterials[[#This Row],[Max Stack]]</f>
        <v>6000</v>
      </c>
      <c r="H132" s="38" t="str">
        <f>IF(ISTEXT(VLOOKUP(tbMaterials[[#This Row],[Item]],tbBlueprints[],1,FALSE)),"Yes","No")</f>
        <v>No</v>
      </c>
      <c r="I132" s="38" t="str">
        <f>IF(ISTEXT(VLOOKUP(tbMaterials[[#This Row],[Item]],tbRecipes[],1,FALSE)),"Yes","No")</f>
        <v>No</v>
      </c>
    </row>
    <row r="133" spans="2:10" s="2" customFormat="1" ht="27.95" hidden="1" customHeight="1" x14ac:dyDescent="0.25">
      <c r="B133" s="2" t="s">
        <v>38</v>
      </c>
      <c r="C133" s="4" t="s">
        <v>323</v>
      </c>
      <c r="D133" s="5" t="s">
        <v>508</v>
      </c>
      <c r="E133" s="7">
        <v>6150</v>
      </c>
      <c r="F133" s="38">
        <f>VLOOKUP(tbMaterials[[#This Row],[Type]],tbStackSizes[],2,FALSE)</f>
        <v>5</v>
      </c>
      <c r="G133" s="38">
        <f>tbMaterials[[#This Row],[Value]]*tbMaterials[[#This Row],[Max Stack]]</f>
        <v>30750</v>
      </c>
      <c r="H133" s="38" t="str">
        <f>IF(ISTEXT(VLOOKUP(tbMaterials[[#This Row],[Item]],tbBlueprints[],1,FALSE)),"Yes","No")</f>
        <v>No</v>
      </c>
      <c r="I133" s="38" t="str">
        <f>IF(ISTEXT(VLOOKUP(tbMaterials[[#This Row],[Item]],tbRecipes[],1,FALSE)),"Yes","No")</f>
        <v>No</v>
      </c>
    </row>
    <row r="134" spans="2:10" s="2" customFormat="1" ht="27.95" hidden="1" customHeight="1" x14ac:dyDescent="0.25">
      <c r="B134" s="3" t="s">
        <v>549</v>
      </c>
      <c r="C134" s="5" t="s">
        <v>316</v>
      </c>
      <c r="D134" s="5" t="s">
        <v>545</v>
      </c>
      <c r="E134" s="10">
        <v>50000</v>
      </c>
      <c r="F134" s="52">
        <f>VLOOKUP(tbMaterials[[#This Row],[Type]],tbStackSizes[],2,FALSE)</f>
        <v>20</v>
      </c>
      <c r="G134" s="52">
        <f>tbMaterials[[#This Row],[Value]]*tbMaterials[[#This Row],[Max Stack]]</f>
        <v>1000000</v>
      </c>
      <c r="H134" s="52" t="str">
        <f>IF(ISTEXT(VLOOKUP(tbMaterials[[#This Row],[Item]],tbBlueprints[],1,FALSE)),"Yes","No")</f>
        <v>Yes</v>
      </c>
      <c r="I134" s="52" t="str">
        <f>IF(ISTEXT(VLOOKUP(tbMaterials[[#This Row],[Item]],tbRecipes[],1,FALSE)),"Yes","No")</f>
        <v>Yes</v>
      </c>
      <c r="J134" s="3"/>
    </row>
    <row r="135" spans="2:10" s="2" customFormat="1" ht="27.95" customHeight="1" x14ac:dyDescent="0.25">
      <c r="B135" s="2" t="s">
        <v>81</v>
      </c>
      <c r="C135" s="4" t="s">
        <v>317</v>
      </c>
      <c r="D135" s="5" t="s">
        <v>379</v>
      </c>
      <c r="E135" s="7">
        <v>12</v>
      </c>
      <c r="F135" s="38">
        <f>VLOOKUP(tbMaterials[[#This Row],[Type]],tbStackSizes[],2,FALSE)</f>
        <v>9999</v>
      </c>
      <c r="G135" s="38">
        <f>tbMaterials[[#This Row],[Value]]*tbMaterials[[#This Row],[Max Stack]]</f>
        <v>119988</v>
      </c>
      <c r="H135" s="38" t="str">
        <f>IF(ISTEXT(VLOOKUP(tbMaterials[[#This Row],[Item]],tbBlueprints[],1,FALSE)),"Yes","No")</f>
        <v>No</v>
      </c>
      <c r="I135" s="38" t="str">
        <f>IF(ISTEXT(VLOOKUP(tbMaterials[[#This Row],[Item]],tbRecipes[],1,FALSE)),"Yes","No")</f>
        <v>No</v>
      </c>
    </row>
    <row r="136" spans="2:10" s="2" customFormat="1" ht="27.95" hidden="1" customHeight="1" x14ac:dyDescent="0.25">
      <c r="B136" s="2" t="s">
        <v>331</v>
      </c>
      <c r="C136" s="4" t="s">
        <v>323</v>
      </c>
      <c r="D136" s="5" t="s">
        <v>567</v>
      </c>
      <c r="E136" s="7">
        <v>3280</v>
      </c>
      <c r="F136" s="38">
        <f>VLOOKUP(tbMaterials[[#This Row],[Type]],tbStackSizes[],2,FALSE)</f>
        <v>5</v>
      </c>
      <c r="G136" s="38">
        <f>tbMaterials[[#This Row],[Value]]*tbMaterials[[#This Row],[Max Stack]]</f>
        <v>16400</v>
      </c>
      <c r="H136" s="38" t="str">
        <f>IF(ISTEXT(VLOOKUP(tbMaterials[[#This Row],[Item]],tbBlueprints[],1,FALSE)),"Yes","No")</f>
        <v>No</v>
      </c>
      <c r="I136" s="38" t="str">
        <f>IF(ISTEXT(VLOOKUP(tbMaterials[[#This Row],[Item]],tbRecipes[],1,FALSE)),"Yes","No")</f>
        <v>No</v>
      </c>
      <c r="J136" s="2" t="s">
        <v>518</v>
      </c>
    </row>
    <row r="137" spans="2:10" s="2" customFormat="1" ht="27.95" hidden="1" customHeight="1" x14ac:dyDescent="0.25">
      <c r="B137" s="2" t="s">
        <v>574</v>
      </c>
      <c r="C137" s="4" t="s">
        <v>316</v>
      </c>
      <c r="D137" s="5" t="s">
        <v>624</v>
      </c>
      <c r="E137" s="7">
        <v>6000</v>
      </c>
      <c r="F137" s="38">
        <f>VLOOKUP(tbMaterials[[#This Row],[Type]],tbStackSizes[],2,FALSE)</f>
        <v>20</v>
      </c>
      <c r="G137" s="38">
        <f>tbMaterials[[#This Row],[Value]]*tbMaterials[[#This Row],[Max Stack]]</f>
        <v>120000</v>
      </c>
      <c r="H137" s="38" t="str">
        <f>IF(ISTEXT(VLOOKUP(tbMaterials[[#This Row],[Item]],tbBlueprints[],1,FALSE)),"Yes","No")</f>
        <v>No</v>
      </c>
      <c r="I137" s="38" t="str">
        <f>IF(ISTEXT(VLOOKUP(tbMaterials[[#This Row],[Item]],tbRecipes[],1,FALSE)),"Yes","No")</f>
        <v>No</v>
      </c>
    </row>
    <row r="138" spans="2:10" s="2" customFormat="1" ht="27.95" hidden="1" customHeight="1" x14ac:dyDescent="0.25">
      <c r="B138" s="3" t="s">
        <v>528</v>
      </c>
      <c r="C138" s="5" t="s">
        <v>330</v>
      </c>
      <c r="D138" s="5" t="s">
        <v>531</v>
      </c>
      <c r="E138" s="10">
        <v>5750</v>
      </c>
      <c r="F138" s="52">
        <f>VLOOKUP(tbMaterials[[#This Row],[Type]],tbStackSizes[],2,FALSE)</f>
        <v>20</v>
      </c>
      <c r="G138" s="52">
        <f>tbMaterials[[#This Row],[Value]]*tbMaterials[[#This Row],[Max Stack]]</f>
        <v>115000</v>
      </c>
      <c r="H138" s="52" t="str">
        <f>IF(ISTEXT(VLOOKUP(tbMaterials[[#This Row],[Item]],tbBlueprints[],1,FALSE)),"Yes","No")</f>
        <v>Yes</v>
      </c>
      <c r="I138" s="52" t="str">
        <f>IF(ISTEXT(VLOOKUP(tbMaterials[[#This Row],[Item]],tbRecipes[],1,FALSE)),"Yes","No")</f>
        <v>Yes</v>
      </c>
      <c r="J138" s="3" t="s">
        <v>532</v>
      </c>
    </row>
    <row r="139" spans="2:10" s="2" customFormat="1" ht="27.95" customHeight="1" x14ac:dyDescent="0.25">
      <c r="B139" s="2" t="s">
        <v>28</v>
      </c>
      <c r="C139" s="4" t="s">
        <v>317</v>
      </c>
      <c r="D139" s="5" t="s">
        <v>384</v>
      </c>
      <c r="E139" s="7">
        <v>6</v>
      </c>
      <c r="F139" s="38">
        <f>VLOOKUP(tbMaterials[[#This Row],[Type]],tbStackSizes[],2,FALSE)</f>
        <v>9999</v>
      </c>
      <c r="G139" s="38">
        <f>tbMaterials[[#This Row],[Value]]*tbMaterials[[#This Row],[Max Stack]]</f>
        <v>59994</v>
      </c>
      <c r="H139" s="38" t="str">
        <f>IF(ISTEXT(VLOOKUP(tbMaterials[[#This Row],[Item]],tbBlueprints[],1,FALSE)),"Yes","No")</f>
        <v>No</v>
      </c>
      <c r="I139" s="38" t="str">
        <f>IF(ISTEXT(VLOOKUP(tbMaterials[[#This Row],[Item]],tbRecipes[],1,FALSE)),"Yes","No")</f>
        <v>No</v>
      </c>
    </row>
    <row r="140" spans="2:10" s="2" customFormat="1" ht="27.95" customHeight="1" x14ac:dyDescent="0.25">
      <c r="B140" s="2" t="s">
        <v>16</v>
      </c>
      <c r="C140" s="4" t="s">
        <v>317</v>
      </c>
      <c r="D140" s="5" t="s">
        <v>387</v>
      </c>
      <c r="E140" s="7">
        <v>2</v>
      </c>
      <c r="F140" s="38">
        <f>VLOOKUP(tbMaterials[[#This Row],[Type]],tbStackSizes[],2,FALSE)</f>
        <v>9999</v>
      </c>
      <c r="G140" s="38">
        <f>tbMaterials[[#This Row],[Value]]*tbMaterials[[#This Row],[Max Stack]]</f>
        <v>19998</v>
      </c>
      <c r="H140" s="38" t="str">
        <f>IF(ISTEXT(VLOOKUP(tbMaterials[[#This Row],[Item]],tbBlueprints[],1,FALSE)),"Yes","No")</f>
        <v>No</v>
      </c>
      <c r="I140" s="38" t="str">
        <f>IF(ISTEXT(VLOOKUP(tbMaterials[[#This Row],[Item]],tbRecipes[],1,FALSE)),"Yes","No")</f>
        <v>No</v>
      </c>
    </row>
    <row r="141" spans="2:10" s="2" customFormat="1" ht="27.95" hidden="1" customHeight="1" x14ac:dyDescent="0.25">
      <c r="B141" s="2" t="s">
        <v>565</v>
      </c>
      <c r="C141" s="4" t="s">
        <v>316</v>
      </c>
      <c r="D141" s="4" t="s">
        <v>316</v>
      </c>
      <c r="E141" s="7">
        <v>24750</v>
      </c>
      <c r="F141" s="38">
        <f>VLOOKUP(tbMaterials[[#This Row],[Type]],tbStackSizes[],2,FALSE)</f>
        <v>20</v>
      </c>
      <c r="G141" s="38">
        <f>tbMaterials[[#This Row],[Value]]*tbMaterials[[#This Row],[Max Stack]]</f>
        <v>495000</v>
      </c>
      <c r="H141" s="38" t="str">
        <f>IF(ISTEXT(VLOOKUP(tbMaterials[[#This Row],[Item]],tbBlueprints[],1,FALSE)),"Yes","No")</f>
        <v>No</v>
      </c>
      <c r="I141" s="38" t="str">
        <f>IF(ISTEXT(VLOOKUP(tbMaterials[[#This Row],[Item]],tbRecipes[],1,FALSE)),"Yes","No")</f>
        <v>No</v>
      </c>
    </row>
    <row r="142" spans="2:10" s="2" customFormat="1" ht="27.95" hidden="1" customHeight="1" x14ac:dyDescent="0.25">
      <c r="B142" s="2" t="s">
        <v>324</v>
      </c>
      <c r="C142" s="4" t="s">
        <v>323</v>
      </c>
      <c r="D142" s="5" t="s">
        <v>566</v>
      </c>
      <c r="E142" s="7">
        <v>11688</v>
      </c>
      <c r="F142" s="38">
        <f>VLOOKUP(tbMaterials[[#This Row],[Type]],tbStackSizes[],2,FALSE)</f>
        <v>5</v>
      </c>
      <c r="G142" s="38">
        <f>tbMaterials[[#This Row],[Value]]*tbMaterials[[#This Row],[Max Stack]]</f>
        <v>58440</v>
      </c>
      <c r="H142" s="38" t="str">
        <f>IF(ISTEXT(VLOOKUP(tbMaterials[[#This Row],[Item]],tbBlueprints[],1,FALSE)),"Yes","No")</f>
        <v>No</v>
      </c>
      <c r="I142" s="38" t="str">
        <f>IF(ISTEXT(VLOOKUP(tbMaterials[[#This Row],[Item]],tbRecipes[],1,FALSE)),"Yes","No")</f>
        <v>No</v>
      </c>
    </row>
    <row r="143" spans="2:10" s="2" customFormat="1" ht="27.95" hidden="1" customHeight="1" x14ac:dyDescent="0.25">
      <c r="B143" s="2" t="s">
        <v>325</v>
      </c>
      <c r="C143" s="4" t="s">
        <v>323</v>
      </c>
      <c r="D143" s="5" t="s">
        <v>566</v>
      </c>
      <c r="E143" s="7">
        <v>24750</v>
      </c>
      <c r="F143" s="38">
        <f>VLOOKUP(tbMaterials[[#This Row],[Type]],tbStackSizes[],2,FALSE)</f>
        <v>5</v>
      </c>
      <c r="G143" s="38">
        <f>tbMaterials[[#This Row],[Value]]*tbMaterials[[#This Row],[Max Stack]]</f>
        <v>123750</v>
      </c>
      <c r="H143" s="38" t="str">
        <f>IF(ISTEXT(VLOOKUP(tbMaterials[[#This Row],[Item]],tbBlueprints[],1,FALSE)),"Yes","No")</f>
        <v>No</v>
      </c>
      <c r="I143" s="38" t="str">
        <f>IF(ISTEXT(VLOOKUP(tbMaterials[[#This Row],[Item]],tbRecipes[],1,FALSE)),"Yes","No")</f>
        <v>No</v>
      </c>
    </row>
    <row r="144" spans="2:10" s="2" customFormat="1" ht="27.95" hidden="1" customHeight="1" x14ac:dyDescent="0.25">
      <c r="B144" s="3" t="s">
        <v>242</v>
      </c>
      <c r="C144" s="5" t="s">
        <v>316</v>
      </c>
      <c r="D144" s="5" t="s">
        <v>542</v>
      </c>
      <c r="E144" s="10">
        <v>6000</v>
      </c>
      <c r="F144" s="52">
        <f>VLOOKUP(tbMaterials[[#This Row],[Type]],tbStackSizes[],2,FALSE)</f>
        <v>20</v>
      </c>
      <c r="G144" s="52">
        <f>tbMaterials[[#This Row],[Value]]*tbMaterials[[#This Row],[Max Stack]]</f>
        <v>120000</v>
      </c>
      <c r="H144" s="52" t="str">
        <f>IF(ISTEXT(VLOOKUP(tbMaterials[[#This Row],[Item]],tbBlueprints[],1,FALSE)),"Yes","No")</f>
        <v>No</v>
      </c>
      <c r="I144" s="52" t="str">
        <f>IF(ISTEXT(VLOOKUP(tbMaterials[[#This Row],[Item]],tbRecipes[],1,FALSE)),"Yes","No")</f>
        <v>No</v>
      </c>
      <c r="J144" s="3"/>
    </row>
    <row r="145" spans="2:9" s="2" customFormat="1" ht="27.95" hidden="1" customHeight="1" x14ac:dyDescent="0.25">
      <c r="B145" s="2" t="s">
        <v>511</v>
      </c>
      <c r="C145" s="4" t="s">
        <v>330</v>
      </c>
      <c r="D145" s="5" t="s">
        <v>512</v>
      </c>
      <c r="E145" s="7">
        <v>25000</v>
      </c>
      <c r="F145" s="38">
        <f>VLOOKUP(tbMaterials[[#This Row],[Type]],tbStackSizes[],2,FALSE)</f>
        <v>20</v>
      </c>
      <c r="G145" s="38">
        <f>tbMaterials[[#This Row],[Value]]*tbMaterials[[#This Row],[Max Stack]]</f>
        <v>500000</v>
      </c>
      <c r="H145" s="38" t="str">
        <f>IF(ISTEXT(VLOOKUP(tbMaterials[[#This Row],[Item]],tbBlueprints[],1,FALSE)),"Yes","No")</f>
        <v>No</v>
      </c>
      <c r="I145" s="38" t="str">
        <f>IF(ISTEXT(VLOOKUP(tbMaterials[[#This Row],[Item]],tbRecipes[],1,FALSE)),"Yes","No")</f>
        <v>No</v>
      </c>
    </row>
    <row r="146" spans="2:9" s="2" customFormat="1" ht="27.95" customHeight="1" x14ac:dyDescent="0.25">
      <c r="B146" s="2" t="s">
        <v>631</v>
      </c>
      <c r="C146" s="4" t="s">
        <v>330</v>
      </c>
      <c r="D146" s="5" t="s">
        <v>401</v>
      </c>
      <c r="E146" s="7">
        <v>300</v>
      </c>
      <c r="F146" s="38">
        <f>VLOOKUP(tbMaterials[[#This Row],[Type]],tbStackSizes[],2,FALSE)</f>
        <v>20</v>
      </c>
      <c r="G146" s="38">
        <f>tbMaterials[[#This Row],[Value]]*tbMaterials[[#This Row],[Max Stack]]</f>
        <v>6000</v>
      </c>
      <c r="H146" s="38" t="str">
        <f>IF(ISTEXT(VLOOKUP(tbMaterials[[#This Row],[Item]],tbBlueprints[],1,FALSE)),"Yes","No")</f>
        <v>No</v>
      </c>
      <c r="I146" s="38" t="str">
        <f>IF(ISTEXT(VLOOKUP(tbMaterials[[#This Row],[Item]],tbRecipes[],1,FALSE)),"Yes","No")</f>
        <v>No</v>
      </c>
    </row>
    <row r="147" spans="2:9" s="2" customFormat="1" ht="27.95" customHeight="1" x14ac:dyDescent="0.25">
      <c r="B147" s="2" t="s">
        <v>638</v>
      </c>
      <c r="C147" s="4" t="s">
        <v>316</v>
      </c>
      <c r="D147" s="5" t="s">
        <v>641</v>
      </c>
      <c r="E147" s="7">
        <v>5200000</v>
      </c>
      <c r="F147" s="38">
        <f>VLOOKUP(tbMaterials[[#This Row],[Type]],tbStackSizes[],2,FALSE)</f>
        <v>20</v>
      </c>
      <c r="G147" s="38">
        <f>tbMaterials[[#This Row],[Value]]*tbMaterials[[#This Row],[Max Stack]]</f>
        <v>104000000</v>
      </c>
      <c r="H147" s="38" t="str">
        <f>IF(ISTEXT(VLOOKUP(tbMaterials[[#This Row],[Item]],tbBlueprints[],1,FALSE)),"Yes","No")</f>
        <v>Yes</v>
      </c>
      <c r="I147" s="38" t="str">
        <f>IF(ISTEXT(VLOOKUP(tbMaterials[[#This Row],[Item]],tbRecipes[],1,FALSE)),"Yes","No")</f>
        <v>No</v>
      </c>
    </row>
    <row r="148" spans="2:9" s="2" customFormat="1" ht="27.95" customHeight="1" x14ac:dyDescent="0.25">
      <c r="B148" s="2" t="s">
        <v>639</v>
      </c>
      <c r="C148" s="4" t="s">
        <v>316</v>
      </c>
      <c r="D148" s="5" t="s">
        <v>640</v>
      </c>
      <c r="E148" s="7">
        <v>916250</v>
      </c>
      <c r="F148" s="38">
        <f>VLOOKUP(tbMaterials[[#This Row],[Type]],tbStackSizes[],2,FALSE)</f>
        <v>20</v>
      </c>
      <c r="G148" s="38">
        <f>tbMaterials[[#This Row],[Value]]*tbMaterials[[#This Row],[Max Stack]]</f>
        <v>18325000</v>
      </c>
      <c r="H148" s="38" t="str">
        <f>IF(ISTEXT(VLOOKUP(tbMaterials[[#This Row],[Item]],tbBlueprints[],1,FALSE)),"Yes","No")</f>
        <v>No</v>
      </c>
      <c r="I148" s="38" t="str">
        <f>IF(ISTEXT(VLOOKUP(tbMaterials[[#This Row],[Item]],tbRecipes[],1,FALSE)),"Yes","No")</f>
        <v>No</v>
      </c>
    </row>
    <row r="149" spans="2:9" s="2" customFormat="1" ht="27.95" customHeight="1" x14ac:dyDescent="0.25">
      <c r="C149" s="4"/>
      <c r="D149" s="5"/>
      <c r="E149" s="7"/>
      <c r="F149" s="4"/>
      <c r="G149" s="4"/>
      <c r="H149" s="4"/>
      <c r="I149" s="4"/>
    </row>
    <row r="150" spans="2:9" s="2" customFormat="1" ht="27.95" customHeight="1" x14ac:dyDescent="0.25">
      <c r="C150" s="4"/>
      <c r="D150" s="5"/>
      <c r="E150" s="7"/>
      <c r="F150" s="4"/>
      <c r="G150" s="4"/>
      <c r="H150" s="4"/>
      <c r="I150" s="4"/>
    </row>
    <row r="151" spans="2:9" s="2" customFormat="1" ht="27.95" customHeight="1" x14ac:dyDescent="0.25">
      <c r="C151" s="4"/>
      <c r="D151" s="5"/>
      <c r="E151" s="7"/>
      <c r="F151" s="4"/>
      <c r="G151" s="4"/>
      <c r="H151" s="4"/>
      <c r="I151" s="4"/>
    </row>
    <row r="152" spans="2:9" s="2" customFormat="1" ht="27.95" customHeight="1" x14ac:dyDescent="0.25">
      <c r="C152" s="4"/>
      <c r="D152" s="5"/>
      <c r="E152" s="7"/>
      <c r="F152" s="4"/>
      <c r="G152" s="4"/>
      <c r="H152" s="4"/>
      <c r="I152" s="4"/>
    </row>
    <row r="153" spans="2:9" s="2" customFormat="1" ht="27.95" customHeight="1" x14ac:dyDescent="0.25">
      <c r="C153" s="4"/>
      <c r="D153" s="5"/>
      <c r="E153" s="7"/>
      <c r="F153" s="4"/>
      <c r="G153" s="4"/>
      <c r="H153" s="4"/>
      <c r="I153" s="4"/>
    </row>
    <row r="154" spans="2:9" s="2" customFormat="1" ht="27.95" customHeight="1" x14ac:dyDescent="0.25">
      <c r="C154" s="4"/>
      <c r="D154" s="5"/>
      <c r="E154" s="7"/>
      <c r="F154" s="4"/>
      <c r="G154" s="4"/>
      <c r="H154" s="4"/>
      <c r="I154" s="4"/>
    </row>
    <row r="155" spans="2:9" s="2" customFormat="1" ht="27.95" customHeight="1" x14ac:dyDescent="0.25">
      <c r="C155" s="4"/>
      <c r="D155" s="5"/>
      <c r="E155" s="7"/>
      <c r="F155" s="4"/>
      <c r="G155" s="4"/>
      <c r="H155" s="4"/>
      <c r="I155" s="4"/>
    </row>
    <row r="156" spans="2:9" s="2" customFormat="1" ht="27.95" customHeight="1" x14ac:dyDescent="0.25">
      <c r="C156" s="4"/>
      <c r="D156" s="5"/>
      <c r="E156" s="7"/>
      <c r="F156" s="4"/>
      <c r="G156" s="4"/>
      <c r="H156" s="4"/>
      <c r="I156" s="4"/>
    </row>
    <row r="157" spans="2:9" s="2" customFormat="1" ht="27.95" customHeight="1" x14ac:dyDescent="0.25">
      <c r="C157" s="4"/>
      <c r="D157" s="5"/>
      <c r="E157" s="7"/>
      <c r="F157" s="4"/>
      <c r="G157" s="4"/>
      <c r="H157" s="4"/>
      <c r="I157" s="4"/>
    </row>
    <row r="158" spans="2:9" s="2" customFormat="1" ht="27.95" customHeight="1" x14ac:dyDescent="0.25">
      <c r="C158" s="4"/>
      <c r="D158" s="5"/>
      <c r="E158" s="7"/>
      <c r="F158" s="4"/>
      <c r="G158" s="4"/>
      <c r="H158" s="4"/>
      <c r="I158" s="4"/>
    </row>
    <row r="159" spans="2:9" s="2" customFormat="1" ht="27.95" customHeight="1" x14ac:dyDescent="0.25">
      <c r="C159" s="4"/>
      <c r="D159" s="5"/>
      <c r="E159" s="7"/>
      <c r="F159" s="4"/>
      <c r="G159" s="4"/>
      <c r="H159" s="4"/>
      <c r="I159" s="4"/>
    </row>
    <row r="160" spans="2:9" s="2" customFormat="1" ht="27.95" customHeight="1" x14ac:dyDescent="0.25">
      <c r="C160" s="4"/>
      <c r="D160" s="5"/>
      <c r="E160" s="7"/>
      <c r="F160" s="4"/>
      <c r="G160" s="4"/>
      <c r="H160" s="4"/>
      <c r="I160" s="4"/>
    </row>
    <row r="161" spans="3:9" s="2" customFormat="1" ht="27.95" customHeight="1" x14ac:dyDescent="0.25">
      <c r="C161" s="4"/>
      <c r="D161" s="5"/>
      <c r="E161" s="7"/>
      <c r="F161" s="4"/>
      <c r="G161" s="4"/>
      <c r="H161" s="4"/>
      <c r="I161" s="4"/>
    </row>
    <row r="162" spans="3:9" s="2" customFormat="1" ht="27.95" customHeight="1" x14ac:dyDescent="0.25">
      <c r="C162" s="4"/>
      <c r="D162" s="5"/>
      <c r="E162" s="7"/>
      <c r="F162" s="4"/>
      <c r="G162" s="4"/>
      <c r="H162" s="4"/>
      <c r="I162" s="4"/>
    </row>
    <row r="163" spans="3:9" s="2" customFormat="1" ht="27.95" customHeight="1" x14ac:dyDescent="0.25">
      <c r="C163" s="4"/>
      <c r="D163" s="5"/>
      <c r="E163" s="7"/>
      <c r="F163" s="4"/>
      <c r="G163" s="4"/>
      <c r="H163" s="4"/>
      <c r="I163" s="4"/>
    </row>
    <row r="164" spans="3:9" s="2" customFormat="1" ht="27.95" customHeight="1" x14ac:dyDescent="0.25">
      <c r="C164" s="4"/>
      <c r="D164" s="5"/>
      <c r="E164" s="7"/>
      <c r="F164" s="4"/>
      <c r="G164" s="4"/>
      <c r="H164" s="4"/>
      <c r="I164" s="4"/>
    </row>
    <row r="165" spans="3:9" s="2" customFormat="1" ht="27.95" customHeight="1" x14ac:dyDescent="0.25">
      <c r="C165" s="4"/>
      <c r="D165" s="5"/>
      <c r="E165" s="7"/>
      <c r="F165" s="4"/>
      <c r="G165" s="4"/>
      <c r="H165" s="4"/>
      <c r="I165" s="4"/>
    </row>
    <row r="166" spans="3:9" s="2" customFormat="1" ht="27.95" customHeight="1" x14ac:dyDescent="0.25">
      <c r="C166" s="4"/>
      <c r="D166" s="5"/>
      <c r="E166" s="7"/>
      <c r="F166" s="4"/>
      <c r="G166" s="4"/>
      <c r="H166" s="4"/>
      <c r="I166" s="4"/>
    </row>
    <row r="167" spans="3:9" s="2" customFormat="1" ht="27.95" customHeight="1" x14ac:dyDescent="0.25">
      <c r="C167" s="4"/>
      <c r="D167" s="5"/>
      <c r="E167" s="7"/>
      <c r="F167" s="4"/>
      <c r="G167" s="4"/>
      <c r="H167" s="4"/>
      <c r="I167" s="4"/>
    </row>
    <row r="168" spans="3:9" s="2" customFormat="1" ht="27.95" customHeight="1" x14ac:dyDescent="0.25">
      <c r="C168" s="4"/>
      <c r="D168" s="5"/>
      <c r="E168" s="7"/>
      <c r="F168" s="4"/>
      <c r="G168" s="4"/>
      <c r="H168" s="4"/>
      <c r="I168" s="4"/>
    </row>
    <row r="169" spans="3:9" ht="27.95" customHeight="1" x14ac:dyDescent="0.25"/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6474C-79C0-40BA-8737-9C4BC0144E8C}">
  <sheetPr codeName="Sheet3"/>
  <dimension ref="B1:O232"/>
  <sheetViews>
    <sheetView showGridLines="0" topLeftCell="A13" workbookViewId="0">
      <selection activeCell="I33" sqref="I33"/>
    </sheetView>
  </sheetViews>
  <sheetFormatPr defaultRowHeight="14.25" x14ac:dyDescent="0.25"/>
  <cols>
    <col min="1" max="1" width="1.42578125" style="2" customWidth="1"/>
    <col min="2" max="2" width="21" style="2" customWidth="1"/>
    <col min="3" max="3" width="12.85546875" style="2" customWidth="1"/>
    <col min="4" max="4" width="15" style="2" customWidth="1"/>
    <col min="5" max="13" width="12.85546875" style="2" customWidth="1"/>
    <col min="14" max="16384" width="9.140625" style="2"/>
  </cols>
  <sheetData>
    <row r="1" spans="2:15" ht="7.5" customHeight="1" x14ac:dyDescent="0.25"/>
    <row r="2" spans="2:15" ht="27.95" customHeight="1" x14ac:dyDescent="0.25">
      <c r="B2" s="2" t="s">
        <v>41</v>
      </c>
      <c r="C2" s="3" t="s">
        <v>307</v>
      </c>
      <c r="D2" s="2" t="s">
        <v>70</v>
      </c>
      <c r="E2" s="2" t="s">
        <v>73</v>
      </c>
      <c r="F2" s="2" t="s">
        <v>541</v>
      </c>
      <c r="G2" s="2" t="s">
        <v>147</v>
      </c>
      <c r="H2" s="2" t="s">
        <v>182</v>
      </c>
      <c r="I2" s="2" t="s">
        <v>251</v>
      </c>
      <c r="J2" s="17" t="s">
        <v>247</v>
      </c>
      <c r="K2" s="17" t="s">
        <v>248</v>
      </c>
      <c r="L2" s="17" t="s">
        <v>252</v>
      </c>
      <c r="M2" s="17" t="s">
        <v>279</v>
      </c>
      <c r="N2" s="17" t="s">
        <v>280</v>
      </c>
      <c r="O2" s="2" t="s">
        <v>21</v>
      </c>
    </row>
    <row r="3" spans="2:15" ht="27.95" customHeight="1" x14ac:dyDescent="0.25">
      <c r="B3" s="2" t="s">
        <v>59</v>
      </c>
      <c r="C3" s="35">
        <v>43999</v>
      </c>
      <c r="D3" s="11">
        <f>5/6</f>
        <v>0.83333333333333337</v>
      </c>
      <c r="E3" s="2" t="s">
        <v>74</v>
      </c>
      <c r="G3" s="3" t="s">
        <v>188</v>
      </c>
      <c r="H3" s="36" t="s">
        <v>174</v>
      </c>
      <c r="I3" s="36" t="s">
        <v>142</v>
      </c>
      <c r="J3" s="19" t="str">
        <f>VLOOKUP(tbSystems[[#This Row],[Economy]],tbEconomyTypes[],2,FALSE)</f>
        <v>Trading</v>
      </c>
      <c r="K3" s="21" t="str">
        <f>VLOOKUP(tbSystems[[#This Row],[Wealth]],tbWealthLevels[],2,FALSE)</f>
        <v>Medium</v>
      </c>
      <c r="L3" s="21" t="str">
        <f>VLOOKUP(tbSystems[[#This Row],[Conflict]],tbConflictLevels[],2,FALSE)</f>
        <v>Low</v>
      </c>
      <c r="M3" s="19" t="str">
        <f>VLOOKUP(tbSystems[[#This Row],[Economy]],tbEconomyTypes[],3,FALSE)</f>
        <v>Scientific</v>
      </c>
      <c r="N3" s="19" t="str">
        <f>VLOOKUP(tbSystems[[#This Row],[Economy]],tbEconomyTypes[],4,FALSE)</f>
        <v>Advanced Materials</v>
      </c>
      <c r="O3" s="19"/>
    </row>
    <row r="4" spans="2:15" ht="27.95" customHeight="1" x14ac:dyDescent="0.25">
      <c r="B4" s="2" t="s">
        <v>86</v>
      </c>
      <c r="C4" s="35">
        <v>44000</v>
      </c>
      <c r="D4" s="11">
        <f>1/1</f>
        <v>1</v>
      </c>
      <c r="E4" s="2" t="s">
        <v>148</v>
      </c>
      <c r="G4" s="3" t="s">
        <v>185</v>
      </c>
      <c r="H4" s="36" t="s">
        <v>168</v>
      </c>
      <c r="I4" s="36" t="s">
        <v>145</v>
      </c>
      <c r="J4" s="19" t="str">
        <f>VLOOKUP(tbSystems[[#This Row],[Economy]],tbEconomyTypes[],2,FALSE)</f>
        <v>Trading</v>
      </c>
      <c r="K4" s="21" t="str">
        <f>VLOOKUP(tbSystems[[#This Row],[Wealth]],tbWealthLevels[],2,FALSE)</f>
        <v>Medium</v>
      </c>
      <c r="L4" s="21" t="str">
        <f>VLOOKUP(tbSystems[[#This Row],[Conflict]],tbConflictLevels[],2,FALSE)</f>
        <v>Medium</v>
      </c>
      <c r="M4" s="19" t="str">
        <f>VLOOKUP(tbSystems[[#This Row],[Economy]],tbEconomyTypes[],3,FALSE)</f>
        <v>Scientific</v>
      </c>
      <c r="N4" s="19" t="str">
        <f>VLOOKUP(tbSystems[[#This Row],[Economy]],tbEconomyTypes[],4,FALSE)</f>
        <v>Advanced Materials</v>
      </c>
      <c r="O4" s="19"/>
    </row>
    <row r="5" spans="2:15" ht="27.95" customHeight="1" x14ac:dyDescent="0.25">
      <c r="B5" s="2" t="s">
        <v>85</v>
      </c>
      <c r="C5" s="35">
        <v>44000</v>
      </c>
      <c r="D5" s="11">
        <f>0/1</f>
        <v>0</v>
      </c>
      <c r="E5" s="2" t="s">
        <v>74</v>
      </c>
      <c r="F5" s="2" t="s">
        <v>611</v>
      </c>
      <c r="G5" s="3" t="s">
        <v>246</v>
      </c>
      <c r="H5" s="36" t="s">
        <v>179</v>
      </c>
      <c r="I5" s="36" t="s">
        <v>144</v>
      </c>
      <c r="J5" s="19" t="str">
        <f>VLOOKUP(tbSystems[[#This Row],[Economy]],tbEconomyTypes[],2,FALSE)</f>
        <v>Technology</v>
      </c>
      <c r="K5" s="21" t="str">
        <f>VLOOKUP(tbSystems[[#This Row],[Wealth]],tbWealthLevels[],2,FALSE)</f>
        <v>High</v>
      </c>
      <c r="L5" s="21" t="str">
        <f>VLOOKUP(tbSystems[[#This Row],[Conflict]],tbConflictLevels[],2,FALSE)</f>
        <v>High</v>
      </c>
      <c r="M5" s="19" t="str">
        <f>VLOOKUP(tbSystems[[#This Row],[Economy]],tbEconomyTypes[],3,FALSE)</f>
        <v>Manufacturing</v>
      </c>
      <c r="N5" s="19" t="str">
        <f>VLOOKUP(tbSystems[[#This Row],[Economy]],tbEconomyTypes[],4,FALSE)</f>
        <v>Power Generation</v>
      </c>
      <c r="O5" s="19"/>
    </row>
    <row r="6" spans="2:15" ht="27.95" customHeight="1" x14ac:dyDescent="0.25">
      <c r="B6" s="2" t="s">
        <v>61</v>
      </c>
      <c r="C6" s="35">
        <v>44000</v>
      </c>
      <c r="D6" s="11">
        <f>3/3</f>
        <v>1</v>
      </c>
      <c r="E6" s="2" t="s">
        <v>77</v>
      </c>
      <c r="G6" s="3" t="s">
        <v>185</v>
      </c>
      <c r="H6" s="36" t="s">
        <v>169</v>
      </c>
      <c r="I6" s="36" t="s">
        <v>143</v>
      </c>
      <c r="J6" s="19" t="str">
        <f>VLOOKUP(tbSystems[[#This Row],[Economy]],tbEconomyTypes[],2,FALSE)</f>
        <v>Trading</v>
      </c>
      <c r="K6" s="21" t="str">
        <f>VLOOKUP(tbSystems[[#This Row],[Wealth]],tbWealthLevels[],2,FALSE)</f>
        <v>Medium</v>
      </c>
      <c r="L6" s="21" t="str">
        <f>VLOOKUP(tbSystems[[#This Row],[Conflict]],tbConflictLevels[],2,FALSE)</f>
        <v>Low</v>
      </c>
      <c r="M6" s="19" t="str">
        <f>VLOOKUP(tbSystems[[#This Row],[Economy]],tbEconomyTypes[],3,FALSE)</f>
        <v>Scientific</v>
      </c>
      <c r="N6" s="19" t="str">
        <f>VLOOKUP(tbSystems[[#This Row],[Economy]],tbEconomyTypes[],4,FALSE)</f>
        <v>Advanced Materials</v>
      </c>
      <c r="O6" s="19"/>
    </row>
    <row r="7" spans="2:15" ht="27.95" customHeight="1" x14ac:dyDescent="0.25">
      <c r="B7" s="2" t="s">
        <v>90</v>
      </c>
      <c r="C7" s="35">
        <v>44001</v>
      </c>
      <c r="D7" s="11">
        <f>0/2</f>
        <v>0</v>
      </c>
      <c r="E7" s="2" t="s">
        <v>148</v>
      </c>
      <c r="G7" s="3" t="s">
        <v>194</v>
      </c>
      <c r="H7" s="36" t="s">
        <v>168</v>
      </c>
      <c r="I7" s="36" t="s">
        <v>149</v>
      </c>
      <c r="J7" s="19" t="str">
        <f>VLOOKUP(tbSystems[[#This Row],[Economy]],tbEconomyTypes[],2,FALSE)</f>
        <v>Advanced Materials</v>
      </c>
      <c r="K7" s="21" t="str">
        <f>VLOOKUP(tbSystems[[#This Row],[Wealth]],tbWealthLevels[],2,FALSE)</f>
        <v>Medium</v>
      </c>
      <c r="L7" s="21" t="str">
        <f>VLOOKUP(tbSystems[[#This Row],[Conflict]],tbConflictLevels[],2,FALSE)</f>
        <v>Low</v>
      </c>
      <c r="M7" s="19" t="str">
        <f>VLOOKUP(tbSystems[[#This Row],[Economy]],tbEconomyTypes[],3,FALSE)</f>
        <v>Trading</v>
      </c>
      <c r="N7" s="19" t="str">
        <f>VLOOKUP(tbSystems[[#This Row],[Economy]],tbEconomyTypes[],4,FALSE)</f>
        <v>Scientific</v>
      </c>
      <c r="O7" s="19"/>
    </row>
    <row r="8" spans="2:15" ht="27.95" customHeight="1" x14ac:dyDescent="0.25">
      <c r="B8" s="2" t="s">
        <v>112</v>
      </c>
      <c r="C8" s="35">
        <v>44002</v>
      </c>
      <c r="D8" s="11">
        <f>0/4</f>
        <v>0</v>
      </c>
      <c r="E8" s="2" t="s">
        <v>77</v>
      </c>
      <c r="F8" s="2" t="s">
        <v>605</v>
      </c>
      <c r="G8" s="3" t="s">
        <v>190</v>
      </c>
      <c r="H8" s="36" t="s">
        <v>159</v>
      </c>
      <c r="I8" s="36" t="s">
        <v>153</v>
      </c>
      <c r="J8" s="19" t="str">
        <f>VLOOKUP(tbSystems[[#This Row],[Economy]],tbEconomyTypes[],2,FALSE)</f>
        <v>Scientific</v>
      </c>
      <c r="K8" s="21" t="str">
        <f>VLOOKUP(tbSystems[[#This Row],[Wealth]],tbWealthLevels[],2,FALSE)</f>
        <v>Low</v>
      </c>
      <c r="L8" s="21" t="str">
        <f>VLOOKUP(tbSystems[[#This Row],[Conflict]],tbConflictLevels[],2,FALSE)</f>
        <v>Low</v>
      </c>
      <c r="M8" s="19" t="str">
        <f>VLOOKUP(tbSystems[[#This Row],[Economy]],tbEconomyTypes[],3,FALSE)</f>
        <v>Advanced Materials</v>
      </c>
      <c r="N8" s="19" t="str">
        <f>VLOOKUP(tbSystems[[#This Row],[Economy]],tbEconomyTypes[],4,FALSE)</f>
        <v>Trading</v>
      </c>
      <c r="O8" s="19"/>
    </row>
    <row r="9" spans="2:15" ht="27.95" customHeight="1" x14ac:dyDescent="0.25">
      <c r="B9" s="2" t="s">
        <v>108</v>
      </c>
      <c r="C9" s="35">
        <v>44002</v>
      </c>
      <c r="D9" s="11">
        <f>0/4</f>
        <v>0</v>
      </c>
      <c r="E9" s="2" t="s">
        <v>77</v>
      </c>
      <c r="G9" s="3" t="s">
        <v>200</v>
      </c>
      <c r="H9" s="36" t="s">
        <v>164</v>
      </c>
      <c r="I9" s="36" t="s">
        <v>151</v>
      </c>
      <c r="J9" s="19" t="str">
        <f>VLOOKUP(tbSystems[[#This Row],[Economy]],tbEconomyTypes[],2,FALSE)</f>
        <v>Mining</v>
      </c>
      <c r="K9" s="21" t="str">
        <f>VLOOKUP(tbSystems[[#This Row],[Wealth]],tbWealthLevels[],2,FALSE)</f>
        <v>Low</v>
      </c>
      <c r="L9" s="21" t="str">
        <f>VLOOKUP(tbSystems[[#This Row],[Conflict]],tbConflictLevels[],2,FALSE)</f>
        <v>High</v>
      </c>
      <c r="M9" s="19" t="str">
        <f>VLOOKUP(tbSystems[[#This Row],[Economy]],tbEconomyTypes[],3,FALSE)</f>
        <v>Power generation</v>
      </c>
      <c r="N9" s="19" t="str">
        <f>VLOOKUP(tbSystems[[#This Row],[Economy]],tbEconomyTypes[],4,FALSE)</f>
        <v>Manufacturing</v>
      </c>
      <c r="O9" s="19"/>
    </row>
    <row r="10" spans="2:15" ht="27.95" customHeight="1" x14ac:dyDescent="0.25">
      <c r="B10" s="2" t="s">
        <v>111</v>
      </c>
      <c r="C10" s="35">
        <v>44002</v>
      </c>
      <c r="D10" s="11">
        <f>0/3</f>
        <v>0</v>
      </c>
      <c r="E10" s="2" t="s">
        <v>74</v>
      </c>
      <c r="G10" s="3" t="s">
        <v>190</v>
      </c>
      <c r="H10" s="36" t="s">
        <v>172</v>
      </c>
      <c r="I10" s="36" t="s">
        <v>152</v>
      </c>
      <c r="J10" s="19" t="str">
        <f>VLOOKUP(tbSystems[[#This Row],[Economy]],tbEconomyTypes[],2,FALSE)</f>
        <v>Scientific</v>
      </c>
      <c r="K10" s="21" t="str">
        <f>VLOOKUP(tbSystems[[#This Row],[Wealth]],tbWealthLevels[],2,FALSE)</f>
        <v>Medium</v>
      </c>
      <c r="L10" s="21" t="str">
        <f>VLOOKUP(tbSystems[[#This Row],[Conflict]],tbConflictLevels[],2,FALSE)</f>
        <v>Low</v>
      </c>
      <c r="M10" s="19" t="str">
        <f>VLOOKUP(tbSystems[[#This Row],[Economy]],tbEconomyTypes[],3,FALSE)</f>
        <v>Advanced Materials</v>
      </c>
      <c r="N10" s="19" t="str">
        <f>VLOOKUP(tbSystems[[#This Row],[Economy]],tbEconomyTypes[],4,FALSE)</f>
        <v>Trading</v>
      </c>
      <c r="O10" s="19"/>
    </row>
    <row r="11" spans="2:15" ht="27.95" customHeight="1" x14ac:dyDescent="0.25">
      <c r="B11" s="2" t="s">
        <v>134</v>
      </c>
      <c r="C11" s="35">
        <v>44003</v>
      </c>
      <c r="D11" s="11">
        <f>0/6</f>
        <v>0</v>
      </c>
      <c r="E11" s="2" t="s">
        <v>148</v>
      </c>
      <c r="F11" s="2" t="s">
        <v>606</v>
      </c>
      <c r="G11" s="3" t="s">
        <v>198</v>
      </c>
      <c r="H11" s="36" t="s">
        <v>173</v>
      </c>
      <c r="I11" s="36" t="s">
        <v>154</v>
      </c>
      <c r="J11" s="19" t="str">
        <f>VLOOKUP(tbSystems[[#This Row],[Economy]],tbEconomyTypes[],2,FALSE)</f>
        <v>Scientific</v>
      </c>
      <c r="K11" s="21" t="str">
        <f>VLOOKUP(tbSystems[[#This Row],[Wealth]],tbWealthLevels[],2,FALSE)</f>
        <v>Medium</v>
      </c>
      <c r="L11" s="21" t="str">
        <f>VLOOKUP(tbSystems[[#This Row],[Conflict]],tbConflictLevels[],2,FALSE)</f>
        <v>High</v>
      </c>
      <c r="M11" s="19" t="str">
        <f>VLOOKUP(tbSystems[[#This Row],[Economy]],tbEconomyTypes[],3,FALSE)</f>
        <v>Advanced Materials</v>
      </c>
      <c r="N11" s="19" t="str">
        <f>VLOOKUP(tbSystems[[#This Row],[Economy]],tbEconomyTypes[],4,FALSE)</f>
        <v>Trading</v>
      </c>
      <c r="O11" s="19"/>
    </row>
    <row r="12" spans="2:15" ht="27.95" customHeight="1" x14ac:dyDescent="0.25">
      <c r="B12" s="2" t="s">
        <v>136</v>
      </c>
      <c r="C12" s="35">
        <v>44003</v>
      </c>
      <c r="D12" s="11">
        <f>0/4</f>
        <v>0</v>
      </c>
      <c r="E12" s="2" t="s">
        <v>77</v>
      </c>
      <c r="G12" s="3" t="s">
        <v>194</v>
      </c>
      <c r="H12" s="36" t="s">
        <v>164</v>
      </c>
      <c r="I12" s="36" t="s">
        <v>146</v>
      </c>
      <c r="J12" s="19" t="str">
        <f>VLOOKUP(tbSystems[[#This Row],[Economy]],tbEconomyTypes[],2,FALSE)</f>
        <v>Advanced Materials</v>
      </c>
      <c r="K12" s="21" t="str">
        <f>VLOOKUP(tbSystems[[#This Row],[Wealth]],tbWealthLevels[],2,FALSE)</f>
        <v>Low</v>
      </c>
      <c r="L12" s="21" t="str">
        <f>VLOOKUP(tbSystems[[#This Row],[Conflict]],tbConflictLevels[],2,FALSE)</f>
        <v>Medium</v>
      </c>
      <c r="M12" s="19" t="str">
        <f>VLOOKUP(tbSystems[[#This Row],[Economy]],tbEconomyTypes[],3,FALSE)</f>
        <v>Trading</v>
      </c>
      <c r="N12" s="19" t="str">
        <f>VLOOKUP(tbSystems[[#This Row],[Economy]],tbEconomyTypes[],4,FALSE)</f>
        <v>Scientific</v>
      </c>
      <c r="O12" s="19"/>
    </row>
    <row r="13" spans="2:15" ht="27.95" customHeight="1" x14ac:dyDescent="0.25">
      <c r="B13" s="2" t="s">
        <v>135</v>
      </c>
      <c r="C13" s="35">
        <v>44003</v>
      </c>
      <c r="D13" s="11">
        <f>0/2</f>
        <v>0</v>
      </c>
      <c r="E13" s="2" t="s">
        <v>77</v>
      </c>
      <c r="G13" s="3" t="s">
        <v>237</v>
      </c>
      <c r="H13" s="36" t="s">
        <v>169</v>
      </c>
      <c r="I13" s="36" t="s">
        <v>155</v>
      </c>
      <c r="J13" s="19" t="str">
        <f>VLOOKUP(tbSystems[[#This Row],[Economy]],tbEconomyTypes[],2,FALSE)</f>
        <v>Power Generation</v>
      </c>
      <c r="K13" s="21" t="str">
        <f>VLOOKUP(tbSystems[[#This Row],[Wealth]],tbWealthLevels[],2,FALSE)</f>
        <v>Medium</v>
      </c>
      <c r="L13" s="21" t="str">
        <f>VLOOKUP(tbSystems[[#This Row],[Conflict]],tbConflictLevels[],2,FALSE)</f>
        <v>High</v>
      </c>
      <c r="M13" s="19" t="str">
        <f>VLOOKUP(tbSystems[[#This Row],[Economy]],tbEconomyTypes[],3,FALSE)</f>
        <v>Technology</v>
      </c>
      <c r="N13" s="19" t="str">
        <f>VLOOKUP(tbSystems[[#This Row],[Economy]],tbEconomyTypes[],4,FALSE)</f>
        <v>Mining</v>
      </c>
      <c r="O13" s="19"/>
    </row>
    <row r="14" spans="2:15" ht="27.95" customHeight="1" x14ac:dyDescent="0.25">
      <c r="B14" s="2" t="s">
        <v>89</v>
      </c>
      <c r="C14" s="35">
        <v>44006</v>
      </c>
      <c r="D14" s="11">
        <f>0/6</f>
        <v>0</v>
      </c>
      <c r="E14" s="2" t="s">
        <v>74</v>
      </c>
      <c r="G14" s="3" t="s">
        <v>197</v>
      </c>
      <c r="H14" s="36" t="s">
        <v>169</v>
      </c>
      <c r="I14" s="36" t="s">
        <v>146</v>
      </c>
      <c r="J14" s="19" t="str">
        <f>VLOOKUP(tbSystems[[#This Row],[Economy]],tbEconomyTypes[],2,FALSE)</f>
        <v>Scientific</v>
      </c>
      <c r="K14" s="21" t="str">
        <f>VLOOKUP(tbSystems[[#This Row],[Wealth]],tbWealthLevels[],2,FALSE)</f>
        <v>Medium</v>
      </c>
      <c r="L14" s="21" t="str">
        <f>VLOOKUP(tbSystems[[#This Row],[Conflict]],tbConflictLevels[],2,FALSE)</f>
        <v>Medium</v>
      </c>
      <c r="M14" s="19" t="str">
        <f>VLOOKUP(tbSystems[[#This Row],[Economy]],tbEconomyTypes[],3,FALSE)</f>
        <v>Advanced Materials</v>
      </c>
      <c r="N14" s="19" t="str">
        <f>VLOOKUP(tbSystems[[#This Row],[Economy]],tbEconomyTypes[],4,FALSE)</f>
        <v>Trading</v>
      </c>
      <c r="O14" s="19"/>
    </row>
    <row r="15" spans="2:15" ht="27.95" customHeight="1" x14ac:dyDescent="0.25">
      <c r="B15" s="2" t="s">
        <v>272</v>
      </c>
      <c r="C15" s="35">
        <v>44006</v>
      </c>
      <c r="D15" s="11">
        <f>0/4</f>
        <v>0</v>
      </c>
      <c r="E15" s="2" t="s">
        <v>74</v>
      </c>
      <c r="G15" s="3" t="s">
        <v>229</v>
      </c>
      <c r="H15" s="36" t="s">
        <v>161</v>
      </c>
      <c r="I15" s="36" t="s">
        <v>273</v>
      </c>
      <c r="J15" s="19" t="str">
        <f>VLOOKUP(tbSystems[[#This Row],[Economy]],tbEconomyTypes[],2,FALSE)</f>
        <v>Manufacturing</v>
      </c>
      <c r="K15" s="21" t="str">
        <f>VLOOKUP(tbSystems[[#This Row],[Wealth]],tbWealthLevels[],2,FALSE)</f>
        <v>Low</v>
      </c>
      <c r="L15" s="21" t="str">
        <f>VLOOKUP(tbSystems[[#This Row],[Conflict]],tbConflictLevels[],2,FALSE)</f>
        <v>Low</v>
      </c>
      <c r="M15" s="19" t="str">
        <f>VLOOKUP(tbSystems[[#This Row],[Economy]],tbEconomyTypes[],3,FALSE)</f>
        <v>Mining</v>
      </c>
      <c r="N15" s="19" t="str">
        <f>VLOOKUP(tbSystems[[#This Row],[Economy]],tbEconomyTypes[],4,FALSE)</f>
        <v>Technology</v>
      </c>
      <c r="O15" s="19"/>
    </row>
    <row r="16" spans="2:15" ht="27.95" customHeight="1" x14ac:dyDescent="0.25">
      <c r="B16" s="2" t="s">
        <v>278</v>
      </c>
      <c r="C16" s="35">
        <v>44006</v>
      </c>
      <c r="D16" s="11">
        <f>0/5</f>
        <v>0</v>
      </c>
      <c r="E16" s="2" t="s">
        <v>77</v>
      </c>
      <c r="G16" s="3" t="s">
        <v>239</v>
      </c>
      <c r="H16" s="36" t="s">
        <v>161</v>
      </c>
      <c r="I16" s="36" t="s">
        <v>256</v>
      </c>
      <c r="J16" s="19" t="str">
        <f>VLOOKUP(tbSystems[[#This Row],[Economy]],tbEconomyTypes[],2,FALSE)</f>
        <v>Power Generation</v>
      </c>
      <c r="K16" s="21" t="str">
        <f>VLOOKUP(tbSystems[[#This Row],[Wealth]],tbWealthLevels[],2,FALSE)</f>
        <v>Low</v>
      </c>
      <c r="L16" s="21" t="str">
        <f>VLOOKUP(tbSystems[[#This Row],[Conflict]],tbConflictLevels[],2,FALSE)</f>
        <v>High</v>
      </c>
      <c r="M16" s="19" t="str">
        <f>VLOOKUP(tbSystems[[#This Row],[Economy]],tbEconomyTypes[],3,FALSE)</f>
        <v>Technology</v>
      </c>
      <c r="N16" s="19" t="str">
        <f>VLOOKUP(tbSystems[[#This Row],[Economy]],tbEconomyTypes[],4,FALSE)</f>
        <v>Mining</v>
      </c>
      <c r="O16" s="19"/>
    </row>
    <row r="17" spans="2:15" ht="27.95" customHeight="1" x14ac:dyDescent="0.25">
      <c r="B17" s="2" t="s">
        <v>261</v>
      </c>
      <c r="C17" s="35">
        <v>44006</v>
      </c>
      <c r="D17" s="11">
        <f>0/6</f>
        <v>0</v>
      </c>
      <c r="E17" s="2" t="s">
        <v>77</v>
      </c>
      <c r="G17" s="3" t="s">
        <v>249</v>
      </c>
      <c r="H17" s="36" t="s">
        <v>168</v>
      </c>
      <c r="I17" s="36" t="s">
        <v>262</v>
      </c>
      <c r="J17" s="19" t="str">
        <f>VLOOKUP(tbSystems[[#This Row],[Economy]],tbEconomyTypes[],2,FALSE)</f>
        <v>Technology</v>
      </c>
      <c r="K17" s="21" t="str">
        <f>VLOOKUP(tbSystems[[#This Row],[Wealth]],tbWealthLevels[],2,FALSE)</f>
        <v>Medium</v>
      </c>
      <c r="L17" s="21" t="str">
        <f>VLOOKUP(tbSystems[[#This Row],[Conflict]],tbConflictLevels[],2,FALSE)</f>
        <v>Low</v>
      </c>
      <c r="M17" s="19" t="str">
        <f>VLOOKUP(tbSystems[[#This Row],[Economy]],tbEconomyTypes[],3,FALSE)</f>
        <v>Manufacturing</v>
      </c>
      <c r="N17" s="19" t="str">
        <f>VLOOKUP(tbSystems[[#This Row],[Economy]],tbEconomyTypes[],4,FALSE)</f>
        <v>Power Generation</v>
      </c>
      <c r="O17" s="19"/>
    </row>
    <row r="18" spans="2:15" ht="27.95" customHeight="1" x14ac:dyDescent="0.25">
      <c r="B18" s="2" t="s">
        <v>141</v>
      </c>
      <c r="C18" s="35">
        <v>44006</v>
      </c>
      <c r="D18" s="11">
        <f>0/3</f>
        <v>0</v>
      </c>
      <c r="E18" s="2" t="s">
        <v>77</v>
      </c>
      <c r="G18" s="3" t="s">
        <v>230</v>
      </c>
      <c r="H18" s="36" t="s">
        <v>172</v>
      </c>
      <c r="I18" s="36" t="s">
        <v>156</v>
      </c>
      <c r="J18" s="19" t="str">
        <f>VLOOKUP(tbSystems[[#This Row],[Economy]],tbEconomyTypes[],2,FALSE)</f>
        <v>Manufacturing</v>
      </c>
      <c r="K18" s="21" t="str">
        <f>VLOOKUP(tbSystems[[#This Row],[Wealth]],tbWealthLevels[],2,FALSE)</f>
        <v>Medium</v>
      </c>
      <c r="L18" s="21" t="str">
        <f>VLOOKUP(tbSystems[[#This Row],[Conflict]],tbConflictLevels[],2,FALSE)</f>
        <v>High</v>
      </c>
      <c r="M18" s="19" t="str">
        <f>VLOOKUP(tbSystems[[#This Row],[Economy]],tbEconomyTypes[],3,FALSE)</f>
        <v>Mining</v>
      </c>
      <c r="N18" s="19" t="str">
        <f>VLOOKUP(tbSystems[[#This Row],[Economy]],tbEconomyTypes[],4,FALSE)</f>
        <v>Technology</v>
      </c>
      <c r="O18" s="19"/>
    </row>
    <row r="19" spans="2:15" ht="27.95" customHeight="1" x14ac:dyDescent="0.25">
      <c r="B19" s="2" t="s">
        <v>101</v>
      </c>
      <c r="C19" s="35">
        <v>44006</v>
      </c>
      <c r="D19" s="11">
        <f>0/4</f>
        <v>0</v>
      </c>
      <c r="E19" s="2" t="s">
        <v>74</v>
      </c>
      <c r="G19" s="3" t="s">
        <v>186</v>
      </c>
      <c r="H19" s="36" t="s">
        <v>172</v>
      </c>
      <c r="I19" s="36" t="s">
        <v>150</v>
      </c>
      <c r="J19" s="19" t="str">
        <f>VLOOKUP(tbSystems[[#This Row],[Economy]],tbEconomyTypes[],2,FALSE)</f>
        <v>Trading</v>
      </c>
      <c r="K19" s="21" t="str">
        <f>VLOOKUP(tbSystems[[#This Row],[Wealth]],tbWealthLevels[],2,FALSE)</f>
        <v>Medium</v>
      </c>
      <c r="L19" s="21" t="str">
        <f>VLOOKUP(tbSystems[[#This Row],[Conflict]],tbConflictLevels[],2,FALSE)</f>
        <v>Medium</v>
      </c>
      <c r="M19" s="19" t="str">
        <f>VLOOKUP(tbSystems[[#This Row],[Economy]],tbEconomyTypes[],3,FALSE)</f>
        <v>Scientific</v>
      </c>
      <c r="N19" s="19" t="str">
        <f>VLOOKUP(tbSystems[[#This Row],[Economy]],tbEconomyTypes[],4,FALSE)</f>
        <v>Advanced Materials</v>
      </c>
      <c r="O19" s="19"/>
    </row>
    <row r="20" spans="2:15" ht="27.95" customHeight="1" x14ac:dyDescent="0.25">
      <c r="B20" s="2" t="s">
        <v>308</v>
      </c>
      <c r="C20" s="35">
        <v>44007</v>
      </c>
      <c r="D20" s="11">
        <f>0/4</f>
        <v>0</v>
      </c>
      <c r="E20" s="2" t="s">
        <v>74</v>
      </c>
      <c r="F20" s="2" t="s">
        <v>610</v>
      </c>
      <c r="G20" s="3" t="s">
        <v>197</v>
      </c>
      <c r="H20" s="36" t="s">
        <v>169</v>
      </c>
      <c r="I20" s="36" t="s">
        <v>143</v>
      </c>
      <c r="J20" s="19" t="str">
        <f>VLOOKUP(tbSystems[[#This Row],[Economy]],tbEconomyTypes[],2,FALSE)</f>
        <v>Scientific</v>
      </c>
      <c r="K20" s="21" t="str">
        <f>VLOOKUP(tbSystems[[#This Row],[Wealth]],tbWealthLevels[],2,FALSE)</f>
        <v>Medium</v>
      </c>
      <c r="L20" s="21" t="str">
        <f>VLOOKUP(tbSystems[[#This Row],[Conflict]],tbConflictLevels[],2,FALSE)</f>
        <v>Low</v>
      </c>
      <c r="M20" s="19" t="str">
        <f>VLOOKUP(tbSystems[[#This Row],[Economy]],tbEconomyTypes[],3,FALSE)</f>
        <v>Advanced Materials</v>
      </c>
      <c r="N20" s="19" t="str">
        <f>VLOOKUP(tbSystems[[#This Row],[Economy]],tbEconomyTypes[],4,FALSE)</f>
        <v>Trading</v>
      </c>
      <c r="O20" s="19"/>
    </row>
    <row r="21" spans="2:15" ht="27.95" customHeight="1" x14ac:dyDescent="0.25">
      <c r="B21" s="2" t="s">
        <v>309</v>
      </c>
      <c r="C21" s="35">
        <v>44007</v>
      </c>
      <c r="D21" s="11">
        <f>0/4</f>
        <v>0</v>
      </c>
      <c r="E21" s="2" t="s">
        <v>74</v>
      </c>
      <c r="F21" s="2" t="s">
        <v>606</v>
      </c>
      <c r="G21" s="3" t="s">
        <v>202</v>
      </c>
      <c r="H21" s="36" t="s">
        <v>167</v>
      </c>
      <c r="I21" s="36" t="s">
        <v>253</v>
      </c>
      <c r="J21" s="19" t="str">
        <f>VLOOKUP(tbSystems[[#This Row],[Economy]],tbEconomyTypes[],2,FALSE)</f>
        <v>Mining</v>
      </c>
      <c r="K21" s="21" t="str">
        <f>VLOOKUP(tbSystems[[#This Row],[Wealth]],tbWealthLevels[],2,FALSE)</f>
        <v>Medium</v>
      </c>
      <c r="L21" s="21" t="str">
        <f>VLOOKUP(tbSystems[[#This Row],[Conflict]],tbConflictLevels[],2,FALSE)</f>
        <v>Low</v>
      </c>
      <c r="M21" s="19" t="str">
        <f>VLOOKUP(tbSystems[[#This Row],[Economy]],tbEconomyTypes[],3,FALSE)</f>
        <v>Power generation</v>
      </c>
      <c r="N21" s="19" t="str">
        <f>VLOOKUP(tbSystems[[#This Row],[Economy]],tbEconomyTypes[],4,FALSE)</f>
        <v>Manufacturing</v>
      </c>
      <c r="O21" s="19"/>
    </row>
    <row r="22" spans="2:15" ht="27.95" customHeight="1" x14ac:dyDescent="0.25">
      <c r="B22" s="2" t="s">
        <v>310</v>
      </c>
      <c r="C22" s="35">
        <v>44007</v>
      </c>
      <c r="D22" s="11">
        <f>0/5</f>
        <v>0</v>
      </c>
      <c r="E22" s="2" t="s">
        <v>74</v>
      </c>
      <c r="F22" s="2" t="s">
        <v>608</v>
      </c>
      <c r="G22" s="3" t="s">
        <v>239</v>
      </c>
      <c r="H22" s="36" t="s">
        <v>173</v>
      </c>
      <c r="I22" s="36" t="s">
        <v>311</v>
      </c>
      <c r="J22" s="19" t="str">
        <f>VLOOKUP(tbSystems[[#This Row],[Economy]],tbEconomyTypes[],2,FALSE)</f>
        <v>Power Generation</v>
      </c>
      <c r="K22" s="21" t="str">
        <f>VLOOKUP(tbSystems[[#This Row],[Wealth]],tbWealthLevels[],2,FALSE)</f>
        <v>Medium</v>
      </c>
      <c r="L22" s="21" t="str">
        <f>VLOOKUP(tbSystems[[#This Row],[Conflict]],tbConflictLevels[],2,FALSE)</f>
        <v>Low</v>
      </c>
      <c r="M22" s="19" t="str">
        <f>VLOOKUP(tbSystems[[#This Row],[Economy]],tbEconomyTypes[],3,FALSE)</f>
        <v>Technology</v>
      </c>
      <c r="N22" s="19" t="str">
        <f>VLOOKUP(tbSystems[[#This Row],[Economy]],tbEconomyTypes[],4,FALSE)</f>
        <v>Mining</v>
      </c>
      <c r="O22" s="19"/>
    </row>
    <row r="23" spans="2:15" ht="27.95" customHeight="1" x14ac:dyDescent="0.25">
      <c r="B23" s="2" t="s">
        <v>314</v>
      </c>
      <c r="C23" s="35">
        <v>44007</v>
      </c>
      <c r="D23" s="11">
        <f>0/3</f>
        <v>0</v>
      </c>
      <c r="E23" s="2" t="s">
        <v>148</v>
      </c>
      <c r="F23" s="2" t="s">
        <v>607</v>
      </c>
      <c r="G23" s="3" t="s">
        <v>58</v>
      </c>
      <c r="H23" s="36" t="s">
        <v>170</v>
      </c>
      <c r="I23" s="36" t="s">
        <v>153</v>
      </c>
      <c r="J23" s="19" t="str">
        <f>VLOOKUP(tbSystems[[#This Row],[Economy]],tbEconomyTypes[],2,FALSE)</f>
        <v>Mining</v>
      </c>
      <c r="K23" s="21" t="str">
        <f>VLOOKUP(tbSystems[[#This Row],[Wealth]],tbWealthLevels[],2,FALSE)</f>
        <v>Medium</v>
      </c>
      <c r="L23" s="21" t="str">
        <f>VLOOKUP(tbSystems[[#This Row],[Conflict]],tbConflictLevels[],2,FALSE)</f>
        <v>Low</v>
      </c>
      <c r="M23" s="19" t="str">
        <f>VLOOKUP(tbSystems[[#This Row],[Economy]],tbEconomyTypes[],3,FALSE)</f>
        <v>Power generation</v>
      </c>
      <c r="N23" s="19" t="str">
        <f>VLOOKUP(tbSystems[[#This Row],[Economy]],tbEconomyTypes[],4,FALSE)</f>
        <v>Manufacturing</v>
      </c>
      <c r="O23" s="19"/>
    </row>
    <row r="24" spans="2:15" ht="27.95" customHeight="1" x14ac:dyDescent="0.25">
      <c r="B24" s="2" t="s">
        <v>318</v>
      </c>
      <c r="C24" s="35">
        <v>44008</v>
      </c>
      <c r="D24" s="11">
        <f>0/3</f>
        <v>0</v>
      </c>
      <c r="E24" s="2" t="s">
        <v>77</v>
      </c>
      <c r="F24" s="2" t="s">
        <v>609</v>
      </c>
      <c r="G24" s="3" t="s">
        <v>249</v>
      </c>
      <c r="H24" s="36" t="s">
        <v>169</v>
      </c>
      <c r="I24" s="36" t="s">
        <v>143</v>
      </c>
      <c r="J24" s="19" t="str">
        <f>VLOOKUP(tbSystems[[#This Row],[Economy]],tbEconomyTypes[],2,FALSE)</f>
        <v>Technology</v>
      </c>
      <c r="K24" s="21" t="str">
        <f>VLOOKUP(tbSystems[[#This Row],[Wealth]],tbWealthLevels[],2,FALSE)</f>
        <v>Medium</v>
      </c>
      <c r="L24" s="21" t="str">
        <f>VLOOKUP(tbSystems[[#This Row],[Conflict]],tbConflictLevels[],2,FALSE)</f>
        <v>Low</v>
      </c>
      <c r="M24" s="19" t="str">
        <f>VLOOKUP(tbSystems[[#This Row],[Economy]],tbEconomyTypes[],3,FALSE)</f>
        <v>Manufacturing</v>
      </c>
      <c r="N24" s="19" t="str">
        <f>VLOOKUP(tbSystems[[#This Row],[Economy]],tbEconomyTypes[],4,FALSE)</f>
        <v>Power Generation</v>
      </c>
      <c r="O24" s="19"/>
    </row>
    <row r="25" spans="2:15" ht="27.95" customHeight="1" x14ac:dyDescent="0.25">
      <c r="B25" s="2" t="s">
        <v>365</v>
      </c>
      <c r="C25" s="35">
        <v>44008</v>
      </c>
      <c r="D25" s="11">
        <f>0/1</f>
        <v>0</v>
      </c>
      <c r="E25" s="2" t="s">
        <v>148</v>
      </c>
      <c r="G25" s="3" t="s">
        <v>238</v>
      </c>
      <c r="H25" s="36" t="s">
        <v>174</v>
      </c>
      <c r="I25" s="36" t="s">
        <v>142</v>
      </c>
      <c r="J25" s="19" t="str">
        <f>VLOOKUP(tbSystems[[#This Row],[Economy]],tbEconomyTypes[],2,FALSE)</f>
        <v>Power Generation</v>
      </c>
      <c r="K25" s="21" t="str">
        <f>VLOOKUP(tbSystems[[#This Row],[Wealth]],tbWealthLevels[],2,FALSE)</f>
        <v>Medium</v>
      </c>
      <c r="L25" s="21" t="str">
        <f>VLOOKUP(tbSystems[[#This Row],[Conflict]],tbConflictLevels[],2,FALSE)</f>
        <v>Low</v>
      </c>
      <c r="M25" s="19" t="str">
        <f>VLOOKUP(tbSystems[[#This Row],[Economy]],tbEconomyTypes[],3,FALSE)</f>
        <v>Technology</v>
      </c>
      <c r="N25" s="19" t="str">
        <f>VLOOKUP(tbSystems[[#This Row],[Economy]],tbEconomyTypes[],4,FALSE)</f>
        <v>Mining</v>
      </c>
      <c r="O25" s="19"/>
    </row>
    <row r="26" spans="2:15" ht="27.95" customHeight="1" x14ac:dyDescent="0.25">
      <c r="B26" s="2" t="s">
        <v>503</v>
      </c>
      <c r="C26" s="35">
        <v>44008</v>
      </c>
      <c r="D26" s="11">
        <f>0/5</f>
        <v>0</v>
      </c>
      <c r="E26" s="2" t="s">
        <v>74</v>
      </c>
      <c r="G26" s="3" t="s">
        <v>228</v>
      </c>
      <c r="H26" s="36" t="s">
        <v>174</v>
      </c>
      <c r="I26" s="36" t="s">
        <v>254</v>
      </c>
      <c r="J26" s="19" t="str">
        <f>VLOOKUP(tbSystems[[#This Row],[Economy]],tbEconomyTypes[],2,FALSE)</f>
        <v>Manufacturing</v>
      </c>
      <c r="K26" s="21" t="str">
        <f>VLOOKUP(tbSystems[[#This Row],[Wealth]],tbWealthLevels[],2,FALSE)</f>
        <v>Medium</v>
      </c>
      <c r="L26" s="21" t="str">
        <f>VLOOKUP(tbSystems[[#This Row],[Conflict]],tbConflictLevels[],2,FALSE)</f>
        <v>Medium</v>
      </c>
      <c r="M26" s="19" t="str">
        <f>VLOOKUP(tbSystems[[#This Row],[Economy]],tbEconomyTypes[],3,FALSE)</f>
        <v>Mining</v>
      </c>
      <c r="N26" s="19" t="str">
        <f>VLOOKUP(tbSystems[[#This Row],[Economy]],tbEconomyTypes[],4,FALSE)</f>
        <v>Technology</v>
      </c>
      <c r="O26" s="19"/>
    </row>
    <row r="27" spans="2:15" ht="27.95" customHeight="1" x14ac:dyDescent="0.25">
      <c r="B27" s="2" t="s">
        <v>538</v>
      </c>
      <c r="C27" s="35">
        <v>44009</v>
      </c>
      <c r="D27" s="11">
        <f>0/2</f>
        <v>0</v>
      </c>
      <c r="E27" s="2" t="s">
        <v>77</v>
      </c>
      <c r="G27" s="3" t="s">
        <v>246</v>
      </c>
      <c r="H27" s="36" t="s">
        <v>167</v>
      </c>
      <c r="I27" s="36" t="s">
        <v>144</v>
      </c>
      <c r="J27" s="19" t="str">
        <f>VLOOKUP(tbSystems[[#This Row],[Economy]],tbEconomyTypes[],2,FALSE)</f>
        <v>Technology</v>
      </c>
      <c r="K27" s="21" t="str">
        <f>VLOOKUP(tbSystems[[#This Row],[Wealth]],tbWealthLevels[],2,FALSE)</f>
        <v>Medium</v>
      </c>
      <c r="L27" s="21" t="str">
        <f>VLOOKUP(tbSystems[[#This Row],[Conflict]],tbConflictLevels[],2,FALSE)</f>
        <v>High</v>
      </c>
      <c r="M27" s="19" t="str">
        <f>VLOOKUP(tbSystems[[#This Row],[Economy]],tbEconomyTypes[],3,FALSE)</f>
        <v>Manufacturing</v>
      </c>
      <c r="N27" s="19" t="str">
        <f>VLOOKUP(tbSystems[[#This Row],[Economy]],tbEconomyTypes[],4,FALSE)</f>
        <v>Power Generation</v>
      </c>
      <c r="O27" s="19" t="s">
        <v>540</v>
      </c>
    </row>
    <row r="28" spans="2:15" ht="27.95" customHeight="1" x14ac:dyDescent="0.25">
      <c r="B28" s="2" t="s">
        <v>603</v>
      </c>
      <c r="C28" s="35">
        <v>44010</v>
      </c>
      <c r="D28" s="11">
        <f>0/5</f>
        <v>0</v>
      </c>
      <c r="E28" s="2" t="s">
        <v>620</v>
      </c>
      <c r="F28" s="2" t="s">
        <v>604</v>
      </c>
      <c r="G28" s="2" t="s">
        <v>620</v>
      </c>
      <c r="H28" s="2" t="s">
        <v>620</v>
      </c>
      <c r="I28" s="2" t="s">
        <v>620</v>
      </c>
      <c r="J28" s="19" t="str">
        <f>VLOOKUP(tbSystems[[#This Row],[Economy]],tbEconomyTypes[],2,FALSE)</f>
        <v>n/a</v>
      </c>
      <c r="K28" s="21" t="str">
        <f>VLOOKUP(tbSystems[[#This Row],[Wealth]],tbWealthLevels[],2,FALSE)</f>
        <v>n/a</v>
      </c>
      <c r="L28" s="21" t="str">
        <f>VLOOKUP(tbSystems[[#This Row],[Conflict]],tbConflictLevels[],2,FALSE)</f>
        <v>n/a</v>
      </c>
      <c r="M28" s="19" t="str">
        <f>VLOOKUP(tbSystems[[#This Row],[Economy]],tbEconomyTypes[],3,FALSE)</f>
        <v>n/a</v>
      </c>
      <c r="N28" s="19" t="str">
        <f>VLOOKUP(tbSystems[[#This Row],[Economy]],tbEconomyTypes[],4,FALSE)</f>
        <v>n/a</v>
      </c>
      <c r="O28" s="19" t="s">
        <v>621</v>
      </c>
    </row>
    <row r="29" spans="2:15" ht="27.95" customHeight="1" x14ac:dyDescent="0.25">
      <c r="B29" s="2" t="s">
        <v>633</v>
      </c>
      <c r="C29" s="35">
        <v>44010</v>
      </c>
      <c r="D29" s="11">
        <f>0/1</f>
        <v>0</v>
      </c>
      <c r="E29" s="2" t="s">
        <v>74</v>
      </c>
      <c r="F29" s="2" t="s">
        <v>634</v>
      </c>
      <c r="G29" s="2" t="s">
        <v>187</v>
      </c>
      <c r="H29" s="2" t="s">
        <v>173</v>
      </c>
      <c r="I29" s="2" t="s">
        <v>255</v>
      </c>
      <c r="J29" s="19" t="str">
        <f>VLOOKUP(tbSystems[[#This Row],[Economy]],tbEconomyTypes[],2,FALSE)</f>
        <v>Trading</v>
      </c>
      <c r="K29" s="21" t="str">
        <f>VLOOKUP(tbSystems[[#This Row],[Wealth]],tbWealthLevels[],2,FALSE)</f>
        <v>Medium</v>
      </c>
      <c r="L29" s="21" t="str">
        <f>VLOOKUP(tbSystems[[#This Row],[Conflict]],tbConflictLevels[],2,FALSE)</f>
        <v>Medium</v>
      </c>
      <c r="M29" s="19" t="str">
        <f>VLOOKUP(tbSystems[[#This Row],[Economy]],tbEconomyTypes[],3,FALSE)</f>
        <v>Scientific</v>
      </c>
      <c r="N29" s="19" t="str">
        <f>VLOOKUP(tbSystems[[#This Row],[Economy]],tbEconomyTypes[],4,FALSE)</f>
        <v>Advanced Materials</v>
      </c>
      <c r="O29" s="19"/>
    </row>
    <row r="30" spans="2:15" ht="27.95" customHeight="1" x14ac:dyDescent="0.25">
      <c r="B30" s="2" t="s">
        <v>642</v>
      </c>
      <c r="C30" s="35">
        <v>44010</v>
      </c>
      <c r="D30" s="11">
        <f>0/4</f>
        <v>0</v>
      </c>
      <c r="E30" s="2" t="s">
        <v>148</v>
      </c>
      <c r="F30" s="2" t="s">
        <v>643</v>
      </c>
      <c r="G30" s="2" t="s">
        <v>237</v>
      </c>
      <c r="H30" s="2" t="s">
        <v>169</v>
      </c>
      <c r="I30" s="2" t="s">
        <v>155</v>
      </c>
      <c r="J30" s="19" t="str">
        <f>VLOOKUP(tbSystems[[#This Row],[Economy]],tbEconomyTypes[],2,FALSE)</f>
        <v>Power Generation</v>
      </c>
      <c r="K30" s="21" t="str">
        <f>VLOOKUP(tbSystems[[#This Row],[Wealth]],tbWealthLevels[],2,FALSE)</f>
        <v>Medium</v>
      </c>
      <c r="L30" s="21" t="str">
        <f>VLOOKUP(tbSystems[[#This Row],[Conflict]],tbConflictLevels[],2,FALSE)</f>
        <v>High</v>
      </c>
      <c r="M30" s="19" t="str">
        <f>VLOOKUP(tbSystems[[#This Row],[Economy]],tbEconomyTypes[],3,FALSE)</f>
        <v>Technology</v>
      </c>
      <c r="N30" s="19" t="str">
        <f>VLOOKUP(tbSystems[[#This Row],[Economy]],tbEconomyTypes[],4,FALSE)</f>
        <v>Mining</v>
      </c>
      <c r="O30" s="19"/>
    </row>
    <row r="31" spans="2:15" ht="27.95" customHeight="1" x14ac:dyDescent="0.25">
      <c r="B31" s="2" t="s">
        <v>644</v>
      </c>
      <c r="C31" s="35">
        <v>44010</v>
      </c>
      <c r="D31" s="11">
        <f>0/5</f>
        <v>0</v>
      </c>
      <c r="E31" s="2" t="s">
        <v>148</v>
      </c>
      <c r="F31" s="2" t="s">
        <v>605</v>
      </c>
      <c r="G31" s="2" t="s">
        <v>186</v>
      </c>
      <c r="H31" s="2" t="s">
        <v>172</v>
      </c>
      <c r="I31" s="2" t="s">
        <v>645</v>
      </c>
      <c r="J31" s="19" t="str">
        <f>VLOOKUP(tbSystems[[#This Row],[Economy]],tbEconomyTypes[],2,FALSE)</f>
        <v>Trading</v>
      </c>
      <c r="K31" s="21" t="str">
        <f>VLOOKUP(tbSystems[[#This Row],[Wealth]],tbWealthLevels[],2,FALSE)</f>
        <v>Medium</v>
      </c>
      <c r="L31" s="21" t="str">
        <f>VLOOKUP(tbSystems[[#This Row],[Conflict]],tbConflictLevels[],2,FALSE)</f>
        <v>High</v>
      </c>
      <c r="M31" s="19" t="str">
        <f>VLOOKUP(tbSystems[[#This Row],[Economy]],tbEconomyTypes[],3,FALSE)</f>
        <v>Scientific</v>
      </c>
      <c r="N31" s="19" t="str">
        <f>VLOOKUP(tbSystems[[#This Row],[Economy]],tbEconomyTypes[],4,FALSE)</f>
        <v>Advanced Materials</v>
      </c>
      <c r="O31" s="19"/>
    </row>
    <row r="32" spans="2:15" ht="27.95" customHeight="1" x14ac:dyDescent="0.25">
      <c r="B32" s="2" t="s">
        <v>646</v>
      </c>
      <c r="C32" s="35">
        <v>44010</v>
      </c>
      <c r="D32" s="11">
        <f>0/2</f>
        <v>0</v>
      </c>
      <c r="E32" s="2" t="s">
        <v>77</v>
      </c>
      <c r="F32" s="2" t="s">
        <v>647</v>
      </c>
      <c r="G32" s="2" t="s">
        <v>230</v>
      </c>
      <c r="H32" s="2" t="s">
        <v>172</v>
      </c>
      <c r="I32" s="2" t="s">
        <v>150</v>
      </c>
      <c r="J32" s="19" t="str">
        <f>VLOOKUP(tbSystems[[#This Row],[Economy]],tbEconomyTypes[],2,FALSE)</f>
        <v>Manufacturing</v>
      </c>
      <c r="K32" s="21" t="str">
        <f>VLOOKUP(tbSystems[[#This Row],[Wealth]],tbWealthLevels[],2,FALSE)</f>
        <v>Medium</v>
      </c>
      <c r="L32" s="21" t="str">
        <f>VLOOKUP(tbSystems[[#This Row],[Conflict]],tbConflictLevels[],2,FALSE)</f>
        <v>Medium</v>
      </c>
      <c r="M32" s="19" t="str">
        <f>VLOOKUP(tbSystems[[#This Row],[Economy]],tbEconomyTypes[],3,FALSE)</f>
        <v>Mining</v>
      </c>
      <c r="N32" s="19" t="str">
        <f>VLOOKUP(tbSystems[[#This Row],[Economy]],tbEconomyTypes[],4,FALSE)</f>
        <v>Technology</v>
      </c>
      <c r="O32" s="19"/>
    </row>
    <row r="33" spans="2:15" ht="27.95" customHeight="1" x14ac:dyDescent="0.25">
      <c r="B33" s="2" t="s">
        <v>648</v>
      </c>
      <c r="C33" s="35">
        <v>44010</v>
      </c>
      <c r="D33" s="11">
        <f>0/1</f>
        <v>0</v>
      </c>
      <c r="E33" s="2" t="s">
        <v>74</v>
      </c>
      <c r="F33" s="2" t="s">
        <v>609</v>
      </c>
      <c r="G33" s="2" t="s">
        <v>194</v>
      </c>
      <c r="H33" s="2" t="s">
        <v>162</v>
      </c>
      <c r="I33" s="2" t="s">
        <v>156</v>
      </c>
      <c r="J33" s="19" t="str">
        <f>VLOOKUP(tbSystems[[#This Row],[Economy]],tbEconomyTypes[],2,FALSE)</f>
        <v>Advanced Materials</v>
      </c>
      <c r="K33" s="21" t="str">
        <f>VLOOKUP(tbSystems[[#This Row],[Wealth]],tbWealthLevels[],2,FALSE)</f>
        <v>Low</v>
      </c>
      <c r="L33" s="21" t="str">
        <f>VLOOKUP(tbSystems[[#This Row],[Conflict]],tbConflictLevels[],2,FALSE)</f>
        <v>High</v>
      </c>
      <c r="M33" s="19" t="str">
        <f>VLOOKUP(tbSystems[[#This Row],[Economy]],tbEconomyTypes[],3,FALSE)</f>
        <v>Trading</v>
      </c>
      <c r="N33" s="19" t="str">
        <f>VLOOKUP(tbSystems[[#This Row],[Economy]],tbEconomyTypes[],4,FALSE)</f>
        <v>Scientific</v>
      </c>
      <c r="O33" s="19"/>
    </row>
    <row r="34" spans="2:15" ht="27.95" customHeight="1" x14ac:dyDescent="0.25">
      <c r="B34" s="2" t="s">
        <v>306</v>
      </c>
      <c r="C34" s="2">
        <f>SUBTOTAL(103,tbSystems[Date Discovered])</f>
        <v>31</v>
      </c>
      <c r="G34" s="3"/>
      <c r="I34" s="40"/>
      <c r="J34" s="40"/>
      <c r="K34" s="41"/>
      <c r="L34" s="41"/>
      <c r="M34" s="40"/>
      <c r="N34" s="40"/>
      <c r="O34" s="40"/>
    </row>
    <row r="35" spans="2:15" ht="27.95" customHeight="1" x14ac:dyDescent="0.25"/>
    <row r="36" spans="2:15" ht="27.95" customHeight="1" x14ac:dyDescent="0.25">
      <c r="B36" s="2" t="s">
        <v>43</v>
      </c>
      <c r="C36" s="2" t="s">
        <v>34</v>
      </c>
      <c r="D36" s="2" t="s">
        <v>44</v>
      </c>
      <c r="E36" s="2" t="s">
        <v>54</v>
      </c>
      <c r="F36" s="2" t="s">
        <v>50</v>
      </c>
      <c r="G36" s="2" t="s">
        <v>51</v>
      </c>
      <c r="H36" s="2" t="s">
        <v>52</v>
      </c>
      <c r="I36" s="2" t="s">
        <v>53</v>
      </c>
      <c r="J36" s="2" t="s">
        <v>616</v>
      </c>
      <c r="K36" s="13" t="s">
        <v>56</v>
      </c>
      <c r="L36" s="2" t="s">
        <v>57</v>
      </c>
      <c r="M36" s="12" t="s">
        <v>58</v>
      </c>
      <c r="N36" s="2" t="s">
        <v>21</v>
      </c>
    </row>
    <row r="37" spans="2:15" ht="27.95" customHeight="1" x14ac:dyDescent="0.25">
      <c r="B37" s="2" t="s">
        <v>49</v>
      </c>
      <c r="C37" s="2" t="s">
        <v>59</v>
      </c>
      <c r="E37" s="2" t="s">
        <v>55</v>
      </c>
      <c r="F37" s="2" t="s">
        <v>15</v>
      </c>
      <c r="G37" s="2" t="s">
        <v>6</v>
      </c>
      <c r="H37" s="2" t="s">
        <v>39</v>
      </c>
      <c r="I37" s="2" t="s">
        <v>5</v>
      </c>
      <c r="K37" s="14">
        <v>13</v>
      </c>
      <c r="L37" s="11">
        <f>12/15</f>
        <v>0.8</v>
      </c>
      <c r="M37" s="14">
        <v>16</v>
      </c>
      <c r="N37" s="3"/>
    </row>
    <row r="38" spans="2:15" ht="27.95" customHeight="1" x14ac:dyDescent="0.25">
      <c r="B38" s="2" t="s">
        <v>60</v>
      </c>
      <c r="C38" s="2" t="s">
        <v>59</v>
      </c>
      <c r="E38" s="2" t="s">
        <v>65</v>
      </c>
      <c r="F38" s="2" t="s">
        <v>62</v>
      </c>
      <c r="G38" s="2" t="s">
        <v>63</v>
      </c>
      <c r="H38" s="2" t="s">
        <v>64</v>
      </c>
      <c r="I38" s="2" t="s">
        <v>5</v>
      </c>
      <c r="K38" s="14">
        <v>11</v>
      </c>
      <c r="L38" s="11">
        <f>4/5</f>
        <v>0.8</v>
      </c>
      <c r="M38" s="14">
        <v>21</v>
      </c>
      <c r="N38" s="3"/>
    </row>
    <row r="39" spans="2:15" ht="27.95" customHeight="1" x14ac:dyDescent="0.25">
      <c r="B39" s="2" t="s">
        <v>37</v>
      </c>
      <c r="C39" s="2" t="s">
        <v>61</v>
      </c>
      <c r="E39" s="2" t="s">
        <v>68</v>
      </c>
      <c r="F39" s="2" t="s">
        <v>95</v>
      </c>
      <c r="G39" s="2" t="s">
        <v>10</v>
      </c>
      <c r="H39" s="2" t="s">
        <v>69</v>
      </c>
      <c r="I39" s="2" t="s">
        <v>5</v>
      </c>
      <c r="K39" s="14">
        <v>17</v>
      </c>
      <c r="L39" s="11">
        <f>6/8</f>
        <v>0.75</v>
      </c>
      <c r="M39" s="14">
        <v>7</v>
      </c>
      <c r="N39" s="3"/>
    </row>
    <row r="40" spans="2:15" ht="27.95" customHeight="1" x14ac:dyDescent="0.25">
      <c r="B40" s="2" t="s">
        <v>79</v>
      </c>
      <c r="C40" s="2" t="s">
        <v>61</v>
      </c>
      <c r="E40" s="2" t="s">
        <v>80</v>
      </c>
      <c r="F40" s="2" t="s">
        <v>81</v>
      </c>
      <c r="G40" s="2" t="s">
        <v>5</v>
      </c>
      <c r="H40" s="2" t="s">
        <v>82</v>
      </c>
      <c r="I40" s="2" t="s">
        <v>10</v>
      </c>
      <c r="K40" s="14">
        <v>12</v>
      </c>
      <c r="L40" s="11">
        <f>3/5</f>
        <v>0.6</v>
      </c>
      <c r="M40" s="14">
        <v>12</v>
      </c>
      <c r="N40" s="3"/>
    </row>
    <row r="41" spans="2:15" ht="27.95" customHeight="1" x14ac:dyDescent="0.25">
      <c r="B41" s="2" t="s">
        <v>83</v>
      </c>
      <c r="C41" s="2" t="s">
        <v>61</v>
      </c>
      <c r="E41" s="2" t="s">
        <v>84</v>
      </c>
      <c r="F41" s="2" t="s">
        <v>95</v>
      </c>
      <c r="G41" s="2" t="s">
        <v>5</v>
      </c>
      <c r="H41" s="2" t="s">
        <v>69</v>
      </c>
      <c r="I41" s="2" t="s">
        <v>10</v>
      </c>
      <c r="K41" s="14">
        <v>1</v>
      </c>
      <c r="L41" s="11">
        <f>2/16</f>
        <v>0.125</v>
      </c>
      <c r="M41" s="14">
        <v>1</v>
      </c>
      <c r="N41" s="3"/>
    </row>
    <row r="42" spans="2:15" ht="27.95" customHeight="1" x14ac:dyDescent="0.25">
      <c r="B42" s="2" t="s">
        <v>87</v>
      </c>
      <c r="C42" s="2" t="s">
        <v>86</v>
      </c>
      <c r="E42" s="2" t="s">
        <v>65</v>
      </c>
      <c r="F42" s="2" t="s">
        <v>62</v>
      </c>
      <c r="G42" s="2" t="s">
        <v>5</v>
      </c>
      <c r="H42" s="2" t="s">
        <v>64</v>
      </c>
      <c r="I42" s="2" t="s">
        <v>10</v>
      </c>
      <c r="K42" s="14">
        <v>7</v>
      </c>
      <c r="L42" s="11">
        <f>4/5</f>
        <v>0.8</v>
      </c>
      <c r="M42" s="14">
        <v>16</v>
      </c>
      <c r="N42" s="3"/>
    </row>
    <row r="43" spans="2:15" ht="27.95" customHeight="1" x14ac:dyDescent="0.25">
      <c r="B43" s="2" t="s">
        <v>91</v>
      </c>
      <c r="C43" s="2" t="s">
        <v>89</v>
      </c>
      <c r="E43" s="2" t="s">
        <v>92</v>
      </c>
      <c r="F43" s="2" t="s">
        <v>62</v>
      </c>
      <c r="G43" s="2" t="s">
        <v>5</v>
      </c>
      <c r="H43" s="2" t="s">
        <v>64</v>
      </c>
      <c r="I43" s="2" t="s">
        <v>6</v>
      </c>
      <c r="K43" s="14">
        <v>0</v>
      </c>
      <c r="L43" s="11">
        <f>0/6</f>
        <v>0</v>
      </c>
      <c r="M43" s="14">
        <v>0</v>
      </c>
      <c r="N43" s="3"/>
    </row>
    <row r="44" spans="2:15" ht="27.95" customHeight="1" x14ac:dyDescent="0.25">
      <c r="B44" s="2" t="s">
        <v>93</v>
      </c>
      <c r="C44" s="2" t="s">
        <v>89</v>
      </c>
      <c r="E44" s="2" t="s">
        <v>55</v>
      </c>
      <c r="F44" s="2" t="s">
        <v>15</v>
      </c>
      <c r="G44" s="2" t="s">
        <v>94</v>
      </c>
      <c r="H44" s="2" t="s">
        <v>39</v>
      </c>
      <c r="I44" s="2" t="s">
        <v>5</v>
      </c>
      <c r="K44" s="14">
        <v>0</v>
      </c>
      <c r="L44" s="11">
        <f>0</f>
        <v>0</v>
      </c>
      <c r="M44" s="14">
        <v>0</v>
      </c>
      <c r="N44" s="3"/>
    </row>
    <row r="45" spans="2:15" ht="27.95" customHeight="1" x14ac:dyDescent="0.25">
      <c r="B45" s="2" t="s">
        <v>105</v>
      </c>
      <c r="C45" s="2" t="s">
        <v>85</v>
      </c>
      <c r="E45" s="2" t="s">
        <v>65</v>
      </c>
      <c r="F45" s="2" t="s">
        <v>62</v>
      </c>
      <c r="G45" s="2" t="s">
        <v>10</v>
      </c>
      <c r="H45" s="2" t="s">
        <v>64</v>
      </c>
      <c r="I45" s="2" t="s">
        <v>5</v>
      </c>
      <c r="K45" s="14">
        <v>10</v>
      </c>
      <c r="L45" s="11">
        <f>0/12</f>
        <v>0</v>
      </c>
      <c r="M45" s="14">
        <v>9</v>
      </c>
      <c r="N45" s="3"/>
    </row>
    <row r="46" spans="2:15" ht="27.95" customHeight="1" x14ac:dyDescent="0.25">
      <c r="B46" s="2" t="s">
        <v>117</v>
      </c>
      <c r="C46" s="2" t="s">
        <v>59</v>
      </c>
      <c r="D46" s="2" t="s">
        <v>125</v>
      </c>
      <c r="E46" s="2" t="s">
        <v>118</v>
      </c>
      <c r="F46" s="2" t="s">
        <v>5</v>
      </c>
      <c r="G46" s="2" t="s">
        <v>119</v>
      </c>
      <c r="H46" s="2" t="s">
        <v>20</v>
      </c>
      <c r="K46" s="14">
        <v>0</v>
      </c>
      <c r="L46" s="11">
        <v>0</v>
      </c>
      <c r="M46" s="14">
        <v>0</v>
      </c>
      <c r="N46" s="3"/>
    </row>
    <row r="47" spans="2:15" ht="27.95" customHeight="1" x14ac:dyDescent="0.25">
      <c r="B47" s="2" t="s">
        <v>120</v>
      </c>
      <c r="C47" s="2" t="s">
        <v>59</v>
      </c>
      <c r="E47" s="2" t="s">
        <v>121</v>
      </c>
      <c r="F47" s="2" t="s">
        <v>5</v>
      </c>
      <c r="G47" s="2" t="s">
        <v>27</v>
      </c>
      <c r="H47" s="2" t="s">
        <v>10</v>
      </c>
      <c r="K47" s="14">
        <v>5</v>
      </c>
      <c r="L47" s="11">
        <f>1/1</f>
        <v>1</v>
      </c>
      <c r="M47" s="14">
        <v>2</v>
      </c>
      <c r="N47" s="3"/>
    </row>
    <row r="48" spans="2:15" ht="27.95" customHeight="1" x14ac:dyDescent="0.25">
      <c r="B48" s="2" t="s">
        <v>122</v>
      </c>
      <c r="C48" s="2" t="s">
        <v>59</v>
      </c>
      <c r="D48" s="2" t="s">
        <v>123</v>
      </c>
      <c r="E48" s="2" t="s">
        <v>65</v>
      </c>
      <c r="F48" s="2" t="s">
        <v>62</v>
      </c>
      <c r="G48" s="2" t="s">
        <v>5</v>
      </c>
      <c r="H48" s="2" t="s">
        <v>64</v>
      </c>
      <c r="I48" s="2" t="s">
        <v>10</v>
      </c>
      <c r="K48" s="14">
        <v>7</v>
      </c>
      <c r="L48" s="11">
        <f>1/11</f>
        <v>9.0909090909090912E-2</v>
      </c>
      <c r="M48" s="14">
        <v>11</v>
      </c>
      <c r="N48" s="3"/>
    </row>
    <row r="49" spans="2:14" ht="27.95" customHeight="1" x14ac:dyDescent="0.25">
      <c r="B49" s="2" t="s">
        <v>124</v>
      </c>
      <c r="C49" s="2" t="s">
        <v>59</v>
      </c>
      <c r="E49" s="2" t="s">
        <v>126</v>
      </c>
      <c r="F49" s="2" t="s">
        <v>95</v>
      </c>
      <c r="G49" s="2" t="s">
        <v>10</v>
      </c>
      <c r="H49" s="2" t="s">
        <v>69</v>
      </c>
      <c r="I49" s="2" t="s">
        <v>5</v>
      </c>
      <c r="K49" s="14">
        <v>16</v>
      </c>
      <c r="L49" s="11">
        <f>6/14</f>
        <v>0.42857142857142855</v>
      </c>
      <c r="M49" s="14">
        <v>20</v>
      </c>
      <c r="N49" s="3"/>
    </row>
    <row r="50" spans="2:14" ht="27.95" customHeight="1" x14ac:dyDescent="0.25">
      <c r="B50" s="2" t="s">
        <v>128</v>
      </c>
      <c r="C50" s="2" t="s">
        <v>112</v>
      </c>
      <c r="E50" s="2" t="s">
        <v>129</v>
      </c>
      <c r="F50" s="2" t="s">
        <v>95</v>
      </c>
      <c r="G50" s="2" t="s">
        <v>5</v>
      </c>
      <c r="H50" s="2" t="s">
        <v>69</v>
      </c>
      <c r="I50" s="2" t="s">
        <v>20</v>
      </c>
      <c r="K50" s="14">
        <v>16</v>
      </c>
      <c r="L50" s="11">
        <f>6/12</f>
        <v>0.5</v>
      </c>
      <c r="M50" s="14">
        <v>10</v>
      </c>
      <c r="N50" s="3"/>
    </row>
    <row r="51" spans="2:14" ht="27.95" customHeight="1" x14ac:dyDescent="0.25">
      <c r="B51" s="2" t="s">
        <v>131</v>
      </c>
      <c r="C51" s="2" t="s">
        <v>130</v>
      </c>
      <c r="D51" s="2" t="s">
        <v>132</v>
      </c>
      <c r="E51" s="2" t="s">
        <v>133</v>
      </c>
      <c r="F51" s="2" t="s">
        <v>62</v>
      </c>
      <c r="G51" s="2" t="s">
        <v>5</v>
      </c>
      <c r="H51" s="2" t="s">
        <v>64</v>
      </c>
      <c r="I51" s="2" t="s">
        <v>20</v>
      </c>
      <c r="K51" s="14">
        <v>0</v>
      </c>
      <c r="L51" s="11">
        <v>0</v>
      </c>
      <c r="M51" s="14">
        <v>0</v>
      </c>
      <c r="N51" s="3"/>
    </row>
    <row r="52" spans="2:14" ht="27.95" customHeight="1" x14ac:dyDescent="0.25">
      <c r="B52" s="2" t="s">
        <v>137</v>
      </c>
      <c r="C52" s="2" t="s">
        <v>136</v>
      </c>
      <c r="E52" s="2" t="s">
        <v>138</v>
      </c>
      <c r="F52" s="2" t="s">
        <v>139</v>
      </c>
      <c r="G52" s="2" t="s">
        <v>5</v>
      </c>
      <c r="H52" s="2" t="s">
        <v>140</v>
      </c>
      <c r="I52" s="2" t="s">
        <v>63</v>
      </c>
      <c r="K52" s="14">
        <v>0</v>
      </c>
      <c r="L52" s="11">
        <f>0/4</f>
        <v>0</v>
      </c>
      <c r="M52" s="14">
        <v>0</v>
      </c>
      <c r="N52" s="3"/>
    </row>
    <row r="53" spans="2:14" ht="27.95" customHeight="1" x14ac:dyDescent="0.25">
      <c r="B53" s="2" t="s">
        <v>263</v>
      </c>
      <c r="C53" s="2" t="s">
        <v>261</v>
      </c>
      <c r="D53" s="2" t="s">
        <v>270</v>
      </c>
      <c r="E53" s="2" t="s">
        <v>269</v>
      </c>
      <c r="F53" s="2" t="s">
        <v>5</v>
      </c>
      <c r="G53" s="2" t="s">
        <v>119</v>
      </c>
      <c r="H53" s="2" t="s">
        <v>63</v>
      </c>
      <c r="K53" s="14">
        <v>0</v>
      </c>
      <c r="L53" s="11">
        <f>0</f>
        <v>0</v>
      </c>
      <c r="M53" s="14">
        <v>0</v>
      </c>
      <c r="N53" s="3"/>
    </row>
    <row r="54" spans="2:14" ht="27.95" customHeight="1" x14ac:dyDescent="0.25">
      <c r="B54" s="2" t="s">
        <v>264</v>
      </c>
      <c r="C54" s="2" t="s">
        <v>261</v>
      </c>
      <c r="E54" s="2" t="s">
        <v>271</v>
      </c>
      <c r="F54" s="2" t="s">
        <v>5</v>
      </c>
      <c r="G54" s="2" t="s">
        <v>82</v>
      </c>
      <c r="H54" s="2" t="s">
        <v>268</v>
      </c>
      <c r="K54" s="14">
        <v>0</v>
      </c>
      <c r="L54" s="11">
        <f>0</f>
        <v>0</v>
      </c>
      <c r="M54" s="14">
        <v>0</v>
      </c>
      <c r="N54" s="3"/>
    </row>
    <row r="55" spans="2:14" ht="27.95" customHeight="1" x14ac:dyDescent="0.25">
      <c r="B55" s="2" t="s">
        <v>265</v>
      </c>
      <c r="C55" s="2" t="s">
        <v>261</v>
      </c>
      <c r="E55" s="2" t="s">
        <v>266</v>
      </c>
      <c r="F55" s="2" t="s">
        <v>267</v>
      </c>
      <c r="G55" s="2" t="s">
        <v>5</v>
      </c>
      <c r="H55" s="2" t="s">
        <v>97</v>
      </c>
      <c r="I55" s="2" t="s">
        <v>268</v>
      </c>
      <c r="K55" s="14">
        <v>0</v>
      </c>
      <c r="L55" s="11">
        <f>0</f>
        <v>0</v>
      </c>
      <c r="M55" s="14">
        <v>0</v>
      </c>
      <c r="N55" s="3"/>
    </row>
    <row r="56" spans="2:14" ht="27.95" customHeight="1" x14ac:dyDescent="0.25">
      <c r="B56" s="2" t="s">
        <v>274</v>
      </c>
      <c r="C56" s="2" t="s">
        <v>272</v>
      </c>
      <c r="E56" s="2" t="s">
        <v>65</v>
      </c>
      <c r="F56" s="2" t="s">
        <v>62</v>
      </c>
      <c r="G56" s="2" t="s">
        <v>5</v>
      </c>
      <c r="H56" s="2" t="s">
        <v>64</v>
      </c>
      <c r="I56" s="2" t="s">
        <v>6</v>
      </c>
      <c r="K56" s="14">
        <v>0</v>
      </c>
      <c r="L56" s="11">
        <f>0</f>
        <v>0</v>
      </c>
      <c r="M56" s="14">
        <v>0</v>
      </c>
      <c r="N56" s="3"/>
    </row>
    <row r="57" spans="2:14" ht="27.95" customHeight="1" x14ac:dyDescent="0.25">
      <c r="B57" s="2" t="s">
        <v>275</v>
      </c>
      <c r="C57" s="2" t="s">
        <v>272</v>
      </c>
      <c r="E57" s="2" t="s">
        <v>138</v>
      </c>
      <c r="F57" s="2" t="s">
        <v>139</v>
      </c>
      <c r="G57" s="2" t="s">
        <v>5</v>
      </c>
      <c r="H57" s="2" t="s">
        <v>140</v>
      </c>
      <c r="I57" s="2" t="s">
        <v>10</v>
      </c>
      <c r="K57" s="14">
        <v>0</v>
      </c>
      <c r="L57" s="11">
        <f>0</f>
        <v>0</v>
      </c>
      <c r="M57" s="14">
        <v>0</v>
      </c>
      <c r="N57" s="3"/>
    </row>
    <row r="58" spans="2:14" ht="27.95" customHeight="1" x14ac:dyDescent="0.25">
      <c r="B58" s="2" t="s">
        <v>276</v>
      </c>
      <c r="C58" s="2" t="s">
        <v>272</v>
      </c>
      <c r="E58" s="2" t="s">
        <v>277</v>
      </c>
      <c r="F58" s="2" t="s">
        <v>15</v>
      </c>
      <c r="G58" s="2" t="s">
        <v>5</v>
      </c>
      <c r="H58" s="2" t="s">
        <v>39</v>
      </c>
      <c r="I58" s="2" t="s">
        <v>63</v>
      </c>
      <c r="K58" s="14">
        <v>0</v>
      </c>
      <c r="L58" s="11">
        <f>0</f>
        <v>0</v>
      </c>
      <c r="M58" s="14">
        <v>0</v>
      </c>
      <c r="N58" s="3"/>
    </row>
    <row r="59" spans="2:14" ht="27.95" customHeight="1" x14ac:dyDescent="0.25">
      <c r="B59" s="2" t="s">
        <v>284</v>
      </c>
      <c r="C59" s="2" t="s">
        <v>278</v>
      </c>
      <c r="E59" s="2" t="s">
        <v>286</v>
      </c>
      <c r="F59" s="2" t="s">
        <v>267</v>
      </c>
      <c r="G59" s="2" t="s">
        <v>5</v>
      </c>
      <c r="H59" s="2" t="s">
        <v>97</v>
      </c>
      <c r="I59" s="2" t="s">
        <v>10</v>
      </c>
      <c r="K59" s="14">
        <v>0</v>
      </c>
      <c r="L59" s="11">
        <f>0</f>
        <v>0</v>
      </c>
      <c r="M59" s="14">
        <v>0</v>
      </c>
      <c r="N59" s="3"/>
    </row>
    <row r="60" spans="2:14" ht="27.95" customHeight="1" x14ac:dyDescent="0.25">
      <c r="B60" s="2" t="s">
        <v>285</v>
      </c>
      <c r="C60" s="2" t="s">
        <v>278</v>
      </c>
      <c r="E60" s="2" t="s">
        <v>288</v>
      </c>
      <c r="F60" s="2" t="s">
        <v>95</v>
      </c>
      <c r="G60" s="2" t="s">
        <v>5</v>
      </c>
      <c r="H60" s="2" t="s">
        <v>69</v>
      </c>
      <c r="I60" s="2" t="s">
        <v>20</v>
      </c>
      <c r="K60" s="14">
        <v>0</v>
      </c>
      <c r="L60" s="11">
        <f>0</f>
        <v>0</v>
      </c>
      <c r="M60" s="14">
        <v>0</v>
      </c>
      <c r="N60" s="3" t="s">
        <v>287</v>
      </c>
    </row>
    <row r="61" spans="2:14" ht="27.95" customHeight="1" x14ac:dyDescent="0.25">
      <c r="B61" s="2" t="s">
        <v>366</v>
      </c>
      <c r="C61" s="2" t="s">
        <v>365</v>
      </c>
      <c r="E61" s="2" t="s">
        <v>271</v>
      </c>
      <c r="F61" s="2" t="s">
        <v>81</v>
      </c>
      <c r="G61" s="2" t="s">
        <v>367</v>
      </c>
      <c r="H61" s="2" t="s">
        <v>82</v>
      </c>
      <c r="I61" s="2" t="s">
        <v>63</v>
      </c>
      <c r="K61" s="14">
        <v>0</v>
      </c>
      <c r="L61" s="11" t="e">
        <f>0/0</f>
        <v>#DIV/0!</v>
      </c>
      <c r="M61" s="14">
        <v>0</v>
      </c>
      <c r="N61" s="3" t="s">
        <v>404</v>
      </c>
    </row>
    <row r="62" spans="2:14" ht="27.95" customHeight="1" x14ac:dyDescent="0.25">
      <c r="B62" s="2" t="s">
        <v>612</v>
      </c>
      <c r="C62" s="2" t="s">
        <v>603</v>
      </c>
      <c r="D62" s="2" t="s">
        <v>614</v>
      </c>
      <c r="E62" s="2" t="s">
        <v>613</v>
      </c>
      <c r="F62" s="2" t="s">
        <v>374</v>
      </c>
      <c r="G62" s="2" t="s">
        <v>39</v>
      </c>
      <c r="H62" s="2" t="s">
        <v>6</v>
      </c>
      <c r="J62" s="2" t="s">
        <v>636</v>
      </c>
      <c r="K62" s="14"/>
      <c r="L62" s="11">
        <f>0</f>
        <v>0</v>
      </c>
      <c r="M62" s="14"/>
      <c r="N62" s="3"/>
    </row>
    <row r="63" spans="2:14" ht="27.95" customHeight="1" x14ac:dyDescent="0.25">
      <c r="B63" s="2" t="s">
        <v>615</v>
      </c>
      <c r="C63" s="2" t="s">
        <v>603</v>
      </c>
      <c r="E63" s="2" t="s">
        <v>277</v>
      </c>
      <c r="F63" s="2" t="s">
        <v>15</v>
      </c>
      <c r="G63" s="2" t="s">
        <v>335</v>
      </c>
      <c r="H63" s="2" t="s">
        <v>39</v>
      </c>
      <c r="I63" s="2" t="s">
        <v>20</v>
      </c>
      <c r="J63" s="2" t="s">
        <v>636</v>
      </c>
      <c r="K63" s="14"/>
      <c r="L63" s="11">
        <f>0</f>
        <v>0</v>
      </c>
      <c r="M63" s="14"/>
      <c r="N63" s="3"/>
    </row>
    <row r="64" spans="2:14" ht="27.95" customHeight="1" x14ac:dyDescent="0.25">
      <c r="B64" s="2" t="s">
        <v>617</v>
      </c>
      <c r="C64" s="2" t="s">
        <v>603</v>
      </c>
      <c r="D64" s="2" t="s">
        <v>618</v>
      </c>
      <c r="E64" s="2" t="s">
        <v>630</v>
      </c>
      <c r="F64" s="2" t="s">
        <v>335</v>
      </c>
      <c r="G64" s="2" t="s">
        <v>27</v>
      </c>
      <c r="H64" s="2" t="s">
        <v>20</v>
      </c>
      <c r="J64" s="2" t="s">
        <v>636</v>
      </c>
      <c r="K64" s="14"/>
      <c r="L64" s="11">
        <f>0</f>
        <v>0</v>
      </c>
      <c r="M64" s="14"/>
      <c r="N64" s="3" t="s">
        <v>619</v>
      </c>
    </row>
    <row r="65" spans="2:14" ht="27.95" customHeight="1" x14ac:dyDescent="0.25">
      <c r="B65" s="2" t="s">
        <v>627</v>
      </c>
      <c r="C65" s="2" t="s">
        <v>603</v>
      </c>
      <c r="E65" s="2" t="s">
        <v>277</v>
      </c>
      <c r="F65" s="2" t="s">
        <v>15</v>
      </c>
      <c r="G65" s="2" t="s">
        <v>335</v>
      </c>
      <c r="H65" s="2" t="s">
        <v>39</v>
      </c>
      <c r="I65" s="2" t="s">
        <v>20</v>
      </c>
      <c r="J65" s="2" t="s">
        <v>636</v>
      </c>
      <c r="K65" s="14"/>
      <c r="L65" s="11">
        <f>0</f>
        <v>0</v>
      </c>
      <c r="M65" s="14"/>
      <c r="N65" s="3"/>
    </row>
    <row r="66" spans="2:14" ht="27.95" customHeight="1" x14ac:dyDescent="0.25">
      <c r="B66" s="2" t="s">
        <v>628</v>
      </c>
      <c r="C66" s="2" t="s">
        <v>603</v>
      </c>
      <c r="D66" s="2" t="s">
        <v>629</v>
      </c>
      <c r="F66" s="2" t="s">
        <v>335</v>
      </c>
      <c r="G66" s="2" t="s">
        <v>39</v>
      </c>
      <c r="H66" s="2" t="s">
        <v>63</v>
      </c>
      <c r="J66" s="2" t="s">
        <v>636</v>
      </c>
      <c r="K66" s="14"/>
      <c r="L66" s="11">
        <f>0</f>
        <v>0</v>
      </c>
      <c r="M66" s="14"/>
      <c r="N66" s="3" t="s">
        <v>632</v>
      </c>
    </row>
    <row r="67" spans="2:14" ht="27.95" customHeight="1" x14ac:dyDescent="0.25">
      <c r="B67" s="2" t="s">
        <v>635</v>
      </c>
      <c r="C67" s="2" t="s">
        <v>633</v>
      </c>
      <c r="D67" s="2" t="s">
        <v>384</v>
      </c>
      <c r="E67" s="2" t="s">
        <v>65</v>
      </c>
      <c r="F67" s="2" t="s">
        <v>62</v>
      </c>
      <c r="G67" s="2" t="s">
        <v>5</v>
      </c>
      <c r="H67" s="2" t="s">
        <v>64</v>
      </c>
      <c r="I67" s="2" t="s">
        <v>6</v>
      </c>
      <c r="J67" s="2" t="s">
        <v>636</v>
      </c>
      <c r="K67" s="14">
        <v>14</v>
      </c>
      <c r="L67" s="11">
        <f>9/10</f>
        <v>0.9</v>
      </c>
      <c r="M67" s="14">
        <v>11</v>
      </c>
      <c r="N67" s="3" t="s">
        <v>637</v>
      </c>
    </row>
    <row r="68" spans="2:14" s="3" customFormat="1" ht="27.95" customHeight="1" x14ac:dyDescent="0.25">
      <c r="B68" s="2" t="s">
        <v>306</v>
      </c>
      <c r="C68" s="2">
        <f>SUBTOTAL(103,tbPlanets[System])</f>
        <v>31</v>
      </c>
      <c r="D68" s="2"/>
      <c r="E68" s="2"/>
      <c r="F68" s="2"/>
      <c r="G68" s="2"/>
      <c r="H68" s="2"/>
      <c r="I68" s="2"/>
      <c r="J68" s="2"/>
      <c r="K68" s="4"/>
      <c r="L68" s="4"/>
      <c r="M68" s="4"/>
    </row>
    <row r="69" spans="2:14" ht="27.95" customHeight="1" x14ac:dyDescent="0.25"/>
    <row r="70" spans="2:14" ht="27.95" customHeight="1" x14ac:dyDescent="0.25">
      <c r="B70" s="3" t="s">
        <v>42</v>
      </c>
      <c r="C70" s="3" t="s">
        <v>33</v>
      </c>
      <c r="D70" s="3" t="s">
        <v>34</v>
      </c>
      <c r="E70" s="3" t="s">
        <v>45</v>
      </c>
      <c r="F70" s="3" t="s">
        <v>47</v>
      </c>
      <c r="G70" s="3" t="s">
        <v>48</v>
      </c>
      <c r="H70" s="3" t="s">
        <v>71</v>
      </c>
      <c r="I70" s="3" t="s">
        <v>66</v>
      </c>
      <c r="J70" s="3" t="s">
        <v>72</v>
      </c>
      <c r="K70" s="3"/>
      <c r="L70" s="3"/>
      <c r="M70" s="3"/>
    </row>
    <row r="71" spans="2:14" ht="27.95" customHeight="1" x14ac:dyDescent="0.25">
      <c r="B71" s="2" t="s">
        <v>35</v>
      </c>
      <c r="C71" s="2" t="s">
        <v>49</v>
      </c>
      <c r="D71" s="2" t="s">
        <v>59</v>
      </c>
      <c r="E71" s="4" t="s">
        <v>46</v>
      </c>
      <c r="F71" s="4" t="s">
        <v>46</v>
      </c>
      <c r="G71" s="4" t="s">
        <v>46</v>
      </c>
      <c r="H71" s="4" t="s">
        <v>46</v>
      </c>
      <c r="I71" s="4" t="s">
        <v>46</v>
      </c>
      <c r="J71" s="4" t="s">
        <v>46</v>
      </c>
    </row>
    <row r="72" spans="2:14" ht="27.95" customHeight="1" x14ac:dyDescent="0.25">
      <c r="B72" s="2" t="s">
        <v>36</v>
      </c>
      <c r="C72" s="2" t="s">
        <v>37</v>
      </c>
      <c r="D72" s="2" t="s">
        <v>61</v>
      </c>
      <c r="E72" s="4" t="s">
        <v>46</v>
      </c>
      <c r="F72" s="4" t="s">
        <v>46</v>
      </c>
      <c r="G72" s="4" t="s">
        <v>67</v>
      </c>
      <c r="H72" s="4" t="s">
        <v>67</v>
      </c>
      <c r="I72" s="4" t="s">
        <v>67</v>
      </c>
      <c r="J72" s="4" t="s">
        <v>67</v>
      </c>
    </row>
    <row r="73" spans="2:14" ht="27.95" customHeight="1" x14ac:dyDescent="0.25">
      <c r="B73" s="2" t="s">
        <v>88</v>
      </c>
      <c r="C73" s="2" t="s">
        <v>60</v>
      </c>
      <c r="D73" s="2" t="s">
        <v>59</v>
      </c>
      <c r="E73" s="4"/>
      <c r="F73" s="4" t="s">
        <v>46</v>
      </c>
      <c r="G73" s="4"/>
      <c r="H73" s="4"/>
      <c r="I73" s="4"/>
      <c r="J73" s="4"/>
    </row>
    <row r="74" spans="2:14" ht="27.95" customHeight="1" x14ac:dyDescent="0.25"/>
    <row r="75" spans="2:14" ht="27.95" customHeight="1" x14ac:dyDescent="0.25"/>
    <row r="76" spans="2:14" ht="27.95" customHeight="1" x14ac:dyDescent="0.25"/>
    <row r="77" spans="2:14" ht="27.95" customHeight="1" x14ac:dyDescent="0.25"/>
    <row r="78" spans="2:14" ht="27.95" customHeight="1" x14ac:dyDescent="0.25"/>
    <row r="79" spans="2:14" ht="27.95" customHeight="1" x14ac:dyDescent="0.25"/>
    <row r="80" spans="2:14" ht="27.95" customHeight="1" x14ac:dyDescent="0.25"/>
    <row r="81" ht="27.95" customHeight="1" x14ac:dyDescent="0.25"/>
    <row r="82" ht="27.95" customHeight="1" x14ac:dyDescent="0.25"/>
    <row r="83" ht="27.95" customHeight="1" x14ac:dyDescent="0.25"/>
    <row r="84" ht="27.95" customHeight="1" x14ac:dyDescent="0.25"/>
    <row r="85" ht="27.95" customHeight="1" x14ac:dyDescent="0.25"/>
    <row r="86" ht="27.95" customHeight="1" x14ac:dyDescent="0.25"/>
    <row r="87" ht="27.95" customHeight="1" x14ac:dyDescent="0.25"/>
    <row r="88" ht="27.95" customHeight="1" x14ac:dyDescent="0.25"/>
    <row r="89" ht="27.95" customHeight="1" x14ac:dyDescent="0.25"/>
    <row r="90" ht="27.95" customHeight="1" x14ac:dyDescent="0.25"/>
    <row r="91" ht="27.95" customHeight="1" x14ac:dyDescent="0.25"/>
    <row r="92" ht="27.95" customHeight="1" x14ac:dyDescent="0.25"/>
    <row r="93" ht="27.95" customHeight="1" x14ac:dyDescent="0.25"/>
    <row r="94" ht="27.95" customHeight="1" x14ac:dyDescent="0.25"/>
    <row r="95" ht="27.95" customHeight="1" x14ac:dyDescent="0.25"/>
    <row r="96" ht="27.95" customHeight="1" x14ac:dyDescent="0.25"/>
    <row r="97" ht="27.95" customHeight="1" x14ac:dyDescent="0.25"/>
    <row r="98" ht="27.95" customHeight="1" x14ac:dyDescent="0.25"/>
    <row r="99" ht="27.95" customHeight="1" x14ac:dyDescent="0.25"/>
    <row r="100" ht="27.95" customHeight="1" x14ac:dyDescent="0.25"/>
    <row r="101" ht="27.95" customHeight="1" x14ac:dyDescent="0.25"/>
    <row r="102" ht="27.95" customHeight="1" x14ac:dyDescent="0.25"/>
    <row r="103" ht="27.95" customHeight="1" x14ac:dyDescent="0.25"/>
    <row r="104" ht="27.95" customHeight="1" x14ac:dyDescent="0.25"/>
    <row r="105" ht="27.95" customHeight="1" x14ac:dyDescent="0.25"/>
    <row r="106" ht="27.95" customHeight="1" x14ac:dyDescent="0.25"/>
    <row r="107" ht="27.95" customHeight="1" x14ac:dyDescent="0.25"/>
    <row r="108" ht="27.95" customHeight="1" x14ac:dyDescent="0.25"/>
    <row r="109" ht="27.95" customHeight="1" x14ac:dyDescent="0.25"/>
    <row r="110" ht="27.95" customHeight="1" x14ac:dyDescent="0.25"/>
    <row r="111" ht="27.95" customHeight="1" x14ac:dyDescent="0.25"/>
    <row r="112" ht="27.95" customHeight="1" x14ac:dyDescent="0.25"/>
    <row r="113" ht="27.95" customHeight="1" x14ac:dyDescent="0.25"/>
    <row r="114" ht="27.95" customHeight="1" x14ac:dyDescent="0.25"/>
    <row r="115" ht="27.95" customHeight="1" x14ac:dyDescent="0.25"/>
    <row r="116" ht="27.95" customHeight="1" x14ac:dyDescent="0.25"/>
    <row r="117" ht="27.95" customHeight="1" x14ac:dyDescent="0.25"/>
    <row r="118" ht="27.95" customHeight="1" x14ac:dyDescent="0.25"/>
    <row r="119" ht="27.95" customHeight="1" x14ac:dyDescent="0.25"/>
    <row r="120" ht="27.95" customHeight="1" x14ac:dyDescent="0.25"/>
    <row r="121" ht="27.95" customHeight="1" x14ac:dyDescent="0.25"/>
    <row r="122" ht="27.95" customHeight="1" x14ac:dyDescent="0.25"/>
    <row r="123" ht="27.95" customHeight="1" x14ac:dyDescent="0.25"/>
    <row r="124" ht="27.95" customHeight="1" x14ac:dyDescent="0.25"/>
    <row r="125" ht="27.95" customHeight="1" x14ac:dyDescent="0.25"/>
    <row r="126" ht="27.95" customHeight="1" x14ac:dyDescent="0.25"/>
    <row r="127" ht="27.95" customHeight="1" x14ac:dyDescent="0.25"/>
    <row r="128" ht="27.95" customHeight="1" x14ac:dyDescent="0.25"/>
    <row r="129" ht="27.95" customHeight="1" x14ac:dyDescent="0.25"/>
    <row r="130" ht="27.95" customHeight="1" x14ac:dyDescent="0.25"/>
    <row r="131" ht="27.95" customHeight="1" x14ac:dyDescent="0.25"/>
    <row r="132" ht="27.95" customHeight="1" x14ac:dyDescent="0.25"/>
    <row r="133" ht="27.95" customHeight="1" x14ac:dyDescent="0.25"/>
    <row r="134" ht="27.95" customHeight="1" x14ac:dyDescent="0.25"/>
    <row r="135" ht="27.95" customHeight="1" x14ac:dyDescent="0.25"/>
    <row r="136" ht="27.95" customHeight="1" x14ac:dyDescent="0.25"/>
    <row r="137" ht="27.95" customHeight="1" x14ac:dyDescent="0.25"/>
    <row r="138" ht="27.95" customHeight="1" x14ac:dyDescent="0.25"/>
    <row r="139" ht="27.95" customHeight="1" x14ac:dyDescent="0.25"/>
    <row r="140" ht="27.95" customHeight="1" x14ac:dyDescent="0.25"/>
    <row r="141" ht="27.95" customHeight="1" x14ac:dyDescent="0.25"/>
    <row r="142" ht="27.95" customHeight="1" x14ac:dyDescent="0.25"/>
    <row r="143" ht="27.95" customHeight="1" x14ac:dyDescent="0.25"/>
    <row r="144" ht="27.95" customHeight="1" x14ac:dyDescent="0.25"/>
    <row r="145" ht="27.95" customHeight="1" x14ac:dyDescent="0.25"/>
    <row r="146" ht="27.95" customHeight="1" x14ac:dyDescent="0.25"/>
    <row r="147" ht="27.95" customHeight="1" x14ac:dyDescent="0.25"/>
    <row r="148" ht="27.95" customHeight="1" x14ac:dyDescent="0.25"/>
    <row r="149" ht="27.95" customHeight="1" x14ac:dyDescent="0.25"/>
    <row r="150" ht="27.95" customHeight="1" x14ac:dyDescent="0.25"/>
    <row r="151" ht="27.95" customHeight="1" x14ac:dyDescent="0.25"/>
    <row r="152" ht="27.95" customHeight="1" x14ac:dyDescent="0.25"/>
    <row r="153" ht="27.95" customHeight="1" x14ac:dyDescent="0.25"/>
    <row r="154" ht="27.95" customHeight="1" x14ac:dyDescent="0.25"/>
    <row r="155" ht="27.95" customHeight="1" x14ac:dyDescent="0.25"/>
    <row r="156" ht="27.95" customHeight="1" x14ac:dyDescent="0.25"/>
    <row r="157" ht="27.95" customHeight="1" x14ac:dyDescent="0.25"/>
    <row r="158" ht="27.95" customHeight="1" x14ac:dyDescent="0.25"/>
    <row r="159" ht="27.95" customHeight="1" x14ac:dyDescent="0.25"/>
    <row r="160" ht="27.95" customHeight="1" x14ac:dyDescent="0.25"/>
    <row r="161" ht="27.95" customHeight="1" x14ac:dyDescent="0.25"/>
    <row r="162" ht="27.95" customHeight="1" x14ac:dyDescent="0.25"/>
    <row r="163" ht="27.95" customHeight="1" x14ac:dyDescent="0.25"/>
    <row r="164" ht="27.95" customHeight="1" x14ac:dyDescent="0.25"/>
    <row r="165" ht="27.95" customHeight="1" x14ac:dyDescent="0.25"/>
    <row r="166" ht="27.95" customHeight="1" x14ac:dyDescent="0.25"/>
    <row r="167" ht="27.95" customHeight="1" x14ac:dyDescent="0.25"/>
    <row r="168" ht="27.95" customHeight="1" x14ac:dyDescent="0.25"/>
    <row r="169" ht="27.95" customHeight="1" x14ac:dyDescent="0.25"/>
    <row r="170" ht="27.95" customHeight="1" x14ac:dyDescent="0.25"/>
    <row r="171" ht="27.95" customHeight="1" x14ac:dyDescent="0.25"/>
    <row r="172" ht="27.95" customHeight="1" x14ac:dyDescent="0.25"/>
    <row r="173" ht="27.95" customHeight="1" x14ac:dyDescent="0.25"/>
    <row r="174" ht="27.95" customHeight="1" x14ac:dyDescent="0.25"/>
    <row r="175" ht="27.95" customHeight="1" x14ac:dyDescent="0.25"/>
    <row r="176" ht="27.95" customHeight="1" x14ac:dyDescent="0.25"/>
    <row r="177" ht="27.95" customHeight="1" x14ac:dyDescent="0.25"/>
    <row r="178" ht="27.95" customHeight="1" x14ac:dyDescent="0.25"/>
    <row r="179" ht="27.95" customHeight="1" x14ac:dyDescent="0.25"/>
    <row r="180" ht="27.95" customHeight="1" x14ac:dyDescent="0.25"/>
    <row r="181" ht="27.95" customHeight="1" x14ac:dyDescent="0.25"/>
    <row r="182" ht="27.95" customHeight="1" x14ac:dyDescent="0.25"/>
    <row r="183" ht="27.95" customHeight="1" x14ac:dyDescent="0.25"/>
    <row r="184" ht="27.95" customHeight="1" x14ac:dyDescent="0.25"/>
    <row r="185" ht="27.95" customHeight="1" x14ac:dyDescent="0.25"/>
    <row r="186" ht="27.95" customHeight="1" x14ac:dyDescent="0.25"/>
    <row r="187" ht="27.95" customHeight="1" x14ac:dyDescent="0.25"/>
    <row r="188" ht="27.95" customHeight="1" x14ac:dyDescent="0.25"/>
    <row r="189" ht="27.95" customHeight="1" x14ac:dyDescent="0.25"/>
    <row r="190" ht="27.95" customHeight="1" x14ac:dyDescent="0.25"/>
    <row r="191" ht="27.95" customHeight="1" x14ac:dyDescent="0.25"/>
    <row r="192" ht="27.95" customHeight="1" x14ac:dyDescent="0.25"/>
    <row r="193" ht="27.95" customHeight="1" x14ac:dyDescent="0.25"/>
    <row r="194" ht="27.95" customHeight="1" x14ac:dyDescent="0.25"/>
    <row r="195" ht="27.95" customHeight="1" x14ac:dyDescent="0.25"/>
    <row r="196" ht="27.95" customHeight="1" x14ac:dyDescent="0.25"/>
    <row r="197" ht="27.95" customHeight="1" x14ac:dyDescent="0.25"/>
    <row r="198" ht="27.95" customHeight="1" x14ac:dyDescent="0.25"/>
    <row r="199" ht="27.95" customHeight="1" x14ac:dyDescent="0.25"/>
    <row r="200" ht="27.95" customHeight="1" x14ac:dyDescent="0.25"/>
    <row r="201" ht="27.95" customHeight="1" x14ac:dyDescent="0.25"/>
    <row r="202" ht="27.95" customHeight="1" x14ac:dyDescent="0.25"/>
    <row r="203" ht="27.95" customHeight="1" x14ac:dyDescent="0.25"/>
    <row r="204" ht="27.95" customHeight="1" x14ac:dyDescent="0.25"/>
    <row r="205" ht="27.95" customHeight="1" x14ac:dyDescent="0.25"/>
    <row r="206" ht="27.95" customHeight="1" x14ac:dyDescent="0.25"/>
    <row r="207" ht="27.95" customHeight="1" x14ac:dyDescent="0.25"/>
    <row r="208" ht="27.95" customHeight="1" x14ac:dyDescent="0.25"/>
    <row r="209" ht="27.95" customHeight="1" x14ac:dyDescent="0.25"/>
    <row r="210" ht="27.95" customHeight="1" x14ac:dyDescent="0.25"/>
    <row r="211" ht="27.95" customHeight="1" x14ac:dyDescent="0.25"/>
    <row r="212" ht="27.95" customHeight="1" x14ac:dyDescent="0.25"/>
    <row r="213" ht="27.95" customHeight="1" x14ac:dyDescent="0.25"/>
    <row r="214" ht="27.95" customHeight="1" x14ac:dyDescent="0.25"/>
    <row r="215" ht="27.95" customHeight="1" x14ac:dyDescent="0.25"/>
    <row r="216" ht="27.95" customHeight="1" x14ac:dyDescent="0.25"/>
    <row r="217" ht="27.95" customHeight="1" x14ac:dyDescent="0.25"/>
    <row r="218" ht="27.95" customHeight="1" x14ac:dyDescent="0.25"/>
    <row r="219" ht="27.95" customHeight="1" x14ac:dyDescent="0.25"/>
    <row r="220" ht="27.95" customHeight="1" x14ac:dyDescent="0.25"/>
    <row r="221" ht="27.95" customHeight="1" x14ac:dyDescent="0.25"/>
    <row r="222" ht="27.95" customHeight="1" x14ac:dyDescent="0.25"/>
    <row r="223" ht="27.95" customHeight="1" x14ac:dyDescent="0.25"/>
    <row r="224" ht="27.95" customHeight="1" x14ac:dyDescent="0.25"/>
    <row r="225" ht="27.95" customHeight="1" x14ac:dyDescent="0.25"/>
    <row r="226" ht="27.95" customHeight="1" x14ac:dyDescent="0.25"/>
    <row r="227" ht="27.95" customHeight="1" x14ac:dyDescent="0.25"/>
    <row r="228" ht="27.95" customHeight="1" x14ac:dyDescent="0.25"/>
    <row r="229" ht="27.95" customHeight="1" x14ac:dyDescent="0.25"/>
    <row r="230" ht="27.95" customHeight="1" x14ac:dyDescent="0.25"/>
    <row r="231" ht="27.95" customHeight="1" x14ac:dyDescent="0.25"/>
    <row r="232" ht="27.95" customHeight="1" x14ac:dyDescent="0.25"/>
  </sheetData>
  <phoneticPr fontId="4" type="noConversion"/>
  <conditionalFormatting sqref="K3:K33">
    <cfRule type="cellIs" dxfId="187" priority="3" operator="equal">
      <formula>"Low"</formula>
    </cfRule>
    <cfRule type="cellIs" dxfId="186" priority="4" operator="equal">
      <formula>"High"</formula>
    </cfRule>
  </conditionalFormatting>
  <conditionalFormatting sqref="L3:L33">
    <cfRule type="cellIs" dxfId="185" priority="1" operator="equal">
      <formula>"Low"</formula>
    </cfRule>
    <cfRule type="cellIs" dxfId="184" priority="2" operator="equal">
      <formula>"High"</formula>
    </cfRule>
  </conditionalFormatting>
  <dataValidations count="2">
    <dataValidation type="list" allowBlank="1" showInputMessage="1" showErrorMessage="1" sqref="F37:I67" xr:uid="{9F5BAE15-0AD1-4E3A-8C78-4A8B727C6C17}">
      <formula1>lsMaterials</formula1>
    </dataValidation>
    <dataValidation type="list" allowBlank="1" showInputMessage="1" showErrorMessage="1" sqref="C37:C61" xr:uid="{7546B66D-82E4-4992-B7ED-89A0E609ED81}">
      <formula1>lsSystems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E9861-CD7A-42A4-934C-DD050170AA8E}">
  <sheetPr codeName="Sheet4"/>
  <dimension ref="B1:K170"/>
  <sheetViews>
    <sheetView showGridLines="0" topLeftCell="A28" workbookViewId="0">
      <selection activeCell="H35" sqref="H35"/>
    </sheetView>
  </sheetViews>
  <sheetFormatPr defaultRowHeight="14.25" x14ac:dyDescent="0.25"/>
  <cols>
    <col min="1" max="1" width="1.42578125" style="1" customWidth="1"/>
    <col min="2" max="2" width="22" style="8" customWidth="1"/>
    <col min="3" max="3" width="21.85546875" style="7" customWidth="1"/>
    <col min="4" max="4" width="12.85546875" style="4" customWidth="1"/>
    <col min="5" max="5" width="12.85546875" style="7" customWidth="1"/>
    <col min="6" max="6" width="12.85546875" style="4" customWidth="1"/>
    <col min="7" max="8" width="12.85546875" style="7" customWidth="1"/>
    <col min="9" max="10" width="12.85546875" style="1" customWidth="1"/>
    <col min="11" max="11" width="13.140625" style="1" customWidth="1"/>
    <col min="12" max="18" width="12.85546875" style="1" customWidth="1"/>
    <col min="19" max="16384" width="9.140625" style="1"/>
  </cols>
  <sheetData>
    <row r="1" spans="2:11" ht="7.5" customHeight="1" x14ac:dyDescent="0.25"/>
    <row r="2" spans="2:11" s="15" customFormat="1" ht="27.95" customHeight="1" x14ac:dyDescent="0.25">
      <c r="B2" s="9" t="s">
        <v>281</v>
      </c>
      <c r="C2" s="24" t="s">
        <v>282</v>
      </c>
      <c r="D2" s="5" t="s">
        <v>283</v>
      </c>
      <c r="E2" s="10"/>
      <c r="F2" s="5"/>
      <c r="G2" s="10"/>
      <c r="H2" s="10"/>
    </row>
    <row r="3" spans="2:11" ht="27.95" customHeight="1" x14ac:dyDescent="0.25">
      <c r="B3" s="8" t="s">
        <v>260</v>
      </c>
      <c r="C3" s="8" t="s">
        <v>85</v>
      </c>
      <c r="D3" s="23">
        <v>5</v>
      </c>
    </row>
    <row r="4" spans="2:11" ht="27.95" customHeight="1" x14ac:dyDescent="0.25">
      <c r="B4" s="22" t="s">
        <v>112</v>
      </c>
      <c r="C4" s="2" t="s">
        <v>59</v>
      </c>
      <c r="D4" s="23">
        <v>2</v>
      </c>
    </row>
    <row r="5" spans="2:11" ht="27.95" customHeight="1" x14ac:dyDescent="0.25">
      <c r="B5" s="22" t="s">
        <v>112</v>
      </c>
      <c r="C5" s="2" t="s">
        <v>61</v>
      </c>
      <c r="D5" s="23"/>
    </row>
    <row r="6" spans="2:11" ht="27.95" customHeight="1" x14ac:dyDescent="0.25">
      <c r="B6" s="2" t="s">
        <v>272</v>
      </c>
      <c r="C6" s="22" t="s">
        <v>85</v>
      </c>
      <c r="D6" s="23">
        <v>2</v>
      </c>
    </row>
    <row r="7" spans="2:11" s="2" customFormat="1" ht="27.95" customHeight="1" x14ac:dyDescent="0.25">
      <c r="E7" s="7"/>
      <c r="F7" s="4"/>
      <c r="G7" s="7"/>
      <c r="H7" s="7"/>
    </row>
    <row r="8" spans="2:11" s="2" customFormat="1" ht="27.95" customHeight="1" x14ac:dyDescent="0.25">
      <c r="B8" s="2" t="s">
        <v>293</v>
      </c>
      <c r="C8" s="2" t="s">
        <v>294</v>
      </c>
      <c r="D8" s="2" t="s">
        <v>295</v>
      </c>
      <c r="E8" s="7" t="s">
        <v>299</v>
      </c>
      <c r="F8" s="4" t="s">
        <v>296</v>
      </c>
      <c r="G8" s="7" t="s">
        <v>300</v>
      </c>
      <c r="H8" s="7" t="s">
        <v>31</v>
      </c>
      <c r="I8" s="7" t="s">
        <v>32</v>
      </c>
      <c r="J8" s="7" t="s">
        <v>301</v>
      </c>
      <c r="K8" s="10" t="s">
        <v>302</v>
      </c>
    </row>
    <row r="9" spans="2:11" s="2" customFormat="1" ht="27.95" customHeight="1" x14ac:dyDescent="0.25">
      <c r="B9" s="8" t="s">
        <v>90</v>
      </c>
      <c r="D9" s="2" t="s">
        <v>64</v>
      </c>
      <c r="E9" s="7">
        <f>IF(ISNUMBER(tbSales[[#This Row],[Cost]]),tbSales[[#This Row],[Cost]]/tbSales[[#This Row],[Units]],"")</f>
        <v>80.50262927256793</v>
      </c>
      <c r="F9" s="7">
        <v>2282</v>
      </c>
      <c r="G9" s="7">
        <v>183707</v>
      </c>
      <c r="H9" s="7"/>
      <c r="I9" s="7" t="str">
        <f>IF(ISNUMBER(tbSales[[#This Row],[Sale price]]),tbSales[[#This Row],[Sale price]]-tbSales[[#This Row],[Cost]],"")</f>
        <v/>
      </c>
      <c r="J9" s="7" t="str">
        <f>IF(NOT(ISBLANK(tbSales[[#This Row],[Purchase System]])),VLOOKUP(tbSales[[#This Row],[Commodity]],tbMaterials[],3,FALSE),"")</f>
        <v>Localised</v>
      </c>
      <c r="K9" s="16" t="e">
        <f>(tbSales[[#This Row],[Unit Price]]-tbSales[[#This Row],[Base Price]])/tbSales[[#This Row],[Base Price]]</f>
        <v>#VALUE!</v>
      </c>
    </row>
    <row r="10" spans="2:11" s="2" customFormat="1" ht="27.95" customHeight="1" x14ac:dyDescent="0.25">
      <c r="B10" s="8" t="s">
        <v>90</v>
      </c>
      <c r="C10" s="2" t="s">
        <v>89</v>
      </c>
      <c r="D10" s="2" t="s">
        <v>10</v>
      </c>
      <c r="E10" s="7">
        <f>IF(ISNUMBER(tbSales[[#This Row],[Cost]]),tbSales[[#This Row],[Cost]]/tbSales[[#This Row],[Units]],"")</f>
        <v>19.100990099009902</v>
      </c>
      <c r="F10" s="7">
        <v>2020</v>
      </c>
      <c r="G10" s="7">
        <v>38584</v>
      </c>
      <c r="H10" s="7">
        <v>84420</v>
      </c>
      <c r="I10" s="7">
        <f>IF(ISNUMBER(tbSales[[#This Row],[Sale price]]),tbSales[[#This Row],[Sale price]]-tbSales[[#This Row],[Cost]],"")</f>
        <v>45836</v>
      </c>
      <c r="J10" s="7" t="str">
        <f>IF(NOT(ISBLANK(tbSales[[#This Row],[Purchase System]])),VLOOKUP(tbSales[[#This Row],[Commodity]],tbMaterials[],3,FALSE),"")</f>
        <v>Catalytic</v>
      </c>
      <c r="K10" s="7" t="e">
        <f>(tbSales[[#This Row],[Unit Price]]-tbSales[[#This Row],[Base Price]])/tbSales[[#This Row],[Base Price]]</f>
        <v>#VALUE!</v>
      </c>
    </row>
    <row r="11" spans="2:11" s="2" customFormat="1" ht="27.95" customHeight="1" x14ac:dyDescent="0.25">
      <c r="B11" s="33" t="s">
        <v>89</v>
      </c>
      <c r="C11" s="33" t="s">
        <v>112</v>
      </c>
      <c r="D11" s="33" t="s">
        <v>10</v>
      </c>
      <c r="E11" s="34">
        <f>IF(ISNUMBER(tbSales[[#This Row],[Cost]]),tbSales[[#This Row],[Cost]]/tbSales[[#This Row],[Units]],"")</f>
        <v>20.582504970178928</v>
      </c>
      <c r="F11" s="34">
        <v>4024</v>
      </c>
      <c r="G11" s="34">
        <v>82824</v>
      </c>
      <c r="H11" s="34">
        <v>167034</v>
      </c>
      <c r="I11" s="34">
        <f>IF(ISNUMBER(tbSales[[#This Row],[Sale price]]),tbSales[[#This Row],[Sale price]]-tbSales[[#This Row],[Cost]],"")</f>
        <v>84210</v>
      </c>
      <c r="J11" s="34" t="str">
        <f>IF(NOT(ISBLANK(tbSales[[#This Row],[Purchase System]])),VLOOKUP(tbSales[[#This Row],[Commodity]],tbMaterials[],3,FALSE),"")</f>
        <v>Catalytic</v>
      </c>
      <c r="K11" s="34" t="e">
        <f>(tbSales[[#This Row],[Unit Price]]-tbSales[[#This Row],[Base Price]])/tbSales[[#This Row],[Base Price]]</f>
        <v>#VALUE!</v>
      </c>
    </row>
    <row r="12" spans="2:11" s="2" customFormat="1" ht="27.95" customHeight="1" x14ac:dyDescent="0.25">
      <c r="B12" s="33" t="s">
        <v>112</v>
      </c>
      <c r="C12" s="8" t="s">
        <v>111</v>
      </c>
      <c r="D12" s="33" t="s">
        <v>10</v>
      </c>
      <c r="E12" s="34">
        <f>IF(ISNUMBER(tbSales[[#This Row],[Cost]]),tbSales[[#This Row],[Cost]]/tbSales[[#This Row],[Units]],"")</f>
        <v>10.377219840783834</v>
      </c>
      <c r="F12" s="34">
        <v>4899</v>
      </c>
      <c r="G12" s="34">
        <v>50838</v>
      </c>
      <c r="H12" s="34">
        <v>210345</v>
      </c>
      <c r="I12" s="34">
        <f>IF(ISNUMBER(tbSales[[#This Row],[Sale price]]),tbSales[[#This Row],[Sale price]]-tbSales[[#This Row],[Cost]],"")</f>
        <v>159507</v>
      </c>
      <c r="J12" s="34" t="str">
        <f>IF(NOT(ISBLANK(tbSales[[#This Row],[Purchase System]])),VLOOKUP(tbSales[[#This Row],[Commodity]],tbMaterials[],3,FALSE),"")</f>
        <v>Catalytic</v>
      </c>
      <c r="K12" s="34" t="e">
        <f>(tbSales[[#This Row],[Unit Price]]-tbSales[[#This Row],[Base Price]])/tbSales[[#This Row],[Base Price]]</f>
        <v>#VALUE!</v>
      </c>
    </row>
    <row r="13" spans="2:11" s="2" customFormat="1" ht="27.95" customHeight="1" x14ac:dyDescent="0.25">
      <c r="B13" s="33" t="s">
        <v>112</v>
      </c>
      <c r="C13" s="8" t="s">
        <v>111</v>
      </c>
      <c r="D13" s="2" t="s">
        <v>6</v>
      </c>
      <c r="E13" s="7">
        <f>IF(ISNUMBER(tbSales[[#This Row],[Cost]]),tbSales[[#This Row],[Cost]]/tbSales[[#This Row],[Units]],"")</f>
        <v>98.939591481964356</v>
      </c>
      <c r="F13" s="7">
        <v>2301</v>
      </c>
      <c r="G13" s="7">
        <v>227660</v>
      </c>
      <c r="H13" s="7">
        <v>437680</v>
      </c>
      <c r="I13" s="7">
        <f>IF(ISNUMBER(tbSales[[#This Row],[Sale price]]),tbSales[[#This Row],[Sale price]]-tbSales[[#This Row],[Cost]],"")</f>
        <v>210020</v>
      </c>
      <c r="J13" s="34" t="str">
        <f>IF(NOT(ISBLANK(tbSales[[#This Row],[Purchase System]])),VLOOKUP(tbSales[[#This Row],[Commodity]],tbMaterials[],3,FALSE),"")</f>
        <v>Subterranean</v>
      </c>
      <c r="K13" s="7" t="e">
        <f>(tbSales[[#This Row],[Unit Price]]-tbSales[[#This Row],[Base Price]])/tbSales[[#This Row],[Base Price]]</f>
        <v>#VALUE!</v>
      </c>
    </row>
    <row r="14" spans="2:11" s="2" customFormat="1" ht="27.95" customHeight="1" x14ac:dyDescent="0.25">
      <c r="B14" s="8" t="s">
        <v>111</v>
      </c>
      <c r="C14" s="8" t="s">
        <v>261</v>
      </c>
      <c r="D14" s="2" t="s">
        <v>10</v>
      </c>
      <c r="E14" s="7">
        <f>IF(ISNUMBER(tbSales[[#This Row],[Cost]]),tbSales[[#This Row],[Cost]]/tbSales[[#This Row],[Units]],"")</f>
        <v>10.734087423312884</v>
      </c>
      <c r="F14" s="7">
        <v>10432</v>
      </c>
      <c r="G14" s="7">
        <v>111978</v>
      </c>
      <c r="H14" s="7">
        <v>428061</v>
      </c>
      <c r="I14" s="7">
        <f>IF(ISNUMBER(tbSales[[#This Row],[Sale price]]),tbSales[[#This Row],[Sale price]]-tbSales[[#This Row],[Cost]],"")</f>
        <v>316083</v>
      </c>
      <c r="J14" s="34" t="str">
        <f>IF(NOT(ISBLANK(tbSales[[#This Row],[Purchase System]])),VLOOKUP(tbSales[[#This Row],[Commodity]],tbMaterials[],3,FALSE),"")</f>
        <v>Catalytic</v>
      </c>
      <c r="K14" s="7" t="e">
        <f>(tbSales[[#This Row],[Unit Price]]-tbSales[[#This Row],[Base Price]])/tbSales[[#This Row],[Base Price]]</f>
        <v>#VALUE!</v>
      </c>
    </row>
    <row r="15" spans="2:11" s="2" customFormat="1" ht="27.95" customHeight="1" x14ac:dyDescent="0.25">
      <c r="B15" s="8" t="s">
        <v>111</v>
      </c>
      <c r="C15" s="8" t="s">
        <v>261</v>
      </c>
      <c r="D15" s="2" t="s">
        <v>6</v>
      </c>
      <c r="E15" s="7">
        <f>IF(ISNUMBER(tbSales[[#This Row],[Cost]]),tbSales[[#This Row],[Cost]]/tbSales[[#This Row],[Units]],"")</f>
        <v>73.636082246296709</v>
      </c>
      <c r="F15" s="7">
        <v>4523</v>
      </c>
      <c r="G15" s="7">
        <v>333056</v>
      </c>
      <c r="H15" s="7">
        <v>937563</v>
      </c>
      <c r="I15" s="7">
        <f>IF(ISNUMBER(tbSales[[#This Row],[Sale price]]),tbSales[[#This Row],[Sale price]]-tbSales[[#This Row],[Cost]],"")</f>
        <v>604507</v>
      </c>
      <c r="J15" s="34" t="str">
        <f>IF(NOT(ISBLANK(tbSales[[#This Row],[Purchase System]])),VLOOKUP(tbSales[[#This Row],[Commodity]],tbMaterials[],3,FALSE),"")</f>
        <v>Subterranean</v>
      </c>
      <c r="K15" s="7" t="e">
        <f>(tbSales[[#This Row],[Unit Price]]-tbSales[[#This Row],[Base Price]])/tbSales[[#This Row],[Base Price]]</f>
        <v>#VALUE!</v>
      </c>
    </row>
    <row r="16" spans="2:11" s="2" customFormat="1" ht="27.95" customHeight="1" x14ac:dyDescent="0.25">
      <c r="B16" s="8" t="s">
        <v>111</v>
      </c>
      <c r="C16" s="8" t="s">
        <v>261</v>
      </c>
      <c r="D16" s="2" t="s">
        <v>291</v>
      </c>
      <c r="E16" s="7">
        <f>IF(ISNUMBER(tbSales[[#This Row],[Cost]]),tbSales[[#This Row],[Cost]]/tbSales[[#This Row],[Units]],"")</f>
        <v>309.63499796995535</v>
      </c>
      <c r="F16" s="7">
        <v>2463</v>
      </c>
      <c r="G16" s="7">
        <v>762631</v>
      </c>
      <c r="H16" s="7">
        <v>586154</v>
      </c>
      <c r="I16" s="7">
        <f>IF(ISNUMBER(tbSales[[#This Row],[Sale price]]),tbSales[[#This Row],[Sale price]]-tbSales[[#This Row],[Cost]],"")</f>
        <v>-176477</v>
      </c>
      <c r="J16" s="34" t="str">
        <f>IF(NOT(ISBLANK(tbSales[[#This Row],[Purchase System]])),VLOOKUP(tbSales[[#This Row],[Commodity]],tbMaterials[],3,FALSE),"")</f>
        <v>Stellar</v>
      </c>
      <c r="K16" s="7" t="e">
        <f>(tbSales[[#This Row],[Unit Price]]-tbSales[[#This Row],[Base Price]])/tbSales[[#This Row],[Base Price]]</f>
        <v>#VALUE!</v>
      </c>
    </row>
    <row r="17" spans="2:11" s="2" customFormat="1" ht="27.95" customHeight="1" x14ac:dyDescent="0.25">
      <c r="B17" s="8" t="s">
        <v>111</v>
      </c>
      <c r="C17" s="8" t="s">
        <v>261</v>
      </c>
      <c r="D17" s="2" t="s">
        <v>20</v>
      </c>
      <c r="E17" s="7">
        <f>IF(ISNUMBER(tbSales[[#This Row],[Cost]]),tbSales[[#This Row],[Cost]]/tbSales[[#This Row],[Units]],"")</f>
        <v>231.47686230248306</v>
      </c>
      <c r="F17" s="7">
        <v>1772</v>
      </c>
      <c r="G17" s="7">
        <v>410177</v>
      </c>
      <c r="H17" s="7">
        <v>320175</v>
      </c>
      <c r="I17" s="7">
        <f>IF(ISNUMBER(tbSales[[#This Row],[Sale price]]),tbSales[[#This Row],[Sale price]]-tbSales[[#This Row],[Cost]],"")</f>
        <v>-90002</v>
      </c>
      <c r="J17" s="34" t="str">
        <f>IF(NOT(ISBLANK(tbSales[[#This Row],[Purchase System]])),VLOOKUP(tbSales[[#This Row],[Commodity]],tbMaterials[],3,FALSE),"")</f>
        <v>Asteroid</v>
      </c>
      <c r="K17" s="7" t="e">
        <f>(tbSales[[#This Row],[Unit Price]]-tbSales[[#This Row],[Base Price]])/tbSales[[#This Row],[Base Price]]</f>
        <v>#VALUE!</v>
      </c>
    </row>
    <row r="18" spans="2:11" s="2" customFormat="1" ht="27.95" customHeight="1" x14ac:dyDescent="0.25">
      <c r="B18" s="2" t="s">
        <v>261</v>
      </c>
      <c r="C18" s="2" t="s">
        <v>61</v>
      </c>
      <c r="D18" s="2" t="s">
        <v>10</v>
      </c>
      <c r="E18" s="7">
        <f>IF(ISNUMBER(tbSales[[#This Row],[Cost]]),tbSales[[#This Row],[Cost]]/tbSales[[#This Row],[Units]],"")</f>
        <v>10.258374765669574</v>
      </c>
      <c r="F18" s="7">
        <v>12269</v>
      </c>
      <c r="G18" s="7">
        <v>125860</v>
      </c>
      <c r="H18" s="7">
        <v>495186</v>
      </c>
      <c r="I18" s="7">
        <f>IF(ISNUMBER(tbSales[[#This Row],[Sale price]]),tbSales[[#This Row],[Sale price]]-tbSales[[#This Row],[Cost]],"")</f>
        <v>369326</v>
      </c>
      <c r="J18" s="7" t="str">
        <f>IF(NOT(ISBLANK(tbSales[[#This Row],[Purchase System]])),VLOOKUP(tbSales[[#This Row],[Commodity]],tbMaterials[],3,FALSE),"")</f>
        <v>Catalytic</v>
      </c>
      <c r="K18" s="7" t="e">
        <f>(tbSales[[#This Row],[Unit Price]]-tbSales[[#This Row],[Base Price]])/tbSales[[#This Row],[Base Price]]</f>
        <v>#VALUE!</v>
      </c>
    </row>
    <row r="19" spans="2:11" s="2" customFormat="1" ht="27.95" customHeight="1" x14ac:dyDescent="0.25">
      <c r="B19" s="2" t="s">
        <v>261</v>
      </c>
      <c r="C19" s="2" t="s">
        <v>61</v>
      </c>
      <c r="D19" s="2" t="s">
        <v>6</v>
      </c>
      <c r="E19" s="7">
        <f>IF(ISNUMBER(tbSales[[#This Row],[Cost]]),tbSales[[#This Row],[Cost]]/tbSales[[#This Row],[Units]],"")</f>
        <v>51.821857553713414</v>
      </c>
      <c r="F19" s="7">
        <v>5911</v>
      </c>
      <c r="G19" s="7">
        <v>306319</v>
      </c>
      <c r="H19" s="7">
        <v>1163445</v>
      </c>
      <c r="I19" s="7">
        <f>IF(ISNUMBER(tbSales[[#This Row],[Sale price]]),tbSales[[#This Row],[Sale price]]-tbSales[[#This Row],[Cost]],"")</f>
        <v>857126</v>
      </c>
      <c r="J19" s="7" t="str">
        <f>IF(NOT(ISBLANK(tbSales[[#This Row],[Purchase System]])),VLOOKUP(tbSales[[#This Row],[Commodity]],tbMaterials[],3,FALSE),"")</f>
        <v>Subterranean</v>
      </c>
      <c r="K19" s="7" t="e">
        <f>(tbSales[[#This Row],[Unit Price]]-tbSales[[#This Row],[Base Price]])/tbSales[[#This Row],[Base Price]]</f>
        <v>#VALUE!</v>
      </c>
    </row>
    <row r="20" spans="2:11" s="2" customFormat="1" ht="27.95" customHeight="1" x14ac:dyDescent="0.25">
      <c r="B20" s="2" t="s">
        <v>261</v>
      </c>
      <c r="C20" s="2" t="s">
        <v>61</v>
      </c>
      <c r="D20" s="2" t="s">
        <v>39</v>
      </c>
      <c r="E20" s="7">
        <f>IF(ISNUMBER(tbSales[[#This Row],[Cost]]),tbSales[[#This Row],[Cost]]/tbSales[[#This Row],[Units]],"")</f>
        <v>100</v>
      </c>
      <c r="F20" s="7">
        <v>1000</v>
      </c>
      <c r="G20" s="7">
        <v>100000</v>
      </c>
      <c r="H20" s="7">
        <v>64225</v>
      </c>
      <c r="I20" s="7">
        <f>IF(ISNUMBER(tbSales[[#This Row],[Sale price]]),tbSales[[#This Row],[Sale price]]-tbSales[[#This Row],[Cost]],"")</f>
        <v>-35775</v>
      </c>
      <c r="J20" s="7" t="str">
        <f>IF(NOT(ISBLANK(tbSales[[#This Row],[Purchase System]])),VLOOKUP(tbSales[[#This Row],[Commodity]],tbMaterials[],3,FALSE),"")</f>
        <v>Localised</v>
      </c>
      <c r="K20" s="7" t="e">
        <f>(tbSales[[#This Row],[Unit Price]]-tbSales[[#This Row],[Base Price]])/tbSales[[#This Row],[Base Price]]</f>
        <v>#VALUE!</v>
      </c>
    </row>
    <row r="21" spans="2:11" s="2" customFormat="1" ht="27.95" customHeight="1" x14ac:dyDescent="0.25">
      <c r="B21" s="2" t="s">
        <v>61</v>
      </c>
      <c r="D21" s="2" t="s">
        <v>10</v>
      </c>
      <c r="E21" s="7">
        <f>IF(ISNUMBER(tbSales[[#This Row],[Cost]]),tbSales[[#This Row],[Cost]]/tbSales[[#This Row],[Units]],"")</f>
        <v>10.090173410404624</v>
      </c>
      <c r="F21" s="7">
        <v>14705</v>
      </c>
      <c r="G21" s="7">
        <v>148376</v>
      </c>
      <c r="H21" s="7"/>
      <c r="I21" s="7" t="str">
        <f>IF(ISNUMBER(tbSales[[#This Row],[Sale price]]),tbSales[[#This Row],[Sale price]]-tbSales[[#This Row],[Cost]],"")</f>
        <v/>
      </c>
      <c r="J21" s="7" t="str">
        <f>IF(NOT(ISBLANK(tbSales[[#This Row],[Purchase System]])),VLOOKUP(tbSales[[#This Row],[Commodity]],tbMaterials[],3,FALSE),"")</f>
        <v>Catalytic</v>
      </c>
      <c r="K21" s="7" t="e">
        <f>(tbSales[[#This Row],[Unit Price]]-tbSales[[#This Row],[Base Price]])/tbSales[[#This Row],[Base Price]]</f>
        <v>#VALUE!</v>
      </c>
    </row>
    <row r="22" spans="2:11" s="2" customFormat="1" ht="27.95" customHeight="1" x14ac:dyDescent="0.25">
      <c r="B22" s="2" t="s">
        <v>61</v>
      </c>
      <c r="C22" s="2" t="s">
        <v>86</v>
      </c>
      <c r="D22" s="2" t="s">
        <v>6</v>
      </c>
      <c r="E22" s="7">
        <f>IF(ISNUMBER(tbSales[[#This Row],[Cost]]),tbSales[[#This Row],[Cost]]/tbSales[[#This Row],[Units]],"")</f>
        <v>49.206773399014779</v>
      </c>
      <c r="F22" s="7">
        <v>8120</v>
      </c>
      <c r="G22" s="7">
        <v>399559</v>
      </c>
      <c r="H22" s="7">
        <v>1544991</v>
      </c>
      <c r="I22" s="7">
        <f>IF(ISNUMBER(tbSales[[#This Row],[Sale price]]),tbSales[[#This Row],[Sale price]]-tbSales[[#This Row],[Cost]],"")</f>
        <v>1145432</v>
      </c>
      <c r="J22" s="7" t="str">
        <f>IF(NOT(ISBLANK(tbSales[[#This Row],[Purchase System]])),VLOOKUP(tbSales[[#This Row],[Commodity]],tbMaterials[],3,FALSE),"")</f>
        <v>Subterranean</v>
      </c>
      <c r="K22" s="7" t="e">
        <f>(tbSales[[#This Row],[Unit Price]]-tbSales[[#This Row],[Base Price]])/tbSales[[#This Row],[Base Price]]</f>
        <v>#VALUE!</v>
      </c>
    </row>
    <row r="23" spans="2:11" s="2" customFormat="1" ht="27.95" customHeight="1" x14ac:dyDescent="0.25">
      <c r="B23" s="2" t="s">
        <v>86</v>
      </c>
      <c r="C23" s="2" t="s">
        <v>59</v>
      </c>
      <c r="D23" s="2" t="s">
        <v>9</v>
      </c>
      <c r="E23" s="7">
        <f>IF(ISNUMBER(tbSales[[#This Row],[Cost]]),tbSales[[#This Row],[Cost]]/tbSales[[#This Row],[Units]],"")</f>
        <v>8.6925675675675684</v>
      </c>
      <c r="F23" s="7">
        <v>5920</v>
      </c>
      <c r="G23" s="7">
        <v>51460</v>
      </c>
      <c r="H23" s="7">
        <v>189333</v>
      </c>
      <c r="I23" s="7">
        <f>IF(ISNUMBER(tbSales[[#This Row],[Sale price]]),tbSales[[#This Row],[Sale price]]-tbSales[[#This Row],[Cost]],"")</f>
        <v>137873</v>
      </c>
      <c r="J23" s="7" t="str">
        <f>IF(NOT(ISBLANK(tbSales[[#This Row],[Purchase System]])),VLOOKUP(tbSales[[#This Row],[Commodity]],tbMaterials[],3,FALSE),"")</f>
        <v>Organic</v>
      </c>
      <c r="K23" s="7" t="e">
        <f>(tbSales[[#This Row],[Unit Price]]-tbSales[[#This Row],[Base Price]])/tbSales[[#This Row],[Base Price]]</f>
        <v>#VALUE!</v>
      </c>
    </row>
    <row r="24" spans="2:11" s="2" customFormat="1" ht="27.95" customHeight="1" x14ac:dyDescent="0.25">
      <c r="B24" s="2" t="s">
        <v>86</v>
      </c>
      <c r="C24" s="2" t="s">
        <v>59</v>
      </c>
      <c r="D24" s="2" t="s">
        <v>6</v>
      </c>
      <c r="E24" s="7">
        <f>IF(ISNUMBER(tbSales[[#This Row],[Cost]]),tbSales[[#This Row],[Cost]]/tbSales[[#This Row],[Units]],"")</f>
        <v>47.567369960309172</v>
      </c>
      <c r="F24" s="7">
        <v>9574</v>
      </c>
      <c r="G24" s="7">
        <v>455410</v>
      </c>
      <c r="H24" s="7">
        <v>1966090</v>
      </c>
      <c r="I24" s="7">
        <f>IF(ISNUMBER(tbSales[[#This Row],[Sale price]]),tbSales[[#This Row],[Sale price]]-tbSales[[#This Row],[Cost]],"")</f>
        <v>1510680</v>
      </c>
      <c r="J24" s="7" t="str">
        <f>IF(NOT(ISBLANK(tbSales[[#This Row],[Purchase System]])),VLOOKUP(tbSales[[#This Row],[Commodity]],tbMaterials[],3,FALSE),"")</f>
        <v>Subterranean</v>
      </c>
      <c r="K24" s="7" t="e">
        <f>(tbSales[[#This Row],[Unit Price]]-tbSales[[#This Row],[Base Price]])/tbSales[[#This Row],[Base Price]]</f>
        <v>#VALUE!</v>
      </c>
    </row>
    <row r="25" spans="2:11" s="2" customFormat="1" ht="27.95" customHeight="1" x14ac:dyDescent="0.25">
      <c r="B25" s="2" t="s">
        <v>86</v>
      </c>
      <c r="C25" s="2" t="s">
        <v>59</v>
      </c>
      <c r="D25" s="2" t="s">
        <v>13</v>
      </c>
      <c r="E25" s="7">
        <f>IF(ISNUMBER(tbSales[[#This Row],[Cost]]),tbSales[[#This Row],[Cost]]/tbSales[[#This Row],[Units]],"")</f>
        <v>10.068566061365059</v>
      </c>
      <c r="F25" s="7">
        <v>3194</v>
      </c>
      <c r="G25" s="7">
        <v>32159</v>
      </c>
      <c r="H25" s="7">
        <v>44119</v>
      </c>
      <c r="I25" s="7">
        <f>IF(ISNUMBER(tbSales[[#This Row],[Sale price]]),tbSales[[#This Row],[Sale price]]-tbSales[[#This Row],[Cost]],"")</f>
        <v>11960</v>
      </c>
      <c r="J25" s="7" t="str">
        <f>IF(NOT(ISBLANK(tbSales[[#This Row],[Purchase System]])),VLOOKUP(tbSales[[#This Row],[Commodity]],tbMaterials[],3,FALSE),"")</f>
        <v>Metallic</v>
      </c>
      <c r="K25" s="7" t="e">
        <f>(tbSales[[#This Row],[Unit Price]]-tbSales[[#This Row],[Base Price]])/tbSales[[#This Row],[Base Price]]</f>
        <v>#VALUE!</v>
      </c>
    </row>
    <row r="26" spans="2:11" s="2" customFormat="1" ht="27.95" customHeight="1" x14ac:dyDescent="0.25">
      <c r="B26" s="2" t="s">
        <v>59</v>
      </c>
      <c r="C26" s="25"/>
      <c r="D26" s="2" t="s">
        <v>13</v>
      </c>
      <c r="E26" s="7">
        <f>IF(ISNUMBER(tbSales[[#This Row],[Cost]]),tbSales[[#This Row],[Cost]]/tbSales[[#This Row],[Units]],"")</f>
        <v>3.4531108289497552</v>
      </c>
      <c r="F26" s="7">
        <v>5513</v>
      </c>
      <c r="G26" s="7">
        <v>19037</v>
      </c>
      <c r="H26" s="7"/>
      <c r="I26" s="7" t="str">
        <f>IF(ISNUMBER(tbSales[[#This Row],[Sale price]]),tbSales[[#This Row],[Sale price]]-tbSales[[#This Row],[Cost]],"")</f>
        <v/>
      </c>
      <c r="J26" s="7" t="str">
        <f>IF(NOT(ISBLANK(tbSales[[#This Row],[Purchase System]])),VLOOKUP(tbSales[[#This Row],[Commodity]],tbMaterials[],3,FALSE),"")</f>
        <v>Metallic</v>
      </c>
      <c r="K26" s="7" t="e">
        <f>(tbSales[[#This Row],[Unit Price]]-tbSales[[#This Row],[Base Price]])/tbSales[[#This Row],[Base Price]]</f>
        <v>#VALUE!</v>
      </c>
    </row>
    <row r="27" spans="2:11" s="2" customFormat="1" ht="27.95" customHeight="1" x14ac:dyDescent="0.25">
      <c r="B27" s="2" t="s">
        <v>59</v>
      </c>
      <c r="C27" s="25"/>
      <c r="D27" s="2" t="s">
        <v>6</v>
      </c>
      <c r="E27" s="7">
        <f>IF(ISNUMBER(tbSales[[#This Row],[Cost]]),tbSales[[#This Row],[Cost]]/tbSales[[#This Row],[Units]],"")</f>
        <v>51.339299346848755</v>
      </c>
      <c r="F27" s="7">
        <v>11789</v>
      </c>
      <c r="G27" s="7">
        <v>605239</v>
      </c>
      <c r="H27" s="7"/>
      <c r="I27" s="7" t="str">
        <f>IF(ISNUMBER(tbSales[[#This Row],[Sale price]]),tbSales[[#This Row],[Sale price]]-tbSales[[#This Row],[Cost]],"")</f>
        <v/>
      </c>
      <c r="J27" s="7" t="str">
        <f>IF(NOT(ISBLANK(tbSales[[#This Row],[Purchase System]])),VLOOKUP(tbSales[[#This Row],[Commodity]],tbMaterials[],3,FALSE),"")</f>
        <v>Subterranean</v>
      </c>
      <c r="K27" s="7" t="e">
        <f>(tbSales[[#This Row],[Unit Price]]-tbSales[[#This Row],[Base Price]])/tbSales[[#This Row],[Base Price]]</f>
        <v>#VALUE!</v>
      </c>
    </row>
    <row r="28" spans="2:11" s="2" customFormat="1" ht="27.95" customHeight="1" x14ac:dyDescent="0.25">
      <c r="B28" s="2" t="s">
        <v>59</v>
      </c>
      <c r="C28" s="2" t="s">
        <v>89</v>
      </c>
      <c r="D28" s="2" t="s">
        <v>9</v>
      </c>
      <c r="E28" s="7">
        <f>IF(ISNUMBER(tbSales[[#This Row],[Cost]]),tbSales[[#This Row],[Cost]]/tbSales[[#This Row],[Units]],"")</f>
        <v>7.9886933059231655</v>
      </c>
      <c r="F28" s="7">
        <v>7783</v>
      </c>
      <c r="G28" s="7">
        <v>62176</v>
      </c>
      <c r="H28" s="7">
        <v>253969</v>
      </c>
      <c r="I28" s="7">
        <f>IF(ISNUMBER(tbSales[[#This Row],[Sale price]]),tbSales[[#This Row],[Sale price]]-tbSales[[#This Row],[Cost]],"")</f>
        <v>191793</v>
      </c>
      <c r="J28" s="7" t="str">
        <f>IF(NOT(ISBLANK(tbSales[[#This Row],[Purchase System]])),VLOOKUP(tbSales[[#This Row],[Commodity]],tbMaterials[],3,FALSE),"")</f>
        <v>Organic</v>
      </c>
      <c r="K28" s="7" t="e">
        <f>(tbSales[[#This Row],[Unit Price]]-tbSales[[#This Row],[Base Price]])/tbSales[[#This Row],[Base Price]]</f>
        <v>#VALUE!</v>
      </c>
    </row>
    <row r="29" spans="2:11" s="2" customFormat="1" ht="27.95" customHeight="1" x14ac:dyDescent="0.25">
      <c r="B29" s="2" t="s">
        <v>89</v>
      </c>
      <c r="C29" s="8" t="s">
        <v>85</v>
      </c>
      <c r="D29" s="2" t="s">
        <v>9</v>
      </c>
      <c r="E29" s="7">
        <f>IF(ISNUMBER(tbSales[[#This Row],[Cost]]),tbSales[[#This Row],[Cost]]/tbSales[[#This Row],[Units]],"")</f>
        <v>8.1577763897564015</v>
      </c>
      <c r="F29" s="7">
        <v>8005</v>
      </c>
      <c r="G29" s="7">
        <v>65303</v>
      </c>
      <c r="H29" s="7">
        <v>264707</v>
      </c>
      <c r="I29" s="7">
        <f>IF(ISNUMBER(tbSales[[#This Row],[Sale price]]),tbSales[[#This Row],[Sale price]]-tbSales[[#This Row],[Cost]],"")</f>
        <v>199404</v>
      </c>
      <c r="J29" s="7" t="str">
        <f>IF(NOT(ISBLANK(tbSales[[#This Row],[Purchase System]])),VLOOKUP(tbSales[[#This Row],[Commodity]],tbMaterials[],3,FALSE),"")</f>
        <v>Organic</v>
      </c>
      <c r="K29" s="7" t="e">
        <f>(tbSales[[#This Row],[Unit Price]]-tbSales[[#This Row],[Base Price]])/tbSales[[#This Row],[Base Price]]</f>
        <v>#VALUE!</v>
      </c>
    </row>
    <row r="30" spans="2:11" s="2" customFormat="1" ht="27.95" customHeight="1" x14ac:dyDescent="0.25">
      <c r="B30" s="2" t="s">
        <v>85</v>
      </c>
      <c r="C30" s="8" t="s">
        <v>90</v>
      </c>
      <c r="D30" s="2" t="s">
        <v>9</v>
      </c>
      <c r="E30" s="7">
        <f>IF(ISNUMBER(tbSales[[#This Row],[Cost]]),tbSales[[#This Row],[Cost]]/tbSales[[#This Row],[Units]],"")</f>
        <v>8.2669216956827238</v>
      </c>
      <c r="F30" s="7">
        <v>12809</v>
      </c>
      <c r="G30" s="7">
        <v>105891</v>
      </c>
      <c r="H30" s="7">
        <v>449820</v>
      </c>
      <c r="I30" s="7">
        <f>IF(ISNUMBER(tbSales[[#This Row],[Sale price]]),tbSales[[#This Row],[Sale price]]-tbSales[[#This Row],[Cost]],"")</f>
        <v>343929</v>
      </c>
      <c r="J30" s="7" t="str">
        <f>IF(NOT(ISBLANK(tbSales[[#This Row],[Purchase System]])),VLOOKUP(tbSales[[#This Row],[Commodity]],tbMaterials[],3,FALSE),"")</f>
        <v>Organic</v>
      </c>
      <c r="K30" s="7" t="e">
        <f>(tbSales[[#This Row],[Unit Price]]-tbSales[[#This Row],[Base Price]])/tbSales[[#This Row],[Base Price]]</f>
        <v>#VALUE!</v>
      </c>
    </row>
    <row r="31" spans="2:11" s="2" customFormat="1" ht="27.95" customHeight="1" x14ac:dyDescent="0.25">
      <c r="B31" s="2" t="s">
        <v>90</v>
      </c>
      <c r="C31" s="25"/>
      <c r="D31" s="2" t="s">
        <v>9</v>
      </c>
      <c r="E31" s="7">
        <f>IF(ISNUMBER(tbSales[[#This Row],[Cost]]),tbSales[[#This Row],[Cost]]/tbSales[[#This Row],[Units]],"")</f>
        <v>8.7793778019290851</v>
      </c>
      <c r="F31" s="7">
        <v>14722</v>
      </c>
      <c r="G31" s="7">
        <v>129250</v>
      </c>
      <c r="H31" s="7"/>
      <c r="I31" s="7" t="str">
        <f>IF(ISNUMBER(tbSales[[#This Row],[Sale price]]),tbSales[[#This Row],[Sale price]]-tbSales[[#This Row],[Cost]],"")</f>
        <v/>
      </c>
      <c r="J31" s="7" t="str">
        <f>IF(NOT(ISBLANK(tbSales[[#This Row],[Purchase System]])),VLOOKUP(tbSales[[#This Row],[Commodity]],tbMaterials[],3,FALSE),"")</f>
        <v>Organic</v>
      </c>
      <c r="K31" s="7" t="e">
        <f>(tbSales[[#This Row],[Unit Price]]-tbSales[[#This Row],[Base Price]])/tbSales[[#This Row],[Base Price]]</f>
        <v>#VALUE!</v>
      </c>
    </row>
    <row r="32" spans="2:11" s="2" customFormat="1" ht="27.95" customHeight="1" x14ac:dyDescent="0.25">
      <c r="B32" s="2" t="s">
        <v>141</v>
      </c>
      <c r="C32" s="2" t="s">
        <v>136</v>
      </c>
      <c r="D32" s="2" t="s">
        <v>20</v>
      </c>
      <c r="E32" s="7">
        <f>IF(ISNUMBER(tbSales[[#This Row],[Cost]]),tbSales[[#This Row],[Cost]]/tbSales[[#This Row],[Units]],"")</f>
        <v>101.554628038301</v>
      </c>
      <c r="F32" s="7">
        <v>4073</v>
      </c>
      <c r="G32" s="7">
        <v>413632</v>
      </c>
      <c r="H32" s="7">
        <v>678075</v>
      </c>
      <c r="I32" s="7">
        <f>IF(ISNUMBER(tbSales[[#This Row],[Sale price]]),tbSales[[#This Row],[Sale price]]-tbSales[[#This Row],[Cost]],"")</f>
        <v>264443</v>
      </c>
      <c r="J32" s="7" t="str">
        <f>IF(NOT(ISBLANK(tbSales[[#This Row],[Purchase System]])),VLOOKUP(tbSales[[#This Row],[Commodity]],tbMaterials[],3,FALSE),"")</f>
        <v>Asteroid</v>
      </c>
      <c r="K32" s="7" t="e">
        <f>(tbSales[[#This Row],[Unit Price]]-tbSales[[#This Row],[Base Price]])/tbSales[[#This Row],[Base Price]]</f>
        <v>#VALUE!</v>
      </c>
    </row>
    <row r="33" spans="2:11" s="2" customFormat="1" ht="27.95" customHeight="1" x14ac:dyDescent="0.25">
      <c r="B33" s="2" t="s">
        <v>136</v>
      </c>
      <c r="C33" s="25" t="s">
        <v>61</v>
      </c>
      <c r="D33" s="2" t="s">
        <v>20</v>
      </c>
      <c r="E33" s="7">
        <f>IF(ISNUMBER(tbSales[[#This Row],[Cost]]),tbSales[[#This Row],[Cost]]/tbSales[[#This Row],[Units]],"")</f>
        <v>44.771746536452419</v>
      </c>
      <c r="F33" s="7">
        <v>4403</v>
      </c>
      <c r="G33" s="7">
        <v>197130</v>
      </c>
      <c r="H33" s="7">
        <v>765026</v>
      </c>
      <c r="I33" s="7">
        <f>IF(ISNUMBER(tbSales[[#This Row],[Sale price]]),tbSales[[#This Row],[Sale price]]-tbSales[[#This Row],[Cost]],"")</f>
        <v>567896</v>
      </c>
      <c r="J33" s="7" t="str">
        <f>IF(NOT(ISBLANK(tbSales[[#This Row],[Purchase System]])),VLOOKUP(tbSales[[#This Row],[Commodity]],tbMaterials[],3,FALSE),"")</f>
        <v>Asteroid</v>
      </c>
      <c r="K33" s="7" t="e">
        <f>(tbSales[[#This Row],[Unit Price]]-tbSales[[#This Row],[Base Price]])/tbSales[[#This Row],[Base Price]]</f>
        <v>#VALUE!</v>
      </c>
    </row>
    <row r="34" spans="2:11" s="2" customFormat="1" ht="27.95" customHeight="1" x14ac:dyDescent="0.25">
      <c r="B34" s="2" t="s">
        <v>308</v>
      </c>
      <c r="C34" s="25" t="s">
        <v>310</v>
      </c>
      <c r="D34" s="2" t="s">
        <v>5</v>
      </c>
      <c r="E34" s="7">
        <f>IF(ISNUMBER(tbSales[[#This Row],[Cost]]),tbSales[[#This Row],[Cost]]/tbSales[[#This Row],[Units]],"")</f>
        <v>30.481032459913962</v>
      </c>
      <c r="F34" s="7">
        <v>5114</v>
      </c>
      <c r="G34" s="7">
        <v>155880</v>
      </c>
      <c r="H34" s="7">
        <v>617119</v>
      </c>
      <c r="I34" s="7">
        <f>IF(ISNUMBER(tbSales[[#This Row],[Sale price]]),tbSales[[#This Row],[Sale price]]-tbSales[[#This Row],[Cost]],"")</f>
        <v>461239</v>
      </c>
      <c r="J34" s="7" t="str">
        <f>IF(NOT(ISBLANK(tbSales[[#This Row],[Purchase System]])),VLOOKUP(tbSales[[#This Row],[Commodity]],tbMaterials[],3,FALSE),"")</f>
        <v>Stellar</v>
      </c>
      <c r="K34" s="7" t="e">
        <f>(tbSales[[#This Row],[Unit Price]]-tbSales[[#This Row],[Base Price]])/tbSales[[#This Row],[Base Price]]</f>
        <v>#VALUE!</v>
      </c>
    </row>
    <row r="35" spans="2:11" s="2" customFormat="1" ht="27.95" customHeight="1" x14ac:dyDescent="0.25">
      <c r="B35" s="2" t="s">
        <v>309</v>
      </c>
      <c r="C35" s="25" t="s">
        <v>272</v>
      </c>
      <c r="D35" s="2" t="s">
        <v>27</v>
      </c>
      <c r="E35" s="7">
        <f>IF(ISNUMBER(tbSales[[#This Row],[Cost]]),tbSales[[#This Row],[Cost]]/tbSales[[#This Row],[Units]],"")</f>
        <v>90.910165484633566</v>
      </c>
      <c r="F35" s="7">
        <v>5499</v>
      </c>
      <c r="G35" s="7">
        <v>499915</v>
      </c>
      <c r="H35" s="7">
        <v>1891159</v>
      </c>
      <c r="I35" s="7">
        <f>IF(ISNUMBER(tbSales[[#This Row],[Sale price]]),tbSales[[#This Row],[Sale price]]-tbSales[[#This Row],[Cost]],"")</f>
        <v>1391244</v>
      </c>
      <c r="J35" s="7" t="str">
        <f>IF(NOT(ISBLANK(tbSales[[#This Row],[Purchase System]])),VLOOKUP(tbSales[[#This Row],[Commodity]],tbMaterials[],3,FALSE),"")</f>
        <v>Asteroid</v>
      </c>
      <c r="K35" s="7" t="e">
        <f>(tbSales[[#This Row],[Unit Price]]-tbSales[[#This Row],[Base Price]])/tbSales[[#This Row],[Base Price]]</f>
        <v>#VALUE!</v>
      </c>
    </row>
    <row r="36" spans="2:11" s="2" customFormat="1" ht="27.95" customHeight="1" x14ac:dyDescent="0.25">
      <c r="B36" s="25" t="s">
        <v>310</v>
      </c>
      <c r="C36" s="25"/>
      <c r="D36" s="2" t="s">
        <v>5</v>
      </c>
      <c r="E36" s="7">
        <f>IF(ISNUMBER(tbSales[[#This Row],[Cost]]),tbSales[[#This Row],[Cost]]/tbSales[[#This Row],[Units]],"")</f>
        <v>30.168028322440087</v>
      </c>
      <c r="F36" s="7">
        <v>7344</v>
      </c>
      <c r="G36" s="7">
        <v>221554</v>
      </c>
      <c r="H36" s="7"/>
      <c r="I36" s="7" t="str">
        <f>IF(ISNUMBER(tbSales[[#This Row],[Sale price]]),tbSales[[#This Row],[Sale price]]-tbSales[[#This Row],[Cost]],"")</f>
        <v/>
      </c>
      <c r="J36" s="7" t="str">
        <f>IF(NOT(ISBLANK(tbSales[[#This Row],[Purchase System]])),VLOOKUP(tbSales[[#This Row],[Commodity]],tbMaterials[],3,FALSE),"")</f>
        <v>Stellar</v>
      </c>
      <c r="K36" s="7" t="e">
        <f>(tbSales[[#This Row],[Unit Price]]-tbSales[[#This Row],[Base Price]])/tbSales[[#This Row],[Base Price]]</f>
        <v>#VALUE!</v>
      </c>
    </row>
    <row r="37" spans="2:11" s="2" customFormat="1" ht="27.95" customHeight="1" x14ac:dyDescent="0.25">
      <c r="B37" s="25" t="s">
        <v>272</v>
      </c>
      <c r="C37" s="25" t="s">
        <v>135</v>
      </c>
      <c r="D37" s="2" t="s">
        <v>27</v>
      </c>
      <c r="E37" s="7">
        <f>IF(ISNUMBER(tbSales[[#This Row],[Cost]]),tbSales[[#This Row],[Cost]]/tbSales[[#This Row],[Units]],"")</f>
        <v>90.452478042659976</v>
      </c>
      <c r="F37" s="7">
        <v>6376</v>
      </c>
      <c r="G37" s="7">
        <v>576725</v>
      </c>
      <c r="H37" s="7">
        <v>2104315</v>
      </c>
      <c r="I37" s="7">
        <f>IF(ISNUMBER(tbSales[[#This Row],[Sale price]]),tbSales[[#This Row],[Sale price]]-tbSales[[#This Row],[Cost]],"")</f>
        <v>1527590</v>
      </c>
      <c r="J37" s="7" t="str">
        <f>IF(NOT(ISBLANK(tbSales[[#This Row],[Purchase System]])),VLOOKUP(tbSales[[#This Row],[Commodity]],tbMaterials[],3,FALSE),"")</f>
        <v>Asteroid</v>
      </c>
      <c r="K37" s="7" t="e">
        <f>(tbSales[[#This Row],[Unit Price]]-tbSales[[#This Row],[Base Price]])/tbSales[[#This Row],[Base Price]]</f>
        <v>#VALUE!</v>
      </c>
    </row>
    <row r="38" spans="2:11" s="2" customFormat="1" ht="27.95" customHeight="1" x14ac:dyDescent="0.25">
      <c r="B38" s="25" t="s">
        <v>61</v>
      </c>
      <c r="C38" s="25" t="s">
        <v>261</v>
      </c>
      <c r="D38" s="2" t="s">
        <v>20</v>
      </c>
      <c r="E38" s="7">
        <f>IF(ISNUMBER(tbSales[[#This Row],[Cost]]),tbSales[[#This Row],[Cost]]/tbSales[[#This Row],[Units]],"")</f>
        <v>46.797760551248921</v>
      </c>
      <c r="F38" s="7">
        <v>5805</v>
      </c>
      <c r="G38" s="7">
        <v>271661</v>
      </c>
      <c r="H38" s="7">
        <v>794836</v>
      </c>
      <c r="I38" s="7">
        <f>IF(ISNUMBER(tbSales[[#This Row],[Sale price]]),tbSales[[#This Row],[Sale price]]-tbSales[[#This Row],[Cost]],"")</f>
        <v>523175</v>
      </c>
      <c r="J38" s="7" t="str">
        <f>IF(NOT(ISBLANK(tbSales[[#This Row],[Purchase System]])),VLOOKUP(tbSales[[#This Row],[Commodity]],tbMaterials[],3,FALSE),"")</f>
        <v>Asteroid</v>
      </c>
      <c r="K38" s="7" t="e">
        <f>(tbSales[[#This Row],[Unit Price]]-tbSales[[#This Row],[Base Price]])/tbSales[[#This Row],[Base Price]]</f>
        <v>#VALUE!</v>
      </c>
    </row>
    <row r="39" spans="2:11" s="2" customFormat="1" ht="27.95" customHeight="1" x14ac:dyDescent="0.25">
      <c r="B39" s="25" t="s">
        <v>261</v>
      </c>
      <c r="C39" s="25" t="s">
        <v>135</v>
      </c>
      <c r="D39" s="2" t="s">
        <v>20</v>
      </c>
      <c r="E39" s="7">
        <f>IF(ISNUMBER(tbSales[[#This Row],[Cost]]),tbSales[[#This Row],[Cost]]/tbSales[[#This Row],[Units]],"")</f>
        <v>48.302159117578036</v>
      </c>
      <c r="F39" s="7">
        <v>8522</v>
      </c>
      <c r="G39" s="7">
        <v>411631</v>
      </c>
      <c r="H39" s="7">
        <v>1481793</v>
      </c>
      <c r="I39" s="7">
        <f>IF(ISNUMBER(tbSales[[#This Row],[Sale price]]),tbSales[[#This Row],[Sale price]]-tbSales[[#This Row],[Cost]],"")</f>
        <v>1070162</v>
      </c>
      <c r="J39" s="7" t="str">
        <f>IF(NOT(ISBLANK(tbSales[[#This Row],[Purchase System]])),VLOOKUP(tbSales[[#This Row],[Commodity]],tbMaterials[],3,FALSE),"")</f>
        <v>Asteroid</v>
      </c>
      <c r="K39" s="7" t="e">
        <f>(tbSales[[#This Row],[Unit Price]]-tbSales[[#This Row],[Base Price]])/tbSales[[#This Row],[Base Price]]</f>
        <v>#VALUE!</v>
      </c>
    </row>
    <row r="40" spans="2:11" s="2" customFormat="1" ht="27.95" customHeight="1" x14ac:dyDescent="0.25">
      <c r="B40" s="25" t="s">
        <v>261</v>
      </c>
      <c r="C40" s="25"/>
      <c r="D40" s="2" t="s">
        <v>268</v>
      </c>
      <c r="E40" s="7">
        <f>IF(ISNUMBER(tbSales[[#This Row],[Cost]]),tbSales[[#This Row],[Cost]]/tbSales[[#This Row],[Units]],"")</f>
        <v>79.345820009136588</v>
      </c>
      <c r="F40" s="7">
        <v>2189</v>
      </c>
      <c r="G40" s="7">
        <v>173688</v>
      </c>
      <c r="H40" s="7"/>
      <c r="I40" s="7" t="str">
        <f>IF(ISNUMBER(tbSales[[#This Row],[Sale price]]),tbSales[[#This Row],[Sale price]]-tbSales[[#This Row],[Cost]],"")</f>
        <v/>
      </c>
      <c r="J40" s="7" t="str">
        <f>IF(NOT(ISBLANK(tbSales[[#This Row],[Purchase System]])),VLOOKUP(tbSales[[#This Row],[Commodity]],tbMaterials[],3,FALSE),"")</f>
        <v>Metallic</v>
      </c>
      <c r="K40" s="7" t="e">
        <f>(tbSales[[#This Row],[Unit Price]]-tbSales[[#This Row],[Base Price]])/tbSales[[#This Row],[Base Price]]</f>
        <v>#VALUE!</v>
      </c>
    </row>
    <row r="41" spans="2:11" s="2" customFormat="1" ht="27.95" customHeight="1" x14ac:dyDescent="0.25">
      <c r="B41" s="25" t="s">
        <v>261</v>
      </c>
      <c r="C41" s="25"/>
      <c r="D41" s="2" t="s">
        <v>63</v>
      </c>
      <c r="E41" s="7">
        <f>IF(ISNUMBER(tbSales[[#This Row],[Cost]]),tbSales[[#This Row],[Cost]]/tbSales[[#This Row],[Units]],"")</f>
        <v>314.30908360128615</v>
      </c>
      <c r="F41" s="7">
        <v>2488</v>
      </c>
      <c r="G41" s="7">
        <v>782001</v>
      </c>
      <c r="H41" s="7"/>
      <c r="I41" s="7" t="str">
        <f>IF(ISNUMBER(tbSales[[#This Row],[Sale price]]),tbSales[[#This Row],[Sale price]]-tbSales[[#This Row],[Cost]],"")</f>
        <v/>
      </c>
      <c r="J41" s="7" t="str">
        <f>IF(NOT(ISBLANK(tbSales[[#This Row],[Purchase System]])),VLOOKUP(tbSales[[#This Row],[Commodity]],tbMaterials[],3,FALSE),"")</f>
        <v>Aquatic</v>
      </c>
      <c r="K41" s="7" t="e">
        <f>(tbSales[[#This Row],[Unit Price]]-tbSales[[#This Row],[Base Price]])/tbSales[[#This Row],[Base Price]]</f>
        <v>#VALUE!</v>
      </c>
    </row>
    <row r="42" spans="2:11" s="2" customFormat="1" ht="27.95" customHeight="1" x14ac:dyDescent="0.25">
      <c r="B42" s="2" t="s">
        <v>135</v>
      </c>
      <c r="C42" s="25"/>
      <c r="D42" s="2" t="s">
        <v>6</v>
      </c>
      <c r="E42" s="7">
        <f>IF(ISNUMBER(tbSales[[#This Row],[Cost]]),tbSales[[#This Row],[Cost]]/tbSales[[#This Row],[Units]],"")</f>
        <v>234.2822429906542</v>
      </c>
      <c r="F42" s="7">
        <v>1605</v>
      </c>
      <c r="G42" s="7">
        <v>376023</v>
      </c>
      <c r="H42" s="7"/>
      <c r="I42" s="7" t="str">
        <f>IF(ISNUMBER(tbSales[[#This Row],[Sale price]]),tbSales[[#This Row],[Sale price]]-tbSales[[#This Row],[Cost]],"")</f>
        <v/>
      </c>
      <c r="J42" s="7" t="str">
        <f>IF(NOT(ISBLANK(tbSales[[#This Row],[Purchase System]])),VLOOKUP(tbSales[[#This Row],[Commodity]],tbMaterials[],3,FALSE),"")</f>
        <v>Subterranean</v>
      </c>
      <c r="K42" s="7" t="e">
        <f>(tbSales[[#This Row],[Unit Price]]-tbSales[[#This Row],[Base Price]])/tbSales[[#This Row],[Base Price]]</f>
        <v>#VALUE!</v>
      </c>
    </row>
    <row r="43" spans="2:11" s="2" customFormat="1" ht="27.95" customHeight="1" x14ac:dyDescent="0.25">
      <c r="B43" s="2" t="s">
        <v>135</v>
      </c>
      <c r="C43" s="25"/>
      <c r="D43" s="2" t="s">
        <v>13</v>
      </c>
      <c r="E43" s="7">
        <f>IF(ISNUMBER(tbSales[[#This Row],[Cost]]),tbSales[[#This Row],[Cost]]/tbSales[[#This Row],[Units]],"")</f>
        <v>17.172432729269634</v>
      </c>
      <c r="F43" s="7">
        <v>1821</v>
      </c>
      <c r="G43" s="7">
        <v>31271</v>
      </c>
      <c r="H43" s="7"/>
      <c r="I43" s="7" t="str">
        <f>IF(ISNUMBER(tbSales[[#This Row],[Sale price]]),tbSales[[#This Row],[Sale price]]-tbSales[[#This Row],[Cost]],"")</f>
        <v/>
      </c>
      <c r="J43" s="7" t="str">
        <f>IF(NOT(ISBLANK(tbSales[[#This Row],[Purchase System]])),VLOOKUP(tbSales[[#This Row],[Commodity]],tbMaterials[],3,FALSE),"")</f>
        <v>Metallic</v>
      </c>
      <c r="K43" s="7" t="e">
        <f>(tbSales[[#This Row],[Unit Price]]-tbSales[[#This Row],[Base Price]])/tbSales[[#This Row],[Base Price]]</f>
        <v>#VALUE!</v>
      </c>
    </row>
    <row r="44" spans="2:11" s="2" customFormat="1" ht="27.95" customHeight="1" x14ac:dyDescent="0.25">
      <c r="B44" s="2" t="s">
        <v>135</v>
      </c>
      <c r="C44" s="25"/>
      <c r="D44" s="2" t="s">
        <v>27</v>
      </c>
      <c r="E44" s="7">
        <f>IF(ISNUMBER(tbSales[[#This Row],[Cost]]),tbSales[[#This Row],[Cost]]/tbSales[[#This Row],[Units]],"")</f>
        <v>89.089634773662553</v>
      </c>
      <c r="F44" s="7">
        <v>7776</v>
      </c>
      <c r="G44" s="7">
        <v>692761</v>
      </c>
      <c r="H44" s="7"/>
      <c r="I44" s="7" t="str">
        <f>IF(ISNUMBER(tbSales[[#This Row],[Sale price]]),tbSales[[#This Row],[Sale price]]-tbSales[[#This Row],[Cost]],"")</f>
        <v/>
      </c>
      <c r="J44" s="7" t="str">
        <f>IF(NOT(ISBLANK(tbSales[[#This Row],[Purchase System]])),VLOOKUP(tbSales[[#This Row],[Commodity]],tbMaterials[],3,FALSE),"")</f>
        <v>Asteroid</v>
      </c>
      <c r="K44" s="7" t="e">
        <f>(tbSales[[#This Row],[Unit Price]]-tbSales[[#This Row],[Base Price]])/tbSales[[#This Row],[Base Price]]</f>
        <v>#VALUE!</v>
      </c>
    </row>
    <row r="45" spans="2:11" s="2" customFormat="1" ht="27.95" customHeight="1" x14ac:dyDescent="0.25">
      <c r="B45" s="2" t="s">
        <v>135</v>
      </c>
      <c r="C45" s="25"/>
      <c r="D45" s="2" t="s">
        <v>9</v>
      </c>
      <c r="E45" s="7">
        <f>IF(ISNUMBER(tbSales[[#This Row],[Cost]]),tbSales[[#This Row],[Cost]]/tbSales[[#This Row],[Units]],"")</f>
        <v>42.067579908675796</v>
      </c>
      <c r="F45" s="7">
        <v>2190</v>
      </c>
      <c r="G45" s="7">
        <v>92128</v>
      </c>
      <c r="H45" s="7"/>
      <c r="I45" s="7" t="str">
        <f>IF(ISNUMBER(tbSales[[#This Row],[Sale price]]),tbSales[[#This Row],[Sale price]]-tbSales[[#This Row],[Cost]],"")</f>
        <v/>
      </c>
      <c r="J45" s="7" t="str">
        <f>IF(NOT(ISBLANK(tbSales[[#This Row],[Purchase System]])),VLOOKUP(tbSales[[#This Row],[Commodity]],tbMaterials[],3,FALSE),"")</f>
        <v>Organic</v>
      </c>
      <c r="K45" s="7" t="e">
        <f>(tbSales[[#This Row],[Unit Price]]-tbSales[[#This Row],[Base Price]])/tbSales[[#This Row],[Base Price]]</f>
        <v>#VALUE!</v>
      </c>
    </row>
    <row r="46" spans="2:11" s="2" customFormat="1" ht="27.95" customHeight="1" x14ac:dyDescent="0.25">
      <c r="B46" s="2" t="s">
        <v>135</v>
      </c>
      <c r="C46" s="25"/>
      <c r="D46" s="2" t="s">
        <v>313</v>
      </c>
      <c r="E46" s="7">
        <f>IF(ISNUMBER(tbSales[[#This Row],[Cost]]),tbSales[[#This Row],[Cost]]/tbSales[[#This Row],[Units]],"")</f>
        <v>56.352276295133436</v>
      </c>
      <c r="F46" s="7">
        <v>3185</v>
      </c>
      <c r="G46" s="7">
        <v>179482</v>
      </c>
      <c r="H46" s="7"/>
      <c r="I46" s="7" t="str">
        <f>IF(ISNUMBER(tbSales[[#This Row],[Sale price]]),tbSales[[#This Row],[Sale price]]-tbSales[[#This Row],[Cost]],"")</f>
        <v/>
      </c>
      <c r="J46" s="7" t="e">
        <f>IF(NOT(ISBLANK(tbSales[[#This Row],[Purchase System]])),VLOOKUP(tbSales[[#This Row],[Commodity]],tbMaterials[],3,FALSE),"")</f>
        <v>#N/A</v>
      </c>
      <c r="K46" s="7" t="e">
        <f>(tbSales[[#This Row],[Unit Price]]-tbSales[[#This Row],[Base Price]])/tbSales[[#This Row],[Base Price]]</f>
        <v>#N/A</v>
      </c>
    </row>
    <row r="47" spans="2:11" s="2" customFormat="1" ht="27.95" customHeight="1" x14ac:dyDescent="0.25">
      <c r="B47" s="8"/>
      <c r="C47" s="7"/>
      <c r="D47" s="4"/>
      <c r="E47" s="7"/>
      <c r="F47" s="4"/>
      <c r="G47" s="7"/>
      <c r="H47" s="7"/>
    </row>
    <row r="48" spans="2:11" s="2" customFormat="1" ht="27.95" customHeight="1" x14ac:dyDescent="0.25">
      <c r="B48" s="8"/>
      <c r="C48" s="7"/>
      <c r="D48" s="4"/>
      <c r="E48" s="7"/>
      <c r="F48" s="4"/>
      <c r="G48" s="7"/>
      <c r="H48" s="7"/>
    </row>
    <row r="49" spans="2:8" s="2" customFormat="1" ht="27.95" customHeight="1" x14ac:dyDescent="0.25">
      <c r="B49" s="8"/>
      <c r="C49" s="7"/>
      <c r="D49" s="4"/>
      <c r="E49" s="7"/>
      <c r="F49" s="4"/>
      <c r="G49" s="7"/>
      <c r="H49" s="7"/>
    </row>
    <row r="50" spans="2:8" s="2" customFormat="1" ht="27.95" customHeight="1" x14ac:dyDescent="0.25">
      <c r="B50" s="8"/>
      <c r="C50" s="7"/>
      <c r="D50" s="4"/>
      <c r="E50" s="7"/>
      <c r="F50" s="4"/>
      <c r="G50" s="7"/>
      <c r="H50" s="7"/>
    </row>
    <row r="51" spans="2:8" s="2" customFormat="1" ht="27.95" customHeight="1" x14ac:dyDescent="0.25">
      <c r="B51" s="8"/>
      <c r="C51" s="7"/>
      <c r="D51" s="4"/>
      <c r="E51" s="7"/>
      <c r="F51" s="4"/>
      <c r="G51" s="7"/>
      <c r="H51" s="7"/>
    </row>
    <row r="52" spans="2:8" s="2" customFormat="1" ht="27.95" customHeight="1" x14ac:dyDescent="0.25">
      <c r="B52" s="8"/>
      <c r="C52" s="7"/>
      <c r="D52" s="4"/>
      <c r="E52" s="7"/>
      <c r="F52" s="4"/>
      <c r="G52" s="7"/>
      <c r="H52" s="7"/>
    </row>
    <row r="53" spans="2:8" s="2" customFormat="1" ht="27.95" customHeight="1" x14ac:dyDescent="0.25">
      <c r="B53" s="8"/>
      <c r="C53" s="7"/>
      <c r="D53" s="4"/>
      <c r="E53" s="7"/>
      <c r="F53" s="4"/>
      <c r="G53" s="7"/>
      <c r="H53" s="7"/>
    </row>
    <row r="54" spans="2:8" s="2" customFormat="1" ht="27.95" customHeight="1" x14ac:dyDescent="0.25">
      <c r="B54" s="8"/>
      <c r="C54" s="7"/>
      <c r="D54" s="4"/>
      <c r="E54" s="7"/>
      <c r="F54" s="4"/>
      <c r="G54" s="7"/>
      <c r="H54" s="7"/>
    </row>
    <row r="55" spans="2:8" s="2" customFormat="1" ht="27.95" customHeight="1" x14ac:dyDescent="0.25">
      <c r="B55" s="8"/>
      <c r="C55" s="7"/>
      <c r="D55" s="4"/>
      <c r="E55" s="7"/>
      <c r="F55" s="4"/>
      <c r="G55" s="7"/>
      <c r="H55" s="7"/>
    </row>
    <row r="56" spans="2:8" s="2" customFormat="1" ht="27.95" customHeight="1" x14ac:dyDescent="0.25">
      <c r="B56" s="8"/>
      <c r="C56" s="7"/>
      <c r="D56" s="4"/>
      <c r="E56" s="7"/>
      <c r="F56" s="4"/>
      <c r="G56" s="7"/>
      <c r="H56" s="7"/>
    </row>
    <row r="57" spans="2:8" s="2" customFormat="1" ht="27.95" customHeight="1" x14ac:dyDescent="0.25">
      <c r="B57" s="8"/>
      <c r="C57" s="7"/>
      <c r="D57" s="4"/>
      <c r="E57" s="7"/>
      <c r="F57" s="4"/>
      <c r="G57" s="7"/>
      <c r="H57" s="7"/>
    </row>
    <row r="58" spans="2:8" s="2" customFormat="1" ht="27.95" customHeight="1" x14ac:dyDescent="0.25">
      <c r="B58" s="8"/>
      <c r="C58" s="7"/>
      <c r="D58" s="4"/>
      <c r="E58" s="7"/>
      <c r="F58" s="4"/>
      <c r="G58" s="7"/>
      <c r="H58" s="7"/>
    </row>
    <row r="59" spans="2:8" s="2" customFormat="1" ht="27.95" customHeight="1" x14ac:dyDescent="0.25">
      <c r="B59" s="8"/>
      <c r="C59" s="7"/>
      <c r="D59" s="4"/>
      <c r="E59" s="7"/>
      <c r="F59" s="4"/>
      <c r="G59" s="7"/>
      <c r="H59" s="7"/>
    </row>
    <row r="60" spans="2:8" s="2" customFormat="1" ht="27.95" customHeight="1" x14ac:dyDescent="0.25">
      <c r="B60" s="8"/>
      <c r="C60" s="7"/>
      <c r="D60" s="4"/>
      <c r="E60" s="7"/>
      <c r="F60" s="4"/>
      <c r="G60" s="7"/>
      <c r="H60" s="7"/>
    </row>
    <row r="61" spans="2:8" s="2" customFormat="1" ht="27.95" customHeight="1" x14ac:dyDescent="0.25">
      <c r="B61" s="8"/>
      <c r="C61" s="7"/>
      <c r="D61" s="4"/>
      <c r="E61" s="7"/>
      <c r="F61" s="4"/>
      <c r="G61" s="7"/>
      <c r="H61" s="7"/>
    </row>
    <row r="62" spans="2:8" s="2" customFormat="1" ht="27.95" customHeight="1" x14ac:dyDescent="0.25">
      <c r="B62" s="8"/>
      <c r="C62" s="7"/>
      <c r="D62" s="4"/>
      <c r="E62" s="7"/>
      <c r="F62" s="4"/>
      <c r="G62" s="7"/>
      <c r="H62" s="7"/>
    </row>
    <row r="63" spans="2:8" s="2" customFormat="1" ht="27.95" customHeight="1" x14ac:dyDescent="0.25">
      <c r="B63" s="8"/>
      <c r="C63" s="7"/>
      <c r="D63" s="4"/>
      <c r="E63" s="7"/>
      <c r="F63" s="4"/>
      <c r="G63" s="7"/>
      <c r="H63" s="7"/>
    </row>
    <row r="64" spans="2:8" s="2" customFormat="1" ht="27.95" customHeight="1" x14ac:dyDescent="0.25">
      <c r="B64" s="8"/>
      <c r="C64" s="7"/>
      <c r="D64" s="4"/>
      <c r="E64" s="7"/>
      <c r="F64" s="4"/>
      <c r="G64" s="7"/>
      <c r="H64" s="7"/>
    </row>
    <row r="65" spans="2:8" s="2" customFormat="1" ht="27.95" customHeight="1" x14ac:dyDescent="0.25">
      <c r="B65" s="8"/>
      <c r="C65" s="7"/>
      <c r="D65" s="4"/>
      <c r="E65" s="7"/>
      <c r="F65" s="4"/>
      <c r="G65" s="7"/>
      <c r="H65" s="7"/>
    </row>
    <row r="66" spans="2:8" s="2" customFormat="1" ht="27.95" customHeight="1" x14ac:dyDescent="0.25">
      <c r="B66" s="8"/>
      <c r="C66" s="7"/>
      <c r="D66" s="4"/>
      <c r="E66" s="7"/>
      <c r="F66" s="4"/>
      <c r="G66" s="7"/>
      <c r="H66" s="7"/>
    </row>
    <row r="67" spans="2:8" s="2" customFormat="1" ht="27.95" customHeight="1" x14ac:dyDescent="0.25">
      <c r="B67" s="8"/>
      <c r="C67" s="7"/>
      <c r="D67" s="4"/>
      <c r="E67" s="7"/>
      <c r="F67" s="4"/>
      <c r="G67" s="7"/>
      <c r="H67" s="7"/>
    </row>
    <row r="68" spans="2:8" s="2" customFormat="1" ht="27.95" customHeight="1" x14ac:dyDescent="0.25">
      <c r="B68" s="8"/>
      <c r="C68" s="7"/>
      <c r="D68" s="4"/>
      <c r="E68" s="7"/>
      <c r="F68" s="4"/>
      <c r="G68" s="7"/>
      <c r="H68" s="7"/>
    </row>
    <row r="69" spans="2:8" s="2" customFormat="1" ht="27.95" customHeight="1" x14ac:dyDescent="0.25">
      <c r="B69" s="8"/>
      <c r="C69" s="7"/>
      <c r="D69" s="4"/>
      <c r="E69" s="7"/>
      <c r="F69" s="4"/>
      <c r="G69" s="7"/>
      <c r="H69" s="7"/>
    </row>
    <row r="70" spans="2:8" s="2" customFormat="1" ht="27.95" customHeight="1" x14ac:dyDescent="0.25">
      <c r="B70" s="8"/>
      <c r="C70" s="7"/>
      <c r="D70" s="4"/>
      <c r="E70" s="7"/>
      <c r="F70" s="4"/>
      <c r="G70" s="7"/>
      <c r="H70" s="7"/>
    </row>
    <row r="71" spans="2:8" s="2" customFormat="1" ht="27.95" customHeight="1" x14ac:dyDescent="0.25">
      <c r="B71" s="8"/>
      <c r="C71" s="7"/>
      <c r="D71" s="4"/>
      <c r="E71" s="7"/>
      <c r="F71" s="4"/>
      <c r="G71" s="7"/>
      <c r="H71" s="7"/>
    </row>
    <row r="72" spans="2:8" s="2" customFormat="1" ht="27.95" customHeight="1" x14ac:dyDescent="0.25">
      <c r="B72" s="8"/>
      <c r="C72" s="7"/>
      <c r="D72" s="4"/>
      <c r="E72" s="7"/>
      <c r="F72" s="4"/>
      <c r="G72" s="7"/>
      <c r="H72" s="7"/>
    </row>
    <row r="73" spans="2:8" s="2" customFormat="1" ht="27.95" customHeight="1" x14ac:dyDescent="0.25">
      <c r="B73" s="8"/>
      <c r="C73" s="7"/>
      <c r="D73" s="4"/>
      <c r="E73" s="7"/>
      <c r="F73" s="4"/>
      <c r="G73" s="7"/>
      <c r="H73" s="7"/>
    </row>
    <row r="74" spans="2:8" s="2" customFormat="1" ht="27.95" customHeight="1" x14ac:dyDescent="0.25">
      <c r="B74" s="8"/>
      <c r="C74" s="7"/>
      <c r="D74" s="4"/>
      <c r="E74" s="7"/>
      <c r="F74" s="4"/>
      <c r="G74" s="7"/>
      <c r="H74" s="7"/>
    </row>
    <row r="75" spans="2:8" s="2" customFormat="1" ht="27.95" customHeight="1" x14ac:dyDescent="0.25">
      <c r="B75" s="8"/>
      <c r="C75" s="7"/>
      <c r="D75" s="4"/>
      <c r="E75" s="7"/>
      <c r="F75" s="4"/>
      <c r="G75" s="7"/>
      <c r="H75" s="7"/>
    </row>
    <row r="76" spans="2:8" s="2" customFormat="1" ht="27.95" customHeight="1" x14ac:dyDescent="0.25">
      <c r="B76" s="8"/>
      <c r="C76" s="7"/>
      <c r="D76" s="4"/>
      <c r="E76" s="7"/>
      <c r="F76" s="4"/>
      <c r="G76" s="7"/>
      <c r="H76" s="7"/>
    </row>
    <row r="77" spans="2:8" s="2" customFormat="1" ht="27.95" customHeight="1" x14ac:dyDescent="0.25">
      <c r="B77" s="8"/>
      <c r="C77" s="7"/>
      <c r="D77" s="4"/>
      <c r="E77" s="7"/>
      <c r="F77" s="4"/>
      <c r="G77" s="7"/>
      <c r="H77" s="7"/>
    </row>
    <row r="78" spans="2:8" s="2" customFormat="1" ht="27.95" customHeight="1" x14ac:dyDescent="0.25">
      <c r="B78" s="8"/>
      <c r="C78" s="7"/>
      <c r="D78" s="4"/>
      <c r="E78" s="7"/>
      <c r="F78" s="4"/>
      <c r="G78" s="7"/>
      <c r="H78" s="7"/>
    </row>
    <row r="79" spans="2:8" s="2" customFormat="1" ht="27.95" customHeight="1" x14ac:dyDescent="0.25">
      <c r="B79" s="8"/>
      <c r="C79" s="7"/>
      <c r="D79" s="4"/>
      <c r="E79" s="7"/>
      <c r="F79" s="4"/>
      <c r="G79" s="7"/>
      <c r="H79" s="7"/>
    </row>
    <row r="80" spans="2:8" s="2" customFormat="1" ht="27.95" customHeight="1" x14ac:dyDescent="0.25">
      <c r="B80" s="8"/>
      <c r="C80" s="7"/>
      <c r="D80" s="4"/>
      <c r="E80" s="7"/>
      <c r="F80" s="4"/>
      <c r="G80" s="7"/>
      <c r="H80" s="7"/>
    </row>
    <row r="81" spans="2:8" s="2" customFormat="1" ht="27.95" customHeight="1" x14ac:dyDescent="0.25">
      <c r="B81" s="8"/>
      <c r="C81" s="7"/>
      <c r="D81" s="4"/>
      <c r="E81" s="7"/>
      <c r="F81" s="4"/>
      <c r="G81" s="7"/>
      <c r="H81" s="7"/>
    </row>
    <row r="82" spans="2:8" s="2" customFormat="1" ht="27.95" customHeight="1" x14ac:dyDescent="0.25">
      <c r="B82" s="8"/>
      <c r="C82" s="7"/>
      <c r="D82" s="4"/>
      <c r="E82" s="7"/>
      <c r="F82" s="4"/>
      <c r="G82" s="7"/>
      <c r="H82" s="7"/>
    </row>
    <row r="83" spans="2:8" s="2" customFormat="1" ht="27.95" customHeight="1" x14ac:dyDescent="0.25">
      <c r="B83" s="8"/>
      <c r="C83" s="7"/>
      <c r="D83" s="4"/>
      <c r="E83" s="7"/>
      <c r="F83" s="4"/>
      <c r="G83" s="7"/>
      <c r="H83" s="7"/>
    </row>
    <row r="84" spans="2:8" s="2" customFormat="1" ht="27.95" customHeight="1" x14ac:dyDescent="0.25">
      <c r="B84" s="8"/>
      <c r="C84" s="7"/>
      <c r="D84" s="4"/>
      <c r="E84" s="7"/>
      <c r="F84" s="4"/>
      <c r="G84" s="7"/>
      <c r="H84" s="7"/>
    </row>
    <row r="85" spans="2:8" s="2" customFormat="1" ht="27.95" customHeight="1" x14ac:dyDescent="0.25">
      <c r="B85" s="8"/>
      <c r="C85" s="7"/>
      <c r="D85" s="4"/>
      <c r="E85" s="7"/>
      <c r="F85" s="4"/>
      <c r="G85" s="7"/>
      <c r="H85" s="7"/>
    </row>
    <row r="86" spans="2:8" s="2" customFormat="1" ht="27.95" customHeight="1" x14ac:dyDescent="0.25">
      <c r="B86" s="8"/>
      <c r="C86" s="7"/>
      <c r="D86" s="4"/>
      <c r="E86" s="7"/>
      <c r="F86" s="4"/>
      <c r="G86" s="7"/>
      <c r="H86" s="7"/>
    </row>
    <row r="87" spans="2:8" s="2" customFormat="1" ht="27.95" customHeight="1" x14ac:dyDescent="0.25">
      <c r="B87" s="8"/>
      <c r="C87" s="7"/>
      <c r="D87" s="4"/>
      <c r="E87" s="7"/>
      <c r="F87" s="4"/>
      <c r="G87" s="7"/>
      <c r="H87" s="7"/>
    </row>
    <row r="88" spans="2:8" s="2" customFormat="1" ht="27.95" customHeight="1" x14ac:dyDescent="0.25">
      <c r="B88" s="8"/>
      <c r="C88" s="7"/>
      <c r="D88" s="4"/>
      <c r="E88" s="7"/>
      <c r="F88" s="4"/>
      <c r="G88" s="7"/>
      <c r="H88" s="7"/>
    </row>
    <row r="89" spans="2:8" s="2" customFormat="1" ht="27.95" customHeight="1" x14ac:dyDescent="0.25">
      <c r="B89" s="8"/>
      <c r="C89" s="7"/>
      <c r="D89" s="4"/>
      <c r="E89" s="7"/>
      <c r="F89" s="4"/>
      <c r="G89" s="7"/>
      <c r="H89" s="7"/>
    </row>
    <row r="90" spans="2:8" s="2" customFormat="1" ht="27.95" customHeight="1" x14ac:dyDescent="0.25">
      <c r="B90" s="8"/>
      <c r="C90" s="7"/>
      <c r="D90" s="4"/>
      <c r="E90" s="7"/>
      <c r="F90" s="4"/>
      <c r="G90" s="7"/>
      <c r="H90" s="7"/>
    </row>
    <row r="91" spans="2:8" s="2" customFormat="1" ht="27.95" customHeight="1" x14ac:dyDescent="0.25">
      <c r="B91" s="8"/>
      <c r="C91" s="7"/>
      <c r="D91" s="4"/>
      <c r="E91" s="7"/>
      <c r="F91" s="4"/>
      <c r="G91" s="7"/>
      <c r="H91" s="7"/>
    </row>
    <row r="92" spans="2:8" s="2" customFormat="1" ht="27.95" customHeight="1" x14ac:dyDescent="0.25">
      <c r="B92" s="8"/>
      <c r="C92" s="7"/>
      <c r="D92" s="4"/>
      <c r="E92" s="7"/>
      <c r="F92" s="4"/>
      <c r="G92" s="7"/>
      <c r="H92" s="7"/>
    </row>
    <row r="93" spans="2:8" s="2" customFormat="1" ht="27.95" customHeight="1" x14ac:dyDescent="0.25">
      <c r="B93" s="8"/>
      <c r="C93" s="7"/>
      <c r="D93" s="4"/>
      <c r="E93" s="7"/>
      <c r="F93" s="4"/>
      <c r="G93" s="7"/>
      <c r="H93" s="7"/>
    </row>
    <row r="94" spans="2:8" s="2" customFormat="1" ht="27.95" customHeight="1" x14ac:dyDescent="0.25">
      <c r="B94" s="8"/>
      <c r="C94" s="7"/>
      <c r="D94" s="4"/>
      <c r="E94" s="7"/>
      <c r="F94" s="4"/>
      <c r="G94" s="7"/>
      <c r="H94" s="7"/>
    </row>
    <row r="95" spans="2:8" s="2" customFormat="1" ht="27.95" customHeight="1" x14ac:dyDescent="0.25">
      <c r="B95" s="8"/>
      <c r="C95" s="7"/>
      <c r="D95" s="4"/>
      <c r="E95" s="7"/>
      <c r="F95" s="4"/>
      <c r="G95" s="7"/>
      <c r="H95" s="7"/>
    </row>
    <row r="96" spans="2:8" s="2" customFormat="1" ht="27.95" customHeight="1" x14ac:dyDescent="0.25">
      <c r="B96" s="8"/>
      <c r="C96" s="7"/>
      <c r="D96" s="4"/>
      <c r="E96" s="7"/>
      <c r="F96" s="4"/>
      <c r="G96" s="7"/>
      <c r="H96" s="7"/>
    </row>
    <row r="97" spans="2:8" s="2" customFormat="1" ht="27.95" customHeight="1" x14ac:dyDescent="0.25">
      <c r="B97" s="8"/>
      <c r="C97" s="7"/>
      <c r="D97" s="4"/>
      <c r="E97" s="7"/>
      <c r="F97" s="4"/>
      <c r="G97" s="7"/>
      <c r="H97" s="7"/>
    </row>
    <row r="98" spans="2:8" s="2" customFormat="1" ht="27.95" customHeight="1" x14ac:dyDescent="0.25">
      <c r="B98" s="8"/>
      <c r="C98" s="7"/>
      <c r="D98" s="4"/>
      <c r="E98" s="7"/>
      <c r="F98" s="4"/>
      <c r="G98" s="7"/>
      <c r="H98" s="7"/>
    </row>
    <row r="99" spans="2:8" s="2" customFormat="1" ht="27.95" customHeight="1" x14ac:dyDescent="0.25">
      <c r="B99" s="8"/>
      <c r="C99" s="7"/>
      <c r="D99" s="4"/>
      <c r="E99" s="7"/>
      <c r="F99" s="4"/>
      <c r="G99" s="7"/>
      <c r="H99" s="7"/>
    </row>
    <row r="100" spans="2:8" s="2" customFormat="1" ht="27.95" customHeight="1" x14ac:dyDescent="0.25">
      <c r="B100" s="8"/>
      <c r="C100" s="7"/>
      <c r="D100" s="4"/>
      <c r="E100" s="7"/>
      <c r="F100" s="4"/>
      <c r="G100" s="7"/>
      <c r="H100" s="7"/>
    </row>
    <row r="101" spans="2:8" s="2" customFormat="1" ht="27.95" customHeight="1" x14ac:dyDescent="0.25">
      <c r="B101" s="8"/>
      <c r="C101" s="7"/>
      <c r="D101" s="4"/>
      <c r="E101" s="7"/>
      <c r="F101" s="4"/>
      <c r="G101" s="7"/>
      <c r="H101" s="7"/>
    </row>
    <row r="102" spans="2:8" s="2" customFormat="1" ht="27.95" customHeight="1" x14ac:dyDescent="0.25">
      <c r="B102" s="8"/>
      <c r="C102" s="7"/>
      <c r="D102" s="4"/>
      <c r="E102" s="7"/>
      <c r="F102" s="4"/>
      <c r="G102" s="7"/>
      <c r="H102" s="7"/>
    </row>
    <row r="103" spans="2:8" s="2" customFormat="1" ht="27.95" customHeight="1" x14ac:dyDescent="0.25">
      <c r="B103" s="8"/>
      <c r="C103" s="7"/>
      <c r="D103" s="4"/>
      <c r="E103" s="7"/>
      <c r="F103" s="4"/>
      <c r="G103" s="7"/>
      <c r="H103" s="7"/>
    </row>
    <row r="104" spans="2:8" s="2" customFormat="1" ht="27.95" customHeight="1" x14ac:dyDescent="0.25">
      <c r="B104" s="8"/>
      <c r="C104" s="7"/>
      <c r="D104" s="4"/>
      <c r="E104" s="7"/>
      <c r="F104" s="4"/>
      <c r="G104" s="7"/>
      <c r="H104" s="7"/>
    </row>
    <row r="105" spans="2:8" s="2" customFormat="1" ht="27.95" customHeight="1" x14ac:dyDescent="0.25">
      <c r="B105" s="8"/>
      <c r="C105" s="7"/>
      <c r="D105" s="4"/>
      <c r="E105" s="7"/>
      <c r="F105" s="4"/>
      <c r="G105" s="7"/>
      <c r="H105" s="7"/>
    </row>
    <row r="106" spans="2:8" s="2" customFormat="1" ht="27.95" customHeight="1" x14ac:dyDescent="0.25">
      <c r="B106" s="8"/>
      <c r="C106" s="7"/>
      <c r="D106" s="4"/>
      <c r="E106" s="7"/>
      <c r="F106" s="4"/>
      <c r="G106" s="7"/>
      <c r="H106" s="7"/>
    </row>
    <row r="107" spans="2:8" s="2" customFormat="1" ht="27.95" customHeight="1" x14ac:dyDescent="0.25">
      <c r="B107" s="8"/>
      <c r="C107" s="7"/>
      <c r="D107" s="4"/>
      <c r="E107" s="7"/>
      <c r="F107" s="4"/>
      <c r="G107" s="7"/>
      <c r="H107" s="7"/>
    </row>
    <row r="108" spans="2:8" s="2" customFormat="1" ht="27.95" customHeight="1" x14ac:dyDescent="0.25">
      <c r="B108" s="8"/>
      <c r="C108" s="7"/>
      <c r="D108" s="4"/>
      <c r="E108" s="7"/>
      <c r="F108" s="4"/>
      <c r="G108" s="7"/>
      <c r="H108" s="7"/>
    </row>
    <row r="109" spans="2:8" s="2" customFormat="1" ht="27.95" customHeight="1" x14ac:dyDescent="0.25">
      <c r="B109" s="8"/>
      <c r="C109" s="7"/>
      <c r="D109" s="4"/>
      <c r="E109" s="7"/>
      <c r="F109" s="4"/>
      <c r="G109" s="7"/>
      <c r="H109" s="7"/>
    </row>
    <row r="110" spans="2:8" s="2" customFormat="1" ht="27.95" customHeight="1" x14ac:dyDescent="0.25">
      <c r="B110" s="8"/>
      <c r="C110" s="7"/>
      <c r="D110" s="4"/>
      <c r="E110" s="7"/>
      <c r="F110" s="4"/>
      <c r="G110" s="7"/>
      <c r="H110" s="7"/>
    </row>
    <row r="111" spans="2:8" s="2" customFormat="1" ht="27.95" customHeight="1" x14ac:dyDescent="0.25">
      <c r="B111" s="8"/>
      <c r="C111" s="7"/>
      <c r="D111" s="4"/>
      <c r="E111" s="7"/>
      <c r="F111" s="4"/>
      <c r="G111" s="7"/>
      <c r="H111" s="7"/>
    </row>
    <row r="112" spans="2:8" s="2" customFormat="1" ht="27.95" customHeight="1" x14ac:dyDescent="0.25">
      <c r="B112" s="8"/>
      <c r="C112" s="7"/>
      <c r="D112" s="4"/>
      <c r="E112" s="7"/>
      <c r="F112" s="4"/>
      <c r="G112" s="7"/>
      <c r="H112" s="7"/>
    </row>
    <row r="113" spans="2:8" s="2" customFormat="1" ht="27.95" customHeight="1" x14ac:dyDescent="0.25">
      <c r="B113" s="8"/>
      <c r="C113" s="7"/>
      <c r="D113" s="4"/>
      <c r="E113" s="7"/>
      <c r="F113" s="4"/>
      <c r="G113" s="7"/>
      <c r="H113" s="7"/>
    </row>
    <row r="114" spans="2:8" s="2" customFormat="1" ht="27.95" customHeight="1" x14ac:dyDescent="0.25">
      <c r="B114" s="8"/>
      <c r="C114" s="7"/>
      <c r="D114" s="4"/>
      <c r="E114" s="7"/>
      <c r="F114" s="4"/>
      <c r="G114" s="7"/>
      <c r="H114" s="7"/>
    </row>
    <row r="115" spans="2:8" s="2" customFormat="1" ht="27.95" customHeight="1" x14ac:dyDescent="0.25">
      <c r="B115" s="8"/>
      <c r="C115" s="7"/>
      <c r="D115" s="4"/>
      <c r="E115" s="7"/>
      <c r="F115" s="4"/>
      <c r="G115" s="7"/>
      <c r="H115" s="7"/>
    </row>
    <row r="116" spans="2:8" s="2" customFormat="1" ht="27.95" customHeight="1" x14ac:dyDescent="0.25">
      <c r="B116" s="8"/>
      <c r="C116" s="7"/>
      <c r="D116" s="4"/>
      <c r="E116" s="7"/>
      <c r="F116" s="4"/>
      <c r="G116" s="7"/>
      <c r="H116" s="7"/>
    </row>
    <row r="117" spans="2:8" s="2" customFormat="1" ht="27.95" customHeight="1" x14ac:dyDescent="0.25">
      <c r="B117" s="8"/>
      <c r="C117" s="7"/>
      <c r="D117" s="4"/>
      <c r="E117" s="7"/>
      <c r="F117" s="4"/>
      <c r="G117" s="7"/>
      <c r="H117" s="7"/>
    </row>
    <row r="118" spans="2:8" s="2" customFormat="1" ht="27.95" customHeight="1" x14ac:dyDescent="0.25">
      <c r="B118" s="8"/>
      <c r="C118" s="7"/>
      <c r="D118" s="4"/>
      <c r="E118" s="7"/>
      <c r="F118" s="4"/>
      <c r="G118" s="7"/>
      <c r="H118" s="7"/>
    </row>
    <row r="119" spans="2:8" s="2" customFormat="1" ht="27.95" customHeight="1" x14ac:dyDescent="0.25">
      <c r="B119" s="8"/>
      <c r="C119" s="7"/>
      <c r="D119" s="4"/>
      <c r="E119" s="7"/>
      <c r="F119" s="4"/>
      <c r="G119" s="7"/>
      <c r="H119" s="7"/>
    </row>
    <row r="120" spans="2:8" s="2" customFormat="1" ht="27.95" customHeight="1" x14ac:dyDescent="0.25">
      <c r="B120" s="8"/>
      <c r="C120" s="7"/>
      <c r="D120" s="4"/>
      <c r="E120" s="7"/>
      <c r="F120" s="4"/>
      <c r="G120" s="7"/>
      <c r="H120" s="7"/>
    </row>
    <row r="121" spans="2:8" s="2" customFormat="1" ht="27.95" customHeight="1" x14ac:dyDescent="0.25">
      <c r="B121" s="8"/>
      <c r="C121" s="7"/>
      <c r="D121" s="4"/>
      <c r="E121" s="7"/>
      <c r="F121" s="4"/>
      <c r="G121" s="7"/>
      <c r="H121" s="7"/>
    </row>
    <row r="122" spans="2:8" s="2" customFormat="1" ht="27.95" customHeight="1" x14ac:dyDescent="0.25">
      <c r="B122" s="8"/>
      <c r="C122" s="7"/>
      <c r="D122" s="4"/>
      <c r="E122" s="7"/>
      <c r="F122" s="4"/>
      <c r="G122" s="7"/>
      <c r="H122" s="7"/>
    </row>
    <row r="123" spans="2:8" s="2" customFormat="1" ht="27.95" customHeight="1" x14ac:dyDescent="0.25">
      <c r="B123" s="8"/>
      <c r="C123" s="7"/>
      <c r="D123" s="4"/>
      <c r="E123" s="7"/>
      <c r="F123" s="4"/>
      <c r="G123" s="7"/>
      <c r="H123" s="7"/>
    </row>
    <row r="124" spans="2:8" s="2" customFormat="1" ht="27.95" customHeight="1" x14ac:dyDescent="0.25">
      <c r="B124" s="8"/>
      <c r="C124" s="7"/>
      <c r="D124" s="4"/>
      <c r="E124" s="7"/>
      <c r="F124" s="4"/>
      <c r="G124" s="7"/>
      <c r="H124" s="7"/>
    </row>
    <row r="125" spans="2:8" s="2" customFormat="1" ht="27.95" customHeight="1" x14ac:dyDescent="0.25">
      <c r="B125" s="8"/>
      <c r="C125" s="7"/>
      <c r="D125" s="4"/>
      <c r="E125" s="7"/>
      <c r="F125" s="4"/>
      <c r="G125" s="7"/>
      <c r="H125" s="7"/>
    </row>
    <row r="126" spans="2:8" s="2" customFormat="1" ht="27.95" customHeight="1" x14ac:dyDescent="0.25">
      <c r="B126" s="8"/>
      <c r="C126" s="7"/>
      <c r="D126" s="4"/>
      <c r="E126" s="7"/>
      <c r="F126" s="4"/>
      <c r="G126" s="7"/>
      <c r="H126" s="7"/>
    </row>
    <row r="127" spans="2:8" s="2" customFormat="1" ht="27.95" customHeight="1" x14ac:dyDescent="0.25">
      <c r="B127" s="8"/>
      <c r="C127" s="7"/>
      <c r="D127" s="4"/>
      <c r="E127" s="7"/>
      <c r="F127" s="4"/>
      <c r="G127" s="7"/>
      <c r="H127" s="7"/>
    </row>
    <row r="128" spans="2:8" s="2" customFormat="1" ht="27.95" customHeight="1" x14ac:dyDescent="0.25">
      <c r="B128" s="8"/>
      <c r="C128" s="7"/>
      <c r="D128" s="4"/>
      <c r="E128" s="7"/>
      <c r="F128" s="4"/>
      <c r="G128" s="7"/>
      <c r="H128" s="7"/>
    </row>
    <row r="129" spans="2:8" s="2" customFormat="1" ht="27.95" customHeight="1" x14ac:dyDescent="0.25">
      <c r="B129" s="8"/>
      <c r="C129" s="7"/>
      <c r="D129" s="4"/>
      <c r="E129" s="7"/>
      <c r="F129" s="4"/>
      <c r="G129" s="7"/>
      <c r="H129" s="7"/>
    </row>
    <row r="130" spans="2:8" s="2" customFormat="1" ht="27.95" customHeight="1" x14ac:dyDescent="0.25">
      <c r="B130" s="8"/>
      <c r="C130" s="7"/>
      <c r="D130" s="4"/>
      <c r="E130" s="7"/>
      <c r="F130" s="4"/>
      <c r="G130" s="7"/>
      <c r="H130" s="7"/>
    </row>
    <row r="131" spans="2:8" s="2" customFormat="1" ht="27.95" customHeight="1" x14ac:dyDescent="0.25">
      <c r="B131" s="8"/>
      <c r="C131" s="7"/>
      <c r="D131" s="4"/>
      <c r="E131" s="7"/>
      <c r="F131" s="4"/>
      <c r="G131" s="7"/>
      <c r="H131" s="7"/>
    </row>
    <row r="132" spans="2:8" s="2" customFormat="1" ht="27.95" customHeight="1" x14ac:dyDescent="0.25">
      <c r="B132" s="8"/>
      <c r="C132" s="7"/>
      <c r="D132" s="4"/>
      <c r="E132" s="7"/>
      <c r="F132" s="4"/>
      <c r="G132" s="7"/>
      <c r="H132" s="7"/>
    </row>
    <row r="133" spans="2:8" s="2" customFormat="1" ht="27.95" customHeight="1" x14ac:dyDescent="0.25">
      <c r="B133" s="8"/>
      <c r="C133" s="7"/>
      <c r="D133" s="4"/>
      <c r="E133" s="7"/>
      <c r="F133" s="4"/>
      <c r="G133" s="7"/>
      <c r="H133" s="7"/>
    </row>
    <row r="134" spans="2:8" s="2" customFormat="1" ht="27.95" customHeight="1" x14ac:dyDescent="0.25">
      <c r="B134" s="8"/>
      <c r="C134" s="7"/>
      <c r="D134" s="4"/>
      <c r="E134" s="7"/>
      <c r="F134" s="4"/>
      <c r="G134" s="7"/>
      <c r="H134" s="7"/>
    </row>
    <row r="135" spans="2:8" s="2" customFormat="1" ht="27.95" customHeight="1" x14ac:dyDescent="0.25">
      <c r="B135" s="8"/>
      <c r="C135" s="7"/>
      <c r="D135" s="4"/>
      <c r="E135" s="7"/>
      <c r="F135" s="4"/>
      <c r="G135" s="7"/>
      <c r="H135" s="7"/>
    </row>
    <row r="136" spans="2:8" s="2" customFormat="1" ht="27.95" customHeight="1" x14ac:dyDescent="0.25">
      <c r="B136" s="8"/>
      <c r="C136" s="7"/>
      <c r="D136" s="4"/>
      <c r="E136" s="7"/>
      <c r="F136" s="4"/>
      <c r="G136" s="7"/>
      <c r="H136" s="7"/>
    </row>
    <row r="137" spans="2:8" s="2" customFormat="1" ht="27.95" customHeight="1" x14ac:dyDescent="0.25">
      <c r="B137" s="8"/>
      <c r="C137" s="7"/>
      <c r="D137" s="4"/>
      <c r="E137" s="7"/>
      <c r="F137" s="4"/>
      <c r="G137" s="7"/>
      <c r="H137" s="7"/>
    </row>
    <row r="138" spans="2:8" s="2" customFormat="1" ht="27.95" customHeight="1" x14ac:dyDescent="0.25">
      <c r="B138" s="8"/>
      <c r="C138" s="7"/>
      <c r="D138" s="4"/>
      <c r="E138" s="7"/>
      <c r="F138" s="4"/>
      <c r="G138" s="7"/>
      <c r="H138" s="7"/>
    </row>
    <row r="139" spans="2:8" s="2" customFormat="1" ht="27.95" customHeight="1" x14ac:dyDescent="0.25">
      <c r="B139" s="8"/>
      <c r="C139" s="7"/>
      <c r="D139" s="4"/>
      <c r="E139" s="7"/>
      <c r="F139" s="4"/>
      <c r="G139" s="7"/>
      <c r="H139" s="7"/>
    </row>
    <row r="140" spans="2:8" s="2" customFormat="1" ht="27.95" customHeight="1" x14ac:dyDescent="0.25">
      <c r="B140" s="8"/>
      <c r="C140" s="7"/>
      <c r="D140" s="4"/>
      <c r="E140" s="7"/>
      <c r="F140" s="4"/>
      <c r="G140" s="7"/>
      <c r="H140" s="7"/>
    </row>
    <row r="141" spans="2:8" s="2" customFormat="1" ht="27.95" customHeight="1" x14ac:dyDescent="0.25">
      <c r="B141" s="8"/>
      <c r="C141" s="7"/>
      <c r="D141" s="4"/>
      <c r="E141" s="7"/>
      <c r="F141" s="4"/>
      <c r="G141" s="7"/>
      <c r="H141" s="7"/>
    </row>
    <row r="142" spans="2:8" s="2" customFormat="1" ht="27.95" customHeight="1" x14ac:dyDescent="0.25">
      <c r="B142" s="8"/>
      <c r="C142" s="7"/>
      <c r="D142" s="4"/>
      <c r="E142" s="7"/>
      <c r="F142" s="4"/>
      <c r="G142" s="7"/>
      <c r="H142" s="7"/>
    </row>
    <row r="143" spans="2:8" s="2" customFormat="1" ht="27.95" customHeight="1" x14ac:dyDescent="0.25">
      <c r="B143" s="8"/>
      <c r="C143" s="7"/>
      <c r="D143" s="4"/>
      <c r="E143" s="7"/>
      <c r="F143" s="4"/>
      <c r="G143" s="7"/>
      <c r="H143" s="7"/>
    </row>
    <row r="144" spans="2:8" s="2" customFormat="1" ht="27.95" customHeight="1" x14ac:dyDescent="0.25">
      <c r="B144" s="8"/>
      <c r="C144" s="7"/>
      <c r="D144" s="4"/>
      <c r="E144" s="7"/>
      <c r="F144" s="4"/>
      <c r="G144" s="7"/>
      <c r="H144" s="7"/>
    </row>
    <row r="145" spans="2:8" s="2" customFormat="1" ht="27.95" customHeight="1" x14ac:dyDescent="0.25">
      <c r="B145" s="8"/>
      <c r="C145" s="7"/>
      <c r="D145" s="4"/>
      <c r="E145" s="7"/>
      <c r="F145" s="4"/>
      <c r="G145" s="7"/>
      <c r="H145" s="7"/>
    </row>
    <row r="146" spans="2:8" s="2" customFormat="1" ht="27.95" customHeight="1" x14ac:dyDescent="0.25">
      <c r="B146" s="8"/>
      <c r="C146" s="7"/>
      <c r="D146" s="4"/>
      <c r="E146" s="7"/>
      <c r="F146" s="4"/>
      <c r="G146" s="7"/>
      <c r="H146" s="7"/>
    </row>
    <row r="147" spans="2:8" s="2" customFormat="1" ht="27.95" customHeight="1" x14ac:dyDescent="0.25">
      <c r="B147" s="8"/>
      <c r="C147" s="7"/>
      <c r="D147" s="4"/>
      <c r="E147" s="7"/>
      <c r="F147" s="4"/>
      <c r="G147" s="7"/>
      <c r="H147" s="7"/>
    </row>
    <row r="148" spans="2:8" s="2" customFormat="1" ht="27.95" customHeight="1" x14ac:dyDescent="0.25">
      <c r="B148" s="8"/>
      <c r="C148" s="7"/>
      <c r="D148" s="4"/>
      <c r="E148" s="7"/>
      <c r="F148" s="4"/>
      <c r="G148" s="7"/>
      <c r="H148" s="7"/>
    </row>
    <row r="149" spans="2:8" s="2" customFormat="1" ht="27.95" customHeight="1" x14ac:dyDescent="0.25">
      <c r="B149" s="8"/>
      <c r="C149" s="7"/>
      <c r="D149" s="4"/>
      <c r="E149" s="7"/>
      <c r="F149" s="4"/>
      <c r="G149" s="7"/>
      <c r="H149" s="7"/>
    </row>
    <row r="150" spans="2:8" s="2" customFormat="1" ht="27.95" customHeight="1" x14ac:dyDescent="0.25">
      <c r="B150" s="8"/>
      <c r="C150" s="7"/>
      <c r="D150" s="4"/>
      <c r="E150" s="7"/>
      <c r="F150" s="4"/>
      <c r="G150" s="7"/>
      <c r="H150" s="7"/>
    </row>
    <row r="151" spans="2:8" s="2" customFormat="1" ht="27.95" customHeight="1" x14ac:dyDescent="0.25">
      <c r="B151" s="8"/>
      <c r="C151" s="7"/>
      <c r="D151" s="4"/>
      <c r="E151" s="7"/>
      <c r="F151" s="4"/>
      <c r="G151" s="7"/>
      <c r="H151" s="7"/>
    </row>
    <row r="152" spans="2:8" s="2" customFormat="1" ht="27.95" customHeight="1" x14ac:dyDescent="0.25">
      <c r="B152" s="8"/>
      <c r="C152" s="7"/>
      <c r="D152" s="4"/>
      <c r="E152" s="7"/>
      <c r="F152" s="4"/>
      <c r="G152" s="7"/>
      <c r="H152" s="7"/>
    </row>
    <row r="153" spans="2:8" s="2" customFormat="1" ht="27.95" customHeight="1" x14ac:dyDescent="0.25">
      <c r="B153" s="8"/>
      <c r="C153" s="7"/>
      <c r="D153" s="4"/>
      <c r="E153" s="7"/>
      <c r="F153" s="4"/>
      <c r="G153" s="7"/>
      <c r="H153" s="7"/>
    </row>
    <row r="154" spans="2:8" s="2" customFormat="1" ht="27.95" customHeight="1" x14ac:dyDescent="0.25">
      <c r="B154" s="8"/>
      <c r="C154" s="7"/>
      <c r="D154" s="4"/>
      <c r="E154" s="7"/>
      <c r="F154" s="4"/>
      <c r="G154" s="7"/>
      <c r="H154" s="7"/>
    </row>
    <row r="155" spans="2:8" s="2" customFormat="1" ht="27.95" customHeight="1" x14ac:dyDescent="0.25">
      <c r="B155" s="8"/>
      <c r="C155" s="7"/>
      <c r="D155" s="4"/>
      <c r="E155" s="7"/>
      <c r="F155" s="4"/>
      <c r="G155" s="7"/>
      <c r="H155" s="7"/>
    </row>
    <row r="156" spans="2:8" s="2" customFormat="1" ht="27.95" customHeight="1" x14ac:dyDescent="0.25">
      <c r="B156" s="8"/>
      <c r="C156" s="7"/>
      <c r="D156" s="4"/>
      <c r="E156" s="7"/>
      <c r="F156" s="4"/>
      <c r="G156" s="7"/>
      <c r="H156" s="7"/>
    </row>
    <row r="157" spans="2:8" s="2" customFormat="1" ht="27.95" customHeight="1" x14ac:dyDescent="0.25">
      <c r="B157" s="8"/>
      <c r="C157" s="7"/>
      <c r="D157" s="4"/>
      <c r="E157" s="7"/>
      <c r="F157" s="4"/>
      <c r="G157" s="7"/>
      <c r="H157" s="7"/>
    </row>
    <row r="158" spans="2:8" s="2" customFormat="1" ht="27.95" customHeight="1" x14ac:dyDescent="0.25">
      <c r="B158" s="8"/>
      <c r="C158" s="7"/>
      <c r="D158" s="4"/>
      <c r="E158" s="7"/>
      <c r="F158" s="4"/>
      <c r="G158" s="7"/>
      <c r="H158" s="7"/>
    </row>
    <row r="159" spans="2:8" s="2" customFormat="1" ht="27.95" customHeight="1" x14ac:dyDescent="0.25">
      <c r="B159" s="8"/>
      <c r="C159" s="7"/>
      <c r="D159" s="4"/>
      <c r="E159" s="7"/>
      <c r="F159" s="4"/>
      <c r="G159" s="7"/>
      <c r="H159" s="7"/>
    </row>
    <row r="160" spans="2:8" s="2" customFormat="1" ht="27.95" customHeight="1" x14ac:dyDescent="0.25">
      <c r="B160" s="8"/>
      <c r="C160" s="7"/>
      <c r="D160" s="4"/>
      <c r="E160" s="7"/>
      <c r="F160" s="4"/>
      <c r="G160" s="7"/>
      <c r="H160" s="7"/>
    </row>
    <row r="161" spans="2:8" s="2" customFormat="1" ht="27.95" customHeight="1" x14ac:dyDescent="0.25">
      <c r="B161" s="8"/>
      <c r="C161" s="7"/>
      <c r="D161" s="4"/>
      <c r="E161" s="7"/>
      <c r="F161" s="4"/>
      <c r="G161" s="7"/>
      <c r="H161" s="7"/>
    </row>
    <row r="162" spans="2:8" s="2" customFormat="1" ht="27.95" customHeight="1" x14ac:dyDescent="0.25">
      <c r="B162" s="8"/>
      <c r="C162" s="7"/>
      <c r="D162" s="4"/>
      <c r="E162" s="7"/>
      <c r="F162" s="4"/>
      <c r="G162" s="7"/>
      <c r="H162" s="7"/>
    </row>
    <row r="163" spans="2:8" s="2" customFormat="1" ht="27.95" customHeight="1" x14ac:dyDescent="0.25">
      <c r="B163" s="8"/>
      <c r="C163" s="7"/>
      <c r="D163" s="4"/>
      <c r="E163" s="7"/>
      <c r="F163" s="4"/>
      <c r="G163" s="7"/>
      <c r="H163" s="7"/>
    </row>
    <row r="164" spans="2:8" s="2" customFormat="1" ht="27.95" customHeight="1" x14ac:dyDescent="0.25">
      <c r="B164" s="8"/>
      <c r="C164" s="7"/>
      <c r="D164" s="4"/>
      <c r="E164" s="7"/>
      <c r="F164" s="4"/>
      <c r="G164" s="7"/>
      <c r="H164" s="7"/>
    </row>
    <row r="165" spans="2:8" s="2" customFormat="1" ht="27.95" customHeight="1" x14ac:dyDescent="0.25">
      <c r="B165" s="8"/>
      <c r="C165" s="7"/>
      <c r="D165" s="4"/>
      <c r="E165" s="7"/>
      <c r="F165" s="4"/>
      <c r="G165" s="7"/>
      <c r="H165" s="7"/>
    </row>
    <row r="166" spans="2:8" s="2" customFormat="1" ht="27.95" customHeight="1" x14ac:dyDescent="0.25">
      <c r="B166" s="8"/>
      <c r="C166" s="7"/>
      <c r="D166" s="4"/>
      <c r="E166" s="7"/>
      <c r="F166" s="4"/>
      <c r="G166" s="7"/>
      <c r="H166" s="7"/>
    </row>
    <row r="167" spans="2:8" s="2" customFormat="1" ht="27.95" customHeight="1" x14ac:dyDescent="0.25">
      <c r="B167" s="8"/>
      <c r="C167" s="7"/>
      <c r="D167" s="4"/>
      <c r="E167" s="7"/>
      <c r="F167" s="4"/>
      <c r="G167" s="7"/>
      <c r="H167" s="7"/>
    </row>
    <row r="168" spans="2:8" s="2" customFormat="1" ht="27.95" customHeight="1" x14ac:dyDescent="0.25">
      <c r="B168" s="8"/>
      <c r="C168" s="7"/>
      <c r="D168" s="4"/>
      <c r="E168" s="7"/>
      <c r="F168" s="4"/>
      <c r="G168" s="7"/>
      <c r="H168" s="7"/>
    </row>
    <row r="169" spans="2:8" s="2" customFormat="1" ht="27.95" customHeight="1" x14ac:dyDescent="0.25">
      <c r="B169" s="8"/>
      <c r="C169" s="7"/>
      <c r="D169" s="4"/>
      <c r="E169" s="7"/>
      <c r="F169" s="4"/>
      <c r="G169" s="7"/>
      <c r="H169" s="7"/>
    </row>
    <row r="170" spans="2:8" s="2" customFormat="1" ht="27.95" customHeight="1" x14ac:dyDescent="0.25">
      <c r="B170" s="8"/>
      <c r="C170" s="7"/>
      <c r="D170" s="4"/>
      <c r="E170" s="7"/>
      <c r="F170" s="4"/>
      <c r="G170" s="7"/>
      <c r="H170" s="7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7996D-A1AF-4931-8F4B-CBF3A2977039}">
  <sheetPr codeName="Sheet5"/>
  <dimension ref="B1:L375"/>
  <sheetViews>
    <sheetView showGridLines="0" tabSelected="1" workbookViewId="0">
      <selection activeCell="D315" sqref="D315"/>
    </sheetView>
  </sheetViews>
  <sheetFormatPr defaultRowHeight="14.25" x14ac:dyDescent="0.25"/>
  <cols>
    <col min="1" max="1" width="1.42578125" style="1" customWidth="1"/>
    <col min="2" max="2" width="15.42578125" style="1" hidden="1" customWidth="1"/>
    <col min="3" max="3" width="14.140625" style="1" customWidth="1"/>
    <col min="4" max="4" width="16.5703125" style="1" customWidth="1"/>
    <col min="5" max="5" width="11.7109375" style="4" customWidth="1"/>
    <col min="6" max="6" width="9.140625" style="1" customWidth="1"/>
    <col min="7" max="7" width="14.140625" style="1" customWidth="1"/>
    <col min="8" max="8" width="9.140625" style="4" customWidth="1"/>
    <col min="9" max="9" width="14.140625" style="1" customWidth="1"/>
    <col min="10" max="10" width="16.5703125" style="1" customWidth="1"/>
    <col min="11" max="11" width="11.7109375" style="4" customWidth="1"/>
    <col min="12" max="12" width="9.140625" style="1"/>
    <col min="13" max="13" width="14.140625" style="1" customWidth="1"/>
    <col min="14" max="16384" width="9.140625" style="1"/>
  </cols>
  <sheetData>
    <row r="1" spans="2:11" ht="7.5" customHeight="1" x14ac:dyDescent="0.25"/>
    <row r="2" spans="2:11" ht="27.95" customHeight="1" x14ac:dyDescent="0.25">
      <c r="C2" s="26" t="s">
        <v>303</v>
      </c>
      <c r="D2" s="7"/>
      <c r="E2" s="7"/>
      <c r="F2" s="4"/>
      <c r="G2" s="4"/>
      <c r="H2" s="7"/>
      <c r="K2" s="1"/>
    </row>
    <row r="3" spans="2:11" ht="7.5" customHeight="1" x14ac:dyDescent="0.25">
      <c r="C3" s="8"/>
      <c r="D3" s="7"/>
      <c r="E3" s="7"/>
      <c r="F3" s="4"/>
      <c r="G3" s="4"/>
      <c r="H3" s="7"/>
      <c r="K3" s="1"/>
    </row>
    <row r="4" spans="2:11" ht="27.95" customHeight="1" x14ac:dyDescent="0.25">
      <c r="B4" s="37" t="s">
        <v>312</v>
      </c>
      <c r="C4" s="27" t="s">
        <v>289</v>
      </c>
      <c r="D4" s="28" t="s">
        <v>0</v>
      </c>
      <c r="E4" s="28" t="s">
        <v>297</v>
      </c>
      <c r="F4" s="29" t="s">
        <v>539</v>
      </c>
      <c r="G4" s="32" t="s">
        <v>248</v>
      </c>
      <c r="H4" s="1"/>
      <c r="K4" s="1"/>
    </row>
    <row r="5" spans="2:11" ht="27.95" hidden="1" customHeight="1" x14ac:dyDescent="0.25">
      <c r="B5" s="2" t="str">
        <f>_xlfn.CONCAT(tbSellers[[#This Row],[Station]],tbSellers[[#This Row],[Item]])</f>
        <v>Kiheensbo XVIIAmmonia</v>
      </c>
      <c r="C5" s="2" t="s">
        <v>278</v>
      </c>
      <c r="D5" s="18" t="s">
        <v>97</v>
      </c>
      <c r="E5" s="7">
        <f>VLOOKUP(tbSellers[[#This Row],[Item]],tbMaterials[],4,FALSE)</f>
        <v>62</v>
      </c>
      <c r="F5" s="51">
        <v>1</v>
      </c>
      <c r="G5" s="20" t="str">
        <f>VLOOKUP(tbSellers[[#This Row],[Station]],tbSystems[],10,FALSE)</f>
        <v>Low</v>
      </c>
      <c r="H5" s="1"/>
      <c r="K5" s="1"/>
    </row>
    <row r="6" spans="2:11" ht="27.95" hidden="1" customHeight="1" x14ac:dyDescent="0.25">
      <c r="B6" s="2" t="str">
        <f>_xlfn.CONCAT(tbSellers[[#This Row],[Station]],tbSellers[[#This Row],[Item]])</f>
        <v>NokungbAmmonia</v>
      </c>
      <c r="C6" s="2" t="s">
        <v>309</v>
      </c>
      <c r="D6" s="18" t="s">
        <v>97</v>
      </c>
      <c r="E6" s="7">
        <f>VLOOKUP(tbSellers[[#This Row],[Item]],tbMaterials[],4,FALSE)</f>
        <v>62</v>
      </c>
      <c r="F6" s="51">
        <v>1</v>
      </c>
      <c r="G6" s="20" t="str">
        <f>VLOOKUP(tbSellers[[#This Row],[Station]],tbSystems[],10,FALSE)</f>
        <v>Medium</v>
      </c>
      <c r="H6" s="1"/>
      <c r="K6" s="1"/>
    </row>
    <row r="7" spans="2:11" ht="27.95" hidden="1" customHeight="1" x14ac:dyDescent="0.25">
      <c r="B7" s="2" t="str">
        <f>_xlfn.CONCAT(tbSellers[[#This Row],[Station]],tbSellers[[#This Row],[Item]])</f>
        <v>AlhaimSilver</v>
      </c>
      <c r="C7" s="2" t="s">
        <v>308</v>
      </c>
      <c r="D7" s="18" t="s">
        <v>20</v>
      </c>
      <c r="E7" s="7">
        <f>VLOOKUP(tbSellers[[#This Row],[Item]],tbMaterials[],4,FALSE)</f>
        <v>186</v>
      </c>
      <c r="F7" s="51">
        <v>2</v>
      </c>
      <c r="G7" s="21" t="str">
        <f>VLOOKUP(tbSellers[[#This Row],[Station]],tbSystems[],10,FALSE)</f>
        <v>Medium</v>
      </c>
      <c r="H7" s="1"/>
      <c r="K7" s="1"/>
    </row>
    <row r="8" spans="2:11" ht="27.95" hidden="1" customHeight="1" x14ac:dyDescent="0.25">
      <c r="B8" s="2" t="str">
        <f>_xlfn.CONCAT(tbSellers[[#This Row],[Station]],tbSellers[[#This Row],[Item]])</f>
        <v>AlhaimIonised Cobalt</v>
      </c>
      <c r="C8" s="2" t="s">
        <v>308</v>
      </c>
      <c r="D8" s="18" t="s">
        <v>305</v>
      </c>
      <c r="E8" s="7">
        <f>VLOOKUP(tbSellers[[#This Row],[Item]],tbMaterials[],4,FALSE)</f>
        <v>401</v>
      </c>
      <c r="F8" s="51">
        <v>2</v>
      </c>
      <c r="G8" s="21" t="str">
        <f>VLOOKUP(tbSellers[[#This Row],[Station]],tbSystems[],10,FALSE)</f>
        <v>Medium</v>
      </c>
      <c r="H8" s="1"/>
      <c r="K8" s="1"/>
    </row>
    <row r="9" spans="2:11" ht="27.95" hidden="1" customHeight="1" x14ac:dyDescent="0.25">
      <c r="B9" s="2" t="str">
        <f>_xlfn.CONCAT(tbSellers[[#This Row],[Station]],tbSellers[[#This Row],[Item]])</f>
        <v>Ancity-NiyhSilver</v>
      </c>
      <c r="C9" s="8" t="s">
        <v>89</v>
      </c>
      <c r="D9" s="18" t="s">
        <v>20</v>
      </c>
      <c r="E9" s="7">
        <f>VLOOKUP(tbSellers[[#This Row],[Item]],tbMaterials[],4,FALSE)</f>
        <v>186</v>
      </c>
      <c r="F9" s="51">
        <v>2</v>
      </c>
      <c r="G9" s="21" t="str">
        <f>VLOOKUP(tbSellers[[#This Row],[Station]],tbSystems[],10,FALSE)</f>
        <v>Medium</v>
      </c>
      <c r="H9" s="1"/>
      <c r="K9" s="1"/>
    </row>
    <row r="10" spans="2:11" ht="27.95" hidden="1" customHeight="1" x14ac:dyDescent="0.25">
      <c r="B10" s="2" t="str">
        <f>_xlfn.CONCAT(tbSellers[[#This Row],[Station]],tbSellers[[#This Row],[Item]])</f>
        <v>AlhaimFerrite Dust</v>
      </c>
      <c r="C10" s="2" t="s">
        <v>308</v>
      </c>
      <c r="D10" s="18" t="s">
        <v>13</v>
      </c>
      <c r="E10" s="7">
        <f>VLOOKUP(tbSellers[[#This Row],[Item]],tbMaterials[],4,FALSE)</f>
        <v>14</v>
      </c>
      <c r="F10" s="51">
        <v>1</v>
      </c>
      <c r="G10" s="20" t="str">
        <f>VLOOKUP(tbSellers[[#This Row],[Station]],tbSystems[],10,FALSE)</f>
        <v>Medium</v>
      </c>
      <c r="H10" s="1"/>
      <c r="K10" s="1"/>
    </row>
    <row r="11" spans="2:11" ht="27.95" hidden="1" customHeight="1" x14ac:dyDescent="0.25">
      <c r="B11" s="2" t="str">
        <f>_xlfn.CONCAT(tbSellers[[#This Row],[Station]],tbSellers[[#This Row],[Item]])</f>
        <v>Ancity-NiyhChromatic Metal</v>
      </c>
      <c r="C11" s="8" t="s">
        <v>89</v>
      </c>
      <c r="D11" s="18" t="s">
        <v>291</v>
      </c>
      <c r="E11" s="7">
        <f>VLOOKUP(tbSellers[[#This Row],[Item]],tbMaterials[],4,FALSE)</f>
        <v>245</v>
      </c>
      <c r="F11" s="51">
        <v>1</v>
      </c>
      <c r="G11" s="21" t="str">
        <f>VLOOKUP(tbSellers[[#This Row],[Station]],tbSystems[],10,FALSE)</f>
        <v>Medium</v>
      </c>
      <c r="H11" s="1"/>
      <c r="K11" s="1"/>
    </row>
    <row r="12" spans="2:11" ht="27.95" hidden="1" customHeight="1" x14ac:dyDescent="0.25">
      <c r="B12" s="2" t="str">
        <f>_xlfn.CONCAT(tbSellers[[#This Row],[Station]],tbSellers[[#This Row],[Item]])</f>
        <v>AnxiexIonised Cobalt</v>
      </c>
      <c r="C12" s="2" t="s">
        <v>272</v>
      </c>
      <c r="D12" s="18" t="s">
        <v>305</v>
      </c>
      <c r="E12" s="7">
        <f>VLOOKUP(tbSellers[[#This Row],[Item]],tbMaterials[],4,FALSE)</f>
        <v>401</v>
      </c>
      <c r="F12" s="51">
        <v>1</v>
      </c>
      <c r="G12" s="20" t="str">
        <f>VLOOKUP(tbSellers[[#This Row],[Station]],tbSystems[],10,FALSE)</f>
        <v>Low</v>
      </c>
      <c r="H12" s="1"/>
      <c r="K12" s="1"/>
    </row>
    <row r="13" spans="2:11" ht="27.95" customHeight="1" x14ac:dyDescent="0.25">
      <c r="B13" s="2" t="str">
        <f>_xlfn.CONCAT(tbSellers[[#This Row],[Station]],tbSellers[[#This Row],[Item]])</f>
        <v>EgarondoChlorine</v>
      </c>
      <c r="C13" s="8" t="s">
        <v>85</v>
      </c>
      <c r="D13" s="18" t="s">
        <v>96</v>
      </c>
      <c r="E13" s="7">
        <f>VLOOKUP(tbSellers[[#This Row],[Item]],tbMaterials[],4,FALSE)</f>
        <v>602</v>
      </c>
      <c r="F13" s="51">
        <v>1</v>
      </c>
      <c r="G13" s="20" t="str">
        <f>VLOOKUP(tbSellers[[#This Row],[Station]],tbSystems[],10,FALSE)</f>
        <v>High</v>
      </c>
      <c r="H13" s="1"/>
      <c r="K13" s="1"/>
    </row>
    <row r="14" spans="2:11" ht="27.95" hidden="1" customHeight="1" x14ac:dyDescent="0.25">
      <c r="B14" s="2" t="str">
        <f>_xlfn.CONCAT(tbSellers[[#This Row],[Station]],tbSellers[[#This Row],[Item]])</f>
        <v>Helkarsh VChromatic Metal</v>
      </c>
      <c r="C14" s="2" t="s">
        <v>310</v>
      </c>
      <c r="D14" s="18" t="s">
        <v>291</v>
      </c>
      <c r="E14" s="7">
        <f>VLOOKUP(tbSellers[[#This Row],[Item]],tbMaterials[],4,FALSE)</f>
        <v>245</v>
      </c>
      <c r="F14" s="51">
        <v>1</v>
      </c>
      <c r="G14" s="20" t="str">
        <f>VLOOKUP(tbSellers[[#This Row],[Station]],tbSystems[],10,FALSE)</f>
        <v>Medium</v>
      </c>
      <c r="H14" s="1"/>
      <c r="K14" s="1"/>
    </row>
    <row r="15" spans="2:11" ht="27.95" hidden="1" customHeight="1" x14ac:dyDescent="0.25">
      <c r="B15" s="2" t="str">
        <f>_xlfn.CONCAT(tbSellers[[#This Row],[Station]],tbSellers[[#This Row],[Item]])</f>
        <v>NokungbChromatic Metal</v>
      </c>
      <c r="C15" s="2" t="s">
        <v>309</v>
      </c>
      <c r="D15" s="18" t="s">
        <v>291</v>
      </c>
      <c r="E15" s="7">
        <f>VLOOKUP(tbSellers[[#This Row],[Item]],tbMaterials[],4,FALSE)</f>
        <v>245</v>
      </c>
      <c r="F15" s="51">
        <v>1</v>
      </c>
      <c r="G15" s="20" t="str">
        <f>VLOOKUP(tbSellers[[#This Row],[Station]],tbSystems[],10,FALSE)</f>
        <v>Medium</v>
      </c>
      <c r="H15" s="1"/>
      <c r="K15" s="1"/>
    </row>
    <row r="16" spans="2:11" ht="27.95" hidden="1" customHeight="1" x14ac:dyDescent="0.25">
      <c r="B16" s="2" t="str">
        <f>_xlfn.CONCAT(tbSellers[[#This Row],[Station]],tbSellers[[#This Row],[Item]])</f>
        <v>Paddoc-KehaChromatic Metal</v>
      </c>
      <c r="C16" s="8" t="s">
        <v>112</v>
      </c>
      <c r="D16" s="18" t="s">
        <v>291</v>
      </c>
      <c r="E16" s="7">
        <f>VLOOKUP(tbSellers[[#This Row],[Item]],tbMaterials[],4,FALSE)</f>
        <v>245</v>
      </c>
      <c r="F16" s="51">
        <v>1</v>
      </c>
      <c r="G16" s="21" t="str">
        <f>VLOOKUP(tbSellers[[#This Row],[Station]],tbSystems[],10,FALSE)</f>
        <v>Low</v>
      </c>
      <c r="H16" s="1"/>
      <c r="K16" s="1"/>
    </row>
    <row r="17" spans="2:11" ht="27.95" hidden="1" customHeight="1" x14ac:dyDescent="0.25">
      <c r="B17" s="2" t="str">
        <f>_xlfn.CONCAT(tbSellers[[#This Row],[Station]],tbSellers[[#This Row],[Item]])</f>
        <v>XishuanqChromatic Metal</v>
      </c>
      <c r="C17" s="8" t="s">
        <v>111</v>
      </c>
      <c r="D17" s="18" t="s">
        <v>291</v>
      </c>
      <c r="E17" s="7">
        <f>VLOOKUP(tbSellers[[#This Row],[Item]],tbMaterials[],4,FALSE)</f>
        <v>245</v>
      </c>
      <c r="F17" s="51">
        <v>1</v>
      </c>
      <c r="G17" s="21" t="str">
        <f>VLOOKUP(tbSellers[[#This Row],[Station]],tbSystems[],10,FALSE)</f>
        <v>Medium</v>
      </c>
      <c r="H17" s="1"/>
      <c r="K17" s="1"/>
    </row>
    <row r="18" spans="2:11" ht="27.95" hidden="1" customHeight="1" x14ac:dyDescent="0.25">
      <c r="B18" s="2" t="str">
        <f>_xlfn.CONCAT(tbSellers[[#This Row],[Station]],tbSellers[[#This Row],[Item]])</f>
        <v>AlhaimOxygen</v>
      </c>
      <c r="C18" s="2" t="s">
        <v>308</v>
      </c>
      <c r="D18" s="18" t="s">
        <v>9</v>
      </c>
      <c r="E18" s="7">
        <f>VLOOKUP(tbSellers[[#This Row],[Item]],tbMaterials[],4,FALSE)</f>
        <v>34</v>
      </c>
      <c r="F18" s="51">
        <v>1</v>
      </c>
      <c r="G18" s="20" t="str">
        <f>VLOOKUP(tbSellers[[#This Row],[Station]],tbSystems[],10,FALSE)</f>
        <v>Medium</v>
      </c>
      <c r="H18" s="1"/>
      <c r="K18" s="1"/>
    </row>
    <row r="19" spans="2:11" ht="27.95" hidden="1" customHeight="1" x14ac:dyDescent="0.25">
      <c r="B19" s="2" t="str">
        <f>_xlfn.CONCAT(tbSellers[[#This Row],[Station]],tbSellers[[#This Row],[Item]])</f>
        <v>Ancity-NiyhCobalt</v>
      </c>
      <c r="C19" s="8" t="s">
        <v>89</v>
      </c>
      <c r="D19" s="18" t="s">
        <v>6</v>
      </c>
      <c r="E19" s="7">
        <f>VLOOKUP(tbSellers[[#This Row],[Item]],tbMaterials[],4,FALSE)</f>
        <v>198</v>
      </c>
      <c r="F19" s="51">
        <v>1</v>
      </c>
      <c r="G19" s="21" t="str">
        <f>VLOOKUP(tbSellers[[#This Row],[Station]],tbSystems[],10,FALSE)</f>
        <v>Medium</v>
      </c>
      <c r="H19" s="1"/>
      <c r="K19" s="1"/>
    </row>
    <row r="20" spans="2:11" ht="27.95" hidden="1" customHeight="1" x14ac:dyDescent="0.25">
      <c r="B20" s="2" t="str">
        <f>_xlfn.CONCAT(tbSellers[[#This Row],[Station]],tbSellers[[#This Row],[Item]])</f>
        <v>AnxiexGold</v>
      </c>
      <c r="C20" s="2" t="s">
        <v>272</v>
      </c>
      <c r="D20" s="18" t="s">
        <v>27</v>
      </c>
      <c r="E20" s="7">
        <f>VLOOKUP(tbSellers[[#This Row],[Item]],tbMaterials[],4,FALSE)</f>
        <v>353</v>
      </c>
      <c r="F20" s="51">
        <v>1</v>
      </c>
      <c r="G20" s="20" t="str">
        <f>VLOOKUP(tbSellers[[#This Row],[Station]],tbSystems[],10,FALSE)</f>
        <v>Low</v>
      </c>
      <c r="H20" s="1"/>
      <c r="K20" s="1"/>
    </row>
    <row r="21" spans="2:11" ht="27.95" hidden="1" customHeight="1" x14ac:dyDescent="0.25">
      <c r="B21" s="2" t="str">
        <f>_xlfn.CONCAT(tbSellers[[#This Row],[Station]],tbSellers[[#This Row],[Item]])</f>
        <v>Arjorda-KugIonised Cobalt</v>
      </c>
      <c r="C21" s="8" t="s">
        <v>86</v>
      </c>
      <c r="D21" s="18" t="s">
        <v>305</v>
      </c>
      <c r="E21" s="7">
        <f>VLOOKUP(tbSellers[[#This Row],[Item]],tbMaterials[],4,FALSE)</f>
        <v>401</v>
      </c>
      <c r="F21" s="51">
        <v>1</v>
      </c>
      <c r="G21" s="21" t="str">
        <f>VLOOKUP(tbSellers[[#This Row],[Station]],tbSystems[],10,FALSE)</f>
        <v>Medium</v>
      </c>
      <c r="H21" s="1"/>
      <c r="K21" s="1"/>
    </row>
    <row r="22" spans="2:11" ht="27.95" hidden="1" customHeight="1" x14ac:dyDescent="0.25">
      <c r="B22" s="2" t="str">
        <f>_xlfn.CONCAT(tbSellers[[#This Row],[Station]],tbSellers[[#This Row],[Item]])</f>
        <v>Cuomul-TosIonised Cobalt</v>
      </c>
      <c r="C22" s="2" t="s">
        <v>314</v>
      </c>
      <c r="D22" s="18" t="s">
        <v>305</v>
      </c>
      <c r="E22" s="7">
        <f>VLOOKUP(tbSellers[[#This Row],[Item]],tbMaterials[],4,FALSE)</f>
        <v>401</v>
      </c>
      <c r="F22" s="51">
        <v>1</v>
      </c>
      <c r="G22" s="20" t="str">
        <f>VLOOKUP(tbSellers[[#This Row],[Station]],tbSystems[],10,FALSE)</f>
        <v>Medium</v>
      </c>
      <c r="H22" s="1"/>
      <c r="K22" s="1"/>
    </row>
    <row r="23" spans="2:11" ht="27.95" hidden="1" customHeight="1" x14ac:dyDescent="0.25">
      <c r="B23" s="2" t="str">
        <f>_xlfn.CONCAT(tbSellers[[#This Row],[Station]],tbSellers[[#This Row],[Item]])</f>
        <v>EgarondoIonised Cobalt</v>
      </c>
      <c r="C23" s="8" t="s">
        <v>85</v>
      </c>
      <c r="D23" s="18" t="s">
        <v>305</v>
      </c>
      <c r="E23" s="7">
        <f>VLOOKUP(tbSellers[[#This Row],[Item]],tbMaterials[],4,FALSE)</f>
        <v>401</v>
      </c>
      <c r="F23" s="51">
        <v>2</v>
      </c>
      <c r="G23" s="20" t="str">
        <f>VLOOKUP(tbSellers[[#This Row],[Station]],tbSystems[],10,FALSE)</f>
        <v>High</v>
      </c>
      <c r="H23" s="1"/>
      <c r="K23" s="1"/>
    </row>
    <row r="24" spans="2:11" ht="27.95" hidden="1" customHeight="1" x14ac:dyDescent="0.25">
      <c r="B24" s="2" t="str">
        <f>_xlfn.CONCAT(tbSellers[[#This Row],[Station]],tbSellers[[#This Row],[Item]])</f>
        <v>Helkarsh VCobalt</v>
      </c>
      <c r="C24" s="2" t="s">
        <v>310</v>
      </c>
      <c r="D24" s="18" t="s">
        <v>6</v>
      </c>
      <c r="E24" s="7">
        <f>VLOOKUP(tbSellers[[#This Row],[Item]],tbMaterials[],4,FALSE)</f>
        <v>198</v>
      </c>
      <c r="F24" s="51">
        <v>1</v>
      </c>
      <c r="G24" s="20" t="str">
        <f>VLOOKUP(tbSellers[[#This Row],[Station]],tbSystems[],10,FALSE)</f>
        <v>Medium</v>
      </c>
      <c r="H24" s="1"/>
      <c r="K24" s="1"/>
    </row>
    <row r="25" spans="2:11" ht="27.95" hidden="1" customHeight="1" x14ac:dyDescent="0.25">
      <c r="B25" s="2" t="str">
        <f>_xlfn.CONCAT(tbSellers[[#This Row],[Station]],tbSellers[[#This Row],[Item]])</f>
        <v>Kiheensbo XVIICobalt</v>
      </c>
      <c r="C25" s="2" t="s">
        <v>278</v>
      </c>
      <c r="D25" s="18" t="s">
        <v>6</v>
      </c>
      <c r="E25" s="7">
        <f>VLOOKUP(tbSellers[[#This Row],[Item]],tbMaterials[],4,FALSE)</f>
        <v>198</v>
      </c>
      <c r="F25" s="51">
        <v>1</v>
      </c>
      <c r="G25" s="20" t="str">
        <f>VLOOKUP(tbSellers[[#This Row],[Station]],tbSystems[],10,FALSE)</f>
        <v>Low</v>
      </c>
      <c r="H25" s="1"/>
      <c r="K25" s="1"/>
    </row>
    <row r="26" spans="2:11" ht="27.95" hidden="1" customHeight="1" x14ac:dyDescent="0.25">
      <c r="B26" s="2" t="str">
        <f>_xlfn.CONCAT(tbSellers[[#This Row],[Station]],tbSellers[[#This Row],[Item]])</f>
        <v>NalangniPlatinum</v>
      </c>
      <c r="C26" s="8" t="s">
        <v>90</v>
      </c>
      <c r="D26" s="18" t="s">
        <v>19</v>
      </c>
      <c r="E26" s="7">
        <f>VLOOKUP(tbSellers[[#This Row],[Item]],tbMaterials[],4,FALSE)</f>
        <v>505</v>
      </c>
      <c r="F26" s="51">
        <v>1</v>
      </c>
      <c r="G26" s="21" t="str">
        <f>VLOOKUP(tbSellers[[#This Row],[Station]],tbSystems[],10,FALSE)</f>
        <v>Medium</v>
      </c>
      <c r="H26" s="1"/>
      <c r="K26" s="1"/>
    </row>
    <row r="27" spans="2:11" ht="27.95" hidden="1" customHeight="1" x14ac:dyDescent="0.25">
      <c r="B27" s="2" t="str">
        <f>_xlfn.CONCAT(tbSellers[[#This Row],[Station]],tbSellers[[#This Row],[Item]])</f>
        <v>Nancangz XVCobalt</v>
      </c>
      <c r="C27" s="8" t="s">
        <v>61</v>
      </c>
      <c r="D27" s="18" t="s">
        <v>6</v>
      </c>
      <c r="E27" s="7">
        <f>VLOOKUP(tbSellers[[#This Row],[Item]],tbMaterials[],4,FALSE)</f>
        <v>198</v>
      </c>
      <c r="F27" s="51">
        <v>1</v>
      </c>
      <c r="G27" s="21" t="str">
        <f>VLOOKUP(tbSellers[[#This Row],[Station]],tbSystems[],10,FALSE)</f>
        <v>Medium</v>
      </c>
      <c r="H27" s="1"/>
      <c r="K27" s="1"/>
    </row>
    <row r="28" spans="2:11" ht="27.95" hidden="1" customHeight="1" x14ac:dyDescent="0.25">
      <c r="B28" s="2" t="str">
        <f>_xlfn.CONCAT(tbSellers[[#This Row],[Station]],tbSellers[[#This Row],[Item]])</f>
        <v>NokungbCobalt</v>
      </c>
      <c r="C28" s="2" t="s">
        <v>309</v>
      </c>
      <c r="D28" s="18" t="s">
        <v>6</v>
      </c>
      <c r="E28" s="7">
        <f>VLOOKUP(tbSellers[[#This Row],[Item]],tbMaterials[],4,FALSE)</f>
        <v>198</v>
      </c>
      <c r="F28" s="51">
        <v>1</v>
      </c>
      <c r="G28" s="20" t="str">
        <f>VLOOKUP(tbSellers[[#This Row],[Station]],tbSystems[],10,FALSE)</f>
        <v>Medium</v>
      </c>
      <c r="H28" s="1"/>
      <c r="K28" s="1"/>
    </row>
    <row r="29" spans="2:11" ht="27.95" hidden="1" customHeight="1" x14ac:dyDescent="0.25">
      <c r="B29" s="2" t="str">
        <f>_xlfn.CONCAT(tbSellers[[#This Row],[Station]],tbSellers[[#This Row],[Item]])</f>
        <v>OqoidePlatinum</v>
      </c>
      <c r="C29" s="2" t="s">
        <v>134</v>
      </c>
      <c r="D29" s="18" t="s">
        <v>19</v>
      </c>
      <c r="E29" s="7">
        <f>VLOOKUP(tbSellers[[#This Row],[Item]],tbMaterials[],4,FALSE)</f>
        <v>505</v>
      </c>
      <c r="F29" s="51">
        <v>2</v>
      </c>
      <c r="G29" s="20" t="str">
        <f>VLOOKUP(tbSellers[[#This Row],[Station]],tbSystems[],10,FALSE)</f>
        <v>Medium</v>
      </c>
      <c r="H29" s="1"/>
      <c r="K29" s="1"/>
    </row>
    <row r="30" spans="2:11" ht="27.95" hidden="1" customHeight="1" x14ac:dyDescent="0.25">
      <c r="B30" s="2" t="str">
        <f>_xlfn.CONCAT(tbSellers[[#This Row],[Station]],tbSellers[[#This Row],[Item]])</f>
        <v>Paddoc-KehaCobalt</v>
      </c>
      <c r="C30" s="8" t="s">
        <v>112</v>
      </c>
      <c r="D30" s="18" t="s">
        <v>6</v>
      </c>
      <c r="E30" s="7">
        <f>VLOOKUP(tbSellers[[#This Row],[Item]],tbMaterials[],4,FALSE)</f>
        <v>198</v>
      </c>
      <c r="F30" s="51">
        <v>1</v>
      </c>
      <c r="G30" s="21" t="str">
        <f>VLOOKUP(tbSellers[[#This Row],[Station]],tbSystems[],10,FALSE)</f>
        <v>Low</v>
      </c>
      <c r="H30" s="1"/>
      <c r="K30" s="1"/>
    </row>
    <row r="31" spans="2:11" s="2" customFormat="1" ht="27.95" hidden="1" customHeight="1" x14ac:dyDescent="0.25">
      <c r="B31" s="2" t="str">
        <f>_xlfn.CONCAT(tbSellers[[#This Row],[Station]],tbSellers[[#This Row],[Item]])</f>
        <v>PuningtCobalt</v>
      </c>
      <c r="C31" s="2" t="s">
        <v>318</v>
      </c>
      <c r="D31" s="18" t="s">
        <v>6</v>
      </c>
      <c r="E31" s="7">
        <f>VLOOKUP(tbSellers[[#This Row],[Item]],tbMaterials[],4,FALSE)</f>
        <v>198</v>
      </c>
      <c r="F31" s="51">
        <v>1</v>
      </c>
      <c r="G31" s="20" t="str">
        <f>VLOOKUP(tbSellers[[#This Row],[Station]],tbSystems[],10,FALSE)</f>
        <v>Medium</v>
      </c>
    </row>
    <row r="32" spans="2:11" s="2" customFormat="1" ht="27.95" hidden="1" customHeight="1" x14ac:dyDescent="0.25">
      <c r="B32" s="2" t="str">
        <f>_xlfn.CONCAT(tbSellers[[#This Row],[Station]],tbSellers[[#This Row],[Item]])</f>
        <v>SeogwipCobalt</v>
      </c>
      <c r="C32" s="8" t="s">
        <v>261</v>
      </c>
      <c r="D32" s="18" t="s">
        <v>6</v>
      </c>
      <c r="E32" s="7">
        <f>VLOOKUP(tbSellers[[#This Row],[Item]],tbMaterials[],4,FALSE)</f>
        <v>198</v>
      </c>
      <c r="F32" s="51">
        <v>1</v>
      </c>
      <c r="G32" s="21" t="str">
        <f>VLOOKUP(tbSellers[[#This Row],[Station]],tbSystems[],10,FALSE)</f>
        <v>Medium</v>
      </c>
    </row>
    <row r="33" spans="2:7" s="2" customFormat="1" ht="27.95" hidden="1" customHeight="1" x14ac:dyDescent="0.25">
      <c r="B33" s="2" t="str">
        <f>_xlfn.CONCAT(tbSellers[[#This Row],[Station]],tbSellers[[#This Row],[Item]])</f>
        <v>Ubzhan-Reg VCobalt</v>
      </c>
      <c r="C33" s="2" t="s">
        <v>141</v>
      </c>
      <c r="D33" s="18" t="s">
        <v>6</v>
      </c>
      <c r="E33" s="7">
        <f>VLOOKUP(tbSellers[[#This Row],[Item]],tbMaterials[],4,FALSE)</f>
        <v>198</v>
      </c>
      <c r="F33" s="51">
        <v>1</v>
      </c>
      <c r="G33" s="20" t="str">
        <f>VLOOKUP(tbSellers[[#This Row],[Station]],tbSystems[],10,FALSE)</f>
        <v>Medium</v>
      </c>
    </row>
    <row r="34" spans="2:7" s="2" customFormat="1" ht="27.95" hidden="1" customHeight="1" x14ac:dyDescent="0.25">
      <c r="B34" s="2" t="str">
        <f>_xlfn.CONCAT(tbSellers[[#This Row],[Station]],tbSellers[[#This Row],[Item]])</f>
        <v>Urumqi XVCobalt</v>
      </c>
      <c r="C34" s="2" t="s">
        <v>136</v>
      </c>
      <c r="D34" s="18" t="s">
        <v>6</v>
      </c>
      <c r="E34" s="7">
        <f>VLOOKUP(tbSellers[[#This Row],[Item]],tbMaterials[],4,FALSE)</f>
        <v>198</v>
      </c>
      <c r="F34" s="51">
        <v>1</v>
      </c>
      <c r="G34" s="20" t="str">
        <f>VLOOKUP(tbSellers[[#This Row],[Station]],tbSystems[],10,FALSE)</f>
        <v>Low</v>
      </c>
    </row>
    <row r="35" spans="2:7" s="2" customFormat="1" ht="27.95" hidden="1" customHeight="1" x14ac:dyDescent="0.25">
      <c r="B35" s="2" t="str">
        <f>_xlfn.CONCAT(tbSellers[[#This Row],[Station]],tbSellers[[#This Row],[Item]])</f>
        <v>WagormaCobalt</v>
      </c>
      <c r="C35" s="8" t="s">
        <v>135</v>
      </c>
      <c r="D35" s="18" t="s">
        <v>6</v>
      </c>
      <c r="E35" s="7">
        <f>VLOOKUP(tbSellers[[#This Row],[Item]],tbMaterials[],4,FALSE)</f>
        <v>198</v>
      </c>
      <c r="F35" s="51">
        <v>1</v>
      </c>
      <c r="G35" s="20" t="str">
        <f>VLOOKUP(tbSellers[[#This Row],[Station]],tbSystems[],10,FALSE)</f>
        <v>Medium</v>
      </c>
    </row>
    <row r="36" spans="2:7" s="2" customFormat="1" ht="27.95" hidden="1" customHeight="1" x14ac:dyDescent="0.25">
      <c r="B36" s="2" t="str">
        <f>_xlfn.CONCAT(tbSellers[[#This Row],[Station]],tbSellers[[#This Row],[Item]])</f>
        <v>XishuaiCobalt</v>
      </c>
      <c r="C36" s="2" t="s">
        <v>108</v>
      </c>
      <c r="D36" s="18" t="s">
        <v>6</v>
      </c>
      <c r="E36" s="7">
        <f>VLOOKUP(tbSellers[[#This Row],[Item]],tbMaterials[],4,FALSE)</f>
        <v>198</v>
      </c>
      <c r="F36" s="51">
        <v>1</v>
      </c>
      <c r="G36" s="20" t="str">
        <f>VLOOKUP(tbSellers[[#This Row],[Station]],tbSystems[],10,FALSE)</f>
        <v>Low</v>
      </c>
    </row>
    <row r="37" spans="2:7" s="2" customFormat="1" ht="27.95" hidden="1" customHeight="1" x14ac:dyDescent="0.25">
      <c r="B37" s="2" t="str">
        <f>_xlfn.CONCAT(tbSellers[[#This Row],[Station]],tbSellers[[#This Row],[Item]])</f>
        <v>XishuanqCobalt</v>
      </c>
      <c r="C37" s="8" t="s">
        <v>111</v>
      </c>
      <c r="D37" s="18" t="s">
        <v>6</v>
      </c>
      <c r="E37" s="7">
        <f>VLOOKUP(tbSellers[[#This Row],[Item]],tbMaterials[],4,FALSE)</f>
        <v>198</v>
      </c>
      <c r="F37" s="51">
        <v>1</v>
      </c>
      <c r="G37" s="21" t="str">
        <f>VLOOKUP(tbSellers[[#This Row],[Station]],tbSystems[],10,FALSE)</f>
        <v>Medium</v>
      </c>
    </row>
    <row r="38" spans="2:7" s="2" customFormat="1" ht="27.95" hidden="1" customHeight="1" x14ac:dyDescent="0.25">
      <c r="B38" s="2" t="str">
        <f>_xlfn.CONCAT(tbSellers[[#This Row],[Station]],tbSellers[[#This Row],[Item]])</f>
        <v>Yedexi VIICobalt</v>
      </c>
      <c r="C38" s="8" t="s">
        <v>59</v>
      </c>
      <c r="D38" s="18" t="s">
        <v>6</v>
      </c>
      <c r="E38" s="7">
        <f>VLOOKUP(tbSellers[[#This Row],[Item]],tbMaterials[],4,FALSE)</f>
        <v>198</v>
      </c>
      <c r="F38" s="51">
        <v>3.6999999999999998E-2</v>
      </c>
      <c r="G38" s="20" t="str">
        <f>VLOOKUP(tbSellers[[#This Row],[Station]],tbSystems[],10,FALSE)</f>
        <v>Medium</v>
      </c>
    </row>
    <row r="39" spans="2:7" s="2" customFormat="1" ht="27.95" hidden="1" customHeight="1" x14ac:dyDescent="0.25">
      <c r="B39" s="2" t="str">
        <f>_xlfn.CONCAT(tbSellers[[#This Row],[Station]],tbSellers[[#This Row],[Item]])</f>
        <v>AlhaimSodium</v>
      </c>
      <c r="C39" s="2" t="s">
        <v>308</v>
      </c>
      <c r="D39" s="18" t="s">
        <v>10</v>
      </c>
      <c r="E39" s="7">
        <f>VLOOKUP(tbSellers[[#This Row],[Item]],tbMaterials[],4,FALSE)</f>
        <v>41</v>
      </c>
      <c r="F39" s="51">
        <v>1</v>
      </c>
      <c r="G39" s="20" t="str">
        <f>VLOOKUP(tbSellers[[#This Row],[Station]],tbSystems[],10,FALSE)</f>
        <v>Medium</v>
      </c>
    </row>
    <row r="40" spans="2:7" s="2" customFormat="1" ht="27.95" hidden="1" customHeight="1" x14ac:dyDescent="0.25">
      <c r="B40" s="2" t="str">
        <f>_xlfn.CONCAT(tbSellers[[#This Row],[Station]],tbSellers[[#This Row],[Item]])</f>
        <v>Cuomul-TosGold</v>
      </c>
      <c r="C40" s="2" t="s">
        <v>314</v>
      </c>
      <c r="D40" s="18" t="s">
        <v>27</v>
      </c>
      <c r="E40" s="7">
        <f>VLOOKUP(tbSellers[[#This Row],[Item]],tbMaterials[],4,FALSE)</f>
        <v>353</v>
      </c>
      <c r="F40" s="51">
        <v>2</v>
      </c>
      <c r="G40" s="21" t="str">
        <f>VLOOKUP(tbSellers[[#This Row],[Station]],tbSystems[],10,FALSE)</f>
        <v>Medium</v>
      </c>
    </row>
    <row r="41" spans="2:7" s="2" customFormat="1" ht="27.95" hidden="1" customHeight="1" x14ac:dyDescent="0.25">
      <c r="B41" s="2" t="str">
        <f>_xlfn.CONCAT(tbSellers[[#This Row],[Station]],tbSellers[[#This Row],[Item]])</f>
        <v>Helkarsh VCopper</v>
      </c>
      <c r="C41" s="2" t="s">
        <v>310</v>
      </c>
      <c r="D41" s="18" t="s">
        <v>5</v>
      </c>
      <c r="E41" s="7">
        <f>VLOOKUP(tbSellers[[#This Row],[Item]],tbMaterials[],4,FALSE)</f>
        <v>121</v>
      </c>
      <c r="F41" s="51">
        <v>1</v>
      </c>
      <c r="G41" s="20" t="str">
        <f>VLOOKUP(tbSellers[[#This Row],[Station]],tbSystems[],10,FALSE)</f>
        <v>Medium</v>
      </c>
    </row>
    <row r="42" spans="2:7" s="2" customFormat="1" ht="27.95" hidden="1" customHeight="1" x14ac:dyDescent="0.25">
      <c r="B42" s="2" t="str">
        <f>_xlfn.CONCAT(tbSellers[[#This Row],[Station]],tbSellers[[#This Row],[Item]])</f>
        <v>XishuanqCopper</v>
      </c>
      <c r="C42" s="8" t="s">
        <v>111</v>
      </c>
      <c r="D42" s="18" t="s">
        <v>5</v>
      </c>
      <c r="E42" s="7">
        <f>VLOOKUP(tbSellers[[#This Row],[Item]],tbMaterials[],4,FALSE)</f>
        <v>121</v>
      </c>
      <c r="F42" s="51">
        <v>1</v>
      </c>
      <c r="G42" s="21" t="str">
        <f>VLOOKUP(tbSellers[[#This Row],[Station]],tbSystems[],10,FALSE)</f>
        <v>Medium</v>
      </c>
    </row>
    <row r="43" spans="2:7" s="2" customFormat="1" ht="27.95" hidden="1" customHeight="1" x14ac:dyDescent="0.25">
      <c r="B43" s="2" t="str">
        <f>_xlfn.CONCAT(tbSellers[[#This Row],[Station]],tbSellers[[#This Row],[Item]])</f>
        <v>Ancity-NiyhDioxite</v>
      </c>
      <c r="C43" s="8" t="s">
        <v>89</v>
      </c>
      <c r="D43" s="18" t="s">
        <v>82</v>
      </c>
      <c r="E43" s="7">
        <f>VLOOKUP(tbSellers[[#This Row],[Item]],tbMaterials[],4,FALSE)</f>
        <v>62</v>
      </c>
      <c r="F43" s="51">
        <v>1</v>
      </c>
      <c r="G43" s="21" t="str">
        <f>VLOOKUP(tbSellers[[#This Row],[Station]],tbSystems[],10,FALSE)</f>
        <v>Medium</v>
      </c>
    </row>
    <row r="44" spans="2:7" s="2" customFormat="1" ht="27.95" hidden="1" customHeight="1" x14ac:dyDescent="0.25">
      <c r="B44" s="2" t="str">
        <f>_xlfn.CONCAT(tbSellers[[#This Row],[Station]],tbSellers[[#This Row],[Item]])</f>
        <v>Arjorda-KugSalt</v>
      </c>
      <c r="C44" s="8" t="s">
        <v>86</v>
      </c>
      <c r="D44" s="18" t="s">
        <v>63</v>
      </c>
      <c r="E44" s="7">
        <f>VLOOKUP(tbSellers[[#This Row],[Item]],tbMaterials[],4,FALSE)</f>
        <v>299</v>
      </c>
      <c r="F44" s="51">
        <v>2</v>
      </c>
      <c r="G44" s="21" t="str">
        <f>VLOOKUP(tbSellers[[#This Row],[Station]],tbSystems[],10,FALSE)</f>
        <v>Medium</v>
      </c>
    </row>
    <row r="45" spans="2:7" s="2" customFormat="1" ht="27.95" hidden="1" customHeight="1" x14ac:dyDescent="0.25">
      <c r="B45" s="2" t="str">
        <f>_xlfn.CONCAT(tbSellers[[#This Row],[Station]],tbSellers[[#This Row],[Item]])</f>
        <v>NalangniCobalt</v>
      </c>
      <c r="C45" s="8" t="s">
        <v>90</v>
      </c>
      <c r="D45" s="18" t="s">
        <v>6</v>
      </c>
      <c r="E45" s="7">
        <f>VLOOKUP(tbSellers[[#This Row],[Item]],tbMaterials[],4,FALSE)</f>
        <v>198</v>
      </c>
      <c r="F45" s="51">
        <v>1</v>
      </c>
      <c r="G45" s="21" t="str">
        <f>VLOOKUP(tbSellers[[#This Row],[Station]],tbSystems[],10,FALSE)</f>
        <v>Medium</v>
      </c>
    </row>
    <row r="46" spans="2:7" s="2" customFormat="1" ht="27.95" hidden="1" customHeight="1" x14ac:dyDescent="0.25">
      <c r="B46" s="2" t="str">
        <f>_xlfn.CONCAT(tbSellers[[#This Row],[Station]],tbSellers[[#This Row],[Item]])</f>
        <v>Paddoc-KehaDioxite</v>
      </c>
      <c r="C46" s="8" t="s">
        <v>112</v>
      </c>
      <c r="D46" s="18" t="s">
        <v>82</v>
      </c>
      <c r="E46" s="7">
        <f>VLOOKUP(tbSellers[[#This Row],[Item]],tbMaterials[],4,FALSE)</f>
        <v>62</v>
      </c>
      <c r="F46" s="51">
        <v>1</v>
      </c>
      <c r="G46" s="21" t="str">
        <f>VLOOKUP(tbSellers[[#This Row],[Station]],tbSystems[],10,FALSE)</f>
        <v>Low</v>
      </c>
    </row>
    <row r="47" spans="2:7" s="2" customFormat="1" ht="27.95" hidden="1" customHeight="1" x14ac:dyDescent="0.25">
      <c r="B47" s="2" t="str">
        <f>_xlfn.CONCAT(tbSellers[[#This Row],[Station]],tbSellers[[#This Row],[Item]])</f>
        <v>AlhaimParaffinium</v>
      </c>
      <c r="C47" s="2" t="s">
        <v>308</v>
      </c>
      <c r="D47" s="18" t="s">
        <v>69</v>
      </c>
      <c r="E47" s="7">
        <f>VLOOKUP(tbSellers[[#This Row],[Item]],tbMaterials[],4,FALSE)</f>
        <v>62</v>
      </c>
      <c r="F47" s="51">
        <v>1</v>
      </c>
      <c r="G47" s="20" t="str">
        <f>VLOOKUP(tbSellers[[#This Row],[Station]],tbSystems[],10,FALSE)</f>
        <v>Medium</v>
      </c>
    </row>
    <row r="48" spans="2:7" s="2" customFormat="1" ht="27.95" hidden="1" customHeight="1" x14ac:dyDescent="0.25">
      <c r="B48" s="2" t="str">
        <f>_xlfn.CONCAT(tbSellers[[#This Row],[Station]],tbSellers[[#This Row],[Item]])</f>
        <v>Ancity-NiyhFerrite Dust</v>
      </c>
      <c r="C48" s="8" t="s">
        <v>89</v>
      </c>
      <c r="D48" s="18" t="s">
        <v>13</v>
      </c>
      <c r="E48" s="7">
        <f>VLOOKUP(tbSellers[[#This Row],[Item]],tbMaterials[],4,FALSE)</f>
        <v>14</v>
      </c>
      <c r="F48" s="51">
        <v>1</v>
      </c>
      <c r="G48" s="21" t="str">
        <f>VLOOKUP(tbSellers[[#This Row],[Station]],tbSystems[],10,FALSE)</f>
        <v>Medium</v>
      </c>
    </row>
    <row r="49" spans="2:11" s="2" customFormat="1" ht="27.95" hidden="1" customHeight="1" x14ac:dyDescent="0.25">
      <c r="B49" s="2" t="str">
        <f>_xlfn.CONCAT(tbSellers[[#This Row],[Station]],tbSellers[[#This Row],[Item]])</f>
        <v>AnxiexSalt</v>
      </c>
      <c r="C49" s="2" t="s">
        <v>272</v>
      </c>
      <c r="D49" s="18" t="s">
        <v>63</v>
      </c>
      <c r="E49" s="7">
        <f>VLOOKUP(tbSellers[[#This Row],[Item]],tbMaterials[],4,FALSE)</f>
        <v>299</v>
      </c>
      <c r="F49" s="51">
        <v>1</v>
      </c>
      <c r="G49" s="20" t="str">
        <f>VLOOKUP(tbSellers[[#This Row],[Station]],tbSystems[],10,FALSE)</f>
        <v>Low</v>
      </c>
    </row>
    <row r="50" spans="2:11" s="2" customFormat="1" ht="27.95" hidden="1" customHeight="1" x14ac:dyDescent="0.25">
      <c r="B50" s="2" t="str">
        <f>_xlfn.CONCAT(tbSellers[[#This Row],[Station]],tbSellers[[#This Row],[Item]])</f>
        <v>Arjorda-KugCobalt</v>
      </c>
      <c r="C50" s="8" t="s">
        <v>86</v>
      </c>
      <c r="D50" s="18" t="s">
        <v>6</v>
      </c>
      <c r="E50" s="7">
        <f>VLOOKUP(tbSellers[[#This Row],[Item]],tbMaterials[],4,FALSE)</f>
        <v>198</v>
      </c>
      <c r="F50" s="51">
        <v>1</v>
      </c>
      <c r="G50" s="21" t="str">
        <f>VLOOKUP(tbSellers[[#This Row],[Station]],tbSystems[],10,FALSE)</f>
        <v>Medium</v>
      </c>
    </row>
    <row r="51" spans="2:11" s="2" customFormat="1" ht="27.95" hidden="1" customHeight="1" x14ac:dyDescent="0.25">
      <c r="B51" s="2" t="str">
        <f>_xlfn.CONCAT(tbSellers[[#This Row],[Station]],tbSellers[[#This Row],[Item]])</f>
        <v>Cuomul-TosCobalt</v>
      </c>
      <c r="C51" s="2" t="s">
        <v>314</v>
      </c>
      <c r="D51" s="18" t="s">
        <v>6</v>
      </c>
      <c r="E51" s="7">
        <f>VLOOKUP(tbSellers[[#This Row],[Item]],tbMaterials[],4,FALSE)</f>
        <v>198</v>
      </c>
      <c r="F51" s="51">
        <v>1</v>
      </c>
      <c r="G51" s="20" t="str">
        <f>VLOOKUP(tbSellers[[#This Row],[Station]],tbSystems[],10,FALSE)</f>
        <v>Medium</v>
      </c>
    </row>
    <row r="52" spans="2:11" s="2" customFormat="1" ht="27.95" hidden="1" customHeight="1" x14ac:dyDescent="0.25">
      <c r="B52" s="2" t="str">
        <f>_xlfn.CONCAT(tbSellers[[#This Row],[Station]],tbSellers[[#This Row],[Item]])</f>
        <v>EgarondoChromatic Metal</v>
      </c>
      <c r="C52" s="8" t="s">
        <v>85</v>
      </c>
      <c r="D52" s="18" t="s">
        <v>291</v>
      </c>
      <c r="E52" s="7">
        <f>VLOOKUP(tbSellers[[#This Row],[Item]],tbMaterials[],4,FALSE)</f>
        <v>245</v>
      </c>
      <c r="F52" s="51">
        <v>1</v>
      </c>
      <c r="G52" s="20" t="str">
        <f>VLOOKUP(tbSellers[[#This Row],[Station]],tbSystems[],10,FALSE)</f>
        <v>High</v>
      </c>
    </row>
    <row r="53" spans="2:11" s="2" customFormat="1" ht="27.95" hidden="1" customHeight="1" x14ac:dyDescent="0.25">
      <c r="B53" s="2" t="str">
        <f>_xlfn.CONCAT(tbSellers[[#This Row],[Station]],tbSellers[[#This Row],[Item]])</f>
        <v>Helkarsh VFerrite Dust</v>
      </c>
      <c r="C53" s="2" t="s">
        <v>310</v>
      </c>
      <c r="D53" s="18" t="s">
        <v>13</v>
      </c>
      <c r="E53" s="7">
        <f>VLOOKUP(tbSellers[[#This Row],[Item]],tbMaterials[],4,FALSE)</f>
        <v>14</v>
      </c>
      <c r="F53" s="51">
        <v>1</v>
      </c>
      <c r="G53" s="20" t="str">
        <f>VLOOKUP(tbSellers[[#This Row],[Station]],tbSystems[],10,FALSE)</f>
        <v>Medium</v>
      </c>
    </row>
    <row r="54" spans="2:11" s="2" customFormat="1" ht="27.95" hidden="1" customHeight="1" x14ac:dyDescent="0.25">
      <c r="B54" s="2" t="str">
        <f>_xlfn.CONCAT(tbSellers[[#This Row],[Station]],tbSellers[[#This Row],[Item]])</f>
        <v>Kiheensbo XVIIFerrite Dust</v>
      </c>
      <c r="C54" s="2" t="s">
        <v>278</v>
      </c>
      <c r="D54" s="18" t="s">
        <v>13</v>
      </c>
      <c r="E54" s="7">
        <f>VLOOKUP(tbSellers[[#This Row],[Item]],tbMaterials[],4,FALSE)</f>
        <v>14</v>
      </c>
      <c r="F54" s="51">
        <v>1</v>
      </c>
      <c r="G54" s="20" t="str">
        <f>VLOOKUP(tbSellers[[#This Row],[Station]],tbSystems[],10,FALSE)</f>
        <v>Low</v>
      </c>
    </row>
    <row r="55" spans="2:11" s="2" customFormat="1" ht="27.95" hidden="1" customHeight="1" x14ac:dyDescent="0.25">
      <c r="B55" s="2" t="str">
        <f>_xlfn.CONCAT(tbSellers[[#This Row],[Station]],tbSellers[[#This Row],[Item]])</f>
        <v>NalangniDioxite</v>
      </c>
      <c r="C55" s="8" t="s">
        <v>90</v>
      </c>
      <c r="D55" s="18" t="s">
        <v>82</v>
      </c>
      <c r="E55" s="7">
        <f>VLOOKUP(tbSellers[[#This Row],[Item]],tbMaterials[],4,FALSE)</f>
        <v>62</v>
      </c>
      <c r="F55" s="51">
        <v>1</v>
      </c>
      <c r="G55" s="21" t="str">
        <f>VLOOKUP(tbSellers[[#This Row],[Station]],tbSystems[],10,FALSE)</f>
        <v>Medium</v>
      </c>
    </row>
    <row r="56" spans="2:11" s="2" customFormat="1" ht="27.95" hidden="1" customHeight="1" x14ac:dyDescent="0.25">
      <c r="B56" s="2" t="str">
        <f>_xlfn.CONCAT(tbSellers[[#This Row],[Station]],tbSellers[[#This Row],[Item]])</f>
        <v>Nancangz XVFerrite Dust</v>
      </c>
      <c r="C56" s="8" t="s">
        <v>61</v>
      </c>
      <c r="D56" s="18" t="s">
        <v>13</v>
      </c>
      <c r="E56" s="7">
        <f>VLOOKUP(tbSellers[[#This Row],[Item]],tbMaterials[],4,FALSE)</f>
        <v>14</v>
      </c>
      <c r="F56" s="51">
        <v>1</v>
      </c>
      <c r="G56" s="21" t="str">
        <f>VLOOKUP(tbSellers[[#This Row],[Station]],tbSystems[],10,FALSE)</f>
        <v>Medium</v>
      </c>
      <c r="J56" s="4"/>
      <c r="K56" s="30"/>
    </row>
    <row r="57" spans="2:11" s="2" customFormat="1" ht="27.95" hidden="1" customHeight="1" x14ac:dyDescent="0.25">
      <c r="B57" s="2" t="str">
        <f>_xlfn.CONCAT(tbSellers[[#This Row],[Station]],tbSellers[[#This Row],[Item]])</f>
        <v>NokungbFerrite Dust</v>
      </c>
      <c r="C57" s="2" t="s">
        <v>309</v>
      </c>
      <c r="D57" s="18" t="s">
        <v>13</v>
      </c>
      <c r="E57" s="7">
        <f>VLOOKUP(tbSellers[[#This Row],[Item]],tbMaterials[],4,FALSE)</f>
        <v>14</v>
      </c>
      <c r="F57" s="51">
        <v>1</v>
      </c>
      <c r="G57" s="20" t="str">
        <f>VLOOKUP(tbSellers[[#This Row],[Station]],tbSystems[],10,FALSE)</f>
        <v>Medium</v>
      </c>
      <c r="J57" s="4"/>
      <c r="K57" s="30"/>
    </row>
    <row r="58" spans="2:11" s="2" customFormat="1" ht="27.95" hidden="1" customHeight="1" x14ac:dyDescent="0.25">
      <c r="B58" s="2" t="str">
        <f>_xlfn.CONCAT(tbSellers[[#This Row],[Station]],tbSellers[[#This Row],[Item]])</f>
        <v>OqoideSalt</v>
      </c>
      <c r="C58" s="2" t="s">
        <v>134</v>
      </c>
      <c r="D58" s="18" t="s">
        <v>63</v>
      </c>
      <c r="E58" s="7">
        <f>VLOOKUP(tbSellers[[#This Row],[Item]],tbMaterials[],4,FALSE)</f>
        <v>299</v>
      </c>
      <c r="F58" s="51">
        <v>1</v>
      </c>
      <c r="G58" s="20" t="str">
        <f>VLOOKUP(tbSellers[[#This Row],[Station]],tbSystems[],10,FALSE)</f>
        <v>Medium</v>
      </c>
      <c r="J58" s="4"/>
      <c r="K58" s="30"/>
    </row>
    <row r="59" spans="2:11" s="2" customFormat="1" ht="27.95" hidden="1" customHeight="1" x14ac:dyDescent="0.25">
      <c r="B59" s="2" t="str">
        <f>_xlfn.CONCAT(tbSellers[[#This Row],[Station]],tbSellers[[#This Row],[Item]])</f>
        <v>Paddoc-KehaFerrite Dust</v>
      </c>
      <c r="C59" s="8" t="s">
        <v>112</v>
      </c>
      <c r="D59" s="18" t="s">
        <v>13</v>
      </c>
      <c r="E59" s="7">
        <f>VLOOKUP(tbSellers[[#This Row],[Item]],tbMaterials[],4,FALSE)</f>
        <v>14</v>
      </c>
      <c r="F59" s="51">
        <v>1</v>
      </c>
      <c r="G59" s="21" t="str">
        <f>VLOOKUP(tbSellers[[#This Row],[Station]],tbSystems[],10,FALSE)</f>
        <v>Low</v>
      </c>
      <c r="J59" s="4"/>
      <c r="K59" s="30"/>
    </row>
    <row r="60" spans="2:11" s="2" customFormat="1" ht="27.95" hidden="1" customHeight="1" x14ac:dyDescent="0.25">
      <c r="B60" s="2" t="str">
        <f>_xlfn.CONCAT(tbSellers[[#This Row],[Station]],tbSellers[[#This Row],[Item]])</f>
        <v>PuningtFerrite Dust</v>
      </c>
      <c r="C60" s="2" t="s">
        <v>318</v>
      </c>
      <c r="D60" s="18" t="s">
        <v>13</v>
      </c>
      <c r="E60" s="7">
        <f>VLOOKUP(tbSellers[[#This Row],[Item]],tbMaterials[],4,FALSE)</f>
        <v>14</v>
      </c>
      <c r="F60" s="51">
        <v>1</v>
      </c>
      <c r="G60" s="20" t="str">
        <f>VLOOKUP(tbSellers[[#This Row],[Station]],tbSystems[],10,FALSE)</f>
        <v>Medium</v>
      </c>
      <c r="J60" s="4"/>
      <c r="K60" s="30"/>
    </row>
    <row r="61" spans="2:11" s="2" customFormat="1" ht="27.95" hidden="1" customHeight="1" x14ac:dyDescent="0.25">
      <c r="B61" s="2" t="str">
        <f>_xlfn.CONCAT(tbSellers[[#This Row],[Station]],tbSellers[[#This Row],[Item]])</f>
        <v>SeogwipFerrite Dust</v>
      </c>
      <c r="C61" s="8" t="s">
        <v>261</v>
      </c>
      <c r="D61" s="18" t="s">
        <v>13</v>
      </c>
      <c r="E61" s="7">
        <f>VLOOKUP(tbSellers[[#This Row],[Item]],tbMaterials[],4,FALSE)</f>
        <v>14</v>
      </c>
      <c r="F61" s="51">
        <v>1</v>
      </c>
      <c r="G61" s="21" t="str">
        <f>VLOOKUP(tbSellers[[#This Row],[Station]],tbSystems[],10,FALSE)</f>
        <v>Medium</v>
      </c>
      <c r="J61" s="4"/>
      <c r="K61" s="30"/>
    </row>
    <row r="62" spans="2:11" s="2" customFormat="1" ht="27.95" hidden="1" customHeight="1" x14ac:dyDescent="0.25">
      <c r="B62" s="2" t="str">
        <f>_xlfn.CONCAT(tbSellers[[#This Row],[Station]],tbSellers[[#This Row],[Item]])</f>
        <v>Ubzhan-Reg VFerrite Dust</v>
      </c>
      <c r="C62" s="2" t="s">
        <v>141</v>
      </c>
      <c r="D62" s="18" t="s">
        <v>13</v>
      </c>
      <c r="E62" s="7">
        <f>VLOOKUP(tbSellers[[#This Row],[Item]],tbMaterials[],4,FALSE)</f>
        <v>14</v>
      </c>
      <c r="F62" s="51">
        <v>1</v>
      </c>
      <c r="G62" s="20" t="str">
        <f>VLOOKUP(tbSellers[[#This Row],[Station]],tbSystems[],10,FALSE)</f>
        <v>Medium</v>
      </c>
      <c r="J62" s="4"/>
      <c r="K62" s="30"/>
    </row>
    <row r="63" spans="2:11" s="2" customFormat="1" ht="27.95" hidden="1" customHeight="1" x14ac:dyDescent="0.25">
      <c r="B63" s="2" t="str">
        <f>_xlfn.CONCAT(tbSellers[[#This Row],[Station]],tbSellers[[#This Row],[Item]])</f>
        <v>Urumqi XVFerrite Dust</v>
      </c>
      <c r="C63" s="2" t="s">
        <v>136</v>
      </c>
      <c r="D63" s="18" t="s">
        <v>13</v>
      </c>
      <c r="E63" s="7">
        <f>VLOOKUP(tbSellers[[#This Row],[Item]],tbMaterials[],4,FALSE)</f>
        <v>14</v>
      </c>
      <c r="F63" s="51">
        <v>1</v>
      </c>
      <c r="G63" s="20" t="str">
        <f>VLOOKUP(tbSellers[[#This Row],[Station]],tbSystems[],10,FALSE)</f>
        <v>Low</v>
      </c>
      <c r="J63" s="4"/>
      <c r="K63" s="30"/>
    </row>
    <row r="64" spans="2:11" s="2" customFormat="1" ht="27.95" hidden="1" customHeight="1" x14ac:dyDescent="0.25">
      <c r="B64" s="2" t="str">
        <f>_xlfn.CONCAT(tbSellers[[#This Row],[Station]],tbSellers[[#This Row],[Item]])</f>
        <v>WagormaFerrite Dust</v>
      </c>
      <c r="C64" s="8" t="s">
        <v>135</v>
      </c>
      <c r="D64" s="18" t="s">
        <v>13</v>
      </c>
      <c r="E64" s="7">
        <f>VLOOKUP(tbSellers[[#This Row],[Item]],tbMaterials[],4,FALSE)</f>
        <v>14</v>
      </c>
      <c r="F64" s="51">
        <v>1</v>
      </c>
      <c r="G64" s="20" t="str">
        <f>VLOOKUP(tbSellers[[#This Row],[Station]],tbSystems[],10,FALSE)</f>
        <v>Medium</v>
      </c>
      <c r="J64" s="4"/>
      <c r="K64" s="30"/>
    </row>
    <row r="65" spans="2:11" s="2" customFormat="1" ht="27.95" hidden="1" customHeight="1" x14ac:dyDescent="0.25">
      <c r="B65" s="2" t="str">
        <f>_xlfn.CONCAT(tbSellers[[#This Row],[Station]],tbSellers[[#This Row],[Item]])</f>
        <v>XishuaiFerrite Dust</v>
      </c>
      <c r="C65" s="2" t="s">
        <v>108</v>
      </c>
      <c r="D65" s="18" t="s">
        <v>13</v>
      </c>
      <c r="E65" s="7">
        <f>VLOOKUP(tbSellers[[#This Row],[Item]],tbMaterials[],4,FALSE)</f>
        <v>14</v>
      </c>
      <c r="F65" s="51">
        <v>1</v>
      </c>
      <c r="G65" s="20" t="str">
        <f>VLOOKUP(tbSellers[[#This Row],[Station]],tbSystems[],10,FALSE)</f>
        <v>Low</v>
      </c>
      <c r="J65" s="4"/>
      <c r="K65" s="30"/>
    </row>
    <row r="66" spans="2:11" s="2" customFormat="1" ht="27.95" hidden="1" customHeight="1" x14ac:dyDescent="0.25">
      <c r="B66" s="2" t="str">
        <f>_xlfn.CONCAT(tbSellers[[#This Row],[Station]],tbSellers[[#This Row],[Item]])</f>
        <v>XishuanqFerrite Dust</v>
      </c>
      <c r="C66" s="8" t="s">
        <v>111</v>
      </c>
      <c r="D66" s="18" t="s">
        <v>13</v>
      </c>
      <c r="E66" s="7">
        <f>VLOOKUP(tbSellers[[#This Row],[Item]],tbMaterials[],4,FALSE)</f>
        <v>14</v>
      </c>
      <c r="F66" s="51">
        <v>1</v>
      </c>
      <c r="G66" s="21" t="str">
        <f>VLOOKUP(tbSellers[[#This Row],[Station]],tbSystems[],10,FALSE)</f>
        <v>Medium</v>
      </c>
      <c r="J66" s="4"/>
      <c r="K66" s="30"/>
    </row>
    <row r="67" spans="2:11" s="2" customFormat="1" ht="27.95" hidden="1" customHeight="1" x14ac:dyDescent="0.25">
      <c r="B67" s="2" t="str">
        <f>_xlfn.CONCAT(tbSellers[[#This Row],[Station]],tbSellers[[#This Row],[Item]])</f>
        <v>Yedexi VIIDioxite</v>
      </c>
      <c r="C67" s="8" t="s">
        <v>59</v>
      </c>
      <c r="D67" s="18" t="s">
        <v>82</v>
      </c>
      <c r="E67" s="7">
        <f>VLOOKUP(tbSellers[[#This Row],[Item]],tbMaterials[],4,FALSE)</f>
        <v>62</v>
      </c>
      <c r="F67" s="51"/>
      <c r="G67" s="21" t="str">
        <f>VLOOKUP(tbSellers[[#This Row],[Station]],tbSystems[],10,FALSE)</f>
        <v>Medium</v>
      </c>
      <c r="J67" s="4"/>
      <c r="K67" s="30"/>
    </row>
    <row r="68" spans="2:11" s="2" customFormat="1" ht="27.95" hidden="1" customHeight="1" x14ac:dyDescent="0.25">
      <c r="B68" s="2" t="str">
        <f>_xlfn.CONCAT(tbSellers[[#This Row],[Station]],tbSellers[[#This Row],[Item]])</f>
        <v>Yedexi VIIFerrite Dust</v>
      </c>
      <c r="C68" s="8" t="s">
        <v>59</v>
      </c>
      <c r="D68" s="18" t="s">
        <v>13</v>
      </c>
      <c r="E68" s="7">
        <f>VLOOKUP(tbSellers[[#This Row],[Item]],tbMaterials[],4,FALSE)</f>
        <v>14</v>
      </c>
      <c r="F68" s="51">
        <v>-0.80300000000000005</v>
      </c>
      <c r="G68" s="20" t="str">
        <f>VLOOKUP(tbSellers[[#This Row],[Station]],tbSystems[],10,FALSE)</f>
        <v>Medium</v>
      </c>
      <c r="J68" s="4"/>
      <c r="K68" s="30"/>
    </row>
    <row r="69" spans="2:11" s="2" customFormat="1" ht="27.95" hidden="1" customHeight="1" x14ac:dyDescent="0.25">
      <c r="B69" s="2" t="str">
        <f>_xlfn.CONCAT(tbSellers[[#This Row],[Station]],tbSellers[[#This Row],[Item]])</f>
        <v>AnxiexChromatic Metal</v>
      </c>
      <c r="C69" s="2" t="s">
        <v>272</v>
      </c>
      <c r="D69" s="18" t="s">
        <v>291</v>
      </c>
      <c r="E69" s="7">
        <f>VLOOKUP(tbSellers[[#This Row],[Item]],tbMaterials[],4,FALSE)</f>
        <v>245</v>
      </c>
      <c r="F69" s="51">
        <v>1</v>
      </c>
      <c r="G69" s="20" t="str">
        <f>VLOOKUP(tbSellers[[#This Row],[Station]],tbSystems[],10,FALSE)</f>
        <v>Low</v>
      </c>
      <c r="J69" s="4"/>
      <c r="K69" s="30"/>
    </row>
    <row r="70" spans="2:11" s="2" customFormat="1" ht="27.95" hidden="1" customHeight="1" x14ac:dyDescent="0.25">
      <c r="B70" s="2" t="str">
        <f>_xlfn.CONCAT(tbSellers[[#This Row],[Station]],tbSellers[[#This Row],[Item]])</f>
        <v>AnxiexCobalt</v>
      </c>
      <c r="C70" s="2" t="s">
        <v>272</v>
      </c>
      <c r="D70" s="18" t="s">
        <v>6</v>
      </c>
      <c r="E70" s="7">
        <f>VLOOKUP(tbSellers[[#This Row],[Item]],tbMaterials[],4,FALSE)</f>
        <v>198</v>
      </c>
      <c r="F70" s="51">
        <v>1</v>
      </c>
      <c r="G70" s="20" t="str">
        <f>VLOOKUP(tbSellers[[#This Row],[Station]],tbSystems[],10,FALSE)</f>
        <v>Low</v>
      </c>
      <c r="J70" s="4"/>
      <c r="K70" s="30"/>
    </row>
    <row r="71" spans="2:11" s="2" customFormat="1" ht="27.95" hidden="1" customHeight="1" x14ac:dyDescent="0.25">
      <c r="B71" s="2" t="str">
        <f>_xlfn.CONCAT(tbSellers[[#This Row],[Station]],tbSellers[[#This Row],[Item]])</f>
        <v>Arjorda-KugCopper</v>
      </c>
      <c r="C71" s="8" t="s">
        <v>86</v>
      </c>
      <c r="D71" s="18" t="s">
        <v>5</v>
      </c>
      <c r="E71" s="7">
        <f>VLOOKUP(tbSellers[[#This Row],[Item]],tbMaterials[],4,FALSE)</f>
        <v>121</v>
      </c>
      <c r="F71" s="51">
        <v>2</v>
      </c>
      <c r="G71" s="21" t="str">
        <f>VLOOKUP(tbSellers[[#This Row],[Station]],tbSystems[],10,FALSE)</f>
        <v>Medium</v>
      </c>
      <c r="J71" s="4"/>
      <c r="K71" s="30"/>
    </row>
    <row r="72" spans="2:11" s="2" customFormat="1" ht="27.95" hidden="1" customHeight="1" x14ac:dyDescent="0.25">
      <c r="B72" s="2" t="str">
        <f>_xlfn.CONCAT(tbSellers[[#This Row],[Station]],tbSellers[[#This Row],[Item]])</f>
        <v>Cuomul-TosPugneum</v>
      </c>
      <c r="C72" s="2" t="s">
        <v>314</v>
      </c>
      <c r="D72" s="18" t="s">
        <v>292</v>
      </c>
      <c r="E72" s="7">
        <f>VLOOKUP(tbSellers[[#This Row],[Item]],tbMaterials[],4,FALSE)</f>
        <v>138</v>
      </c>
      <c r="F72" s="51">
        <v>1</v>
      </c>
      <c r="G72" s="20" t="str">
        <f>VLOOKUP(tbSellers[[#This Row],[Station]],tbSystems[],10,FALSE)</f>
        <v>Medium</v>
      </c>
      <c r="J72" s="4"/>
      <c r="K72" s="30"/>
    </row>
    <row r="73" spans="2:11" s="2" customFormat="1" ht="27.95" hidden="1" customHeight="1" x14ac:dyDescent="0.25">
      <c r="B73" s="2" t="str">
        <f>_xlfn.CONCAT(tbSellers[[#This Row],[Station]],tbSellers[[#This Row],[Item]])</f>
        <v>Cuomul-TosCopper</v>
      </c>
      <c r="C73" s="2" t="s">
        <v>314</v>
      </c>
      <c r="D73" s="18" t="s">
        <v>5</v>
      </c>
      <c r="E73" s="7">
        <f>VLOOKUP(tbSellers[[#This Row],[Item]],tbMaterials[],4,FALSE)</f>
        <v>121</v>
      </c>
      <c r="F73" s="51">
        <v>1</v>
      </c>
      <c r="G73" s="20" t="str">
        <f>VLOOKUP(tbSellers[[#This Row],[Station]],tbSystems[],10,FALSE)</f>
        <v>Medium</v>
      </c>
      <c r="J73" s="4"/>
      <c r="K73" s="30"/>
    </row>
    <row r="74" spans="2:11" s="2" customFormat="1" ht="27.95" hidden="1" customHeight="1" x14ac:dyDescent="0.25">
      <c r="B74" s="2" t="str">
        <f>_xlfn.CONCAT(tbSellers[[#This Row],[Station]],tbSellers[[#This Row],[Item]])</f>
        <v>EgarondoCobalt</v>
      </c>
      <c r="C74" s="8" t="s">
        <v>85</v>
      </c>
      <c r="D74" s="18" t="s">
        <v>6</v>
      </c>
      <c r="E74" s="7">
        <f>VLOOKUP(tbSellers[[#This Row],[Item]],tbMaterials[],4,FALSE)</f>
        <v>198</v>
      </c>
      <c r="F74" s="51">
        <v>1</v>
      </c>
      <c r="G74" s="20" t="str">
        <f>VLOOKUP(tbSellers[[#This Row],[Station]],tbSystems[],10,FALSE)</f>
        <v>High</v>
      </c>
      <c r="J74" s="4"/>
      <c r="K74" s="30"/>
    </row>
    <row r="75" spans="2:11" s="2" customFormat="1" ht="27.95" hidden="1" customHeight="1" x14ac:dyDescent="0.25">
      <c r="B75" s="2" t="str">
        <f>_xlfn.CONCAT(tbSellers[[#This Row],[Station]],tbSellers[[#This Row],[Item]])</f>
        <v>EgarondoSodium Nitrate</v>
      </c>
      <c r="C75" s="8" t="s">
        <v>85</v>
      </c>
      <c r="D75" s="18" t="s">
        <v>12</v>
      </c>
      <c r="E75" s="7">
        <f>VLOOKUP(tbSellers[[#This Row],[Item]],tbMaterials[],4,FALSE)</f>
        <v>82</v>
      </c>
      <c r="F75" s="51">
        <v>1</v>
      </c>
      <c r="G75" s="20" t="str">
        <f>VLOOKUP(tbSellers[[#This Row],[Station]],tbSystems[],10,FALSE)</f>
        <v>High</v>
      </c>
      <c r="J75" s="4"/>
      <c r="K75" s="30"/>
    </row>
    <row r="76" spans="2:11" s="2" customFormat="1" ht="27.95" hidden="1" customHeight="1" x14ac:dyDescent="0.25">
      <c r="B76" s="2" t="str">
        <f>_xlfn.CONCAT(tbSellers[[#This Row],[Station]],tbSellers[[#This Row],[Item]])</f>
        <v>Gepohalih IIIPlatinum</v>
      </c>
      <c r="C76" s="2" t="s">
        <v>538</v>
      </c>
      <c r="D76" s="18" t="s">
        <v>19</v>
      </c>
      <c r="E76" s="7">
        <f>VLOOKUP(tbSellers[[#This Row],[Item]],tbMaterials[],4,FALSE)</f>
        <v>505</v>
      </c>
      <c r="F76" s="51">
        <v>2</v>
      </c>
      <c r="G76" s="20" t="str">
        <f>VLOOKUP(tbSellers[[#This Row],[Station]],tbSystems[],10,FALSE)</f>
        <v>Medium</v>
      </c>
      <c r="J76" s="4"/>
      <c r="K76" s="30"/>
    </row>
    <row r="77" spans="2:11" s="2" customFormat="1" ht="27.95" customHeight="1" x14ac:dyDescent="0.25">
      <c r="B77" s="2" t="str">
        <f>_xlfn.CONCAT(tbSellers[[#This Row],[Station]],tbSellers[[#This Row],[Item]])</f>
        <v>Helkarsh VChlorine</v>
      </c>
      <c r="C77" s="2" t="s">
        <v>310</v>
      </c>
      <c r="D77" s="18" t="s">
        <v>96</v>
      </c>
      <c r="E77" s="7">
        <f>VLOOKUP(tbSellers[[#This Row],[Item]],tbMaterials[],4,FALSE)</f>
        <v>602</v>
      </c>
      <c r="F77" s="51">
        <v>2</v>
      </c>
      <c r="G77" s="21" t="str">
        <f>VLOOKUP(tbSellers[[#This Row],[Station]],tbSystems[],10,FALSE)</f>
        <v>Medium</v>
      </c>
      <c r="J77" s="4"/>
      <c r="K77" s="30"/>
    </row>
    <row r="78" spans="2:11" s="2" customFormat="1" ht="27.95" customHeight="1" x14ac:dyDescent="0.25">
      <c r="B78" s="2" t="str">
        <f>_xlfn.CONCAT(tbSellers[[#This Row],[Station]],tbSellers[[#This Row],[Item]])</f>
        <v>Iijinc XVChlorine</v>
      </c>
      <c r="C78" s="2" t="s">
        <v>503</v>
      </c>
      <c r="D78" s="18" t="s">
        <v>96</v>
      </c>
      <c r="E78" s="7">
        <f>VLOOKUP(tbSellers[[#This Row],[Item]],tbMaterials[],4,FALSE)</f>
        <v>602</v>
      </c>
      <c r="F78" s="51">
        <v>1</v>
      </c>
      <c r="G78" s="20" t="str">
        <f>VLOOKUP(tbSellers[[#This Row],[Station]],tbSystems[],10,FALSE)</f>
        <v>Medium</v>
      </c>
      <c r="J78" s="4"/>
      <c r="K78" s="30"/>
    </row>
    <row r="79" spans="2:11" s="2" customFormat="1" ht="27.95" hidden="1" customHeight="1" x14ac:dyDescent="0.25">
      <c r="B79" s="2" t="str">
        <f>_xlfn.CONCAT(tbSellers[[#This Row],[Station]],tbSellers[[#This Row],[Item]])</f>
        <v>AnxiexMagnetised Ferrite</v>
      </c>
      <c r="C79" s="2" t="s">
        <v>272</v>
      </c>
      <c r="D79" s="18" t="s">
        <v>268</v>
      </c>
      <c r="E79" s="7">
        <f>VLOOKUP(tbSellers[[#This Row],[Item]],tbMaterials[],4,FALSE)</f>
        <v>82</v>
      </c>
      <c r="F79" s="51">
        <v>2</v>
      </c>
      <c r="G79" s="20" t="str">
        <f>VLOOKUP(tbSellers[[#This Row],[Station]],tbSystems[],10,FALSE)</f>
        <v>Low</v>
      </c>
      <c r="J79" s="4"/>
      <c r="K79" s="30"/>
    </row>
    <row r="80" spans="2:11" s="2" customFormat="1" ht="27.95" hidden="1" customHeight="1" x14ac:dyDescent="0.25">
      <c r="B80" s="2" t="str">
        <f>_xlfn.CONCAT(tbSellers[[#This Row],[Station]],tbSellers[[#This Row],[Item]])</f>
        <v>Paddoc-KehaMagnetised Ferrite</v>
      </c>
      <c r="C80" s="8" t="s">
        <v>112</v>
      </c>
      <c r="D80" s="18" t="s">
        <v>268</v>
      </c>
      <c r="E80" s="7">
        <f>VLOOKUP(tbSellers[[#This Row],[Item]],tbMaterials[],4,FALSE)</f>
        <v>82</v>
      </c>
      <c r="F80" s="51">
        <v>1</v>
      </c>
      <c r="G80" s="21" t="str">
        <f>VLOOKUP(tbSellers[[#This Row],[Station]],tbSystems[],10,FALSE)</f>
        <v>Low</v>
      </c>
      <c r="J80" s="4"/>
      <c r="K80" s="30"/>
    </row>
    <row r="81" spans="2:11" s="2" customFormat="1" ht="27.95" hidden="1" customHeight="1" x14ac:dyDescent="0.25">
      <c r="B81" s="2" t="str">
        <f>_xlfn.CONCAT(tbSellers[[#This Row],[Station]],tbSellers[[#This Row],[Item]])</f>
        <v>SeogwipMagnetised Ferrite</v>
      </c>
      <c r="C81" s="8" t="s">
        <v>261</v>
      </c>
      <c r="D81" s="18" t="s">
        <v>268</v>
      </c>
      <c r="E81" s="7">
        <f>VLOOKUP(tbSellers[[#This Row],[Item]],tbMaterials[],4,FALSE)</f>
        <v>82</v>
      </c>
      <c r="F81" s="51">
        <v>1</v>
      </c>
      <c r="G81" s="21" t="str">
        <f>VLOOKUP(tbSellers[[#This Row],[Station]],tbSystems[],10,FALSE)</f>
        <v>Medium</v>
      </c>
      <c r="J81" s="4"/>
      <c r="K81" s="30"/>
    </row>
    <row r="82" spans="2:11" s="2" customFormat="1" ht="27.95" hidden="1" customHeight="1" x14ac:dyDescent="0.25">
      <c r="B82" s="2" t="str">
        <f>_xlfn.CONCAT(tbSellers[[#This Row],[Station]],tbSellers[[#This Row],[Item]])</f>
        <v>Urumqi XVMagnetised Ferrite</v>
      </c>
      <c r="C82" s="2" t="s">
        <v>136</v>
      </c>
      <c r="D82" s="18" t="s">
        <v>268</v>
      </c>
      <c r="E82" s="7">
        <f>VLOOKUP(tbSellers[[#This Row],[Item]],tbMaterials[],4,FALSE)</f>
        <v>82</v>
      </c>
      <c r="F82" s="51">
        <v>1</v>
      </c>
      <c r="G82" s="20" t="str">
        <f>VLOOKUP(tbSellers[[#This Row],[Station]],tbSystems[],10,FALSE)</f>
        <v>Low</v>
      </c>
      <c r="J82" s="4"/>
      <c r="K82" s="30"/>
    </row>
    <row r="83" spans="2:11" s="2" customFormat="1" ht="27.95" hidden="1" customHeight="1" x14ac:dyDescent="0.25">
      <c r="B83" s="2" t="str">
        <f>_xlfn.CONCAT(tbSellers[[#This Row],[Station]],tbSellers[[#This Row],[Item]])</f>
        <v>AlhaimPhosphorus</v>
      </c>
      <c r="C83" s="2" t="s">
        <v>308</v>
      </c>
      <c r="D83" s="18" t="s">
        <v>39</v>
      </c>
      <c r="E83" s="7">
        <f>VLOOKUP(tbSellers[[#This Row],[Item]],tbMaterials[],4,FALSE)</f>
        <v>62</v>
      </c>
      <c r="F83" s="51">
        <v>1</v>
      </c>
      <c r="G83" s="20" t="str">
        <f>VLOOKUP(tbSellers[[#This Row],[Station]],tbSystems[],10,FALSE)</f>
        <v>Medium</v>
      </c>
      <c r="J83" s="4"/>
      <c r="K83" s="30"/>
    </row>
    <row r="84" spans="2:11" s="2" customFormat="1" ht="27.95" hidden="1" customHeight="1" x14ac:dyDescent="0.25">
      <c r="B84" s="2" t="str">
        <f>_xlfn.CONCAT(tbSellers[[#This Row],[Station]],tbSellers[[#This Row],[Item]])</f>
        <v>Ancity-NiyhOxygen</v>
      </c>
      <c r="C84" s="8" t="s">
        <v>89</v>
      </c>
      <c r="D84" s="18" t="s">
        <v>9</v>
      </c>
      <c r="E84" s="7">
        <f>VLOOKUP(tbSellers[[#This Row],[Item]],tbMaterials[],4,FALSE)</f>
        <v>34</v>
      </c>
      <c r="F84" s="51">
        <v>1</v>
      </c>
      <c r="G84" s="21" t="str">
        <f>VLOOKUP(tbSellers[[#This Row],[Station]],tbSystems[],10,FALSE)</f>
        <v>Medium</v>
      </c>
      <c r="J84" s="4"/>
      <c r="K84" s="30"/>
    </row>
    <row r="85" spans="2:11" s="2" customFormat="1" ht="27.95" hidden="1" customHeight="1" x14ac:dyDescent="0.25">
      <c r="B85" s="2" t="str">
        <f>_xlfn.CONCAT(tbSellers[[#This Row],[Station]],tbSellers[[#This Row],[Item]])</f>
        <v>AnxiexUranium</v>
      </c>
      <c r="C85" s="2" t="s">
        <v>272</v>
      </c>
      <c r="D85" s="18" t="s">
        <v>64</v>
      </c>
      <c r="E85" s="7">
        <f>VLOOKUP(tbSellers[[#This Row],[Item]],tbMaterials[],4,FALSE)</f>
        <v>62</v>
      </c>
      <c r="F85" s="51">
        <v>1</v>
      </c>
      <c r="G85" s="20" t="str">
        <f>VLOOKUP(tbSellers[[#This Row],[Station]],tbSystems[],10,FALSE)</f>
        <v>Low</v>
      </c>
      <c r="J85" s="4"/>
      <c r="K85" s="30"/>
    </row>
    <row r="86" spans="2:11" s="2" customFormat="1" ht="27.95" hidden="1" customHeight="1" x14ac:dyDescent="0.25">
      <c r="B86" s="2" t="str">
        <f>_xlfn.CONCAT(tbSellers[[#This Row],[Station]],tbSellers[[#This Row],[Item]])</f>
        <v>Arjorda-KugSodium Nitrate</v>
      </c>
      <c r="C86" s="8" t="s">
        <v>86</v>
      </c>
      <c r="D86" s="18" t="s">
        <v>12</v>
      </c>
      <c r="E86" s="7">
        <f>VLOOKUP(tbSellers[[#This Row],[Item]],tbMaterials[],4,FALSE)</f>
        <v>82</v>
      </c>
      <c r="F86" s="51">
        <v>1</v>
      </c>
      <c r="G86" s="21" t="str">
        <f>VLOOKUP(tbSellers[[#This Row],[Station]],tbSystems[],10,FALSE)</f>
        <v>Medium</v>
      </c>
      <c r="J86" s="4"/>
      <c r="K86" s="30"/>
    </row>
    <row r="87" spans="2:11" s="2" customFormat="1" ht="27.95" hidden="1" customHeight="1" x14ac:dyDescent="0.25">
      <c r="B87" s="2" t="str">
        <f>_xlfn.CONCAT(tbSellers[[#This Row],[Station]],tbSellers[[#This Row],[Item]])</f>
        <v>Cuomul-TosPhosphorus</v>
      </c>
      <c r="C87" s="2" t="s">
        <v>314</v>
      </c>
      <c r="D87" s="18" t="s">
        <v>39</v>
      </c>
      <c r="E87" s="7">
        <f>VLOOKUP(tbSellers[[#This Row],[Item]],tbMaterials[],4,FALSE)</f>
        <v>62</v>
      </c>
      <c r="F87" s="51">
        <v>1</v>
      </c>
      <c r="G87" s="20" t="str">
        <f>VLOOKUP(tbSellers[[#This Row],[Station]],tbSystems[],10,FALSE)</f>
        <v>Medium</v>
      </c>
      <c r="J87" s="4"/>
      <c r="K87" s="30"/>
    </row>
    <row r="88" spans="2:11" s="2" customFormat="1" ht="27.95" hidden="1" customHeight="1" x14ac:dyDescent="0.25">
      <c r="B88" s="2" t="str">
        <f>_xlfn.CONCAT(tbSellers[[#This Row],[Station]],tbSellers[[#This Row],[Item]])</f>
        <v>RidunxiFerrite Dust</v>
      </c>
      <c r="C88" s="2" t="s">
        <v>642</v>
      </c>
      <c r="D88" s="18" t="s">
        <v>13</v>
      </c>
      <c r="E88" s="7">
        <f>VLOOKUP(tbSellers[[#This Row],[Item]],tbMaterials[],4,FALSE)</f>
        <v>14</v>
      </c>
      <c r="F88" s="51">
        <v>1</v>
      </c>
      <c r="G88" s="20" t="str">
        <f>VLOOKUP(tbSellers[[#This Row],[Station]],tbSystems[],10,FALSE)</f>
        <v>Medium</v>
      </c>
      <c r="J88" s="4"/>
      <c r="K88" s="30"/>
    </row>
    <row r="89" spans="2:11" s="2" customFormat="1" ht="27.95" hidden="1" customHeight="1" x14ac:dyDescent="0.25">
      <c r="B89" s="2" t="str">
        <f>_xlfn.CONCAT(tbSellers[[#This Row],[Station]],tbSellers[[#This Row],[Item]])</f>
        <v>EgarondoUranium</v>
      </c>
      <c r="C89" s="8" t="s">
        <v>85</v>
      </c>
      <c r="D89" s="18" t="s">
        <v>64</v>
      </c>
      <c r="E89" s="7">
        <f>VLOOKUP(tbSellers[[#This Row],[Item]],tbMaterials[],4,FALSE)</f>
        <v>62</v>
      </c>
      <c r="F89" s="51">
        <v>1</v>
      </c>
      <c r="G89" s="20" t="str">
        <f>VLOOKUP(tbSellers[[#This Row],[Station]],tbSystems[],10,FALSE)</f>
        <v>High</v>
      </c>
      <c r="J89" s="4"/>
      <c r="K89" s="30"/>
    </row>
    <row r="90" spans="2:11" s="2" customFormat="1" ht="27.95" hidden="1" customHeight="1" x14ac:dyDescent="0.25">
      <c r="B90" s="2" t="str">
        <f>_xlfn.CONCAT(tbSellers[[#This Row],[Station]],tbSellers[[#This Row],[Item]])</f>
        <v>Helkarsh VOxygen</v>
      </c>
      <c r="C90" s="2" t="s">
        <v>310</v>
      </c>
      <c r="D90" s="18" t="s">
        <v>9</v>
      </c>
      <c r="E90" s="7">
        <f>VLOOKUP(tbSellers[[#This Row],[Item]],tbMaterials[],4,FALSE)</f>
        <v>34</v>
      </c>
      <c r="F90" s="51">
        <v>1</v>
      </c>
      <c r="G90" s="20" t="str">
        <f>VLOOKUP(tbSellers[[#This Row],[Station]],tbSystems[],10,FALSE)</f>
        <v>Medium</v>
      </c>
      <c r="J90" s="4"/>
      <c r="K90" s="30"/>
    </row>
    <row r="91" spans="2:11" s="2" customFormat="1" ht="27.95" hidden="1" customHeight="1" x14ac:dyDescent="0.25">
      <c r="B91" s="2" t="str">
        <f>_xlfn.CONCAT(tbSellers[[#This Row],[Station]],tbSellers[[#This Row],[Item]])</f>
        <v>Kiheensbo XVIIOxygen</v>
      </c>
      <c r="C91" s="2" t="s">
        <v>278</v>
      </c>
      <c r="D91" s="18" t="s">
        <v>9</v>
      </c>
      <c r="E91" s="7">
        <f>VLOOKUP(tbSellers[[#This Row],[Item]],tbMaterials[],4,FALSE)</f>
        <v>34</v>
      </c>
      <c r="F91" s="51">
        <v>1</v>
      </c>
      <c r="G91" s="20" t="str">
        <f>VLOOKUP(tbSellers[[#This Row],[Station]],tbSystems[],10,FALSE)</f>
        <v>Low</v>
      </c>
      <c r="J91" s="4"/>
      <c r="K91" s="30"/>
    </row>
    <row r="92" spans="2:11" s="2" customFormat="1" ht="27.95" hidden="1" customHeight="1" x14ac:dyDescent="0.25">
      <c r="B92" s="2" t="str">
        <f>_xlfn.CONCAT(tbSellers[[#This Row],[Station]],tbSellers[[#This Row],[Item]])</f>
        <v>NalangniUranium</v>
      </c>
      <c r="C92" s="8" t="s">
        <v>90</v>
      </c>
      <c r="D92" s="18" t="s">
        <v>64</v>
      </c>
      <c r="E92" s="7">
        <f>VLOOKUP(tbSellers[[#This Row],[Item]],tbMaterials[],4,FALSE)</f>
        <v>62</v>
      </c>
      <c r="F92" s="51">
        <v>1</v>
      </c>
      <c r="G92" s="21" t="str">
        <f>VLOOKUP(tbSellers[[#This Row],[Station]],tbSystems[],10,FALSE)</f>
        <v>Medium</v>
      </c>
      <c r="J92" s="4"/>
      <c r="K92" s="30"/>
    </row>
    <row r="93" spans="2:11" s="2" customFormat="1" ht="27.95" hidden="1" customHeight="1" x14ac:dyDescent="0.25">
      <c r="B93" s="2" t="str">
        <f>_xlfn.CONCAT(tbSellers[[#This Row],[Station]],tbSellers[[#This Row],[Item]])</f>
        <v>Nancangz XVOxygen</v>
      </c>
      <c r="C93" s="8" t="s">
        <v>61</v>
      </c>
      <c r="D93" s="18" t="s">
        <v>9</v>
      </c>
      <c r="E93" s="7">
        <f>VLOOKUP(tbSellers[[#This Row],[Item]],tbMaterials[],4,FALSE)</f>
        <v>34</v>
      </c>
      <c r="F93" s="51">
        <v>1</v>
      </c>
      <c r="G93" s="21" t="str">
        <f>VLOOKUP(tbSellers[[#This Row],[Station]],tbSystems[],10,FALSE)</f>
        <v>Medium</v>
      </c>
      <c r="J93" s="4"/>
      <c r="K93" s="30"/>
    </row>
    <row r="94" spans="2:11" s="2" customFormat="1" ht="27.95" hidden="1" customHeight="1" x14ac:dyDescent="0.25">
      <c r="B94" s="2" t="str">
        <f>_xlfn.CONCAT(tbSellers[[#This Row],[Station]],tbSellers[[#This Row],[Item]])</f>
        <v>NokungbOxygen</v>
      </c>
      <c r="C94" s="2" t="s">
        <v>309</v>
      </c>
      <c r="D94" s="18" t="s">
        <v>9</v>
      </c>
      <c r="E94" s="7">
        <f>VLOOKUP(tbSellers[[#This Row],[Item]],tbMaterials[],4,FALSE)</f>
        <v>34</v>
      </c>
      <c r="F94" s="51">
        <v>1</v>
      </c>
      <c r="G94" s="20" t="str">
        <f>VLOOKUP(tbSellers[[#This Row],[Station]],tbSystems[],10,FALSE)</f>
        <v>Medium</v>
      </c>
      <c r="J94" s="4"/>
      <c r="K94" s="30"/>
    </row>
    <row r="95" spans="2:11" s="2" customFormat="1" ht="27.95" hidden="1" customHeight="1" x14ac:dyDescent="0.25">
      <c r="B95" s="2" t="str">
        <f>_xlfn.CONCAT(tbSellers[[#This Row],[Station]],tbSellers[[#This Row],[Item]])</f>
        <v>OqoideCobalt</v>
      </c>
      <c r="C95" s="2" t="s">
        <v>134</v>
      </c>
      <c r="D95" s="18" t="s">
        <v>6</v>
      </c>
      <c r="E95" s="7">
        <f>VLOOKUP(tbSellers[[#This Row],[Item]],tbMaterials[],4,FALSE)</f>
        <v>198</v>
      </c>
      <c r="F95" s="51">
        <v>1</v>
      </c>
      <c r="G95" s="20" t="str">
        <f>VLOOKUP(tbSellers[[#This Row],[Station]],tbSystems[],10,FALSE)</f>
        <v>Medium</v>
      </c>
      <c r="J95" s="4"/>
      <c r="K95" s="30"/>
    </row>
    <row r="96" spans="2:11" s="2" customFormat="1" ht="27.95" hidden="1" customHeight="1" x14ac:dyDescent="0.25">
      <c r="B96" s="2" t="str">
        <f>_xlfn.CONCAT(tbSellers[[#This Row],[Station]],tbSellers[[#This Row],[Item]])</f>
        <v>Paddoc-KehaOxygen</v>
      </c>
      <c r="C96" s="8" t="s">
        <v>112</v>
      </c>
      <c r="D96" s="18" t="s">
        <v>9</v>
      </c>
      <c r="E96" s="7">
        <f>VLOOKUP(tbSellers[[#This Row],[Item]],tbMaterials[],4,FALSE)</f>
        <v>34</v>
      </c>
      <c r="F96" s="51">
        <v>1</v>
      </c>
      <c r="G96" s="21" t="str">
        <f>VLOOKUP(tbSellers[[#This Row],[Station]],tbSystems[],10,FALSE)</f>
        <v>Low</v>
      </c>
      <c r="J96" s="4"/>
      <c r="K96" s="30"/>
    </row>
    <row r="97" spans="2:11" s="2" customFormat="1" ht="27.95" hidden="1" customHeight="1" x14ac:dyDescent="0.25">
      <c r="B97" s="2" t="str">
        <f>_xlfn.CONCAT(tbSellers[[#This Row],[Station]],tbSellers[[#This Row],[Item]])</f>
        <v>PuningtOxygen</v>
      </c>
      <c r="C97" s="2" t="s">
        <v>318</v>
      </c>
      <c r="D97" s="18" t="s">
        <v>9</v>
      </c>
      <c r="E97" s="7">
        <f>VLOOKUP(tbSellers[[#This Row],[Item]],tbMaterials[],4,FALSE)</f>
        <v>34</v>
      </c>
      <c r="F97" s="51">
        <v>1</v>
      </c>
      <c r="G97" s="20" t="str">
        <f>VLOOKUP(tbSellers[[#This Row],[Station]],tbSystems[],10,FALSE)</f>
        <v>Medium</v>
      </c>
      <c r="J97" s="4"/>
      <c r="K97" s="30"/>
    </row>
    <row r="98" spans="2:11" s="2" customFormat="1" ht="27.95" hidden="1" customHeight="1" x14ac:dyDescent="0.25">
      <c r="B98" s="2" t="str">
        <f>_xlfn.CONCAT(tbSellers[[#This Row],[Station]],tbSellers[[#This Row],[Item]])</f>
        <v>SeogwipOxygen</v>
      </c>
      <c r="C98" s="8" t="s">
        <v>261</v>
      </c>
      <c r="D98" s="18" t="s">
        <v>9</v>
      </c>
      <c r="E98" s="7">
        <f>VLOOKUP(tbSellers[[#This Row],[Item]],tbMaterials[],4,FALSE)</f>
        <v>34</v>
      </c>
      <c r="F98" s="51">
        <v>1</v>
      </c>
      <c r="G98" s="21" t="str">
        <f>VLOOKUP(tbSellers[[#This Row],[Station]],tbSystems[],10,FALSE)</f>
        <v>Medium</v>
      </c>
      <c r="J98" s="4"/>
      <c r="K98" s="30"/>
    </row>
    <row r="99" spans="2:11" s="2" customFormat="1" ht="27.95" hidden="1" customHeight="1" x14ac:dyDescent="0.25">
      <c r="B99" s="2" t="str">
        <f>_xlfn.CONCAT(tbSellers[[#This Row],[Station]],tbSellers[[#This Row],[Item]])</f>
        <v>Ubzhan-Reg VOxygen</v>
      </c>
      <c r="C99" s="2" t="s">
        <v>141</v>
      </c>
      <c r="D99" s="18" t="s">
        <v>9</v>
      </c>
      <c r="E99" s="7">
        <f>VLOOKUP(tbSellers[[#This Row],[Item]],tbMaterials[],4,FALSE)</f>
        <v>34</v>
      </c>
      <c r="F99" s="51">
        <v>1</v>
      </c>
      <c r="G99" s="20" t="str">
        <f>VLOOKUP(tbSellers[[#This Row],[Station]],tbSystems[],10,FALSE)</f>
        <v>Medium</v>
      </c>
      <c r="J99" s="4"/>
      <c r="K99" s="30"/>
    </row>
    <row r="100" spans="2:11" s="2" customFormat="1" ht="27.95" hidden="1" customHeight="1" x14ac:dyDescent="0.25">
      <c r="B100" s="2" t="str">
        <f>_xlfn.CONCAT(tbSellers[[#This Row],[Station]],tbSellers[[#This Row],[Item]])</f>
        <v>Urumqi XVOxygen</v>
      </c>
      <c r="C100" s="2" t="s">
        <v>136</v>
      </c>
      <c r="D100" s="18" t="s">
        <v>9</v>
      </c>
      <c r="E100" s="7">
        <f>VLOOKUP(tbSellers[[#This Row],[Item]],tbMaterials[],4,FALSE)</f>
        <v>34</v>
      </c>
      <c r="F100" s="51">
        <v>1</v>
      </c>
      <c r="G100" s="20" t="str">
        <f>VLOOKUP(tbSellers[[#This Row],[Station]],tbSystems[],10,FALSE)</f>
        <v>Low</v>
      </c>
      <c r="J100" s="4"/>
      <c r="K100" s="30"/>
    </row>
    <row r="101" spans="2:11" s="2" customFormat="1" ht="27.95" hidden="1" customHeight="1" x14ac:dyDescent="0.25">
      <c r="B101" s="2" t="str">
        <f>_xlfn.CONCAT(tbSellers[[#This Row],[Station]],tbSellers[[#This Row],[Item]])</f>
        <v>WagormaOxygen</v>
      </c>
      <c r="C101" s="8" t="s">
        <v>135</v>
      </c>
      <c r="D101" s="18" t="s">
        <v>9</v>
      </c>
      <c r="E101" s="7">
        <f>VLOOKUP(tbSellers[[#This Row],[Item]],tbMaterials[],4,FALSE)</f>
        <v>34</v>
      </c>
      <c r="F101" s="51">
        <v>1</v>
      </c>
      <c r="G101" s="20" t="str">
        <f>VLOOKUP(tbSellers[[#This Row],[Station]],tbSystems[],10,FALSE)</f>
        <v>Medium</v>
      </c>
      <c r="J101" s="4"/>
      <c r="K101" s="30"/>
    </row>
    <row r="102" spans="2:11" s="2" customFormat="1" ht="27.95" hidden="1" customHeight="1" x14ac:dyDescent="0.25">
      <c r="B102" s="2" t="str">
        <f>_xlfn.CONCAT(tbSellers[[#This Row],[Station]],tbSellers[[#This Row],[Item]])</f>
        <v>XishuaiOxygen</v>
      </c>
      <c r="C102" s="2" t="s">
        <v>108</v>
      </c>
      <c r="D102" s="18" t="s">
        <v>9</v>
      </c>
      <c r="E102" s="7">
        <f>VLOOKUP(tbSellers[[#This Row],[Item]],tbMaterials[],4,FALSE)</f>
        <v>34</v>
      </c>
      <c r="F102" s="51">
        <v>1</v>
      </c>
      <c r="G102" s="20" t="str">
        <f>VLOOKUP(tbSellers[[#This Row],[Station]],tbSystems[],10,FALSE)</f>
        <v>Low</v>
      </c>
      <c r="J102" s="4"/>
      <c r="K102" s="30"/>
    </row>
    <row r="103" spans="2:11" s="2" customFormat="1" ht="27.95" hidden="1" customHeight="1" x14ac:dyDescent="0.25">
      <c r="B103" s="2" t="str">
        <f>_xlfn.CONCAT(tbSellers[[#This Row],[Station]],tbSellers[[#This Row],[Item]])</f>
        <v>XishuanqOxygen</v>
      </c>
      <c r="C103" s="8" t="s">
        <v>111</v>
      </c>
      <c r="D103" s="18" t="s">
        <v>9</v>
      </c>
      <c r="E103" s="7">
        <f>VLOOKUP(tbSellers[[#This Row],[Item]],tbMaterials[],4,FALSE)</f>
        <v>34</v>
      </c>
      <c r="F103" s="51">
        <v>1</v>
      </c>
      <c r="G103" s="21" t="str">
        <f>VLOOKUP(tbSellers[[#This Row],[Station]],tbSystems[],10,FALSE)</f>
        <v>Medium</v>
      </c>
      <c r="J103" s="4"/>
      <c r="K103" s="30"/>
    </row>
    <row r="104" spans="2:11" s="2" customFormat="1" ht="27.95" hidden="1" customHeight="1" x14ac:dyDescent="0.25">
      <c r="B104" s="2" t="str">
        <f>_xlfn.CONCAT(tbSellers[[#This Row],[Station]],tbSellers[[#This Row],[Item]])</f>
        <v>Yedexi VIIOxygen</v>
      </c>
      <c r="C104" s="8" t="s">
        <v>59</v>
      </c>
      <c r="D104" s="18" t="s">
        <v>9</v>
      </c>
      <c r="E104" s="7">
        <f>VLOOKUP(tbSellers[[#This Row],[Item]],tbMaterials[],4,FALSE)</f>
        <v>34</v>
      </c>
      <c r="F104" s="51">
        <v>-0.81200000000000006</v>
      </c>
      <c r="G104" s="20" t="str">
        <f>VLOOKUP(tbSellers[[#This Row],[Station]],tbSystems[],10,FALSE)</f>
        <v>Medium</v>
      </c>
      <c r="J104" s="4"/>
      <c r="K104" s="30"/>
    </row>
    <row r="105" spans="2:11" s="2" customFormat="1" ht="27.95" hidden="1" customHeight="1" x14ac:dyDescent="0.25">
      <c r="B105" s="2" t="str">
        <f>_xlfn.CONCAT(tbSellers[[#This Row],[Station]],tbSellers[[#This Row],[Item]])</f>
        <v>AlhaimCopper</v>
      </c>
      <c r="C105" s="2" t="s">
        <v>308</v>
      </c>
      <c r="D105" s="18" t="s">
        <v>5</v>
      </c>
      <c r="E105" s="7">
        <f>VLOOKUP(tbSellers[[#This Row],[Item]],tbMaterials[],4,FALSE)</f>
        <v>121</v>
      </c>
      <c r="F105" s="51">
        <v>1</v>
      </c>
      <c r="G105" s="20" t="str">
        <f>VLOOKUP(tbSellers[[#This Row],[Station]],tbSystems[],10,FALSE)</f>
        <v>Medium</v>
      </c>
      <c r="J105" s="4"/>
      <c r="K105" s="30"/>
    </row>
    <row r="106" spans="2:11" s="2" customFormat="1" ht="27.95" hidden="1" customHeight="1" x14ac:dyDescent="0.25">
      <c r="B106" s="2" t="str">
        <f>_xlfn.CONCAT(tbSellers[[#This Row],[Station]],tbSellers[[#This Row],[Item]])</f>
        <v>AnxiexParaffinium</v>
      </c>
      <c r="C106" s="2" t="s">
        <v>272</v>
      </c>
      <c r="D106" s="18" t="s">
        <v>69</v>
      </c>
      <c r="E106" s="7">
        <f>VLOOKUP(tbSellers[[#This Row],[Item]],tbMaterials[],4,FALSE)</f>
        <v>62</v>
      </c>
      <c r="F106" s="51">
        <v>2</v>
      </c>
      <c r="G106" s="20" t="str">
        <f>VLOOKUP(tbSellers[[#This Row],[Station]],tbSystems[],10,FALSE)</f>
        <v>Low</v>
      </c>
      <c r="J106" s="4"/>
      <c r="K106" s="30"/>
    </row>
    <row r="107" spans="2:11" s="2" customFormat="1" ht="27.95" hidden="1" customHeight="1" x14ac:dyDescent="0.25">
      <c r="B107" s="2" t="str">
        <f>_xlfn.CONCAT(tbSellers[[#This Row],[Station]],tbSellers[[#This Row],[Item]])</f>
        <v>Kiheensbo XVIIParaffinium</v>
      </c>
      <c r="C107" s="2" t="s">
        <v>278</v>
      </c>
      <c r="D107" s="18" t="s">
        <v>69</v>
      </c>
      <c r="E107" s="7">
        <f>VLOOKUP(tbSellers[[#This Row],[Item]],tbMaterials[],4,FALSE)</f>
        <v>62</v>
      </c>
      <c r="F107" s="51">
        <v>1</v>
      </c>
      <c r="G107" s="20" t="str">
        <f>VLOOKUP(tbSellers[[#This Row],[Station]],tbSystems[],10,FALSE)</f>
        <v>Low</v>
      </c>
      <c r="J107" s="4"/>
      <c r="K107" s="30"/>
    </row>
    <row r="108" spans="2:11" s="2" customFormat="1" ht="27.95" hidden="1" customHeight="1" x14ac:dyDescent="0.25">
      <c r="B108" s="2" t="str">
        <f>_xlfn.CONCAT(tbSellers[[#This Row],[Station]],tbSellers[[#This Row],[Item]])</f>
        <v>NokungbParaffinium</v>
      </c>
      <c r="C108" s="2" t="s">
        <v>309</v>
      </c>
      <c r="D108" s="18" t="s">
        <v>69</v>
      </c>
      <c r="E108" s="7">
        <f>VLOOKUP(tbSellers[[#This Row],[Item]],tbMaterials[],4,FALSE)</f>
        <v>62</v>
      </c>
      <c r="F108" s="51">
        <v>1</v>
      </c>
      <c r="G108" s="20" t="str">
        <f>VLOOKUP(tbSellers[[#This Row],[Station]],tbSystems[],10,FALSE)</f>
        <v>Medium</v>
      </c>
      <c r="J108" s="4"/>
      <c r="K108" s="30"/>
    </row>
    <row r="109" spans="2:11" s="2" customFormat="1" ht="27.95" hidden="1" customHeight="1" x14ac:dyDescent="0.25">
      <c r="B109" s="2" t="str">
        <f>_xlfn.CONCAT(tbSellers[[#This Row],[Station]],tbSellers[[#This Row],[Item]])</f>
        <v>OqoideParaffinium</v>
      </c>
      <c r="C109" s="2" t="s">
        <v>134</v>
      </c>
      <c r="D109" s="18" t="s">
        <v>69</v>
      </c>
      <c r="E109" s="7">
        <f>VLOOKUP(tbSellers[[#This Row],[Item]],tbMaterials[],4,FALSE)</f>
        <v>62</v>
      </c>
      <c r="F109" s="51">
        <v>1</v>
      </c>
      <c r="G109" s="20" t="str">
        <f>VLOOKUP(tbSellers[[#This Row],[Station]],tbSystems[],10,FALSE)</f>
        <v>Medium</v>
      </c>
      <c r="J109" s="4"/>
      <c r="K109" s="30"/>
    </row>
    <row r="110" spans="2:11" s="2" customFormat="1" ht="27.95" hidden="1" customHeight="1" x14ac:dyDescent="0.25">
      <c r="B110" s="2" t="str">
        <f>_xlfn.CONCAT(tbSellers[[#This Row],[Station]],tbSellers[[#This Row],[Item]])</f>
        <v>PuningtSodium</v>
      </c>
      <c r="C110" s="2" t="s">
        <v>318</v>
      </c>
      <c r="D110" s="18" t="s">
        <v>10</v>
      </c>
      <c r="E110" s="7">
        <f>VLOOKUP(tbSellers[[#This Row],[Item]],tbMaterials[],4,FALSE)</f>
        <v>41</v>
      </c>
      <c r="F110" s="51">
        <v>1</v>
      </c>
      <c r="G110" s="20" t="str">
        <f>VLOOKUP(tbSellers[[#This Row],[Station]],tbSystems[],10,FALSE)</f>
        <v>Medium</v>
      </c>
      <c r="J110" s="4"/>
      <c r="K110" s="30"/>
    </row>
    <row r="111" spans="2:11" s="2" customFormat="1" ht="27.95" hidden="1" customHeight="1" x14ac:dyDescent="0.25">
      <c r="B111" s="2" t="str">
        <f>_xlfn.CONCAT(tbSellers[[#This Row],[Station]],tbSellers[[#This Row],[Item]])</f>
        <v>Ubzhan-Reg VParaffinium</v>
      </c>
      <c r="C111" s="2" t="s">
        <v>141</v>
      </c>
      <c r="D111" s="18" t="s">
        <v>69</v>
      </c>
      <c r="E111" s="7">
        <f>VLOOKUP(tbSellers[[#This Row],[Item]],tbMaterials[],4,FALSE)</f>
        <v>62</v>
      </c>
      <c r="F111" s="51">
        <v>1</v>
      </c>
      <c r="G111" s="20" t="str">
        <f>VLOOKUP(tbSellers[[#This Row],[Station]],tbSystems[],10,FALSE)</f>
        <v>Medium</v>
      </c>
      <c r="J111" s="4"/>
      <c r="K111" s="30"/>
    </row>
    <row r="112" spans="2:11" s="2" customFormat="1" ht="27.95" hidden="1" customHeight="1" x14ac:dyDescent="0.25">
      <c r="B112" s="2" t="str">
        <f>_xlfn.CONCAT(tbSellers[[#This Row],[Station]],tbSellers[[#This Row],[Item]])</f>
        <v>Urumqi XVParaffinium</v>
      </c>
      <c r="C112" s="2" t="s">
        <v>136</v>
      </c>
      <c r="D112" s="18" t="s">
        <v>69</v>
      </c>
      <c r="E112" s="7">
        <f>VLOOKUP(tbSellers[[#This Row],[Item]],tbMaterials[],4,FALSE)</f>
        <v>62</v>
      </c>
      <c r="F112" s="51">
        <v>1</v>
      </c>
      <c r="G112" s="20" t="str">
        <f>VLOOKUP(tbSellers[[#This Row],[Station]],tbSystems[],10,FALSE)</f>
        <v>Low</v>
      </c>
      <c r="J112" s="4"/>
      <c r="K112" s="30"/>
    </row>
    <row r="113" spans="2:11" s="2" customFormat="1" ht="27.95" hidden="1" customHeight="1" x14ac:dyDescent="0.25">
      <c r="B113" s="2" t="str">
        <f>_xlfn.CONCAT(tbSellers[[#This Row],[Station]],tbSellers[[#This Row],[Item]])</f>
        <v>WagormaParaffinium</v>
      </c>
      <c r="C113" s="8" t="s">
        <v>135</v>
      </c>
      <c r="D113" s="18" t="s">
        <v>69</v>
      </c>
      <c r="E113" s="7">
        <f>VLOOKUP(tbSellers[[#This Row],[Item]],tbMaterials[],4,FALSE)</f>
        <v>62</v>
      </c>
      <c r="F113" s="51">
        <v>1</v>
      </c>
      <c r="G113" s="20" t="str">
        <f>VLOOKUP(tbSellers[[#This Row],[Station]],tbSystems[],10,FALSE)</f>
        <v>Medium</v>
      </c>
      <c r="J113" s="4"/>
      <c r="K113" s="30"/>
    </row>
    <row r="114" spans="2:11" s="2" customFormat="1" ht="27.95" hidden="1" customHeight="1" x14ac:dyDescent="0.25">
      <c r="B114" s="2" t="str">
        <f>_xlfn.CONCAT(tbSellers[[#This Row],[Station]],tbSellers[[#This Row],[Item]])</f>
        <v>AlhaimCobalt</v>
      </c>
      <c r="C114" s="2" t="s">
        <v>308</v>
      </c>
      <c r="D114" s="18" t="s">
        <v>6</v>
      </c>
      <c r="E114" s="7">
        <f>VLOOKUP(tbSellers[[#This Row],[Item]],tbMaterials[],4,FALSE)</f>
        <v>198</v>
      </c>
      <c r="F114" s="51">
        <v>1</v>
      </c>
      <c r="G114" s="20" t="str">
        <f>VLOOKUP(tbSellers[[#This Row],[Station]],tbSystems[],10,FALSE)</f>
        <v>Medium</v>
      </c>
      <c r="J114" s="4"/>
      <c r="K114" s="30"/>
    </row>
    <row r="115" spans="2:11" s="2" customFormat="1" ht="27.95" hidden="1" customHeight="1" x14ac:dyDescent="0.25">
      <c r="B115" s="2" t="str">
        <f>_xlfn.CONCAT(tbSellers[[#This Row],[Station]],tbSellers[[#This Row],[Item]])</f>
        <v>Cuomul-TosSodium</v>
      </c>
      <c r="C115" s="2" t="s">
        <v>314</v>
      </c>
      <c r="D115" s="18" t="s">
        <v>10</v>
      </c>
      <c r="E115" s="7">
        <f>VLOOKUP(tbSellers[[#This Row],[Item]],tbMaterials[],4,FALSE)</f>
        <v>41</v>
      </c>
      <c r="F115" s="51">
        <v>1</v>
      </c>
      <c r="G115" s="20" t="str">
        <f>VLOOKUP(tbSellers[[#This Row],[Station]],tbSystems[],10,FALSE)</f>
        <v>Medium</v>
      </c>
      <c r="J115" s="4"/>
      <c r="K115" s="30"/>
    </row>
    <row r="116" spans="2:11" s="2" customFormat="1" ht="27.95" hidden="1" customHeight="1" x14ac:dyDescent="0.25">
      <c r="B116" s="2" t="str">
        <f>_xlfn.CONCAT(tbSellers[[#This Row],[Station]],tbSellers[[#This Row],[Item]])</f>
        <v>NokungbPhosphorus</v>
      </c>
      <c r="C116" s="2" t="s">
        <v>309</v>
      </c>
      <c r="D116" s="18" t="s">
        <v>39</v>
      </c>
      <c r="E116" s="7">
        <f>VLOOKUP(tbSellers[[#This Row],[Item]],tbMaterials[],4,FALSE)</f>
        <v>62</v>
      </c>
      <c r="F116" s="51">
        <v>1</v>
      </c>
      <c r="G116" s="20" t="str">
        <f>VLOOKUP(tbSellers[[#This Row],[Station]],tbSystems[],10,FALSE)</f>
        <v>Medium</v>
      </c>
      <c r="J116" s="4"/>
      <c r="K116" s="30"/>
    </row>
    <row r="117" spans="2:11" s="2" customFormat="1" ht="27.95" hidden="1" customHeight="1" x14ac:dyDescent="0.25">
      <c r="B117" s="2" t="str">
        <f>_xlfn.CONCAT(tbSellers[[#This Row],[Station]],tbSellers[[#This Row],[Item]])</f>
        <v>Paddoc-KehaPhosphorus</v>
      </c>
      <c r="C117" s="8" t="s">
        <v>112</v>
      </c>
      <c r="D117" s="18" t="s">
        <v>39</v>
      </c>
      <c r="E117" s="7">
        <f>VLOOKUP(tbSellers[[#This Row],[Item]],tbMaterials[],4,FALSE)</f>
        <v>62</v>
      </c>
      <c r="F117" s="51">
        <v>1</v>
      </c>
      <c r="G117" s="21" t="str">
        <f>VLOOKUP(tbSellers[[#This Row],[Station]],tbSystems[],10,FALSE)</f>
        <v>Low</v>
      </c>
      <c r="J117" s="4"/>
      <c r="K117" s="30"/>
    </row>
    <row r="118" spans="2:11" s="2" customFormat="1" ht="27.95" hidden="1" customHeight="1" x14ac:dyDescent="0.25">
      <c r="B118" s="2" t="str">
        <f>_xlfn.CONCAT(tbSellers[[#This Row],[Station]],tbSellers[[#This Row],[Item]])</f>
        <v>SeogwipPhosphorus</v>
      </c>
      <c r="C118" s="8" t="s">
        <v>261</v>
      </c>
      <c r="D118" s="18" t="s">
        <v>39</v>
      </c>
      <c r="E118" s="7">
        <f>VLOOKUP(tbSellers[[#This Row],[Item]],tbMaterials[],4,FALSE)</f>
        <v>62</v>
      </c>
      <c r="F118" s="51">
        <v>1</v>
      </c>
      <c r="G118" s="21" t="str">
        <f>VLOOKUP(tbSellers[[#This Row],[Station]],tbSystems[],10,FALSE)</f>
        <v>Medium</v>
      </c>
      <c r="J118" s="4"/>
      <c r="K118" s="30"/>
    </row>
    <row r="119" spans="2:11" s="2" customFormat="1" ht="27.95" hidden="1" customHeight="1" x14ac:dyDescent="0.25">
      <c r="B119" s="2" t="str">
        <f>_xlfn.CONCAT(tbSellers[[#This Row],[Station]],tbSellers[[#This Row],[Item]])</f>
        <v>Iijinc XVGold</v>
      </c>
      <c r="C119" s="2" t="s">
        <v>503</v>
      </c>
      <c r="D119" s="18" t="s">
        <v>27</v>
      </c>
      <c r="E119" s="7">
        <f>VLOOKUP(tbSellers[[#This Row],[Item]],tbMaterials[],4,FALSE)</f>
        <v>353</v>
      </c>
      <c r="F119" s="51">
        <v>1</v>
      </c>
      <c r="G119" s="20" t="str">
        <f>VLOOKUP(tbSellers[[#This Row],[Station]],tbSystems[],10,FALSE)</f>
        <v>Medium</v>
      </c>
      <c r="J119" s="4"/>
      <c r="K119" s="30"/>
    </row>
    <row r="120" spans="2:11" s="2" customFormat="1" ht="27.95" hidden="1" customHeight="1" x14ac:dyDescent="0.25">
      <c r="B120" s="2" t="str">
        <f>_xlfn.CONCAT(tbSellers[[#This Row],[Station]],tbSellers[[#This Row],[Item]])</f>
        <v>Iijinc XVCobalt</v>
      </c>
      <c r="C120" s="2" t="s">
        <v>503</v>
      </c>
      <c r="D120" s="18" t="s">
        <v>6</v>
      </c>
      <c r="E120" s="7">
        <f>VLOOKUP(tbSellers[[#This Row],[Item]],tbMaterials[],4,FALSE)</f>
        <v>198</v>
      </c>
      <c r="F120" s="51">
        <v>1</v>
      </c>
      <c r="G120" s="20" t="str">
        <f>VLOOKUP(tbSellers[[#This Row],[Station]],tbSystems[],10,FALSE)</f>
        <v>Medium</v>
      </c>
      <c r="J120" s="4"/>
      <c r="K120" s="30"/>
    </row>
    <row r="121" spans="2:11" s="2" customFormat="1" ht="27.95" hidden="1" customHeight="1" x14ac:dyDescent="0.25">
      <c r="B121" s="2" t="str">
        <f>_xlfn.CONCAT(tbSellers[[#This Row],[Station]],tbSellers[[#This Row],[Item]])</f>
        <v>Yartan-AwkinFerrite Dust</v>
      </c>
      <c r="C121" s="2" t="s">
        <v>365</v>
      </c>
      <c r="D121" s="18" t="s">
        <v>13</v>
      </c>
      <c r="E121" s="7">
        <f>VLOOKUP(tbSellers[[#This Row],[Item]],tbMaterials[],4,FALSE)</f>
        <v>14</v>
      </c>
      <c r="F121" s="51"/>
      <c r="G121" s="20" t="str">
        <f>VLOOKUP(tbSellers[[#This Row],[Station]],tbSystems[],10,FALSE)</f>
        <v>Medium</v>
      </c>
      <c r="J121" s="4"/>
      <c r="K121" s="30"/>
    </row>
    <row r="122" spans="2:11" s="2" customFormat="1" ht="27.95" hidden="1" customHeight="1" x14ac:dyDescent="0.25">
      <c r="B122" s="2" t="str">
        <f>_xlfn.CONCAT(tbSellers[[#This Row],[Station]],tbSellers[[#This Row],[Item]])</f>
        <v>Yartan-AwkinCobalt</v>
      </c>
      <c r="C122" s="2" t="s">
        <v>365</v>
      </c>
      <c r="D122" s="18" t="s">
        <v>6</v>
      </c>
      <c r="E122" s="7">
        <f>VLOOKUP(tbSellers[[#This Row],[Item]],tbMaterials[],4,FALSE)</f>
        <v>198</v>
      </c>
      <c r="F122" s="51"/>
      <c r="G122" s="20" t="str">
        <f>VLOOKUP(tbSellers[[#This Row],[Station]],tbSystems[],10,FALSE)</f>
        <v>Medium</v>
      </c>
      <c r="J122" s="4"/>
      <c r="K122" s="30"/>
    </row>
    <row r="123" spans="2:11" s="2" customFormat="1" ht="27.95" hidden="1" customHeight="1" x14ac:dyDescent="0.25">
      <c r="B123" s="2" t="str">
        <f>_xlfn.CONCAT(tbSellers[[#This Row],[Station]],tbSellers[[#This Row],[Item]])</f>
        <v>Yartan-AwkinOxygen</v>
      </c>
      <c r="C123" s="2" t="s">
        <v>365</v>
      </c>
      <c r="D123" s="18" t="s">
        <v>9</v>
      </c>
      <c r="E123" s="7">
        <f>VLOOKUP(tbSellers[[#This Row],[Item]],tbMaterials[],4,FALSE)</f>
        <v>34</v>
      </c>
      <c r="F123" s="51"/>
      <c r="G123" s="20" t="str">
        <f>VLOOKUP(tbSellers[[#This Row],[Station]],tbSystems[],10,FALSE)</f>
        <v>Medium</v>
      </c>
      <c r="J123" s="4"/>
      <c r="K123" s="30"/>
    </row>
    <row r="124" spans="2:11" s="2" customFormat="1" ht="27.95" hidden="1" customHeight="1" x14ac:dyDescent="0.25">
      <c r="B124" s="2" t="str">
        <f>_xlfn.CONCAT(tbSellers[[#This Row],[Station]],tbSellers[[#This Row],[Item]])</f>
        <v>Yartan-AwkinSodium</v>
      </c>
      <c r="C124" s="2" t="s">
        <v>365</v>
      </c>
      <c r="D124" s="18" t="s">
        <v>10</v>
      </c>
      <c r="E124" s="7">
        <f>VLOOKUP(tbSellers[[#This Row],[Item]],tbMaterials[],4,FALSE)</f>
        <v>41</v>
      </c>
      <c r="F124" s="51"/>
      <c r="G124" s="20" t="str">
        <f>VLOOKUP(tbSellers[[#This Row],[Station]],tbSystems[],10,FALSE)</f>
        <v>Medium</v>
      </c>
      <c r="J124" s="4"/>
      <c r="K124" s="30"/>
    </row>
    <row r="125" spans="2:11" s="2" customFormat="1" ht="27.95" hidden="1" customHeight="1" x14ac:dyDescent="0.25">
      <c r="B125" s="2" t="str">
        <f>_xlfn.CONCAT(tbSellers[[#This Row],[Station]],tbSellers[[#This Row],[Item]])</f>
        <v>Iijinc XVSilver</v>
      </c>
      <c r="C125" s="2" t="s">
        <v>503</v>
      </c>
      <c r="D125" s="18" t="s">
        <v>20</v>
      </c>
      <c r="E125" s="7">
        <f>VLOOKUP(tbSellers[[#This Row],[Item]],tbMaterials[],4,FALSE)</f>
        <v>186</v>
      </c>
      <c r="F125" s="51">
        <v>2</v>
      </c>
      <c r="G125" s="20" t="str">
        <f>VLOOKUP(tbSellers[[#This Row],[Station]],tbSystems[],10,FALSE)</f>
        <v>Medium</v>
      </c>
      <c r="J125" s="4"/>
      <c r="K125" s="30"/>
    </row>
    <row r="126" spans="2:11" s="2" customFormat="1" ht="27.95" hidden="1" customHeight="1" x14ac:dyDescent="0.25">
      <c r="B126" s="2" t="str">
        <f>_xlfn.CONCAT(tbSellers[[#This Row],[Station]],tbSellers[[#This Row],[Item]])</f>
        <v>Iijinc XVMagnetised Ferrite</v>
      </c>
      <c r="C126" s="2" t="s">
        <v>503</v>
      </c>
      <c r="D126" s="18" t="s">
        <v>268</v>
      </c>
      <c r="E126" s="7">
        <f>VLOOKUP(tbSellers[[#This Row],[Item]],tbMaterials[],4,FALSE)</f>
        <v>82</v>
      </c>
      <c r="F126" s="51">
        <v>1</v>
      </c>
      <c r="G126" s="20" t="str">
        <f>VLOOKUP(tbSellers[[#This Row],[Station]],tbSystems[],10,FALSE)</f>
        <v>Medium</v>
      </c>
      <c r="J126" s="4"/>
      <c r="K126" s="30"/>
    </row>
    <row r="127" spans="2:11" s="2" customFormat="1" ht="27.95" hidden="1" customHeight="1" x14ac:dyDescent="0.25">
      <c r="B127" s="2" t="str">
        <f>_xlfn.CONCAT(tbSellers[[#This Row],[Station]],tbSellers[[#This Row],[Item]])</f>
        <v>Iijinc XVAmmonia</v>
      </c>
      <c r="C127" s="2" t="s">
        <v>503</v>
      </c>
      <c r="D127" s="18" t="s">
        <v>97</v>
      </c>
      <c r="E127" s="7">
        <f>VLOOKUP(tbSellers[[#This Row],[Item]],tbMaterials[],4,FALSE)</f>
        <v>62</v>
      </c>
      <c r="F127" s="51">
        <v>2</v>
      </c>
      <c r="G127" s="20" t="str">
        <f>VLOOKUP(tbSellers[[#This Row],[Station]],tbSystems[],10,FALSE)</f>
        <v>Medium</v>
      </c>
      <c r="J127" s="4"/>
      <c r="K127" s="30"/>
    </row>
    <row r="128" spans="2:11" s="2" customFormat="1" ht="27.95" hidden="1" customHeight="1" x14ac:dyDescent="0.25">
      <c r="B128" s="2" t="str">
        <f>_xlfn.CONCAT(tbSellers[[#This Row],[Station]],tbSellers[[#This Row],[Item]])</f>
        <v>Gepohalih IIIAmmonia</v>
      </c>
      <c r="C128" s="2" t="s">
        <v>538</v>
      </c>
      <c r="D128" s="18" t="s">
        <v>97</v>
      </c>
      <c r="E128" s="7">
        <f>VLOOKUP(tbSellers[[#This Row],[Item]],tbMaterials[],4,FALSE)</f>
        <v>62</v>
      </c>
      <c r="F128" s="51">
        <v>1</v>
      </c>
      <c r="G128" s="21" t="str">
        <f>VLOOKUP(tbSellers[[#This Row],[Station]],tbSystems[],10,FALSE)</f>
        <v>Medium</v>
      </c>
      <c r="J128" s="4"/>
      <c r="K128" s="30"/>
    </row>
    <row r="129" spans="2:11" s="2" customFormat="1" ht="27.95" hidden="1" customHeight="1" x14ac:dyDescent="0.25">
      <c r="B129" s="2" t="str">
        <f>_xlfn.CONCAT(tbSellers[[#This Row],[Station]],tbSellers[[#This Row],[Item]])</f>
        <v>Gepohalih IIIPure Ferrite</v>
      </c>
      <c r="C129" s="2" t="s">
        <v>538</v>
      </c>
      <c r="D129" s="18" t="s">
        <v>304</v>
      </c>
      <c r="E129" s="7">
        <f>VLOOKUP(tbSellers[[#This Row],[Item]],tbMaterials[],4,FALSE)</f>
        <v>28</v>
      </c>
      <c r="F129" s="51">
        <v>1</v>
      </c>
      <c r="G129" s="21" t="str">
        <f>VLOOKUP(tbSellers[[#This Row],[Station]],tbSystems[],10,FALSE)</f>
        <v>Medium</v>
      </c>
      <c r="J129" s="4"/>
      <c r="K129" s="30"/>
    </row>
    <row r="130" spans="2:11" s="2" customFormat="1" ht="27.95" hidden="1" customHeight="1" x14ac:dyDescent="0.25">
      <c r="B130" s="2" t="str">
        <f>_xlfn.CONCAT(tbSellers[[#This Row],[Station]],tbSellers[[#This Row],[Item]])</f>
        <v>Gepohalih IIICopper</v>
      </c>
      <c r="C130" s="2" t="s">
        <v>538</v>
      </c>
      <c r="D130" s="18" t="s">
        <v>5</v>
      </c>
      <c r="E130" s="7">
        <f>VLOOKUP(tbSellers[[#This Row],[Item]],tbMaterials[],4,FALSE)</f>
        <v>121</v>
      </c>
      <c r="F130" s="51">
        <v>1</v>
      </c>
      <c r="G130" s="21" t="str">
        <f>VLOOKUP(tbSellers[[#This Row],[Station]],tbSystems[],10,FALSE)</f>
        <v>Medium</v>
      </c>
      <c r="J130" s="4"/>
      <c r="K130" s="30"/>
    </row>
    <row r="131" spans="2:11" s="2" customFormat="1" ht="27.95" hidden="1" customHeight="1" x14ac:dyDescent="0.25">
      <c r="B131" s="2" t="str">
        <f>_xlfn.CONCAT(tbSellers[[#This Row],[Station]],tbSellers[[#This Row],[Item]])</f>
        <v>Gepohalih IIISodium Nitrate</v>
      </c>
      <c r="C131" s="2" t="s">
        <v>538</v>
      </c>
      <c r="D131" s="18" t="s">
        <v>12</v>
      </c>
      <c r="E131" s="7">
        <f>VLOOKUP(tbSellers[[#This Row],[Item]],tbMaterials[],4,FALSE)</f>
        <v>82</v>
      </c>
      <c r="F131" s="51">
        <v>1</v>
      </c>
      <c r="G131" s="21" t="str">
        <f>VLOOKUP(tbSellers[[#This Row],[Station]],tbSystems[],10,FALSE)</f>
        <v>Medium</v>
      </c>
      <c r="J131" s="4"/>
      <c r="K131" s="30"/>
    </row>
    <row r="132" spans="2:11" s="2" customFormat="1" ht="27.95" hidden="1" customHeight="1" x14ac:dyDescent="0.25">
      <c r="B132" s="2" t="str">
        <f>_xlfn.CONCAT(tbSellers[[#This Row],[Station]],tbSellers[[#This Row],[Item]])</f>
        <v>Gepohalih IIIPugneum</v>
      </c>
      <c r="C132" s="2" t="s">
        <v>538</v>
      </c>
      <c r="D132" s="18" t="s">
        <v>292</v>
      </c>
      <c r="E132" s="7">
        <f>VLOOKUP(tbSellers[[#This Row],[Item]],tbMaterials[],4,FALSE)</f>
        <v>138</v>
      </c>
      <c r="F132" s="51">
        <v>1</v>
      </c>
      <c r="G132" s="21" t="str">
        <f>VLOOKUP(tbSellers[[#This Row],[Station]],tbSystems[],10,FALSE)</f>
        <v>Medium</v>
      </c>
      <c r="J132" s="4"/>
      <c r="K132" s="30"/>
    </row>
    <row r="133" spans="2:11" s="2" customFormat="1" ht="27.95" hidden="1" customHeight="1" x14ac:dyDescent="0.25">
      <c r="B133" s="2" t="str">
        <f>_xlfn.CONCAT(tbSellers[[#This Row],[Station]],tbSellers[[#This Row],[Item]])</f>
        <v>Gepohalih IIIFerrite Dust</v>
      </c>
      <c r="C133" s="2" t="s">
        <v>538</v>
      </c>
      <c r="D133" s="18" t="s">
        <v>13</v>
      </c>
      <c r="E133" s="7">
        <f>VLOOKUP(tbSellers[[#This Row],[Item]],tbMaterials[],4,FALSE)</f>
        <v>14</v>
      </c>
      <c r="F133" s="51">
        <v>2</v>
      </c>
      <c r="G133" s="20" t="str">
        <f>VLOOKUP(tbSellers[[#This Row],[Station]],tbSystems[],10,FALSE)</f>
        <v>Medium</v>
      </c>
      <c r="J133" s="4"/>
      <c r="K133" s="30"/>
    </row>
    <row r="134" spans="2:11" s="2" customFormat="1" ht="27.95" hidden="1" customHeight="1" x14ac:dyDescent="0.25">
      <c r="B134" s="2" t="str">
        <f>_xlfn.CONCAT(tbSellers[[#This Row],[Station]],tbSellers[[#This Row],[Item]])</f>
        <v>Gepohalih IIICobalt</v>
      </c>
      <c r="C134" s="2" t="s">
        <v>538</v>
      </c>
      <c r="D134" s="18" t="s">
        <v>6</v>
      </c>
      <c r="E134" s="7">
        <f>VLOOKUP(tbSellers[[#This Row],[Item]],tbMaterials[],4,FALSE)</f>
        <v>198</v>
      </c>
      <c r="F134" s="51">
        <v>2</v>
      </c>
      <c r="G134" s="20" t="str">
        <f>VLOOKUP(tbSellers[[#This Row],[Station]],tbSystems[],10,FALSE)</f>
        <v>Medium</v>
      </c>
      <c r="J134" s="4"/>
      <c r="K134" s="30"/>
    </row>
    <row r="135" spans="2:11" s="2" customFormat="1" ht="27.95" hidden="1" customHeight="1" x14ac:dyDescent="0.25">
      <c r="B135" s="2" t="str">
        <f>_xlfn.CONCAT(tbSellers[[#This Row],[Station]],tbSellers[[#This Row],[Item]])</f>
        <v>Gepohalih IIIOxygen</v>
      </c>
      <c r="C135" s="2" t="s">
        <v>538</v>
      </c>
      <c r="D135" s="18" t="s">
        <v>9</v>
      </c>
      <c r="E135" s="7">
        <f>VLOOKUP(tbSellers[[#This Row],[Item]],tbMaterials[],4,FALSE)</f>
        <v>34</v>
      </c>
      <c r="F135" s="51">
        <v>2</v>
      </c>
      <c r="G135" s="20" t="str">
        <f>VLOOKUP(tbSellers[[#This Row],[Station]],tbSystems[],10,FALSE)</f>
        <v>Medium</v>
      </c>
      <c r="J135" s="4"/>
      <c r="K135" s="30"/>
    </row>
    <row r="136" spans="2:11" s="2" customFormat="1" ht="27.95" hidden="1" customHeight="1" x14ac:dyDescent="0.25">
      <c r="B136" s="2" t="str">
        <f>_xlfn.CONCAT(tbSellers[[#This Row],[Station]],tbSellers[[#This Row],[Item]])</f>
        <v>Iijinc XVPyrite</v>
      </c>
      <c r="C136" s="2" t="s">
        <v>503</v>
      </c>
      <c r="D136" s="18" t="s">
        <v>140</v>
      </c>
      <c r="E136" s="7">
        <f>VLOOKUP(tbSellers[[#This Row],[Item]],tbMaterials[],4,FALSE)</f>
        <v>62</v>
      </c>
      <c r="F136" s="51">
        <v>2</v>
      </c>
      <c r="G136" s="20" t="str">
        <f>VLOOKUP(tbSellers[[#This Row],[Station]],tbSystems[],10,FALSE)</f>
        <v>Medium</v>
      </c>
      <c r="J136" s="4"/>
      <c r="K136" s="30"/>
    </row>
    <row r="137" spans="2:11" s="2" customFormat="1" ht="27.95" hidden="1" customHeight="1" x14ac:dyDescent="0.25">
      <c r="B137" s="2" t="str">
        <f>_xlfn.CONCAT(tbSellers[[#This Row],[Station]],tbSellers[[#This Row],[Item]])</f>
        <v>NalangniSodium</v>
      </c>
      <c r="C137" s="8" t="s">
        <v>90</v>
      </c>
      <c r="D137" s="18" t="s">
        <v>10</v>
      </c>
      <c r="E137" s="7">
        <f>VLOOKUP(tbSellers[[#This Row],[Item]],tbMaterials[],4,FALSE)</f>
        <v>41</v>
      </c>
      <c r="F137" s="51">
        <v>1</v>
      </c>
      <c r="G137" s="21" t="str">
        <f>VLOOKUP(tbSellers[[#This Row],[Station]],tbSystems[],10,FALSE)</f>
        <v>Medium</v>
      </c>
      <c r="J137" s="4"/>
      <c r="K137" s="30"/>
    </row>
    <row r="138" spans="2:11" s="2" customFormat="1" ht="27.95" hidden="1" customHeight="1" x14ac:dyDescent="0.25">
      <c r="B138" s="2" t="str">
        <f>_xlfn.CONCAT(tbSellers[[#This Row],[Station]],tbSellers[[#This Row],[Item]])</f>
        <v>Iijinc XVSodium</v>
      </c>
      <c r="C138" s="2" t="s">
        <v>503</v>
      </c>
      <c r="D138" s="18" t="s">
        <v>10</v>
      </c>
      <c r="E138" s="7">
        <f>VLOOKUP(tbSellers[[#This Row],[Item]],tbMaterials[],4,FALSE)</f>
        <v>41</v>
      </c>
      <c r="F138" s="51">
        <v>1</v>
      </c>
      <c r="G138" s="20" t="str">
        <f>VLOOKUP(tbSellers[[#This Row],[Station]],tbSystems[],10,FALSE)</f>
        <v>Medium</v>
      </c>
      <c r="J138" s="4"/>
      <c r="K138" s="30"/>
    </row>
    <row r="139" spans="2:11" s="2" customFormat="1" ht="27.95" customHeight="1" x14ac:dyDescent="0.25">
      <c r="B139" s="2" t="str">
        <f>_xlfn.CONCAT(tbSellers[[#This Row],[Station]],tbSellers[[#This Row],[Item]])</f>
        <v>Nancangz XVChlorine</v>
      </c>
      <c r="C139" s="8" t="s">
        <v>61</v>
      </c>
      <c r="D139" s="18" t="s">
        <v>96</v>
      </c>
      <c r="E139" s="7">
        <f>VLOOKUP(tbSellers[[#This Row],[Item]],tbMaterials[],4,FALSE)</f>
        <v>602</v>
      </c>
      <c r="F139" s="51">
        <v>1</v>
      </c>
      <c r="G139" s="21" t="str">
        <f>VLOOKUP(tbSellers[[#This Row],[Station]],tbSystems[],10,FALSE)</f>
        <v>Medium</v>
      </c>
      <c r="J139" s="4"/>
      <c r="K139" s="30"/>
    </row>
    <row r="140" spans="2:11" s="2" customFormat="1" ht="27.95" hidden="1" customHeight="1" x14ac:dyDescent="0.25">
      <c r="B140" s="2" t="str">
        <f>_xlfn.CONCAT(tbSellers[[#This Row],[Station]],tbSellers[[#This Row],[Item]])</f>
        <v>Nancangz XVPlatinum</v>
      </c>
      <c r="C140" s="8" t="s">
        <v>61</v>
      </c>
      <c r="D140" s="18" t="s">
        <v>19</v>
      </c>
      <c r="E140" s="7">
        <f>VLOOKUP(tbSellers[[#This Row],[Item]],tbMaterials[],4,FALSE)</f>
        <v>505</v>
      </c>
      <c r="F140" s="51">
        <v>2</v>
      </c>
      <c r="G140" s="20" t="str">
        <f>VLOOKUP(tbSellers[[#This Row],[Station]],tbSystems[],10,FALSE)</f>
        <v>Medium</v>
      </c>
      <c r="J140" s="4"/>
      <c r="K140" s="30"/>
    </row>
    <row r="141" spans="2:11" s="2" customFormat="1" ht="27.95" hidden="1" customHeight="1" x14ac:dyDescent="0.25">
      <c r="B141" s="2" t="str">
        <f>_xlfn.CONCAT(tbSellers[[#This Row],[Station]],tbSellers[[#This Row],[Item]])</f>
        <v>Iijinc XVOxygen</v>
      </c>
      <c r="C141" s="2" t="s">
        <v>503</v>
      </c>
      <c r="D141" s="18" t="s">
        <v>9</v>
      </c>
      <c r="E141" s="7">
        <f>VLOOKUP(tbSellers[[#This Row],[Item]],tbMaterials[],4,FALSE)</f>
        <v>34</v>
      </c>
      <c r="F141" s="51">
        <v>1</v>
      </c>
      <c r="G141" s="20" t="str">
        <f>VLOOKUP(tbSellers[[#This Row],[Station]],tbSystems[],10,FALSE)</f>
        <v>Medium</v>
      </c>
      <c r="J141" s="4"/>
      <c r="K141" s="30"/>
    </row>
    <row r="142" spans="2:11" s="2" customFormat="1" ht="27.95" hidden="1" customHeight="1" x14ac:dyDescent="0.25">
      <c r="B142" s="2" t="str">
        <f>_xlfn.CONCAT(tbSellers[[#This Row],[Station]],tbSellers[[#This Row],[Item]])</f>
        <v>Iijinc XVPure Ferrite</v>
      </c>
      <c r="C142" s="2" t="s">
        <v>503</v>
      </c>
      <c r="D142" s="18" t="s">
        <v>304</v>
      </c>
      <c r="E142" s="7">
        <f>VLOOKUP(tbSellers[[#This Row],[Item]],tbMaterials[],4,FALSE)</f>
        <v>28</v>
      </c>
      <c r="F142" s="51">
        <v>2</v>
      </c>
      <c r="G142" s="20" t="str">
        <f>VLOOKUP(tbSellers[[#This Row],[Station]],tbSystems[],10,FALSE)</f>
        <v>Medium</v>
      </c>
      <c r="J142" s="4"/>
      <c r="K142" s="30"/>
    </row>
    <row r="143" spans="2:11" s="2" customFormat="1" ht="27.95" hidden="1" customHeight="1" x14ac:dyDescent="0.25">
      <c r="B143" s="2" t="str">
        <f>_xlfn.CONCAT(tbSellers[[#This Row],[Station]],tbSellers[[#This Row],[Item]])</f>
        <v>Iijinc XVFerrite Dust</v>
      </c>
      <c r="C143" s="2" t="s">
        <v>503</v>
      </c>
      <c r="D143" s="18" t="s">
        <v>13</v>
      </c>
      <c r="E143" s="7">
        <f>VLOOKUP(tbSellers[[#This Row],[Item]],tbMaterials[],4,FALSE)</f>
        <v>14</v>
      </c>
      <c r="F143" s="51">
        <v>1</v>
      </c>
      <c r="G143" s="20" t="str">
        <f>VLOOKUP(tbSellers[[#This Row],[Station]],tbSystems[],10,FALSE)</f>
        <v>Medium</v>
      </c>
      <c r="J143" s="4"/>
      <c r="K143" s="30"/>
    </row>
    <row r="144" spans="2:11" s="2" customFormat="1" ht="27.95" hidden="1" customHeight="1" x14ac:dyDescent="0.25">
      <c r="B144" s="2" t="str">
        <f>_xlfn.CONCAT(tbSellers[[#This Row],[Station]],tbSellers[[#This Row],[Item]])</f>
        <v>Iijinc XVTritium</v>
      </c>
      <c r="C144" s="2" t="s">
        <v>503</v>
      </c>
      <c r="D144" s="18" t="s">
        <v>28</v>
      </c>
      <c r="E144" s="7">
        <f>VLOOKUP(tbSellers[[#This Row],[Item]],tbMaterials[],4,FALSE)</f>
        <v>6</v>
      </c>
      <c r="F144" s="51">
        <v>1</v>
      </c>
      <c r="G144" s="20" t="str">
        <f>VLOOKUP(tbSellers[[#This Row],[Station]],tbSystems[],10,FALSE)</f>
        <v>Medium</v>
      </c>
      <c r="J144" s="4"/>
      <c r="K144" s="30"/>
    </row>
    <row r="145" spans="2:11" s="2" customFormat="1" ht="27.95" hidden="1" customHeight="1" x14ac:dyDescent="0.25">
      <c r="B145" s="2" t="str">
        <f>_xlfn.CONCAT(tbSellers[[#This Row],[Station]],tbSellers[[#This Row],[Item]])</f>
        <v>Yartan-AwkinUranium</v>
      </c>
      <c r="C145" s="2" t="s">
        <v>365</v>
      </c>
      <c r="D145" s="18" t="s">
        <v>64</v>
      </c>
      <c r="E145" s="7">
        <f>VLOOKUP(tbSellers[[#This Row],[Item]],tbMaterials[],4,FALSE)</f>
        <v>62</v>
      </c>
      <c r="F145" s="51"/>
      <c r="G145" s="20" t="str">
        <f>VLOOKUP(tbSellers[[#This Row],[Station]],tbSystems[],10,FALSE)</f>
        <v>Medium</v>
      </c>
      <c r="J145" s="4"/>
      <c r="K145" s="30"/>
    </row>
    <row r="146" spans="2:11" s="2" customFormat="1" ht="27.95" hidden="1" customHeight="1" x14ac:dyDescent="0.25">
      <c r="B146" s="2" t="str">
        <f>_xlfn.CONCAT(tbSellers[[#This Row],[Station]],tbSellers[[#This Row],[Item]])</f>
        <v>Nancangz XVSilver</v>
      </c>
      <c r="C146" s="8" t="s">
        <v>61</v>
      </c>
      <c r="D146" s="18" t="s">
        <v>20</v>
      </c>
      <c r="E146" s="7">
        <f>VLOOKUP(tbSellers[[#This Row],[Item]],tbMaterials[],4,FALSE)</f>
        <v>186</v>
      </c>
      <c r="F146" s="51">
        <v>2</v>
      </c>
      <c r="G146" s="20" t="str">
        <f>VLOOKUP(tbSellers[[#This Row],[Station]],tbSystems[],10,FALSE)</f>
        <v>Medium</v>
      </c>
      <c r="J146" s="4"/>
      <c r="K146" s="30"/>
    </row>
    <row r="147" spans="2:11" s="2" customFormat="1" ht="27.95" hidden="1" customHeight="1" x14ac:dyDescent="0.25">
      <c r="B147" s="2" t="str">
        <f>_xlfn.CONCAT(tbSellers[[#This Row],[Station]],tbSellers[[#This Row],[Item]])</f>
        <v>Yartan-AwkinMagnetised Ferrite</v>
      </c>
      <c r="C147" s="2" t="s">
        <v>365</v>
      </c>
      <c r="D147" s="18" t="s">
        <v>268</v>
      </c>
      <c r="E147" s="7">
        <f>VLOOKUP(tbSellers[[#This Row],[Item]],tbMaterials[],4,FALSE)</f>
        <v>82</v>
      </c>
      <c r="F147" s="51"/>
      <c r="G147" s="20" t="str">
        <f>VLOOKUP(tbSellers[[#This Row],[Station]],tbSystems[],10,FALSE)</f>
        <v>Medium</v>
      </c>
      <c r="J147" s="4"/>
      <c r="K147" s="30"/>
    </row>
    <row r="148" spans="2:11" s="2" customFormat="1" ht="27.95" hidden="1" customHeight="1" x14ac:dyDescent="0.25">
      <c r="B148" s="2" t="str">
        <f>_xlfn.CONCAT(tbSellers[[#This Row],[Station]],tbSellers[[#This Row],[Item]])</f>
        <v>NokungbGold</v>
      </c>
      <c r="C148" s="2" t="s">
        <v>309</v>
      </c>
      <c r="D148" s="18" t="s">
        <v>27</v>
      </c>
      <c r="E148" s="7">
        <f>VLOOKUP(tbSellers[[#This Row],[Item]],tbMaterials[],4,FALSE)</f>
        <v>353</v>
      </c>
      <c r="F148" s="51">
        <v>1</v>
      </c>
      <c r="G148" s="20" t="str">
        <f>VLOOKUP(tbSellers[[#This Row],[Station]],tbSystems[],10,FALSE)</f>
        <v>Medium</v>
      </c>
      <c r="J148" s="4"/>
      <c r="K148" s="30"/>
    </row>
    <row r="149" spans="2:11" s="2" customFormat="1" ht="27.95" hidden="1" customHeight="1" x14ac:dyDescent="0.25">
      <c r="B149" s="2" t="str">
        <f>_xlfn.CONCAT(tbSellers[[#This Row],[Station]],tbSellers[[#This Row],[Item]])</f>
        <v>Cuomul-TosOxygen</v>
      </c>
      <c r="C149" s="2" t="s">
        <v>314</v>
      </c>
      <c r="D149" s="18" t="s">
        <v>9</v>
      </c>
      <c r="E149" s="7">
        <f>VLOOKUP(tbSellers[[#This Row],[Item]],tbMaterials[],4,FALSE)</f>
        <v>34</v>
      </c>
      <c r="F149" s="51">
        <v>1</v>
      </c>
      <c r="G149" s="20" t="str">
        <f>VLOOKUP(tbSellers[[#This Row],[Station]],tbSystems[],10,FALSE)</f>
        <v>Medium</v>
      </c>
      <c r="J149" s="4"/>
      <c r="K149" s="30"/>
    </row>
    <row r="150" spans="2:11" s="2" customFormat="1" ht="27.95" hidden="1" customHeight="1" x14ac:dyDescent="0.25">
      <c r="B150" s="2" t="str">
        <f>_xlfn.CONCAT(tbSellers[[#This Row],[Station]],tbSellers[[#This Row],[Item]])</f>
        <v>Ubzhan-Reg VPugneum</v>
      </c>
      <c r="C150" s="2" t="s">
        <v>141</v>
      </c>
      <c r="D150" s="18" t="s">
        <v>292</v>
      </c>
      <c r="E150" s="7">
        <f>VLOOKUP(tbSellers[[#This Row],[Item]],tbMaterials[],4,FALSE)</f>
        <v>138</v>
      </c>
      <c r="F150" s="51">
        <v>1</v>
      </c>
      <c r="G150" s="20" t="str">
        <f>VLOOKUP(tbSellers[[#This Row],[Station]],tbSystems[],10,FALSE)</f>
        <v>Medium</v>
      </c>
      <c r="J150" s="4"/>
      <c r="K150" s="30"/>
    </row>
    <row r="151" spans="2:11" s="2" customFormat="1" ht="27.95" hidden="1" customHeight="1" x14ac:dyDescent="0.25">
      <c r="B151" s="2" t="str">
        <f>_xlfn.CONCAT(tbSellers[[#This Row],[Station]],tbSellers[[#This Row],[Item]])</f>
        <v>Yedexi VIIPugneum</v>
      </c>
      <c r="C151" s="8" t="s">
        <v>59</v>
      </c>
      <c r="D151" s="18" t="s">
        <v>292</v>
      </c>
      <c r="E151" s="7">
        <f>VLOOKUP(tbSellers[[#This Row],[Item]],tbMaterials[],4,FALSE)</f>
        <v>138</v>
      </c>
      <c r="F151" s="51">
        <v>-1.2E-2</v>
      </c>
      <c r="G151" s="20" t="str">
        <f>VLOOKUP(tbSellers[[#This Row],[Station]],tbSystems[],10,FALSE)</f>
        <v>Medium</v>
      </c>
      <c r="J151" s="4"/>
      <c r="K151" s="30"/>
    </row>
    <row r="152" spans="2:11" s="2" customFormat="1" ht="27.95" hidden="1" customHeight="1" x14ac:dyDescent="0.25">
      <c r="B152" s="2" t="str">
        <f>_xlfn.CONCAT(tbSellers[[#This Row],[Station]],tbSellers[[#This Row],[Item]])</f>
        <v>Helkarsh VPure Ferrite</v>
      </c>
      <c r="C152" s="2" t="s">
        <v>310</v>
      </c>
      <c r="D152" s="18" t="s">
        <v>304</v>
      </c>
      <c r="E152" s="7">
        <f>VLOOKUP(tbSellers[[#This Row],[Item]],tbMaterials[],4,FALSE)</f>
        <v>28</v>
      </c>
      <c r="F152" s="51">
        <v>1</v>
      </c>
      <c r="G152" s="20" t="str">
        <f>VLOOKUP(tbSellers[[#This Row],[Station]],tbSystems[],10,FALSE)</f>
        <v>Medium</v>
      </c>
      <c r="J152" s="4"/>
      <c r="K152" s="30"/>
    </row>
    <row r="153" spans="2:11" s="2" customFormat="1" ht="27.95" hidden="1" customHeight="1" x14ac:dyDescent="0.25">
      <c r="B153" s="2" t="str">
        <f>_xlfn.CONCAT(tbSellers[[#This Row],[Station]],tbSellers[[#This Row],[Item]])</f>
        <v>Kiheensbo XVIITritium</v>
      </c>
      <c r="C153" s="2" t="s">
        <v>278</v>
      </c>
      <c r="D153" s="18" t="s">
        <v>28</v>
      </c>
      <c r="E153" s="7">
        <f>VLOOKUP(tbSellers[[#This Row],[Item]],tbMaterials[],4,FALSE)</f>
        <v>6</v>
      </c>
      <c r="F153" s="51">
        <v>2</v>
      </c>
      <c r="G153" s="20" t="str">
        <f>VLOOKUP(tbSellers[[#This Row],[Station]],tbSystems[],10,FALSE)</f>
        <v>Low</v>
      </c>
      <c r="J153" s="4"/>
      <c r="K153" s="30"/>
    </row>
    <row r="154" spans="2:11" s="2" customFormat="1" ht="27.95" hidden="1" customHeight="1" x14ac:dyDescent="0.25">
      <c r="B154" s="2" t="str">
        <f>_xlfn.CONCAT(tbSellers[[#This Row],[Station]],tbSellers[[#This Row],[Item]])</f>
        <v>Kiheensbo XVIISalt</v>
      </c>
      <c r="C154" s="2" t="s">
        <v>278</v>
      </c>
      <c r="D154" s="18" t="s">
        <v>63</v>
      </c>
      <c r="E154" s="7">
        <f>VLOOKUP(tbSellers[[#This Row],[Item]],tbMaterials[],4,FALSE)</f>
        <v>299</v>
      </c>
      <c r="F154" s="51">
        <v>2</v>
      </c>
      <c r="G154" s="20" t="str">
        <f>VLOOKUP(tbSellers[[#This Row],[Station]],tbSystems[],10,FALSE)</f>
        <v>Low</v>
      </c>
      <c r="J154" s="4"/>
      <c r="K154" s="30"/>
    </row>
    <row r="155" spans="2:11" s="2" customFormat="1" ht="27.95" hidden="1" customHeight="1" x14ac:dyDescent="0.25">
      <c r="B155" s="2" t="str">
        <f>_xlfn.CONCAT(tbSellers[[#This Row],[Station]],tbSellers[[#This Row],[Item]])</f>
        <v>Kiheensbo XVIIAmmonia</v>
      </c>
      <c r="C155" s="2" t="s">
        <v>278</v>
      </c>
      <c r="D155" s="18" t="s">
        <v>97</v>
      </c>
      <c r="E155" s="7">
        <f>VLOOKUP(tbSellers[[#This Row],[Item]],tbMaterials[],4,FALSE)</f>
        <v>62</v>
      </c>
      <c r="F155" s="51">
        <v>2</v>
      </c>
      <c r="G155" s="20" t="str">
        <f>VLOOKUP(tbSellers[[#This Row],[Station]],tbSystems[],10,FALSE)</f>
        <v>Low</v>
      </c>
      <c r="J155" s="4"/>
      <c r="K155" s="30"/>
    </row>
    <row r="156" spans="2:11" s="2" customFormat="1" ht="27.95" hidden="1" customHeight="1" x14ac:dyDescent="0.25">
      <c r="B156" s="2" t="str">
        <f>_xlfn.CONCAT(tbSellers[[#This Row],[Station]],tbSellers[[#This Row],[Item]])</f>
        <v>Kiheensbo XVIIPure Ferrite</v>
      </c>
      <c r="C156" s="2" t="s">
        <v>278</v>
      </c>
      <c r="D156" s="18" t="s">
        <v>304</v>
      </c>
      <c r="E156" s="7">
        <f>VLOOKUP(tbSellers[[#This Row],[Item]],tbMaterials[],4,FALSE)</f>
        <v>28</v>
      </c>
      <c r="F156" s="51">
        <v>1</v>
      </c>
      <c r="G156" s="20" t="str">
        <f>VLOOKUP(tbSellers[[#This Row],[Station]],tbSystems[],10,FALSE)</f>
        <v>Low</v>
      </c>
      <c r="J156" s="4"/>
      <c r="K156" s="30"/>
    </row>
    <row r="157" spans="2:11" s="2" customFormat="1" ht="27.95" hidden="1" customHeight="1" x14ac:dyDescent="0.25">
      <c r="B157" s="2" t="str">
        <f>_xlfn.CONCAT(tbSellers[[#This Row],[Station]],tbSellers[[#This Row],[Item]])</f>
        <v>SeogwipPure Ferrite</v>
      </c>
      <c r="C157" s="8" t="s">
        <v>261</v>
      </c>
      <c r="D157" s="18" t="s">
        <v>304</v>
      </c>
      <c r="E157" s="7">
        <f>VLOOKUP(tbSellers[[#This Row],[Item]],tbMaterials[],4,FALSE)</f>
        <v>28</v>
      </c>
      <c r="F157" s="51">
        <v>1</v>
      </c>
      <c r="G157" s="21" t="str">
        <f>VLOOKUP(tbSellers[[#This Row],[Station]],tbSystems[],10,FALSE)</f>
        <v>Medium</v>
      </c>
      <c r="J157" s="4"/>
      <c r="K157" s="30"/>
    </row>
    <row r="158" spans="2:11" s="2" customFormat="1" ht="27.95" hidden="1" customHeight="1" x14ac:dyDescent="0.25">
      <c r="B158" s="2" t="str">
        <f>_xlfn.CONCAT(tbSellers[[#This Row],[Station]],tbSellers[[#This Row],[Item]])</f>
        <v>Arjorda-KugDioxite</v>
      </c>
      <c r="C158" s="8" t="s">
        <v>86</v>
      </c>
      <c r="D158" s="18" t="s">
        <v>82</v>
      </c>
      <c r="E158" s="7">
        <f>VLOOKUP(tbSellers[[#This Row],[Item]],tbMaterials[],4,FALSE)</f>
        <v>62</v>
      </c>
      <c r="F158" s="51">
        <v>1</v>
      </c>
      <c r="G158" s="21" t="str">
        <f>VLOOKUP(tbSellers[[#This Row],[Station]],tbSystems[],10,FALSE)</f>
        <v>Medium</v>
      </c>
      <c r="J158" s="4"/>
      <c r="K158" s="30"/>
    </row>
    <row r="159" spans="2:11" s="2" customFormat="1" ht="27.95" hidden="1" customHeight="1" x14ac:dyDescent="0.25">
      <c r="B159" s="2" t="str">
        <f>_xlfn.CONCAT(tbSellers[[#This Row],[Station]],tbSellers[[#This Row],[Item]])</f>
        <v>OqoideAmmonia</v>
      </c>
      <c r="C159" s="2" t="s">
        <v>134</v>
      </c>
      <c r="D159" s="18" t="s">
        <v>97</v>
      </c>
      <c r="E159" s="7">
        <f>VLOOKUP(tbSellers[[#This Row],[Item]],tbMaterials[],4,FALSE)</f>
        <v>62</v>
      </c>
      <c r="F159" s="51">
        <v>2</v>
      </c>
      <c r="G159" s="21" t="str">
        <f>VLOOKUP(tbSellers[[#This Row],[Station]],tbSystems[],10,FALSE)</f>
        <v>Medium</v>
      </c>
      <c r="J159" s="4"/>
      <c r="K159" s="30"/>
    </row>
    <row r="160" spans="2:11" s="2" customFormat="1" ht="27.95" hidden="1" customHeight="1" x14ac:dyDescent="0.25">
      <c r="B160" s="2" t="str">
        <f>_xlfn.CONCAT(tbSellers[[#This Row],[Station]],tbSellers[[#This Row],[Item]])</f>
        <v>OqoideDioxite</v>
      </c>
      <c r="C160" s="2" t="s">
        <v>134</v>
      </c>
      <c r="D160" s="18" t="s">
        <v>82</v>
      </c>
      <c r="E160" s="7">
        <f>VLOOKUP(tbSellers[[#This Row],[Item]],tbMaterials[],4,FALSE)</f>
        <v>62</v>
      </c>
      <c r="F160" s="51">
        <v>2</v>
      </c>
      <c r="G160" s="21" t="str">
        <f>VLOOKUP(tbSellers[[#This Row],[Station]],tbSystems[],10,FALSE)</f>
        <v>Medium</v>
      </c>
      <c r="J160" s="4"/>
      <c r="K160" s="30"/>
    </row>
    <row r="161" spans="2:11" s="2" customFormat="1" ht="27.95" hidden="1" customHeight="1" x14ac:dyDescent="0.25">
      <c r="B161" s="2" t="str">
        <f>_xlfn.CONCAT(tbSellers[[#This Row],[Station]],tbSellers[[#This Row],[Item]])</f>
        <v>OqoidePyrite</v>
      </c>
      <c r="C161" s="2" t="s">
        <v>134</v>
      </c>
      <c r="D161" s="18" t="s">
        <v>140</v>
      </c>
      <c r="E161" s="7">
        <f>VLOOKUP(tbSellers[[#This Row],[Item]],tbMaterials[],4,FALSE)</f>
        <v>62</v>
      </c>
      <c r="F161" s="51">
        <v>1</v>
      </c>
      <c r="G161" s="20" t="str">
        <f>VLOOKUP(tbSellers[[#This Row],[Station]],tbSystems[],10,FALSE)</f>
        <v>Medium</v>
      </c>
      <c r="J161" s="4"/>
      <c r="K161" s="30"/>
    </row>
    <row r="162" spans="2:11" s="2" customFormat="1" ht="27.95" hidden="1" customHeight="1" x14ac:dyDescent="0.25">
      <c r="B162" s="2" t="str">
        <f>_xlfn.CONCAT(tbSellers[[#This Row],[Station]],tbSellers[[#This Row],[Item]])</f>
        <v>XishuaiPyrite</v>
      </c>
      <c r="C162" s="2" t="s">
        <v>108</v>
      </c>
      <c r="D162" s="18" t="s">
        <v>140</v>
      </c>
      <c r="E162" s="7">
        <f>VLOOKUP(tbSellers[[#This Row],[Item]],tbMaterials[],4,FALSE)</f>
        <v>62</v>
      </c>
      <c r="F162" s="51">
        <v>1</v>
      </c>
      <c r="G162" s="20" t="str">
        <f>VLOOKUP(tbSellers[[#This Row],[Station]],tbSystems[],10,FALSE)</f>
        <v>Low</v>
      </c>
      <c r="J162" s="4"/>
      <c r="K162" s="30"/>
    </row>
    <row r="163" spans="2:11" s="2" customFormat="1" ht="27.95" hidden="1" customHeight="1" x14ac:dyDescent="0.25">
      <c r="B163" s="2" t="str">
        <f>_xlfn.CONCAT(tbSellers[[#This Row],[Station]],tbSellers[[#This Row],[Item]])</f>
        <v>XishuanqPyrite</v>
      </c>
      <c r="C163" s="8" t="s">
        <v>111</v>
      </c>
      <c r="D163" s="18" t="s">
        <v>140</v>
      </c>
      <c r="E163" s="7">
        <f>VLOOKUP(tbSellers[[#This Row],[Item]],tbMaterials[],4,FALSE)</f>
        <v>62</v>
      </c>
      <c r="F163" s="51">
        <v>1</v>
      </c>
      <c r="G163" s="21" t="str">
        <f>VLOOKUP(tbSellers[[#This Row],[Station]],tbSystems[],10,FALSE)</f>
        <v>Medium</v>
      </c>
      <c r="J163" s="4"/>
      <c r="K163" s="30"/>
    </row>
    <row r="164" spans="2:11" s="2" customFormat="1" ht="27.95" hidden="1" customHeight="1" x14ac:dyDescent="0.25">
      <c r="B164" s="2" t="str">
        <f>_xlfn.CONCAT(tbSellers[[#This Row],[Station]],tbSellers[[#This Row],[Item]])</f>
        <v>Yedexi VIIPyrite</v>
      </c>
      <c r="C164" s="8" t="s">
        <v>59</v>
      </c>
      <c r="D164" s="18" t="s">
        <v>140</v>
      </c>
      <c r="E164" s="7">
        <f>VLOOKUP(tbSellers[[#This Row],[Item]],tbMaterials[],4,FALSE)</f>
        <v>62</v>
      </c>
      <c r="F164" s="51">
        <v>4.8000000000000001E-2</v>
      </c>
      <c r="G164" s="20" t="str">
        <f>VLOOKUP(tbSellers[[#This Row],[Station]],tbSystems[],10,FALSE)</f>
        <v>Medium</v>
      </c>
      <c r="J164" s="4"/>
      <c r="K164" s="30"/>
    </row>
    <row r="165" spans="2:11" s="2" customFormat="1" ht="27.95" hidden="1" customHeight="1" x14ac:dyDescent="0.25">
      <c r="B165" s="2" t="str">
        <f>_xlfn.CONCAT(tbSellers[[#This Row],[Station]],tbSellers[[#This Row],[Item]])</f>
        <v>AnxiexSodium</v>
      </c>
      <c r="C165" s="2" t="s">
        <v>272</v>
      </c>
      <c r="D165" s="18" t="s">
        <v>10</v>
      </c>
      <c r="E165" s="7">
        <f>VLOOKUP(tbSellers[[#This Row],[Item]],tbMaterials[],4,FALSE)</f>
        <v>41</v>
      </c>
      <c r="F165" s="51">
        <v>1</v>
      </c>
      <c r="G165" s="20" t="str">
        <f>VLOOKUP(tbSellers[[#This Row],[Station]],tbSystems[],10,FALSE)</f>
        <v>Low</v>
      </c>
      <c r="J165" s="4"/>
      <c r="K165" s="30"/>
    </row>
    <row r="166" spans="2:11" s="2" customFormat="1" ht="27.95" hidden="1" customHeight="1" x14ac:dyDescent="0.25">
      <c r="B166" s="2" t="str">
        <f>_xlfn.CONCAT(tbSellers[[#This Row],[Station]],tbSellers[[#This Row],[Item]])</f>
        <v>OqoideSodium</v>
      </c>
      <c r="C166" s="2" t="s">
        <v>134</v>
      </c>
      <c r="D166" s="18" t="s">
        <v>10</v>
      </c>
      <c r="E166" s="7">
        <f>VLOOKUP(tbSellers[[#This Row],[Item]],tbMaterials[],4,FALSE)</f>
        <v>41</v>
      </c>
      <c r="F166" s="51">
        <v>1</v>
      </c>
      <c r="G166" s="20" t="str">
        <f>VLOOKUP(tbSellers[[#This Row],[Station]],tbSystems[],10,FALSE)</f>
        <v>Medium</v>
      </c>
      <c r="J166" s="4"/>
      <c r="K166" s="30"/>
    </row>
    <row r="167" spans="2:11" s="2" customFormat="1" ht="27.95" hidden="1" customHeight="1" x14ac:dyDescent="0.25">
      <c r="B167" s="2" t="str">
        <f>_xlfn.CONCAT(tbSellers[[#This Row],[Station]],tbSellers[[#This Row],[Item]])</f>
        <v>OqoideOxygen</v>
      </c>
      <c r="C167" s="2" t="s">
        <v>134</v>
      </c>
      <c r="D167" s="18" t="s">
        <v>9</v>
      </c>
      <c r="E167" s="7">
        <f>VLOOKUP(tbSellers[[#This Row],[Item]],tbMaterials[],4,FALSE)</f>
        <v>34</v>
      </c>
      <c r="F167" s="51">
        <v>1</v>
      </c>
      <c r="G167" s="20" t="str">
        <f>VLOOKUP(tbSellers[[#This Row],[Station]],tbSystems[],10,FALSE)</f>
        <v>Medium</v>
      </c>
      <c r="J167" s="4"/>
      <c r="K167" s="30"/>
    </row>
    <row r="168" spans="2:11" s="2" customFormat="1" ht="27.95" hidden="1" customHeight="1" x14ac:dyDescent="0.25">
      <c r="B168" s="2" t="str">
        <f>_xlfn.CONCAT(tbSellers[[#This Row],[Station]],tbSellers[[#This Row],[Item]])</f>
        <v>Paddoc-KehaGold</v>
      </c>
      <c r="C168" s="8" t="s">
        <v>112</v>
      </c>
      <c r="D168" s="18" t="s">
        <v>27</v>
      </c>
      <c r="E168" s="7">
        <f>VLOOKUP(tbSellers[[#This Row],[Item]],tbMaterials[],4,FALSE)</f>
        <v>353</v>
      </c>
      <c r="F168" s="51">
        <v>1</v>
      </c>
      <c r="G168" s="21" t="str">
        <f>VLOOKUP(tbSellers[[#This Row],[Station]],tbSystems[],10,FALSE)</f>
        <v>Low</v>
      </c>
      <c r="J168" s="4"/>
      <c r="K168" s="30"/>
    </row>
    <row r="169" spans="2:11" s="2" customFormat="1" ht="27.95" hidden="1" customHeight="1" x14ac:dyDescent="0.25">
      <c r="B169" s="2" t="str">
        <f>_xlfn.CONCAT(tbSellers[[#This Row],[Station]],tbSellers[[#This Row],[Item]])</f>
        <v>SeogwipSalt</v>
      </c>
      <c r="C169" s="8" t="s">
        <v>261</v>
      </c>
      <c r="D169" s="18" t="s">
        <v>63</v>
      </c>
      <c r="E169" s="7">
        <f>VLOOKUP(tbSellers[[#This Row],[Item]],tbMaterials[],4,FALSE)</f>
        <v>299</v>
      </c>
      <c r="F169" s="51">
        <v>1</v>
      </c>
      <c r="G169" s="21" t="str">
        <f>VLOOKUP(tbSellers[[#This Row],[Station]],tbSystems[],10,FALSE)</f>
        <v>Medium</v>
      </c>
      <c r="J169" s="4"/>
      <c r="K169" s="30"/>
    </row>
    <row r="170" spans="2:11" s="2" customFormat="1" ht="27.95" customHeight="1" x14ac:dyDescent="0.25">
      <c r="B170" s="2" t="str">
        <f>_xlfn.CONCAT(tbSellers[[#This Row],[Station]],tbSellers[[#This Row],[Item]])</f>
        <v>Paddoc-KehaChlorine</v>
      </c>
      <c r="C170" s="8" t="s">
        <v>112</v>
      </c>
      <c r="D170" s="18" t="s">
        <v>96</v>
      </c>
      <c r="E170" s="7">
        <f>VLOOKUP(tbSellers[[#This Row],[Item]],tbMaterials[],4,FALSE)</f>
        <v>602</v>
      </c>
      <c r="F170" s="51">
        <v>2</v>
      </c>
      <c r="G170" s="21" t="str">
        <f>VLOOKUP(tbSellers[[#This Row],[Station]],tbSystems[],10,FALSE)</f>
        <v>Low</v>
      </c>
      <c r="J170" s="4"/>
      <c r="K170" s="30"/>
    </row>
    <row r="171" spans="2:11" s="2" customFormat="1" ht="27.95" hidden="1" customHeight="1" x14ac:dyDescent="0.25">
      <c r="B171" s="2" t="str">
        <f>_xlfn.CONCAT(tbSellers[[#This Row],[Station]],tbSellers[[#This Row],[Item]])</f>
        <v>PuningtIonised Cobalt</v>
      </c>
      <c r="C171" s="2" t="s">
        <v>318</v>
      </c>
      <c r="D171" s="18" t="s">
        <v>305</v>
      </c>
      <c r="E171" s="7">
        <f>VLOOKUP(tbSellers[[#This Row],[Item]],tbMaterials[],4,FALSE)</f>
        <v>401</v>
      </c>
      <c r="F171" s="51">
        <v>1</v>
      </c>
      <c r="G171" s="21" t="str">
        <f>VLOOKUP(tbSellers[[#This Row],[Station]],tbSystems[],10,FALSE)</f>
        <v>Medium</v>
      </c>
      <c r="J171" s="4"/>
      <c r="K171" s="30"/>
    </row>
    <row r="172" spans="2:11" s="2" customFormat="1" ht="27.95" customHeight="1" x14ac:dyDescent="0.25">
      <c r="B172" s="2" t="str">
        <f>_xlfn.CONCAT(tbSellers[[#This Row],[Station]],tbSellers[[#This Row],[Item]])</f>
        <v>PuningtChlorine</v>
      </c>
      <c r="C172" s="2" t="s">
        <v>318</v>
      </c>
      <c r="D172" s="18" t="s">
        <v>96</v>
      </c>
      <c r="E172" s="7">
        <f>VLOOKUP(tbSellers[[#This Row],[Item]],tbMaterials[],4,FALSE)</f>
        <v>602</v>
      </c>
      <c r="F172" s="51">
        <v>1</v>
      </c>
      <c r="G172" s="21" t="str">
        <f>VLOOKUP(tbSellers[[#This Row],[Station]],tbSystems[],10,FALSE)</f>
        <v>Medium</v>
      </c>
      <c r="J172" s="4"/>
      <c r="K172" s="30"/>
    </row>
    <row r="173" spans="2:11" s="2" customFormat="1" ht="27.95" hidden="1" customHeight="1" x14ac:dyDescent="0.25">
      <c r="B173" s="2" t="str">
        <f>_xlfn.CONCAT(tbSellers[[#This Row],[Station]],tbSellers[[#This Row],[Item]])</f>
        <v>SeogwipSilver</v>
      </c>
      <c r="C173" s="8" t="s">
        <v>261</v>
      </c>
      <c r="D173" s="18" t="s">
        <v>20</v>
      </c>
      <c r="E173" s="7">
        <f>VLOOKUP(tbSellers[[#This Row],[Item]],tbMaterials[],4,FALSE)</f>
        <v>186</v>
      </c>
      <c r="F173" s="51">
        <v>2</v>
      </c>
      <c r="G173" s="21" t="str">
        <f>VLOOKUP(tbSellers[[#This Row],[Station]],tbSystems[],10,FALSE)</f>
        <v>Medium</v>
      </c>
      <c r="J173" s="4"/>
      <c r="K173" s="30"/>
    </row>
    <row r="174" spans="2:11" s="2" customFormat="1" ht="27.95" customHeight="1" x14ac:dyDescent="0.25">
      <c r="B174" s="2" t="str">
        <f>_xlfn.CONCAT(tbSellers[[#This Row],[Station]],tbSellers[[#This Row],[Item]])</f>
        <v>Ubzhan-Reg VChlorine</v>
      </c>
      <c r="C174" s="2" t="s">
        <v>141</v>
      </c>
      <c r="D174" s="18" t="s">
        <v>96</v>
      </c>
      <c r="E174" s="7">
        <f>VLOOKUP(tbSellers[[#This Row],[Item]],tbMaterials[],4,FALSE)</f>
        <v>602</v>
      </c>
      <c r="F174" s="51">
        <v>1</v>
      </c>
      <c r="G174" s="20" t="str">
        <f>VLOOKUP(tbSellers[[#This Row],[Station]],tbSystems[],10,FALSE)</f>
        <v>Medium</v>
      </c>
      <c r="J174" s="4"/>
      <c r="K174" s="30"/>
    </row>
    <row r="175" spans="2:11" s="2" customFormat="1" ht="27.95" hidden="1" customHeight="1" x14ac:dyDescent="0.25">
      <c r="B175" s="2" t="str">
        <f>_xlfn.CONCAT(tbSellers[[#This Row],[Station]],tbSellers[[#This Row],[Item]])</f>
        <v>Ubzhan-Reg VIonised Cobalt</v>
      </c>
      <c r="C175" s="2" t="s">
        <v>141</v>
      </c>
      <c r="D175" s="18" t="s">
        <v>305</v>
      </c>
      <c r="E175" s="7">
        <f>VLOOKUP(tbSellers[[#This Row],[Item]],tbMaterials[],4,FALSE)</f>
        <v>401</v>
      </c>
      <c r="F175" s="51">
        <v>1</v>
      </c>
      <c r="G175" s="20" t="str">
        <f>VLOOKUP(tbSellers[[#This Row],[Station]],tbSystems[],10,FALSE)</f>
        <v>Medium</v>
      </c>
      <c r="J175" s="4"/>
      <c r="K175" s="30"/>
    </row>
    <row r="176" spans="2:11" s="2" customFormat="1" ht="27.95" hidden="1" customHeight="1" x14ac:dyDescent="0.25">
      <c r="B176" s="2" t="str">
        <f>_xlfn.CONCAT(tbSellers[[#This Row],[Station]],tbSellers[[#This Row],[Item]])</f>
        <v>AlhaimChromatic Metal</v>
      </c>
      <c r="C176" s="2" t="s">
        <v>308</v>
      </c>
      <c r="D176" s="18" t="s">
        <v>291</v>
      </c>
      <c r="E176" s="7">
        <f>VLOOKUP(tbSellers[[#This Row],[Item]],tbMaterials[],4,FALSE)</f>
        <v>245</v>
      </c>
      <c r="F176" s="51">
        <v>1</v>
      </c>
      <c r="G176" s="20" t="str">
        <f>VLOOKUP(tbSellers[[#This Row],[Station]],tbSystems[],10,FALSE)</f>
        <v>Medium</v>
      </c>
      <c r="J176" s="4"/>
      <c r="K176" s="30"/>
    </row>
    <row r="177" spans="2:11" s="2" customFormat="1" ht="27.95" hidden="1" customHeight="1" x14ac:dyDescent="0.25">
      <c r="B177" s="2" t="str">
        <f>_xlfn.CONCAT(tbSellers[[#This Row],[Station]],tbSellers[[#This Row],[Item]])</f>
        <v>Ancity-NiyhSodium</v>
      </c>
      <c r="C177" s="8" t="s">
        <v>89</v>
      </c>
      <c r="D177" s="18" t="s">
        <v>10</v>
      </c>
      <c r="E177" s="7">
        <f>VLOOKUP(tbSellers[[#This Row],[Item]],tbMaterials[],4,FALSE)</f>
        <v>41</v>
      </c>
      <c r="F177" s="51">
        <v>1</v>
      </c>
      <c r="G177" s="21" t="str">
        <f>VLOOKUP(tbSellers[[#This Row],[Station]],tbSystems[],10,FALSE)</f>
        <v>Medium</v>
      </c>
      <c r="J177" s="4"/>
      <c r="K177" s="30"/>
    </row>
    <row r="178" spans="2:11" s="2" customFormat="1" ht="27.95" hidden="1" customHeight="1" x14ac:dyDescent="0.25">
      <c r="B178" s="2" t="str">
        <f>_xlfn.CONCAT(tbSellers[[#This Row],[Station]],tbSellers[[#This Row],[Item]])</f>
        <v>AnxiexOxygen</v>
      </c>
      <c r="C178" s="2" t="s">
        <v>272</v>
      </c>
      <c r="D178" s="18" t="s">
        <v>9</v>
      </c>
      <c r="E178" s="7">
        <f>VLOOKUP(tbSellers[[#This Row],[Item]],tbMaterials[],4,FALSE)</f>
        <v>34</v>
      </c>
      <c r="F178" s="51">
        <v>1</v>
      </c>
      <c r="G178" s="20" t="str">
        <f>VLOOKUP(tbSellers[[#This Row],[Station]],tbSystems[],10,FALSE)</f>
        <v>Low</v>
      </c>
      <c r="J178" s="4"/>
      <c r="K178" s="30"/>
    </row>
    <row r="179" spans="2:11" s="2" customFormat="1" ht="27.95" hidden="1" customHeight="1" x14ac:dyDescent="0.25">
      <c r="B179" s="2" t="str">
        <f>_xlfn.CONCAT(tbSellers[[#This Row],[Station]],tbSellers[[#This Row],[Item]])</f>
        <v>Arjorda-KugPyrite</v>
      </c>
      <c r="C179" s="8" t="s">
        <v>86</v>
      </c>
      <c r="D179" s="18" t="s">
        <v>140</v>
      </c>
      <c r="E179" s="7">
        <f>VLOOKUP(tbSellers[[#This Row],[Item]],tbMaterials[],4,FALSE)</f>
        <v>62</v>
      </c>
      <c r="F179" s="51">
        <v>1</v>
      </c>
      <c r="G179" s="21" t="str">
        <f>VLOOKUP(tbSellers[[#This Row],[Station]],tbSystems[],10,FALSE)</f>
        <v>Medium</v>
      </c>
      <c r="J179" s="4"/>
      <c r="K179" s="30"/>
    </row>
    <row r="180" spans="2:11" s="2" customFormat="1" ht="27.95" hidden="1" customHeight="1" x14ac:dyDescent="0.25">
      <c r="B180" s="2" t="str">
        <f>_xlfn.CONCAT(tbSellers[[#This Row],[Station]],tbSellers[[#This Row],[Item]])</f>
        <v>Cuomul-TosFerrite Dust</v>
      </c>
      <c r="C180" s="2" t="s">
        <v>314</v>
      </c>
      <c r="D180" s="18" t="s">
        <v>13</v>
      </c>
      <c r="E180" s="7">
        <f>VLOOKUP(tbSellers[[#This Row],[Item]],tbMaterials[],4,FALSE)</f>
        <v>14</v>
      </c>
      <c r="F180" s="51">
        <v>1</v>
      </c>
      <c r="G180" s="20" t="str">
        <f>VLOOKUP(tbSellers[[#This Row],[Station]],tbSystems[],10,FALSE)</f>
        <v>Medium</v>
      </c>
      <c r="J180" s="4"/>
      <c r="K180" s="30"/>
    </row>
    <row r="181" spans="2:11" s="2" customFormat="1" ht="27.95" hidden="1" customHeight="1" x14ac:dyDescent="0.25">
      <c r="B181" s="2" t="str">
        <f>_xlfn.CONCAT(tbSellers[[#This Row],[Station]],tbSellers[[#This Row],[Item]])</f>
        <v>EgarondoSodium</v>
      </c>
      <c r="C181" s="8" t="s">
        <v>85</v>
      </c>
      <c r="D181" s="18" t="s">
        <v>10</v>
      </c>
      <c r="E181" s="7">
        <f>VLOOKUP(tbSellers[[#This Row],[Item]],tbMaterials[],4,FALSE)</f>
        <v>41</v>
      </c>
      <c r="F181" s="51">
        <v>1</v>
      </c>
      <c r="G181" s="20" t="str">
        <f>VLOOKUP(tbSellers[[#This Row],[Station]],tbSystems[],10,FALSE)</f>
        <v>High</v>
      </c>
      <c r="J181" s="4"/>
      <c r="K181" s="30"/>
    </row>
    <row r="182" spans="2:11" s="2" customFormat="1" ht="27.95" hidden="1" customHeight="1" x14ac:dyDescent="0.25">
      <c r="B182" s="2" t="str">
        <f>_xlfn.CONCAT(tbSellers[[#This Row],[Station]],tbSellers[[#This Row],[Item]])</f>
        <v>Helkarsh VSodium</v>
      </c>
      <c r="C182" s="2" t="s">
        <v>310</v>
      </c>
      <c r="D182" s="18" t="s">
        <v>10</v>
      </c>
      <c r="E182" s="7">
        <f>VLOOKUP(tbSellers[[#This Row],[Item]],tbMaterials[],4,FALSE)</f>
        <v>41</v>
      </c>
      <c r="F182" s="51">
        <v>1</v>
      </c>
      <c r="G182" s="20" t="str">
        <f>VLOOKUP(tbSellers[[#This Row],[Station]],tbSystems[],10,FALSE)</f>
        <v>Medium</v>
      </c>
      <c r="J182" s="4"/>
      <c r="K182" s="30"/>
    </row>
    <row r="183" spans="2:11" s="2" customFormat="1" ht="27.95" hidden="1" customHeight="1" x14ac:dyDescent="0.25">
      <c r="B183" s="2" t="str">
        <f>_xlfn.CONCAT(tbSellers[[#This Row],[Station]],tbSellers[[#This Row],[Item]])</f>
        <v>Kiheensbo XVIISodium</v>
      </c>
      <c r="C183" s="2" t="s">
        <v>278</v>
      </c>
      <c r="D183" s="18" t="s">
        <v>10</v>
      </c>
      <c r="E183" s="7">
        <f>VLOOKUP(tbSellers[[#This Row],[Item]],tbMaterials[],4,FALSE)</f>
        <v>41</v>
      </c>
      <c r="F183" s="51">
        <v>1</v>
      </c>
      <c r="G183" s="20" t="str">
        <f>VLOOKUP(tbSellers[[#This Row],[Station]],tbSystems[],10,FALSE)</f>
        <v>Low</v>
      </c>
      <c r="J183" s="4"/>
      <c r="K183" s="30"/>
    </row>
    <row r="184" spans="2:11" s="2" customFormat="1" ht="27.95" hidden="1" customHeight="1" x14ac:dyDescent="0.25">
      <c r="B184" s="2" t="str">
        <f>_xlfn.CONCAT(tbSellers[[#This Row],[Station]],tbSellers[[#This Row],[Item]])</f>
        <v>NalangniOxygen</v>
      </c>
      <c r="C184" s="8" t="s">
        <v>90</v>
      </c>
      <c r="D184" s="18" t="s">
        <v>9</v>
      </c>
      <c r="E184" s="7">
        <f>VLOOKUP(tbSellers[[#This Row],[Item]],tbMaterials[],4,FALSE)</f>
        <v>34</v>
      </c>
      <c r="F184" s="51">
        <v>1</v>
      </c>
      <c r="G184" s="21" t="str">
        <f>VLOOKUP(tbSellers[[#This Row],[Station]],tbSystems[],10,FALSE)</f>
        <v>Medium</v>
      </c>
      <c r="J184" s="4"/>
      <c r="K184" s="30"/>
    </row>
    <row r="185" spans="2:11" s="2" customFormat="1" ht="27.95" hidden="1" customHeight="1" x14ac:dyDescent="0.25">
      <c r="B185" s="2" t="str">
        <f>_xlfn.CONCAT(tbSellers[[#This Row],[Station]],tbSellers[[#This Row],[Item]])</f>
        <v>Nancangz XVSodium</v>
      </c>
      <c r="C185" s="8" t="s">
        <v>61</v>
      </c>
      <c r="D185" s="18" t="s">
        <v>10</v>
      </c>
      <c r="E185" s="7">
        <f>VLOOKUP(tbSellers[[#This Row],[Item]],tbMaterials[],4,FALSE)</f>
        <v>41</v>
      </c>
      <c r="F185" s="51">
        <v>1</v>
      </c>
      <c r="G185" s="21" t="str">
        <f>VLOOKUP(tbSellers[[#This Row],[Station]],tbSystems[],10,FALSE)</f>
        <v>Medium</v>
      </c>
      <c r="J185" s="4"/>
      <c r="K185" s="30"/>
    </row>
    <row r="186" spans="2:11" s="2" customFormat="1" ht="27.95" hidden="1" customHeight="1" x14ac:dyDescent="0.25">
      <c r="B186" s="2" t="str">
        <f>_xlfn.CONCAT(tbSellers[[#This Row],[Station]],tbSellers[[#This Row],[Item]])</f>
        <v>NokungbSodium</v>
      </c>
      <c r="C186" s="2" t="s">
        <v>309</v>
      </c>
      <c r="D186" s="18" t="s">
        <v>10</v>
      </c>
      <c r="E186" s="7">
        <f>VLOOKUP(tbSellers[[#This Row],[Item]],tbMaterials[],4,FALSE)</f>
        <v>41</v>
      </c>
      <c r="F186" s="51">
        <v>1</v>
      </c>
      <c r="G186" s="20" t="str">
        <f>VLOOKUP(tbSellers[[#This Row],[Station]],tbSystems[],10,FALSE)</f>
        <v>Medium</v>
      </c>
      <c r="J186" s="4"/>
      <c r="K186" s="30"/>
    </row>
    <row r="187" spans="2:11" s="2" customFormat="1" ht="27.95" hidden="1" customHeight="1" x14ac:dyDescent="0.25">
      <c r="B187" s="2" t="str">
        <f>_xlfn.CONCAT(tbSellers[[#This Row],[Station]],tbSellers[[#This Row],[Item]])</f>
        <v>OqoideFerrite Dust</v>
      </c>
      <c r="C187" s="2" t="s">
        <v>134</v>
      </c>
      <c r="D187" s="18" t="s">
        <v>13</v>
      </c>
      <c r="E187" s="7">
        <f>VLOOKUP(tbSellers[[#This Row],[Item]],tbMaterials[],4,FALSE)</f>
        <v>14</v>
      </c>
      <c r="F187" s="51">
        <v>1</v>
      </c>
      <c r="G187" s="20" t="str">
        <f>VLOOKUP(tbSellers[[#This Row],[Station]],tbSystems[],10,FALSE)</f>
        <v>Medium</v>
      </c>
      <c r="J187" s="4"/>
      <c r="K187" s="30"/>
    </row>
    <row r="188" spans="2:11" s="2" customFormat="1" ht="27.95" hidden="1" customHeight="1" x14ac:dyDescent="0.25">
      <c r="B188" s="2" t="str">
        <f>_xlfn.CONCAT(tbSellers[[#This Row],[Station]],tbSellers[[#This Row],[Item]])</f>
        <v>Paddoc-KehaSodium</v>
      </c>
      <c r="C188" s="8" t="s">
        <v>112</v>
      </c>
      <c r="D188" s="18" t="s">
        <v>10</v>
      </c>
      <c r="E188" s="7">
        <f>VLOOKUP(tbSellers[[#This Row],[Item]],tbMaterials[],4,FALSE)</f>
        <v>41</v>
      </c>
      <c r="F188" s="51">
        <v>1</v>
      </c>
      <c r="G188" s="21" t="str">
        <f>VLOOKUP(tbSellers[[#This Row],[Station]],tbSystems[],10,FALSE)</f>
        <v>Low</v>
      </c>
      <c r="J188" s="4"/>
      <c r="K188" s="30"/>
    </row>
    <row r="189" spans="2:11" s="2" customFormat="1" ht="27.95" hidden="1" customHeight="1" x14ac:dyDescent="0.25">
      <c r="B189" s="2" t="str">
        <f>_xlfn.CONCAT(tbSellers[[#This Row],[Station]],tbSellers[[#This Row],[Item]])</f>
        <v>PuningtTritium</v>
      </c>
      <c r="C189" s="2" t="s">
        <v>318</v>
      </c>
      <c r="D189" s="18" t="s">
        <v>28</v>
      </c>
      <c r="E189" s="7">
        <f>VLOOKUP(tbSellers[[#This Row],[Item]],tbMaterials[],4,FALSE)</f>
        <v>6</v>
      </c>
      <c r="F189" s="51">
        <v>1</v>
      </c>
      <c r="G189" s="20" t="str">
        <f>VLOOKUP(tbSellers[[#This Row],[Station]],tbSystems[],10,FALSE)</f>
        <v>Medium</v>
      </c>
      <c r="J189" s="4"/>
      <c r="K189" s="30"/>
    </row>
    <row r="190" spans="2:11" s="2" customFormat="1" ht="27.95" hidden="1" customHeight="1" x14ac:dyDescent="0.25">
      <c r="B190" s="2" t="str">
        <f>_xlfn.CONCAT(tbSellers[[#This Row],[Station]],tbSellers[[#This Row],[Item]])</f>
        <v>SeogwipSodium</v>
      </c>
      <c r="C190" s="8" t="s">
        <v>261</v>
      </c>
      <c r="D190" s="18" t="s">
        <v>10</v>
      </c>
      <c r="E190" s="7">
        <f>VLOOKUP(tbSellers[[#This Row],[Item]],tbMaterials[],4,FALSE)</f>
        <v>41</v>
      </c>
      <c r="F190" s="51">
        <v>1</v>
      </c>
      <c r="G190" s="21" t="str">
        <f>VLOOKUP(tbSellers[[#This Row],[Station]],tbSystems[],10,FALSE)</f>
        <v>Medium</v>
      </c>
      <c r="J190" s="4"/>
      <c r="K190" s="30"/>
    </row>
    <row r="191" spans="2:11" s="2" customFormat="1" ht="27.95" hidden="1" customHeight="1" x14ac:dyDescent="0.25">
      <c r="B191" s="2" t="str">
        <f>_xlfn.CONCAT(tbSellers[[#This Row],[Station]],tbSellers[[#This Row],[Item]])</f>
        <v>Ubzhan-Reg VSodium</v>
      </c>
      <c r="C191" s="2" t="s">
        <v>141</v>
      </c>
      <c r="D191" s="18" t="s">
        <v>10</v>
      </c>
      <c r="E191" s="7">
        <f>VLOOKUP(tbSellers[[#This Row],[Item]],tbMaterials[],4,FALSE)</f>
        <v>41</v>
      </c>
      <c r="F191" s="51">
        <v>1</v>
      </c>
      <c r="G191" s="20" t="str">
        <f>VLOOKUP(tbSellers[[#This Row],[Station]],tbSystems[],10,FALSE)</f>
        <v>Medium</v>
      </c>
      <c r="J191" s="4"/>
      <c r="K191" s="30"/>
    </row>
    <row r="192" spans="2:11" s="2" customFormat="1" ht="27.95" hidden="1" customHeight="1" x14ac:dyDescent="0.25">
      <c r="B192" s="2" t="str">
        <f>_xlfn.CONCAT(tbSellers[[#This Row],[Station]],tbSellers[[#This Row],[Item]])</f>
        <v>Urumqi XVSodium</v>
      </c>
      <c r="C192" s="2" t="s">
        <v>136</v>
      </c>
      <c r="D192" s="18" t="s">
        <v>10</v>
      </c>
      <c r="E192" s="7">
        <f>VLOOKUP(tbSellers[[#This Row],[Item]],tbMaterials[],4,FALSE)</f>
        <v>41</v>
      </c>
      <c r="F192" s="51">
        <v>1</v>
      </c>
      <c r="G192" s="20" t="str">
        <f>VLOOKUP(tbSellers[[#This Row],[Station]],tbSystems[],10,FALSE)</f>
        <v>Low</v>
      </c>
      <c r="J192" s="4"/>
      <c r="K192" s="30"/>
    </row>
    <row r="193" spans="2:11" s="2" customFormat="1" ht="27.95" hidden="1" customHeight="1" x14ac:dyDescent="0.25">
      <c r="B193" s="2" t="str">
        <f>_xlfn.CONCAT(tbSellers[[#This Row],[Station]],tbSellers[[#This Row],[Item]])</f>
        <v>WagormaSodium</v>
      </c>
      <c r="C193" s="8" t="s">
        <v>135</v>
      </c>
      <c r="D193" s="18" t="s">
        <v>10</v>
      </c>
      <c r="E193" s="7">
        <f>VLOOKUP(tbSellers[[#This Row],[Item]],tbMaterials[],4,FALSE)</f>
        <v>41</v>
      </c>
      <c r="F193" s="51">
        <v>1</v>
      </c>
      <c r="G193" s="20" t="str">
        <f>VLOOKUP(tbSellers[[#This Row],[Station]],tbSystems[],10,FALSE)</f>
        <v>Medium</v>
      </c>
      <c r="J193" s="4"/>
      <c r="K193" s="30"/>
    </row>
    <row r="194" spans="2:11" s="2" customFormat="1" ht="27.95" hidden="1" customHeight="1" x14ac:dyDescent="0.25">
      <c r="B194" s="2" t="str">
        <f>_xlfn.CONCAT(tbSellers[[#This Row],[Station]],tbSellers[[#This Row],[Item]])</f>
        <v>XishuaiSodium</v>
      </c>
      <c r="C194" s="2" t="s">
        <v>108</v>
      </c>
      <c r="D194" s="18" t="s">
        <v>10</v>
      </c>
      <c r="E194" s="7">
        <f>VLOOKUP(tbSellers[[#This Row],[Item]],tbMaterials[],4,FALSE)</f>
        <v>41</v>
      </c>
      <c r="F194" s="51">
        <v>1</v>
      </c>
      <c r="G194" s="20" t="str">
        <f>VLOOKUP(tbSellers[[#This Row],[Station]],tbSystems[],10,FALSE)</f>
        <v>Low</v>
      </c>
      <c r="J194" s="4"/>
      <c r="K194" s="30"/>
    </row>
    <row r="195" spans="2:11" s="2" customFormat="1" ht="27.95" hidden="1" customHeight="1" x14ac:dyDescent="0.25">
      <c r="B195" s="2" t="str">
        <f>_xlfn.CONCAT(tbSellers[[#This Row],[Station]],tbSellers[[#This Row],[Item]])</f>
        <v>XishuanqSodium</v>
      </c>
      <c r="C195" s="8" t="s">
        <v>111</v>
      </c>
      <c r="D195" s="18" t="s">
        <v>10</v>
      </c>
      <c r="E195" s="7">
        <f>VLOOKUP(tbSellers[[#This Row],[Item]],tbMaterials[],4,FALSE)</f>
        <v>41</v>
      </c>
      <c r="F195" s="51">
        <v>1</v>
      </c>
      <c r="G195" s="21" t="str">
        <f>VLOOKUP(tbSellers[[#This Row],[Station]],tbSystems[],10,FALSE)</f>
        <v>Medium</v>
      </c>
      <c r="J195" s="4"/>
      <c r="K195" s="30"/>
    </row>
    <row r="196" spans="2:11" s="2" customFormat="1" ht="27.95" hidden="1" customHeight="1" x14ac:dyDescent="0.25">
      <c r="B196" s="2" t="str">
        <f>_xlfn.CONCAT(tbSellers[[#This Row],[Station]],tbSellers[[#This Row],[Item]])</f>
        <v>Yedexi VIISodium</v>
      </c>
      <c r="C196" s="8" t="s">
        <v>59</v>
      </c>
      <c r="D196" s="18" t="s">
        <v>10</v>
      </c>
      <c r="E196" s="7">
        <f>VLOOKUP(tbSellers[[#This Row],[Item]],tbMaterials[],4,FALSE)</f>
        <v>41</v>
      </c>
      <c r="F196" s="51">
        <v>-3.7999999999999999E-2</v>
      </c>
      <c r="G196" s="20" t="str">
        <f>VLOOKUP(tbSellers[[#This Row],[Station]],tbSystems[],10,FALSE)</f>
        <v>Medium</v>
      </c>
      <c r="J196" s="4"/>
      <c r="K196" s="30"/>
    </row>
    <row r="197" spans="2:11" s="2" customFormat="1" ht="27.95" hidden="1" customHeight="1" x14ac:dyDescent="0.25">
      <c r="B197" s="2" t="str">
        <f>_xlfn.CONCAT(tbSellers[[#This Row],[Station]],tbSellers[[#This Row],[Item]])</f>
        <v>Ancity-NiyhSodium Nitrate</v>
      </c>
      <c r="C197" s="8" t="s">
        <v>89</v>
      </c>
      <c r="D197" s="18" t="s">
        <v>12</v>
      </c>
      <c r="E197" s="7">
        <f>VLOOKUP(tbSellers[[#This Row],[Item]],tbMaterials[],4,FALSE)</f>
        <v>82</v>
      </c>
      <c r="F197" s="51">
        <v>1</v>
      </c>
      <c r="G197" s="21" t="str">
        <f>VLOOKUP(tbSellers[[#This Row],[Station]],tbSystems[],10,FALSE)</f>
        <v>Medium</v>
      </c>
      <c r="J197" s="4"/>
      <c r="K197" s="30"/>
    </row>
    <row r="198" spans="2:11" s="2" customFormat="1" ht="27.95" hidden="1" customHeight="1" x14ac:dyDescent="0.25">
      <c r="B198" s="2" t="str">
        <f>_xlfn.CONCAT(tbSellers[[#This Row],[Station]],tbSellers[[#This Row],[Item]])</f>
        <v>Arjorda-KugSodium</v>
      </c>
      <c r="C198" s="8" t="s">
        <v>86</v>
      </c>
      <c r="D198" s="18" t="s">
        <v>10</v>
      </c>
      <c r="E198" s="7">
        <f>VLOOKUP(tbSellers[[#This Row],[Item]],tbMaterials[],4,FALSE)</f>
        <v>41</v>
      </c>
      <c r="F198" s="51">
        <v>1</v>
      </c>
      <c r="G198" s="21" t="str">
        <f>VLOOKUP(tbSellers[[#This Row],[Station]],tbSystems[],10,FALSE)</f>
        <v>Medium</v>
      </c>
      <c r="J198" s="4"/>
      <c r="K198" s="30"/>
    </row>
    <row r="199" spans="2:11" s="2" customFormat="1" ht="27.95" hidden="1" customHeight="1" x14ac:dyDescent="0.25">
      <c r="B199" s="2" t="str">
        <f>_xlfn.CONCAT(tbSellers[[#This Row],[Station]],tbSellers[[#This Row],[Item]])</f>
        <v>EgarondoOxygen</v>
      </c>
      <c r="C199" s="8" t="s">
        <v>85</v>
      </c>
      <c r="D199" s="18" t="s">
        <v>9</v>
      </c>
      <c r="E199" s="7">
        <f>VLOOKUP(tbSellers[[#This Row],[Item]],tbMaterials[],4,FALSE)</f>
        <v>34</v>
      </c>
      <c r="F199" s="51">
        <v>1</v>
      </c>
      <c r="G199" s="20" t="str">
        <f>VLOOKUP(tbSellers[[#This Row],[Station]],tbSystems[],10,FALSE)</f>
        <v>High</v>
      </c>
      <c r="J199" s="4"/>
      <c r="K199" s="30"/>
    </row>
    <row r="200" spans="2:11" s="2" customFormat="1" ht="27.95" hidden="1" customHeight="1" x14ac:dyDescent="0.25">
      <c r="B200" s="2" t="str">
        <f>_xlfn.CONCAT(tbSellers[[#This Row],[Station]],tbSellers[[#This Row],[Item]])</f>
        <v>Nancangz XVPugneum</v>
      </c>
      <c r="C200" s="8" t="s">
        <v>61</v>
      </c>
      <c r="D200" s="18" t="s">
        <v>292</v>
      </c>
      <c r="E200" s="7">
        <f>VLOOKUP(tbSellers[[#This Row],[Item]],tbMaterials[],4,FALSE)</f>
        <v>138</v>
      </c>
      <c r="F200" s="51">
        <v>2</v>
      </c>
      <c r="G200" s="20" t="str">
        <f>VLOOKUP(tbSellers[[#This Row],[Station]],tbSystems[],10,FALSE)</f>
        <v>Medium</v>
      </c>
      <c r="J200" s="4"/>
      <c r="K200" s="30"/>
    </row>
    <row r="201" spans="2:11" s="2" customFormat="1" ht="27.95" hidden="1" customHeight="1" x14ac:dyDescent="0.25">
      <c r="B201" s="2" t="str">
        <f>_xlfn.CONCAT(tbSellers[[#This Row],[Station]],tbSellers[[#This Row],[Item]])</f>
        <v>Nancangz XVSodium Nitrate</v>
      </c>
      <c r="C201" s="8" t="s">
        <v>61</v>
      </c>
      <c r="D201" s="18" t="s">
        <v>12</v>
      </c>
      <c r="E201" s="7">
        <f>VLOOKUP(tbSellers[[#This Row],[Item]],tbMaterials[],4,FALSE)</f>
        <v>82</v>
      </c>
      <c r="F201" s="51">
        <v>1</v>
      </c>
      <c r="G201" s="21" t="str">
        <f>VLOOKUP(tbSellers[[#This Row],[Station]],tbSystems[],10,FALSE)</f>
        <v>Medium</v>
      </c>
      <c r="J201" s="4"/>
      <c r="K201" s="30"/>
    </row>
    <row r="202" spans="2:11" s="2" customFormat="1" ht="27.95" hidden="1" customHeight="1" x14ac:dyDescent="0.25">
      <c r="B202" s="2" t="str">
        <f>_xlfn.CONCAT(tbSellers[[#This Row],[Station]],tbSellers[[#This Row],[Item]])</f>
        <v>Ubzhan-Reg VSilver</v>
      </c>
      <c r="C202" s="2" t="s">
        <v>141</v>
      </c>
      <c r="D202" s="18" t="s">
        <v>20</v>
      </c>
      <c r="E202" s="7">
        <f>VLOOKUP(tbSellers[[#This Row],[Item]],tbMaterials[],4,FALSE)</f>
        <v>186</v>
      </c>
      <c r="F202" s="51">
        <v>1</v>
      </c>
      <c r="G202" s="20" t="str">
        <f>VLOOKUP(tbSellers[[#This Row],[Station]],tbSystems[],10,FALSE)</f>
        <v>Medium</v>
      </c>
      <c r="J202" s="4"/>
      <c r="K202" s="30"/>
    </row>
    <row r="203" spans="2:11" s="2" customFormat="1" ht="27.95" hidden="1" customHeight="1" x14ac:dyDescent="0.25">
      <c r="B203" s="2" t="str">
        <f>_xlfn.CONCAT(tbSellers[[#This Row],[Station]],tbSellers[[#This Row],[Item]])</f>
        <v>PuningtParaffinium</v>
      </c>
      <c r="C203" s="2" t="s">
        <v>318</v>
      </c>
      <c r="D203" s="18" t="s">
        <v>69</v>
      </c>
      <c r="E203" s="7">
        <f>VLOOKUP(tbSellers[[#This Row],[Item]],tbMaterials[],4,FALSE)</f>
        <v>62</v>
      </c>
      <c r="F203" s="51">
        <v>2</v>
      </c>
      <c r="G203" s="20" t="str">
        <f>VLOOKUP(tbSellers[[#This Row],[Station]],tbSystems[],10,FALSE)</f>
        <v>Medium</v>
      </c>
      <c r="J203" s="4"/>
      <c r="K203" s="30"/>
    </row>
    <row r="204" spans="2:11" s="2" customFormat="1" ht="27.95" hidden="1" customHeight="1" x14ac:dyDescent="0.25">
      <c r="B204" s="2" t="str">
        <f>_xlfn.CONCAT(tbSellers[[#This Row],[Station]],tbSellers[[#This Row],[Item]])</f>
        <v>WagormaSodium Nitrate</v>
      </c>
      <c r="C204" s="8" t="s">
        <v>135</v>
      </c>
      <c r="D204" s="18" t="s">
        <v>12</v>
      </c>
      <c r="E204" s="7">
        <f>VLOOKUP(tbSellers[[#This Row],[Item]],tbMaterials[],4,FALSE)</f>
        <v>82</v>
      </c>
      <c r="F204" s="51">
        <v>1</v>
      </c>
      <c r="G204" s="20" t="str">
        <f>VLOOKUP(tbSellers[[#This Row],[Station]],tbSystems[],10,FALSE)</f>
        <v>Medium</v>
      </c>
      <c r="J204" s="4"/>
      <c r="K204" s="30"/>
    </row>
    <row r="205" spans="2:11" s="2" customFormat="1" ht="27.95" hidden="1" customHeight="1" x14ac:dyDescent="0.25">
      <c r="B205" s="2" t="str">
        <f>_xlfn.CONCAT(tbSellers[[#This Row],[Station]],tbSellers[[#This Row],[Item]])</f>
        <v>XishuaiSodium Nitrate</v>
      </c>
      <c r="C205" s="2" t="s">
        <v>108</v>
      </c>
      <c r="D205" s="18" t="s">
        <v>12</v>
      </c>
      <c r="E205" s="7">
        <f>VLOOKUP(tbSellers[[#This Row],[Item]],tbMaterials[],4,FALSE)</f>
        <v>82</v>
      </c>
      <c r="F205" s="51">
        <v>1</v>
      </c>
      <c r="G205" s="20" t="str">
        <f>VLOOKUP(tbSellers[[#This Row],[Station]],tbSystems[],10,FALSE)</f>
        <v>Low</v>
      </c>
      <c r="J205" s="4"/>
      <c r="K205" s="30"/>
    </row>
    <row r="206" spans="2:11" s="2" customFormat="1" ht="27.95" hidden="1" customHeight="1" x14ac:dyDescent="0.25">
      <c r="B206" s="2" t="str">
        <f>_xlfn.CONCAT(tbSellers[[#This Row],[Station]],tbSellers[[#This Row],[Item]])</f>
        <v>XishuanqSodium Nitrate</v>
      </c>
      <c r="C206" s="8" t="s">
        <v>111</v>
      </c>
      <c r="D206" s="18" t="s">
        <v>12</v>
      </c>
      <c r="E206" s="7">
        <f>VLOOKUP(tbSellers[[#This Row],[Item]],tbMaterials[],4,FALSE)</f>
        <v>82</v>
      </c>
      <c r="F206" s="51">
        <v>1</v>
      </c>
      <c r="G206" s="21" t="str">
        <f>VLOOKUP(tbSellers[[#This Row],[Station]],tbSystems[],10,FALSE)</f>
        <v>Medium</v>
      </c>
      <c r="J206" s="4"/>
      <c r="K206" s="30"/>
    </row>
    <row r="207" spans="2:11" s="2" customFormat="1" ht="27.95" hidden="1" customHeight="1" x14ac:dyDescent="0.25">
      <c r="B207" s="2" t="str">
        <f>_xlfn.CONCAT(tbSellers[[#This Row],[Station]],tbSellers[[#This Row],[Item]])</f>
        <v>AnxiexFerrite Dust</v>
      </c>
      <c r="C207" s="2" t="s">
        <v>272</v>
      </c>
      <c r="D207" s="18" t="s">
        <v>13</v>
      </c>
      <c r="E207" s="7">
        <f>VLOOKUP(tbSellers[[#This Row],[Item]],tbMaterials[],4,FALSE)</f>
        <v>14</v>
      </c>
      <c r="F207" s="51">
        <v>1</v>
      </c>
      <c r="G207" s="20" t="str">
        <f>VLOOKUP(tbSellers[[#This Row],[Station]],tbSystems[],10,FALSE)</f>
        <v>Low</v>
      </c>
      <c r="J207" s="4"/>
      <c r="K207" s="30"/>
    </row>
    <row r="208" spans="2:11" s="2" customFormat="1" ht="27.95" hidden="1" customHeight="1" x14ac:dyDescent="0.25">
      <c r="B208" s="2" t="str">
        <f>_xlfn.CONCAT(tbSellers[[#This Row],[Station]],tbSellers[[#This Row],[Item]])</f>
        <v>Cuomul-TosTritium</v>
      </c>
      <c r="C208" s="2" t="s">
        <v>314</v>
      </c>
      <c r="D208" s="18" t="s">
        <v>28</v>
      </c>
      <c r="E208" s="7">
        <f>VLOOKUP(tbSellers[[#This Row],[Item]],tbMaterials[],4,FALSE)</f>
        <v>6</v>
      </c>
      <c r="F208" s="51">
        <v>1</v>
      </c>
      <c r="G208" s="20" t="str">
        <f>VLOOKUP(tbSellers[[#This Row],[Station]],tbSystems[],10,FALSE)</f>
        <v>Medium</v>
      </c>
      <c r="J208" s="4"/>
      <c r="K208" s="30"/>
    </row>
    <row r="209" spans="2:11" s="2" customFormat="1" ht="27.95" hidden="1" customHeight="1" x14ac:dyDescent="0.25">
      <c r="B209" s="2" t="str">
        <f>_xlfn.CONCAT(tbSellers[[#This Row],[Station]],tbSellers[[#This Row],[Item]])</f>
        <v>NalangniPure Ferrite</v>
      </c>
      <c r="C209" s="8" t="s">
        <v>90</v>
      </c>
      <c r="D209" s="18" t="s">
        <v>304</v>
      </c>
      <c r="E209" s="7">
        <f>VLOOKUP(tbSellers[[#This Row],[Item]],tbMaterials[],4,FALSE)</f>
        <v>28</v>
      </c>
      <c r="F209" s="51">
        <v>2</v>
      </c>
      <c r="G209" s="20" t="str">
        <f>VLOOKUP(tbSellers[[#This Row],[Station]],tbSystems[],10,FALSE)</f>
        <v>Medium</v>
      </c>
      <c r="J209" s="4"/>
      <c r="K209" s="30"/>
    </row>
    <row r="210" spans="2:11" s="2" customFormat="1" ht="27.95" hidden="1" customHeight="1" x14ac:dyDescent="0.25">
      <c r="B210" s="2" t="str">
        <f>_xlfn.CONCAT(tbSellers[[#This Row],[Station]],tbSellers[[#This Row],[Item]])</f>
        <v>Nancangz XVTritium</v>
      </c>
      <c r="C210" s="8" t="s">
        <v>61</v>
      </c>
      <c r="D210" s="18" t="s">
        <v>28</v>
      </c>
      <c r="E210" s="7">
        <f>VLOOKUP(tbSellers[[#This Row],[Item]],tbMaterials[],4,FALSE)</f>
        <v>6</v>
      </c>
      <c r="F210" s="51">
        <v>1</v>
      </c>
      <c r="G210" s="21" t="str">
        <f>VLOOKUP(tbSellers[[#This Row],[Station]],tbSystems[],10,FALSE)</f>
        <v>Medium</v>
      </c>
      <c r="J210" s="4"/>
      <c r="K210" s="30"/>
    </row>
    <row r="211" spans="2:11" s="2" customFormat="1" ht="27.95" hidden="1" customHeight="1" x14ac:dyDescent="0.25">
      <c r="B211" s="2" t="str">
        <f>_xlfn.CONCAT(tbSellers[[#This Row],[Station]],tbSellers[[#This Row],[Item]])</f>
        <v>OqoideTritium</v>
      </c>
      <c r="C211" s="2" t="s">
        <v>134</v>
      </c>
      <c r="D211" s="18" t="s">
        <v>28</v>
      </c>
      <c r="E211" s="7">
        <f>VLOOKUP(tbSellers[[#This Row],[Item]],tbMaterials[],4,FALSE)</f>
        <v>6</v>
      </c>
      <c r="F211" s="51">
        <v>1</v>
      </c>
      <c r="G211" s="20" t="str">
        <f>VLOOKUP(tbSellers[[#This Row],[Station]],tbSystems[],10,FALSE)</f>
        <v>Medium</v>
      </c>
      <c r="J211" s="4"/>
      <c r="K211" s="30"/>
    </row>
    <row r="212" spans="2:11" s="2" customFormat="1" ht="27.95" hidden="1" customHeight="1" x14ac:dyDescent="0.25">
      <c r="B212" s="2" t="str">
        <f>_xlfn.CONCAT(tbSellers[[#This Row],[Station]],tbSellers[[#This Row],[Item]])</f>
        <v>PuningtSalt</v>
      </c>
      <c r="C212" s="2" t="s">
        <v>318</v>
      </c>
      <c r="D212" s="18" t="s">
        <v>63</v>
      </c>
      <c r="E212" s="7">
        <f>VLOOKUP(tbSellers[[#This Row],[Item]],tbMaterials[],4,FALSE)</f>
        <v>299</v>
      </c>
      <c r="F212" s="51">
        <v>2</v>
      </c>
      <c r="G212" s="20" t="str">
        <f>VLOOKUP(tbSellers[[#This Row],[Station]],tbSystems[],10,FALSE)</f>
        <v>Medium</v>
      </c>
      <c r="J212" s="4"/>
      <c r="K212" s="30"/>
    </row>
    <row r="213" spans="2:11" s="2" customFormat="1" ht="27.95" hidden="1" customHeight="1" x14ac:dyDescent="0.25">
      <c r="B213" s="2" t="str">
        <f>_xlfn.CONCAT(tbSellers[[#This Row],[Station]],tbSellers[[#This Row],[Item]])</f>
        <v>Urumqi XVTritium</v>
      </c>
      <c r="C213" s="2" t="s">
        <v>136</v>
      </c>
      <c r="D213" s="18" t="s">
        <v>28</v>
      </c>
      <c r="E213" s="7">
        <f>VLOOKUP(tbSellers[[#This Row],[Item]],tbMaterials[],4,FALSE)</f>
        <v>6</v>
      </c>
      <c r="F213" s="51">
        <v>1</v>
      </c>
      <c r="G213" s="20" t="str">
        <f>VLOOKUP(tbSellers[[#This Row],[Station]],tbSystems[],10,FALSE)</f>
        <v>Low</v>
      </c>
      <c r="J213" s="4"/>
      <c r="K213" s="30"/>
    </row>
    <row r="214" spans="2:11" s="2" customFormat="1" ht="27.95" hidden="1" customHeight="1" x14ac:dyDescent="0.25">
      <c r="B214" s="2" t="str">
        <f>_xlfn.CONCAT(tbSellers[[#This Row],[Station]],tbSellers[[#This Row],[Item]])</f>
        <v>AnxiexTritium</v>
      </c>
      <c r="C214" s="2" t="s">
        <v>272</v>
      </c>
      <c r="D214" s="18" t="s">
        <v>28</v>
      </c>
      <c r="E214" s="7">
        <f>VLOOKUP(tbSellers[[#This Row],[Item]],tbMaterials[],4,FALSE)</f>
        <v>6</v>
      </c>
      <c r="F214" s="51">
        <v>2</v>
      </c>
      <c r="G214" s="20" t="str">
        <f>VLOOKUP(tbSellers[[#This Row],[Station]],tbSystems[],10,FALSE)</f>
        <v>Low</v>
      </c>
      <c r="J214" s="4"/>
      <c r="K214" s="30"/>
    </row>
    <row r="215" spans="2:11" s="2" customFormat="1" ht="27.95" hidden="1" customHeight="1" x14ac:dyDescent="0.25">
      <c r="B215" s="2" t="str">
        <f>_xlfn.CONCAT(tbSellers[[#This Row],[Station]],tbSellers[[#This Row],[Item]])</f>
        <v>EgarondoFerrite Dust</v>
      </c>
      <c r="C215" s="8" t="s">
        <v>85</v>
      </c>
      <c r="D215" s="18" t="s">
        <v>13</v>
      </c>
      <c r="E215" s="7">
        <f>VLOOKUP(tbSellers[[#This Row],[Item]],tbMaterials[],4,FALSE)</f>
        <v>14</v>
      </c>
      <c r="F215" s="51">
        <v>1</v>
      </c>
      <c r="G215" s="21" t="str">
        <f>VLOOKUP(tbSellers[[#This Row],[Station]],tbSystems[],10,FALSE)</f>
        <v>High</v>
      </c>
      <c r="J215" s="4"/>
      <c r="K215" s="30"/>
    </row>
    <row r="216" spans="2:11" s="2" customFormat="1" ht="27.95" hidden="1" customHeight="1" x14ac:dyDescent="0.25">
      <c r="B216" s="2" t="str">
        <f>_xlfn.CONCAT(tbSellers[[#This Row],[Station]],tbSellers[[#This Row],[Item]])</f>
        <v>Helkarsh VUranium</v>
      </c>
      <c r="C216" s="2" t="s">
        <v>310</v>
      </c>
      <c r="D216" s="18" t="s">
        <v>64</v>
      </c>
      <c r="E216" s="7">
        <f>VLOOKUP(tbSellers[[#This Row],[Item]],tbMaterials[],4,FALSE)</f>
        <v>62</v>
      </c>
      <c r="F216" s="51">
        <v>1</v>
      </c>
      <c r="G216" s="20" t="str">
        <f>VLOOKUP(tbSellers[[#This Row],[Station]],tbSystems[],10,FALSE)</f>
        <v>Medium</v>
      </c>
      <c r="J216" s="4"/>
      <c r="K216" s="30"/>
    </row>
    <row r="217" spans="2:11" s="2" customFormat="1" ht="27.95" hidden="1" customHeight="1" x14ac:dyDescent="0.25">
      <c r="B217" s="2" t="str">
        <f>_xlfn.CONCAT(tbSellers[[#This Row],[Station]],tbSellers[[#This Row],[Item]])</f>
        <v>NalangniFerrite Dust</v>
      </c>
      <c r="C217" s="8" t="s">
        <v>90</v>
      </c>
      <c r="D217" s="18" t="s">
        <v>13</v>
      </c>
      <c r="E217" s="7">
        <f>VLOOKUP(tbSellers[[#This Row],[Item]],tbMaterials[],4,FALSE)</f>
        <v>14</v>
      </c>
      <c r="F217" s="51">
        <v>1</v>
      </c>
      <c r="G217" s="21" t="str">
        <f>VLOOKUP(tbSellers[[#This Row],[Station]],tbSystems[],10,FALSE)</f>
        <v>Medium</v>
      </c>
      <c r="J217" s="4"/>
      <c r="K217" s="30"/>
    </row>
    <row r="218" spans="2:11" s="2" customFormat="1" ht="27.95" hidden="1" customHeight="1" x14ac:dyDescent="0.25">
      <c r="B218" s="2" t="str">
        <f>_xlfn.CONCAT(tbSellers[[#This Row],[Station]],tbSellers[[#This Row],[Item]])</f>
        <v>NalangniTritium</v>
      </c>
      <c r="C218" s="8" t="s">
        <v>90</v>
      </c>
      <c r="D218" s="18" t="s">
        <v>28</v>
      </c>
      <c r="E218" s="7">
        <f>VLOOKUP(tbSellers[[#This Row],[Item]],tbMaterials[],4,FALSE)</f>
        <v>6</v>
      </c>
      <c r="F218" s="51">
        <v>1</v>
      </c>
      <c r="G218" s="21" t="str">
        <f>VLOOKUP(tbSellers[[#This Row],[Station]],tbSystems[],10,FALSE)</f>
        <v>Medium</v>
      </c>
      <c r="J218" s="4"/>
      <c r="K218" s="30"/>
    </row>
    <row r="219" spans="2:11" s="2" customFormat="1" ht="27.95" hidden="1" customHeight="1" x14ac:dyDescent="0.25">
      <c r="B219" s="2" t="str">
        <f>_xlfn.CONCAT(tbSellers[[#This Row],[Station]],tbSellers[[#This Row],[Item]])</f>
        <v>Nancangz XVUranium</v>
      </c>
      <c r="C219" s="8" t="s">
        <v>61</v>
      </c>
      <c r="D219" s="18" t="s">
        <v>64</v>
      </c>
      <c r="E219" s="7">
        <f>VLOOKUP(tbSellers[[#This Row],[Item]],tbMaterials[],4,FALSE)</f>
        <v>62</v>
      </c>
      <c r="F219" s="51">
        <v>1</v>
      </c>
      <c r="G219" s="21" t="str">
        <f>VLOOKUP(tbSellers[[#This Row],[Station]],tbSystems[],10,FALSE)</f>
        <v>Medium</v>
      </c>
      <c r="J219" s="4"/>
      <c r="K219" s="30"/>
    </row>
    <row r="220" spans="2:11" s="2" customFormat="1" ht="27.95" hidden="1" customHeight="1" x14ac:dyDescent="0.25">
      <c r="B220" s="2" t="str">
        <f>_xlfn.CONCAT(tbSellers[[#This Row],[Station]],tbSellers[[#This Row],[Item]])</f>
        <v>Gepohalih IIISodium</v>
      </c>
      <c r="C220" s="2" t="s">
        <v>538</v>
      </c>
      <c r="D220" s="18" t="s">
        <v>10</v>
      </c>
      <c r="E220" s="7">
        <f>VLOOKUP(tbSellers[[#This Row],[Item]],tbMaterials[],4,FALSE)</f>
        <v>41</v>
      </c>
      <c r="F220" s="51">
        <v>2</v>
      </c>
      <c r="G220" s="20" t="str">
        <f>VLOOKUP(tbSellers[[#This Row],[Station]],tbSystems[],10,FALSE)</f>
        <v>Medium</v>
      </c>
      <c r="J220" s="4"/>
      <c r="K220" s="30"/>
    </row>
    <row r="221" spans="2:11" s="2" customFormat="1" ht="27.95" hidden="1" customHeight="1" x14ac:dyDescent="0.25">
      <c r="B221" s="2" t="str">
        <f>_xlfn.CONCAT(tbSellers[[#This Row],[Station]],tbSellers[[#This Row],[Item]])</f>
        <v>Gepohalih IIIPyrite</v>
      </c>
      <c r="C221" s="2" t="s">
        <v>538</v>
      </c>
      <c r="D221" s="18" t="s">
        <v>140</v>
      </c>
      <c r="E221" s="7">
        <f>VLOOKUP(tbSellers[[#This Row],[Item]],tbMaterials[],4,FALSE)</f>
        <v>62</v>
      </c>
      <c r="F221" s="51">
        <v>2</v>
      </c>
      <c r="G221" s="20" t="str">
        <f>VLOOKUP(tbSellers[[#This Row],[Station]],tbSystems[],10,FALSE)</f>
        <v>Medium</v>
      </c>
      <c r="J221" s="4"/>
      <c r="K221" s="30"/>
    </row>
    <row r="222" spans="2:11" s="2" customFormat="1" ht="27.95" hidden="1" customHeight="1" x14ac:dyDescent="0.25">
      <c r="B222" s="2" t="str">
        <f>_xlfn.CONCAT(tbSellers[[#This Row],[Station]],tbSellers[[#This Row],[Item]])</f>
        <v>Urumqi XVSilver</v>
      </c>
      <c r="C222" s="2" t="s">
        <v>136</v>
      </c>
      <c r="D222" s="18" t="s">
        <v>20</v>
      </c>
      <c r="E222" s="7">
        <f>VLOOKUP(tbSellers[[#This Row],[Item]],tbMaterials[],4,FALSE)</f>
        <v>186</v>
      </c>
      <c r="F222" s="51">
        <v>1</v>
      </c>
      <c r="G222" s="20" t="str">
        <f>VLOOKUP(tbSellers[[#This Row],[Station]],tbSystems[],10,FALSE)</f>
        <v>Low</v>
      </c>
      <c r="J222" s="4"/>
      <c r="K222" s="30"/>
    </row>
    <row r="223" spans="2:11" s="2" customFormat="1" ht="27.95" hidden="1" customHeight="1" x14ac:dyDescent="0.25">
      <c r="B223" s="2" t="str">
        <f>_xlfn.CONCAT(tbSellers[[#This Row],[Station]],tbSellers[[#This Row],[Item]])</f>
        <v>Gepohalih IIITritium</v>
      </c>
      <c r="C223" s="2" t="s">
        <v>538</v>
      </c>
      <c r="D223" s="18" t="s">
        <v>28</v>
      </c>
      <c r="E223" s="7">
        <f>VLOOKUP(tbSellers[[#This Row],[Item]],tbMaterials[],4,FALSE)</f>
        <v>6</v>
      </c>
      <c r="F223" s="51">
        <v>2</v>
      </c>
      <c r="G223" s="20" t="str">
        <f>VLOOKUP(tbSellers[[#This Row],[Station]],tbSystems[],10,FALSE)</f>
        <v>Medium</v>
      </c>
      <c r="J223" s="4"/>
      <c r="K223" s="30"/>
    </row>
    <row r="224" spans="2:11" s="2" customFormat="1" ht="27.95" hidden="1" customHeight="1" x14ac:dyDescent="0.25">
      <c r="B224" s="2" t="str">
        <f>_xlfn.CONCAT(tbSellers[[#This Row],[Station]],tbSellers[[#This Row],[Item]])</f>
        <v>Gepohalih IIIPhosphorus</v>
      </c>
      <c r="C224" s="2" t="s">
        <v>538</v>
      </c>
      <c r="D224" s="18" t="s">
        <v>39</v>
      </c>
      <c r="E224" s="7">
        <f>VLOOKUP(tbSellers[[#This Row],[Item]],tbMaterials[],4,FALSE)</f>
        <v>62</v>
      </c>
      <c r="F224" s="51">
        <v>2</v>
      </c>
      <c r="G224" s="20" t="str">
        <f>VLOOKUP(tbSellers[[#This Row],[Station]],tbSystems[],10,FALSE)</f>
        <v>Medium</v>
      </c>
      <c r="J224" s="4"/>
      <c r="K224" s="30"/>
    </row>
    <row r="225" spans="2:11" s="2" customFormat="1" ht="27.95" hidden="1" customHeight="1" x14ac:dyDescent="0.25">
      <c r="B225" s="2" t="str">
        <f>_xlfn.CONCAT(tbSellers[[#This Row],[Station]],tbSellers[[#This Row],[Item]])</f>
        <v>Ubzhan-Reg VUranium</v>
      </c>
      <c r="C225" s="2" t="s">
        <v>141</v>
      </c>
      <c r="D225" s="18" t="s">
        <v>64</v>
      </c>
      <c r="E225" s="7">
        <f>VLOOKUP(tbSellers[[#This Row],[Item]],tbMaterials[],4,FALSE)</f>
        <v>62</v>
      </c>
      <c r="F225" s="51">
        <v>2</v>
      </c>
      <c r="G225" s="21" t="str">
        <f>VLOOKUP(tbSellers[[#This Row],[Station]],tbSystems[],10,FALSE)</f>
        <v>Medium</v>
      </c>
      <c r="J225" s="4"/>
      <c r="K225" s="30"/>
    </row>
    <row r="226" spans="2:11" s="2" customFormat="1" ht="27.95" hidden="1" customHeight="1" x14ac:dyDescent="0.25">
      <c r="B226" s="2" t="str">
        <f>_xlfn.CONCAT(tbSellers[[#This Row],[Station]],tbSellers[[#This Row],[Item]])</f>
        <v>Ubzhan-Reg VCopper</v>
      </c>
      <c r="C226" s="2" t="s">
        <v>141</v>
      </c>
      <c r="D226" s="18" t="s">
        <v>5</v>
      </c>
      <c r="E226" s="7">
        <f>VLOOKUP(tbSellers[[#This Row],[Item]],tbMaterials[],4,FALSE)</f>
        <v>121</v>
      </c>
      <c r="F226" s="51">
        <v>2</v>
      </c>
      <c r="G226" s="21" t="str">
        <f>VLOOKUP(tbSellers[[#This Row],[Station]],tbSystems[],10,FALSE)</f>
        <v>Medium</v>
      </c>
      <c r="J226" s="4"/>
      <c r="K226" s="30"/>
    </row>
    <row r="227" spans="2:11" s="2" customFormat="1" ht="27.95" hidden="1" customHeight="1" x14ac:dyDescent="0.25">
      <c r="B227" s="2" t="str">
        <f>_xlfn.CONCAT(tbSellers[[#This Row],[Station]],tbSellers[[#This Row],[Item]])</f>
        <v>Urumqi XVUranium</v>
      </c>
      <c r="C227" s="2" t="s">
        <v>136</v>
      </c>
      <c r="D227" s="18" t="s">
        <v>64</v>
      </c>
      <c r="E227" s="7">
        <f>VLOOKUP(tbSellers[[#This Row],[Item]],tbMaterials[],4,FALSE)</f>
        <v>62</v>
      </c>
      <c r="F227" s="51">
        <v>2</v>
      </c>
      <c r="G227" s="21" t="str">
        <f>VLOOKUP(tbSellers[[#This Row],[Station]],tbSystems[],10,FALSE)</f>
        <v>Low</v>
      </c>
      <c r="J227" s="4"/>
      <c r="K227" s="30"/>
    </row>
    <row r="228" spans="2:11" s="2" customFormat="1" ht="27.95" hidden="1" customHeight="1" x14ac:dyDescent="0.25">
      <c r="B228" s="2" t="str">
        <f>_xlfn.CONCAT(tbSellers[[#This Row],[Station]],tbSellers[[#This Row],[Item]])</f>
        <v>Urumqi XVIonised Cobalt</v>
      </c>
      <c r="C228" s="2" t="s">
        <v>136</v>
      </c>
      <c r="D228" s="18" t="s">
        <v>305</v>
      </c>
      <c r="E228" s="7">
        <f>VLOOKUP(tbSellers[[#This Row],[Item]],tbMaterials[],4,FALSE)</f>
        <v>401</v>
      </c>
      <c r="F228" s="51">
        <v>2</v>
      </c>
      <c r="G228" s="21" t="str">
        <f>VLOOKUP(tbSellers[[#This Row],[Station]],tbSystems[],10,FALSE)</f>
        <v>Low</v>
      </c>
      <c r="J228" s="4"/>
      <c r="K228" s="30"/>
    </row>
    <row r="229" spans="2:11" s="2" customFormat="1" ht="27.95" hidden="1" customHeight="1" x14ac:dyDescent="0.25">
      <c r="B229" s="2" t="str">
        <f>_xlfn.CONCAT(tbSellers[[#This Row],[Station]],tbSellers[[#This Row],[Item]])</f>
        <v>Urumqi XVAmmonia</v>
      </c>
      <c r="C229" s="2" t="s">
        <v>136</v>
      </c>
      <c r="D229" s="18" t="s">
        <v>97</v>
      </c>
      <c r="E229" s="7">
        <f>VLOOKUP(tbSellers[[#This Row],[Item]],tbMaterials[],4,FALSE)</f>
        <v>62</v>
      </c>
      <c r="F229" s="51">
        <v>2</v>
      </c>
      <c r="G229" s="21" t="str">
        <f>VLOOKUP(tbSellers[[#This Row],[Station]],tbSystems[],10,FALSE)</f>
        <v>Low</v>
      </c>
      <c r="J229" s="4"/>
      <c r="K229" s="30"/>
    </row>
    <row r="230" spans="2:11" s="2" customFormat="1" ht="27.95" customHeight="1" x14ac:dyDescent="0.25">
      <c r="B230" s="2" t="str">
        <f>_xlfn.CONCAT(tbSellers[[#This Row],[Station]],tbSellers[[#This Row],[Item]])</f>
        <v>Urumqi XVChlorine</v>
      </c>
      <c r="C230" s="2" t="s">
        <v>136</v>
      </c>
      <c r="D230" s="18" t="s">
        <v>96</v>
      </c>
      <c r="E230" s="7">
        <f>VLOOKUP(tbSellers[[#This Row],[Item]],tbMaterials[],4,FALSE)</f>
        <v>602</v>
      </c>
      <c r="F230" s="51">
        <v>2</v>
      </c>
      <c r="G230" s="21" t="str">
        <f>VLOOKUP(tbSellers[[#This Row],[Station]],tbSystems[],10,FALSE)</f>
        <v>Low</v>
      </c>
      <c r="J230" s="4"/>
      <c r="K230" s="30"/>
    </row>
    <row r="231" spans="2:11" s="2" customFormat="1" ht="27.95" hidden="1" customHeight="1" x14ac:dyDescent="0.25">
      <c r="B231" s="2" t="str">
        <f>_xlfn.CONCAT(tbSellers[[#This Row],[Station]],tbSellers[[#This Row],[Item]])</f>
        <v>XishuaiMagnetised Ferrite</v>
      </c>
      <c r="C231" s="2" t="s">
        <v>108</v>
      </c>
      <c r="D231" s="18" t="s">
        <v>268</v>
      </c>
      <c r="E231" s="7">
        <f>VLOOKUP(tbSellers[[#This Row],[Item]],tbMaterials[],4,FALSE)</f>
        <v>82</v>
      </c>
      <c r="F231" s="51">
        <v>2</v>
      </c>
      <c r="G231" s="21" t="str">
        <f>VLOOKUP(tbSellers[[#This Row],[Station]],tbSystems[],10,FALSE)</f>
        <v>Low</v>
      </c>
      <c r="J231" s="4"/>
      <c r="K231" s="30"/>
    </row>
    <row r="232" spans="2:11" s="2" customFormat="1" ht="27.95" hidden="1" customHeight="1" x14ac:dyDescent="0.25">
      <c r="B232" s="2" t="str">
        <f>_xlfn.CONCAT(tbSellers[[#This Row],[Station]],tbSellers[[#This Row],[Item]])</f>
        <v>WagormaGold</v>
      </c>
      <c r="C232" s="8" t="s">
        <v>135</v>
      </c>
      <c r="D232" s="18" t="s">
        <v>27</v>
      </c>
      <c r="E232" s="7">
        <f>VLOOKUP(tbSellers[[#This Row],[Item]],tbMaterials[],4,FALSE)</f>
        <v>353</v>
      </c>
      <c r="F232" s="51">
        <v>1</v>
      </c>
      <c r="G232" s="20" t="str">
        <f>VLOOKUP(tbSellers[[#This Row],[Station]],tbSystems[],10,FALSE)</f>
        <v>Medium</v>
      </c>
      <c r="J232" s="4"/>
      <c r="K232" s="30"/>
    </row>
    <row r="233" spans="2:11" s="2" customFormat="1" ht="27.95" hidden="1" customHeight="1" x14ac:dyDescent="0.25">
      <c r="B233" s="2" t="str">
        <f>_xlfn.CONCAT(tbSellers[[#This Row],[Station]],tbSellers[[#This Row],[Item]])</f>
        <v>WagormaSilver</v>
      </c>
      <c r="C233" s="8" t="s">
        <v>135</v>
      </c>
      <c r="D233" s="18" t="s">
        <v>20</v>
      </c>
      <c r="E233" s="7">
        <f>VLOOKUP(tbSellers[[#This Row],[Item]],tbMaterials[],4,FALSE)</f>
        <v>186</v>
      </c>
      <c r="F233" s="51">
        <v>1</v>
      </c>
      <c r="G233" s="20" t="str">
        <f>VLOOKUP(tbSellers[[#This Row],[Station]],tbSystems[],10,FALSE)</f>
        <v>Medium</v>
      </c>
      <c r="J233" s="4"/>
      <c r="K233" s="30"/>
    </row>
    <row r="234" spans="2:11" s="2" customFormat="1" ht="27.95" hidden="1" customHeight="1" x14ac:dyDescent="0.25">
      <c r="B234" s="2" t="str">
        <f>_xlfn.CONCAT(tbSellers[[#This Row],[Station]],tbSellers[[#This Row],[Item]])</f>
        <v>XishuaiGold</v>
      </c>
      <c r="C234" s="2" t="s">
        <v>108</v>
      </c>
      <c r="D234" s="18" t="s">
        <v>27</v>
      </c>
      <c r="E234" s="7">
        <f>VLOOKUP(tbSellers[[#This Row],[Item]],tbMaterials[],4,FALSE)</f>
        <v>353</v>
      </c>
      <c r="F234" s="51">
        <v>1</v>
      </c>
      <c r="G234" s="20" t="str">
        <f>VLOOKUP(tbSellers[[#This Row],[Station]],tbSystems[],10,FALSE)</f>
        <v>Low</v>
      </c>
      <c r="J234" s="4"/>
      <c r="K234" s="30"/>
    </row>
    <row r="235" spans="2:11" s="2" customFormat="1" ht="27.95" hidden="1" customHeight="1" x14ac:dyDescent="0.25">
      <c r="B235" s="2" t="str">
        <f>_xlfn.CONCAT(tbSellers[[#This Row],[Station]],tbSellers[[#This Row],[Item]])</f>
        <v>AlhaimPugneum</v>
      </c>
      <c r="C235" s="2" t="s">
        <v>308</v>
      </c>
      <c r="D235" s="18" t="s">
        <v>292</v>
      </c>
      <c r="E235" s="7">
        <f>VLOOKUP(tbSellers[[#This Row],[Item]],tbMaterials[],4,FALSE)</f>
        <v>138</v>
      </c>
      <c r="F235" s="51">
        <v>2</v>
      </c>
      <c r="G235" s="21" t="str">
        <f>VLOOKUP(tbSellers[[#This Row],[Station]],tbSystems[],10,FALSE)</f>
        <v>Medium</v>
      </c>
      <c r="J235" s="4"/>
      <c r="K235" s="30"/>
    </row>
    <row r="236" spans="2:11" s="2" customFormat="1" ht="27.95" hidden="1" customHeight="1" x14ac:dyDescent="0.25">
      <c r="B236" s="2" t="str">
        <f>_xlfn.CONCAT(tbSellers[[#This Row],[Station]],tbSellers[[#This Row],[Item]])</f>
        <v>NokungbSodium Nitrate</v>
      </c>
      <c r="C236" s="2" t="s">
        <v>309</v>
      </c>
      <c r="D236" s="18" t="s">
        <v>12</v>
      </c>
      <c r="E236" s="7">
        <f>VLOOKUP(tbSellers[[#This Row],[Item]],tbMaterials[],4,FALSE)</f>
        <v>82</v>
      </c>
      <c r="F236" s="51">
        <v>2</v>
      </c>
      <c r="G236" s="21" t="str">
        <f>VLOOKUP(tbSellers[[#This Row],[Station]],tbSystems[],10,FALSE)</f>
        <v>Medium</v>
      </c>
      <c r="J236" s="4"/>
      <c r="K236" s="30"/>
    </row>
    <row r="237" spans="2:11" s="2" customFormat="1" ht="27.95" hidden="1" customHeight="1" x14ac:dyDescent="0.25">
      <c r="B237" s="2" t="str">
        <f>_xlfn.CONCAT(tbSellers[[#This Row],[Station]],tbSellers[[#This Row],[Item]])</f>
        <v>Helkarsh VDioxite</v>
      </c>
      <c r="C237" s="2" t="s">
        <v>310</v>
      </c>
      <c r="D237" s="18" t="s">
        <v>82</v>
      </c>
      <c r="E237" s="7">
        <f>VLOOKUP(tbSellers[[#This Row],[Item]],tbMaterials[],4,FALSE)</f>
        <v>62</v>
      </c>
      <c r="F237" s="51">
        <v>2</v>
      </c>
      <c r="G237" s="21" t="str">
        <f>VLOOKUP(tbSellers[[#This Row],[Station]],tbSystems[],10,FALSE)</f>
        <v>Medium</v>
      </c>
      <c r="J237" s="4"/>
      <c r="K237" s="30"/>
    </row>
    <row r="238" spans="2:11" s="2" customFormat="1" ht="27.95" hidden="1" customHeight="1" x14ac:dyDescent="0.25">
      <c r="B238" s="2" t="str">
        <f>_xlfn.CONCAT(tbSellers[[#This Row],[Station]],tbSellers[[#This Row],[Item]])</f>
        <v>XishuaiIonised Cobalt</v>
      </c>
      <c r="C238" s="2" t="s">
        <v>108</v>
      </c>
      <c r="D238" s="18" t="s">
        <v>305</v>
      </c>
      <c r="E238" s="7">
        <f>VLOOKUP(tbSellers[[#This Row],[Item]],tbMaterials[],4,FALSE)</f>
        <v>401</v>
      </c>
      <c r="F238" s="51">
        <v>1</v>
      </c>
      <c r="G238" s="20" t="str">
        <f>VLOOKUP(tbSellers[[#This Row],[Station]],tbSystems[],10,FALSE)</f>
        <v>Low</v>
      </c>
      <c r="J238" s="4"/>
      <c r="K238" s="30"/>
    </row>
    <row r="239" spans="2:11" s="2" customFormat="1" ht="27.95" hidden="1" customHeight="1" x14ac:dyDescent="0.25">
      <c r="B239" s="2" t="str">
        <f>_xlfn.CONCAT(tbSellers[[#This Row],[Station]],tbSellers[[#This Row],[Item]])</f>
        <v>WagormaPure Ferrite</v>
      </c>
      <c r="C239" s="8" t="s">
        <v>135</v>
      </c>
      <c r="D239" s="18" t="s">
        <v>304</v>
      </c>
      <c r="E239" s="7">
        <f>VLOOKUP(tbSellers[[#This Row],[Item]],tbMaterials[],4,FALSE)</f>
        <v>28</v>
      </c>
      <c r="F239" s="51">
        <v>2</v>
      </c>
      <c r="G239" s="21" t="str">
        <f>VLOOKUP(tbSellers[[#This Row],[Station]],tbSystems[],10,FALSE)</f>
        <v>Medium</v>
      </c>
      <c r="J239" s="4"/>
      <c r="K239" s="30"/>
    </row>
    <row r="240" spans="2:11" s="2" customFormat="1" ht="27.95" hidden="1" customHeight="1" x14ac:dyDescent="0.25">
      <c r="B240" s="2" t="str">
        <f>_xlfn.CONCAT(tbSellers[[#This Row],[Station]],tbSellers[[#This Row],[Item]])</f>
        <v>WagormaPhosphorus</v>
      </c>
      <c r="C240" s="8" t="s">
        <v>135</v>
      </c>
      <c r="D240" s="18" t="s">
        <v>39</v>
      </c>
      <c r="E240" s="7">
        <f>VLOOKUP(tbSellers[[#This Row],[Item]],tbMaterials[],4,FALSE)</f>
        <v>62</v>
      </c>
      <c r="F240" s="51">
        <v>2</v>
      </c>
      <c r="G240" s="21" t="str">
        <f>VLOOKUP(tbSellers[[#This Row],[Station]],tbSystems[],10,FALSE)</f>
        <v>Medium</v>
      </c>
      <c r="J240" s="4"/>
      <c r="K240" s="30"/>
    </row>
    <row r="241" spans="2:11" s="2" customFormat="1" ht="27.95" hidden="1" customHeight="1" x14ac:dyDescent="0.25">
      <c r="B241" s="2" t="str">
        <f>_xlfn.CONCAT(tbSellers[[#This Row],[Station]],tbSellers[[#This Row],[Item]])</f>
        <v>WagormaUranium</v>
      </c>
      <c r="C241" s="8" t="s">
        <v>135</v>
      </c>
      <c r="D241" s="18" t="s">
        <v>64</v>
      </c>
      <c r="E241" s="7">
        <f>VLOOKUP(tbSellers[[#This Row],[Item]],tbMaterials[],4,FALSE)</f>
        <v>62</v>
      </c>
      <c r="F241" s="51">
        <v>2</v>
      </c>
      <c r="G241" s="21" t="str">
        <f>VLOOKUP(tbSellers[[#This Row],[Station]],tbSystems[],10,FALSE)</f>
        <v>Medium</v>
      </c>
      <c r="J241" s="4"/>
      <c r="K241" s="30"/>
    </row>
    <row r="242" spans="2:11" s="2" customFormat="1" ht="27.95" hidden="1" customHeight="1" x14ac:dyDescent="0.25">
      <c r="B242" s="2" t="str">
        <f>_xlfn.CONCAT(tbSellers[[#This Row],[Station]],tbSellers[[#This Row],[Item]])</f>
        <v>Paddoc-KehaCopper</v>
      </c>
      <c r="C242" s="8" t="s">
        <v>112</v>
      </c>
      <c r="D242" s="18" t="s">
        <v>5</v>
      </c>
      <c r="E242" s="7">
        <f>VLOOKUP(tbSellers[[#This Row],[Item]],tbMaterials[],4,FALSE)</f>
        <v>121</v>
      </c>
      <c r="F242" s="51">
        <v>2</v>
      </c>
      <c r="G242" s="21" t="str">
        <f>VLOOKUP(tbSellers[[#This Row],[Station]],tbSystems[],10,FALSE)</f>
        <v>Low</v>
      </c>
      <c r="J242" s="4"/>
      <c r="K242" s="30"/>
    </row>
    <row r="243" spans="2:11" s="2" customFormat="1" ht="27.95" hidden="1" customHeight="1" x14ac:dyDescent="0.25">
      <c r="B243" s="2" t="str">
        <f>_xlfn.CONCAT(tbSellers[[#This Row],[Station]],tbSellers[[#This Row],[Item]])</f>
        <v>EeoocomaFerrite Dust</v>
      </c>
      <c r="C243" s="2" t="s">
        <v>633</v>
      </c>
      <c r="D243" s="18" t="s">
        <v>13</v>
      </c>
      <c r="E243" s="7">
        <f>VLOOKUP(tbSellers[[#This Row],[Item]],tbMaterials[],4,FALSE)</f>
        <v>14</v>
      </c>
      <c r="F243" s="51">
        <v>1</v>
      </c>
      <c r="G243" s="21" t="str">
        <f>VLOOKUP(tbSellers[[#This Row],[Station]],tbSystems[],10,FALSE)</f>
        <v>Medium</v>
      </c>
      <c r="J243" s="4"/>
      <c r="K243" s="30"/>
    </row>
    <row r="244" spans="2:11" s="2" customFormat="1" ht="27.95" hidden="1" customHeight="1" x14ac:dyDescent="0.25">
      <c r="B244" s="2" t="str">
        <f>_xlfn.CONCAT(tbSellers[[#This Row],[Station]],tbSellers[[#This Row],[Item]])</f>
        <v>EeoocomaCobalt</v>
      </c>
      <c r="C244" s="2" t="s">
        <v>633</v>
      </c>
      <c r="D244" s="18" t="s">
        <v>6</v>
      </c>
      <c r="E244" s="7">
        <f>VLOOKUP(tbSellers[[#This Row],[Item]],tbMaterials[],4,FALSE)</f>
        <v>198</v>
      </c>
      <c r="F244" s="51">
        <v>1</v>
      </c>
      <c r="G244" s="21" t="str">
        <f>VLOOKUP(tbSellers[[#This Row],[Station]],tbSystems[],10,FALSE)</f>
        <v>Medium</v>
      </c>
      <c r="J244" s="4"/>
      <c r="K244" s="30"/>
    </row>
    <row r="245" spans="2:11" s="2" customFormat="1" ht="27.95" hidden="1" customHeight="1" x14ac:dyDescent="0.25">
      <c r="B245" s="2" t="str">
        <f>_xlfn.CONCAT(tbSellers[[#This Row],[Station]],tbSellers[[#This Row],[Item]])</f>
        <v>EeoocomaOxygen</v>
      </c>
      <c r="C245" s="2" t="s">
        <v>633</v>
      </c>
      <c r="D245" s="18" t="s">
        <v>9</v>
      </c>
      <c r="E245" s="7">
        <f>VLOOKUP(tbSellers[[#This Row],[Item]],tbMaterials[],4,FALSE)</f>
        <v>34</v>
      </c>
      <c r="F245" s="51">
        <v>1</v>
      </c>
      <c r="G245" s="21" t="str">
        <f>VLOOKUP(tbSellers[[#This Row],[Station]],tbSystems[],10,FALSE)</f>
        <v>Medium</v>
      </c>
      <c r="J245" s="4"/>
      <c r="K245" s="30"/>
    </row>
    <row r="246" spans="2:11" s="2" customFormat="1" ht="27.95" hidden="1" customHeight="1" x14ac:dyDescent="0.25">
      <c r="B246" s="2" t="str">
        <f>_xlfn.CONCAT(tbSellers[[#This Row],[Station]],tbSellers[[#This Row],[Item]])</f>
        <v>EeoocomaSodium</v>
      </c>
      <c r="C246" s="2" t="s">
        <v>633</v>
      </c>
      <c r="D246" s="18" t="s">
        <v>10</v>
      </c>
      <c r="E246" s="7">
        <f>VLOOKUP(tbSellers[[#This Row],[Item]],tbMaterials[],4,FALSE)</f>
        <v>41</v>
      </c>
      <c r="F246" s="51">
        <v>1</v>
      </c>
      <c r="G246" s="21" t="str">
        <f>VLOOKUP(tbSellers[[#This Row],[Station]],tbSystems[],10,FALSE)</f>
        <v>Medium</v>
      </c>
      <c r="J246" s="4"/>
      <c r="K246" s="30"/>
    </row>
    <row r="247" spans="2:11" s="2" customFormat="1" ht="27.95" hidden="1" customHeight="1" x14ac:dyDescent="0.25">
      <c r="B247" s="2" t="str">
        <f>_xlfn.CONCAT(tbSellers[[#This Row],[Station]],tbSellers[[#This Row],[Item]])</f>
        <v>EeoocomaPyrite</v>
      </c>
      <c r="C247" s="2" t="s">
        <v>633</v>
      </c>
      <c r="D247" s="18" t="s">
        <v>140</v>
      </c>
      <c r="E247" s="7">
        <f>VLOOKUP(tbSellers[[#This Row],[Item]],tbMaterials[],4,FALSE)</f>
        <v>62</v>
      </c>
      <c r="F247" s="51">
        <v>1</v>
      </c>
      <c r="G247" s="21" t="str">
        <f>VLOOKUP(tbSellers[[#This Row],[Station]],tbSystems[],10,FALSE)</f>
        <v>Medium</v>
      </c>
      <c r="J247" s="4"/>
      <c r="K247" s="30"/>
    </row>
    <row r="248" spans="2:11" s="2" customFormat="1" ht="27.95" hidden="1" customHeight="1" x14ac:dyDescent="0.25">
      <c r="B248" s="2" t="str">
        <f>_xlfn.CONCAT(tbSellers[[#This Row],[Station]],tbSellers[[#This Row],[Item]])</f>
        <v>EeoocomaDioxite</v>
      </c>
      <c r="C248" s="2" t="s">
        <v>633</v>
      </c>
      <c r="D248" s="18" t="s">
        <v>82</v>
      </c>
      <c r="E248" s="7">
        <f>VLOOKUP(tbSellers[[#This Row],[Item]],tbMaterials[],4,FALSE)</f>
        <v>62</v>
      </c>
      <c r="F248" s="51">
        <v>1</v>
      </c>
      <c r="G248" s="21" t="str">
        <f>VLOOKUP(tbSellers[[#This Row],[Station]],tbSystems[],10,FALSE)</f>
        <v>Medium</v>
      </c>
      <c r="J248" s="4"/>
      <c r="K248" s="30"/>
    </row>
    <row r="249" spans="2:11" s="2" customFormat="1" ht="27.95" hidden="1" customHeight="1" x14ac:dyDescent="0.25">
      <c r="B249" s="2" t="str">
        <f>_xlfn.CONCAT(tbSellers[[#This Row],[Station]],tbSellers[[#This Row],[Item]])</f>
        <v>EeoocomaAmmonia</v>
      </c>
      <c r="C249" s="2" t="s">
        <v>633</v>
      </c>
      <c r="D249" s="18" t="s">
        <v>97</v>
      </c>
      <c r="E249" s="7">
        <f>VLOOKUP(tbSellers[[#This Row],[Item]],tbMaterials[],4,FALSE)</f>
        <v>62</v>
      </c>
      <c r="F249" s="51">
        <v>1</v>
      </c>
      <c r="G249" s="21" t="str">
        <f>VLOOKUP(tbSellers[[#This Row],[Station]],tbSystems[],10,FALSE)</f>
        <v>Medium</v>
      </c>
      <c r="J249" s="4"/>
      <c r="K249" s="30"/>
    </row>
    <row r="250" spans="2:11" s="2" customFormat="1" ht="27.95" hidden="1" customHeight="1" x14ac:dyDescent="0.25">
      <c r="B250" s="2" t="str">
        <f>_xlfn.CONCAT(tbSellers[[#This Row],[Station]],tbSellers[[#This Row],[Item]])</f>
        <v>EeoocomaMagnetised Ferrite</v>
      </c>
      <c r="C250" s="2" t="s">
        <v>633</v>
      </c>
      <c r="D250" s="18" t="s">
        <v>268</v>
      </c>
      <c r="E250" s="7">
        <f>VLOOKUP(tbSellers[[#This Row],[Item]],tbMaterials[],4,FALSE)</f>
        <v>82</v>
      </c>
      <c r="F250" s="51">
        <v>2</v>
      </c>
      <c r="G250" s="21" t="str">
        <f>VLOOKUP(tbSellers[[#This Row],[Station]],tbSystems[],10,FALSE)</f>
        <v>Medium</v>
      </c>
      <c r="J250" s="4"/>
      <c r="K250" s="30"/>
    </row>
    <row r="251" spans="2:11" s="2" customFormat="1" ht="27.95" hidden="1" customHeight="1" x14ac:dyDescent="0.25">
      <c r="B251" s="2" t="str">
        <f>_xlfn.CONCAT(tbSellers[[#This Row],[Station]],tbSellers[[#This Row],[Item]])</f>
        <v>EeoocomaUranium</v>
      </c>
      <c r="C251" s="2" t="s">
        <v>633</v>
      </c>
      <c r="D251" s="18" t="s">
        <v>64</v>
      </c>
      <c r="E251" s="7">
        <f>VLOOKUP(tbSellers[[#This Row],[Item]],tbMaterials[],4,FALSE)</f>
        <v>62</v>
      </c>
      <c r="F251" s="51">
        <v>2</v>
      </c>
      <c r="G251" s="21" t="str">
        <f>VLOOKUP(tbSellers[[#This Row],[Station]],tbSystems[],10,FALSE)</f>
        <v>Medium</v>
      </c>
      <c r="J251" s="4"/>
      <c r="K251" s="30"/>
    </row>
    <row r="252" spans="2:11" s="2" customFormat="1" ht="27.95" hidden="1" customHeight="1" x14ac:dyDescent="0.25">
      <c r="B252" s="2" t="str">
        <f>_xlfn.CONCAT(tbSellers[[#This Row],[Station]],tbSellers[[#This Row],[Item]])</f>
        <v>EeoocomaPure Ferrite</v>
      </c>
      <c r="C252" s="2" t="s">
        <v>633</v>
      </c>
      <c r="D252" s="18" t="s">
        <v>304</v>
      </c>
      <c r="E252" s="7">
        <f>VLOOKUP(tbSellers[[#This Row],[Item]],tbMaterials[],4,FALSE)</f>
        <v>28</v>
      </c>
      <c r="F252" s="51">
        <v>2</v>
      </c>
      <c r="G252" s="21" t="str">
        <f>VLOOKUP(tbSellers[[#This Row],[Station]],tbSystems[],10,FALSE)</f>
        <v>Medium</v>
      </c>
      <c r="J252" s="4"/>
      <c r="K252" s="30"/>
    </row>
    <row r="253" spans="2:11" s="2" customFormat="1" ht="27.95" hidden="1" customHeight="1" x14ac:dyDescent="0.25">
      <c r="B253" s="2" t="str">
        <f>_xlfn.CONCAT(tbSellers[[#This Row],[Station]],tbSellers[[#This Row],[Item]])</f>
        <v>EeoocomaCopper</v>
      </c>
      <c r="C253" s="2" t="s">
        <v>633</v>
      </c>
      <c r="D253" s="18" t="s">
        <v>5</v>
      </c>
      <c r="E253" s="7">
        <f>VLOOKUP(tbSellers[[#This Row],[Item]],tbMaterials[],4,FALSE)</f>
        <v>121</v>
      </c>
      <c r="F253" s="51">
        <v>2</v>
      </c>
      <c r="G253" s="21" t="str">
        <f>VLOOKUP(tbSellers[[#This Row],[Station]],tbSystems[],10,FALSE)</f>
        <v>Medium</v>
      </c>
      <c r="J253" s="4"/>
      <c r="K253" s="30"/>
    </row>
    <row r="254" spans="2:11" s="2" customFormat="1" ht="27.95" hidden="1" customHeight="1" x14ac:dyDescent="0.25">
      <c r="B254" s="2" t="str">
        <f>_xlfn.CONCAT(tbSellers[[#This Row],[Station]],tbSellers[[#This Row],[Item]])</f>
        <v>Paddoc-KehaSalt</v>
      </c>
      <c r="C254" s="8" t="s">
        <v>112</v>
      </c>
      <c r="D254" s="18" t="s">
        <v>63</v>
      </c>
      <c r="E254" s="7">
        <f>VLOOKUP(tbSellers[[#This Row],[Item]],tbMaterials[],4,FALSE)</f>
        <v>299</v>
      </c>
      <c r="F254" s="51">
        <v>2</v>
      </c>
      <c r="G254" s="21" t="str">
        <f>VLOOKUP(tbSellers[[#This Row],[Station]],tbSystems[],10,FALSE)</f>
        <v>Low</v>
      </c>
      <c r="J254" s="4"/>
      <c r="K254" s="30"/>
    </row>
    <row r="255" spans="2:11" s="2" customFormat="1" ht="27.95" hidden="1" customHeight="1" x14ac:dyDescent="0.25">
      <c r="B255" s="2" t="str">
        <f>_xlfn.CONCAT(tbSellers[[#This Row],[Station]],tbSellers[[#This Row],[Item]])</f>
        <v>Paddoc-KehaPyrite</v>
      </c>
      <c r="C255" s="8" t="s">
        <v>112</v>
      </c>
      <c r="D255" s="18" t="s">
        <v>140</v>
      </c>
      <c r="E255" s="7">
        <f>VLOOKUP(tbSellers[[#This Row],[Item]],tbMaterials[],4,FALSE)</f>
        <v>62</v>
      </c>
      <c r="F255" s="51">
        <v>2</v>
      </c>
      <c r="G255" s="21" t="str">
        <f>VLOOKUP(tbSellers[[#This Row],[Station]],tbSystems[],10,FALSE)</f>
        <v>Low</v>
      </c>
      <c r="J255" s="4"/>
      <c r="K255" s="30"/>
    </row>
    <row r="256" spans="2:11" s="2" customFormat="1" ht="27.95" hidden="1" customHeight="1" x14ac:dyDescent="0.25">
      <c r="B256" s="2" t="str">
        <f>_xlfn.CONCAT(tbSellers[[#This Row],[Station]],tbSellers[[#This Row],[Item]])</f>
        <v>XishuaiSilver</v>
      </c>
      <c r="C256" s="2" t="s">
        <v>108</v>
      </c>
      <c r="D256" s="18" t="s">
        <v>20</v>
      </c>
      <c r="E256" s="7">
        <f>VLOOKUP(tbSellers[[#This Row],[Item]],tbMaterials[],4,FALSE)</f>
        <v>186</v>
      </c>
      <c r="F256" s="51">
        <v>2</v>
      </c>
      <c r="G256" s="21" t="str">
        <f>VLOOKUP(tbSellers[[#This Row],[Station]],tbSystems[],10,FALSE)</f>
        <v>Low</v>
      </c>
      <c r="J256" s="4"/>
      <c r="K256" s="30"/>
    </row>
    <row r="257" spans="2:11" s="2" customFormat="1" ht="27.95" hidden="1" customHeight="1" x14ac:dyDescent="0.25">
      <c r="B257" s="2" t="str">
        <f>_xlfn.CONCAT(tbSellers[[#This Row],[Station]],tbSellers[[#This Row],[Item]])</f>
        <v>XishuanqPhosphorus</v>
      </c>
      <c r="C257" s="8" t="s">
        <v>111</v>
      </c>
      <c r="D257" s="18" t="s">
        <v>39</v>
      </c>
      <c r="E257" s="7">
        <f>VLOOKUP(tbSellers[[#This Row],[Item]],tbMaterials[],4,FALSE)</f>
        <v>62</v>
      </c>
      <c r="F257" s="51">
        <v>2</v>
      </c>
      <c r="G257" s="21" t="str">
        <f>VLOOKUP(tbSellers[[#This Row],[Station]],tbSystems[],10,FALSE)</f>
        <v>Medium</v>
      </c>
      <c r="J257" s="4"/>
      <c r="K257" s="30"/>
    </row>
    <row r="258" spans="2:11" s="2" customFormat="1" ht="27.95" hidden="1" customHeight="1" x14ac:dyDescent="0.25">
      <c r="B258" s="2" t="str">
        <f>_xlfn.CONCAT(tbSellers[[#This Row],[Station]],tbSellers[[#This Row],[Item]])</f>
        <v>XishuanqSilver</v>
      </c>
      <c r="C258" s="8" t="s">
        <v>111</v>
      </c>
      <c r="D258" s="18" t="s">
        <v>20</v>
      </c>
      <c r="E258" s="7">
        <f>VLOOKUP(tbSellers[[#This Row],[Item]],tbMaterials[],4,FALSE)</f>
        <v>186</v>
      </c>
      <c r="F258" s="51">
        <v>1</v>
      </c>
      <c r="G258" s="21" t="str">
        <f>VLOOKUP(tbSellers[[#This Row],[Station]],tbSystems[],10,FALSE)</f>
        <v>Medium</v>
      </c>
      <c r="J258" s="4"/>
      <c r="K258" s="30"/>
    </row>
    <row r="259" spans="2:11" s="2" customFormat="1" ht="27.95" hidden="1" customHeight="1" x14ac:dyDescent="0.25">
      <c r="B259" s="2" t="str">
        <f>_xlfn.CONCAT(tbSellers[[#This Row],[Station]],tbSellers[[#This Row],[Item]])</f>
        <v>Arjorda-KugOxygen</v>
      </c>
      <c r="C259" s="8" t="s">
        <v>86</v>
      </c>
      <c r="D259" s="18" t="s">
        <v>9</v>
      </c>
      <c r="E259" s="7">
        <f>VLOOKUP(tbSellers[[#This Row],[Item]],tbMaterials[],4,FALSE)</f>
        <v>34</v>
      </c>
      <c r="F259" s="51">
        <v>1</v>
      </c>
      <c r="G259" s="21" t="str">
        <f>VLOOKUP(tbSellers[[#This Row],[Station]],tbSystems[],10,FALSE)</f>
        <v>Medium</v>
      </c>
      <c r="J259" s="4"/>
      <c r="K259" s="30"/>
    </row>
    <row r="260" spans="2:11" s="2" customFormat="1" ht="27.95" hidden="1" customHeight="1" x14ac:dyDescent="0.25">
      <c r="B260" s="2" t="str">
        <f>_xlfn.CONCAT(tbSellers[[#This Row],[Station]],tbSellers[[#This Row],[Item]])</f>
        <v>Arjorda-KugPure Ferrite</v>
      </c>
      <c r="C260" s="8" t="s">
        <v>86</v>
      </c>
      <c r="D260" s="18" t="s">
        <v>304</v>
      </c>
      <c r="E260" s="7">
        <f>VLOOKUP(tbSellers[[#This Row],[Item]],tbMaterials[],4,FALSE)</f>
        <v>28</v>
      </c>
      <c r="F260" s="51">
        <v>2</v>
      </c>
      <c r="G260" s="21" t="str">
        <f>VLOOKUP(tbSellers[[#This Row],[Station]],tbSystems[],10,FALSE)</f>
        <v>Medium</v>
      </c>
      <c r="J260" s="4"/>
      <c r="K260" s="30"/>
    </row>
    <row r="261" spans="2:11" s="2" customFormat="1" ht="27.95" hidden="1" customHeight="1" x14ac:dyDescent="0.25">
      <c r="B261" s="2" t="str">
        <f>_xlfn.CONCAT(tbSellers[[#This Row],[Station]],tbSellers[[#This Row],[Item]])</f>
        <v>Arjorda-KugFerrite Dust</v>
      </c>
      <c r="C261" s="8" t="s">
        <v>86</v>
      </c>
      <c r="D261" s="18" t="s">
        <v>13</v>
      </c>
      <c r="E261" s="7">
        <f>VLOOKUP(tbSellers[[#This Row],[Item]],tbMaterials[],4,FALSE)</f>
        <v>14</v>
      </c>
      <c r="F261" s="51">
        <v>1</v>
      </c>
      <c r="G261" s="21" t="str">
        <f>VLOOKUP(tbSellers[[#This Row],[Station]],tbSystems[],10,FALSE)</f>
        <v>Medium</v>
      </c>
      <c r="J261" s="4"/>
      <c r="K261" s="30"/>
    </row>
    <row r="262" spans="2:11" s="2" customFormat="1" ht="27.95" hidden="1" customHeight="1" x14ac:dyDescent="0.25">
      <c r="B262" s="2" t="str">
        <f>_xlfn.CONCAT(tbSellers[[#This Row],[Station]],tbSellers[[#This Row],[Item]])</f>
        <v>Ancity-NiyhTritium</v>
      </c>
      <c r="C262" s="8" t="s">
        <v>89</v>
      </c>
      <c r="D262" s="18" t="s">
        <v>28</v>
      </c>
      <c r="E262" s="7">
        <f>VLOOKUP(tbSellers[[#This Row],[Item]],tbMaterials[],4,FALSE)</f>
        <v>6</v>
      </c>
      <c r="F262" s="51">
        <v>1</v>
      </c>
      <c r="G262" s="21" t="str">
        <f>VLOOKUP(tbSellers[[#This Row],[Station]],tbSystems[],10,FALSE)</f>
        <v>Medium</v>
      </c>
      <c r="J262" s="4"/>
      <c r="K262" s="30"/>
    </row>
    <row r="263" spans="2:11" s="2" customFormat="1" ht="27.95" hidden="1" customHeight="1" x14ac:dyDescent="0.25">
      <c r="B263" s="2" t="str">
        <f>_xlfn.CONCAT(tbSellers[[#This Row],[Station]],tbSellers[[#This Row],[Item]])</f>
        <v>Ancity-NiyhPhosphorus</v>
      </c>
      <c r="C263" s="8" t="s">
        <v>89</v>
      </c>
      <c r="D263" s="18" t="s">
        <v>39</v>
      </c>
      <c r="E263" s="7">
        <f>VLOOKUP(tbSellers[[#This Row],[Item]],tbMaterials[],4,FALSE)</f>
        <v>62</v>
      </c>
      <c r="F263" s="51">
        <v>1</v>
      </c>
      <c r="G263" s="21" t="str">
        <f>VLOOKUP(tbSellers[[#This Row],[Station]],tbSystems[],10,FALSE)</f>
        <v>Medium</v>
      </c>
      <c r="J263" s="4"/>
      <c r="K263" s="30"/>
    </row>
    <row r="264" spans="2:11" s="2" customFormat="1" ht="27.95" hidden="1" customHeight="1" x14ac:dyDescent="0.25">
      <c r="B264" s="2" t="str">
        <f>_xlfn.CONCAT(tbSellers[[#This Row],[Station]],tbSellers[[#This Row],[Item]])</f>
        <v>Ancity-NiyhPure Ferrite</v>
      </c>
      <c r="C264" s="8" t="s">
        <v>89</v>
      </c>
      <c r="D264" s="18" t="s">
        <v>304</v>
      </c>
      <c r="E264" s="7">
        <f>VLOOKUP(tbSellers[[#This Row],[Item]],tbMaterials[],4,FALSE)</f>
        <v>28</v>
      </c>
      <c r="F264" s="51">
        <v>2</v>
      </c>
      <c r="G264" s="21" t="str">
        <f>VLOOKUP(tbSellers[[#This Row],[Station]],tbSystems[],10,FALSE)</f>
        <v>Medium</v>
      </c>
      <c r="J264" s="4"/>
      <c r="K264" s="30"/>
    </row>
    <row r="265" spans="2:11" s="2" customFormat="1" ht="27.95" customHeight="1" x14ac:dyDescent="0.25">
      <c r="B265" s="2" t="str">
        <f>_xlfn.CONCAT(tbSellers[[#This Row],[Station]],tbSellers[[#This Row],[Item]])</f>
        <v>XishuanqChlorine</v>
      </c>
      <c r="C265" s="8" t="s">
        <v>111</v>
      </c>
      <c r="D265" s="18" t="s">
        <v>96</v>
      </c>
      <c r="E265" s="7">
        <f>VLOOKUP(tbSellers[[#This Row],[Item]],tbMaterials[],4,FALSE)</f>
        <v>602</v>
      </c>
      <c r="F265" s="51">
        <v>2</v>
      </c>
      <c r="G265" s="21" t="str">
        <f>VLOOKUP(tbSellers[[#This Row],[Station]],tbSystems[],10,FALSE)</f>
        <v>Medium</v>
      </c>
      <c r="J265" s="4"/>
      <c r="K265" s="30"/>
    </row>
    <row r="266" spans="2:11" s="2" customFormat="1" ht="27.95" hidden="1" customHeight="1" x14ac:dyDescent="0.25">
      <c r="B266" s="2" t="str">
        <f>_xlfn.CONCAT(tbSellers[[#This Row],[Station]],tbSellers[[#This Row],[Item]])</f>
        <v>Yartan-AwkinPlatinum</v>
      </c>
      <c r="C266" s="2" t="s">
        <v>365</v>
      </c>
      <c r="D266" s="18" t="s">
        <v>19</v>
      </c>
      <c r="E266" s="7">
        <f>VLOOKUP(tbSellers[[#This Row],[Item]],tbMaterials[],4,FALSE)</f>
        <v>505</v>
      </c>
      <c r="F266" s="51"/>
      <c r="G266" s="20" t="str">
        <f>VLOOKUP(tbSellers[[#This Row],[Station]],tbSystems[],10,FALSE)</f>
        <v>Medium</v>
      </c>
      <c r="J266" s="4"/>
      <c r="K266" s="30"/>
    </row>
    <row r="267" spans="2:11" s="2" customFormat="1" ht="27.95" hidden="1" customHeight="1" x14ac:dyDescent="0.25">
      <c r="B267" s="2" t="str">
        <f>_xlfn.CONCAT(tbSellers[[#This Row],[Station]],tbSellers[[#This Row],[Item]])</f>
        <v>PuningtSodium Nitrate</v>
      </c>
      <c r="C267" s="2" t="s">
        <v>318</v>
      </c>
      <c r="D267" s="18" t="s">
        <v>12</v>
      </c>
      <c r="E267" s="7">
        <f>VLOOKUP(tbSellers[[#This Row],[Item]],tbMaterials[],4,FALSE)</f>
        <v>82</v>
      </c>
      <c r="F267" s="51">
        <v>2</v>
      </c>
      <c r="G267" s="20" t="str">
        <f>VLOOKUP(tbSellers[[#This Row],[Station]],tbSystems[],10,FALSE)</f>
        <v>Medium</v>
      </c>
      <c r="J267" s="4"/>
      <c r="K267" s="30"/>
    </row>
    <row r="268" spans="2:11" s="2" customFormat="1" ht="27.95" hidden="1" customHeight="1" x14ac:dyDescent="0.25">
      <c r="B268" s="2" t="str">
        <f>_xlfn.CONCAT(tbSellers[[#This Row],[Station]],tbSellers[[#This Row],[Item]])</f>
        <v>Yedexi VIIPlatinum</v>
      </c>
      <c r="C268" s="8" t="s">
        <v>59</v>
      </c>
      <c r="D268" s="18" t="s">
        <v>19</v>
      </c>
      <c r="E268" s="7">
        <f>VLOOKUP(tbSellers[[#This Row],[Item]],tbMaterials[],4,FALSE)</f>
        <v>505</v>
      </c>
      <c r="F268" s="51">
        <v>-1.9E-2</v>
      </c>
      <c r="G268" s="20" t="str">
        <f>VLOOKUP(tbSellers[[#This Row],[Station]],tbSystems[],10,FALSE)</f>
        <v>Medium</v>
      </c>
      <c r="J268" s="4"/>
      <c r="K268" s="30"/>
    </row>
    <row r="269" spans="2:11" s="2" customFormat="1" ht="27.95" hidden="1" customHeight="1" x14ac:dyDescent="0.25">
      <c r="B269" s="2" t="str">
        <f>_xlfn.CONCAT(tbSellers[[#This Row],[Station]],tbSellers[[#This Row],[Item]])</f>
        <v>RidunxiCobalt</v>
      </c>
      <c r="C269" s="2" t="s">
        <v>642</v>
      </c>
      <c r="D269" s="18" t="s">
        <v>6</v>
      </c>
      <c r="E269" s="7">
        <f>VLOOKUP(tbSellers[[#This Row],[Item]],tbMaterials[],4,FALSE)</f>
        <v>198</v>
      </c>
      <c r="F269" s="51">
        <v>1</v>
      </c>
      <c r="G269" s="20" t="str">
        <f>VLOOKUP(tbSellers[[#This Row],[Station]],tbSystems[],10,FALSE)</f>
        <v>Medium</v>
      </c>
      <c r="J269" s="4"/>
      <c r="K269" s="30"/>
    </row>
    <row r="270" spans="2:11" s="2" customFormat="1" ht="27.95" hidden="1" customHeight="1" x14ac:dyDescent="0.25">
      <c r="B270" s="2" t="str">
        <f>_xlfn.CONCAT(tbSellers[[#This Row],[Station]],tbSellers[[#This Row],[Item]])</f>
        <v>RidunxiOxygen</v>
      </c>
      <c r="C270" s="2" t="s">
        <v>642</v>
      </c>
      <c r="D270" s="18" t="s">
        <v>9</v>
      </c>
      <c r="E270" s="7">
        <f>VLOOKUP(tbSellers[[#This Row],[Item]],tbMaterials[],4,FALSE)</f>
        <v>34</v>
      </c>
      <c r="F270" s="51">
        <v>1</v>
      </c>
      <c r="G270" s="20" t="str">
        <f>VLOOKUP(tbSellers[[#This Row],[Station]],tbSystems[],10,FALSE)</f>
        <v>Medium</v>
      </c>
      <c r="J270" s="4"/>
      <c r="K270" s="30"/>
    </row>
    <row r="271" spans="2:11" s="2" customFormat="1" ht="27.95" hidden="1" customHeight="1" x14ac:dyDescent="0.25">
      <c r="B271" s="2" t="str">
        <f>_xlfn.CONCAT(tbSellers[[#This Row],[Station]],tbSellers[[#This Row],[Item]])</f>
        <v>RidunxiSodium</v>
      </c>
      <c r="C271" s="2" t="s">
        <v>642</v>
      </c>
      <c r="D271" s="18" t="s">
        <v>10</v>
      </c>
      <c r="E271" s="7">
        <f>VLOOKUP(tbSellers[[#This Row],[Item]],tbMaterials[],4,FALSE)</f>
        <v>41</v>
      </c>
      <c r="F271" s="51">
        <v>1</v>
      </c>
      <c r="G271" s="20" t="str">
        <f>VLOOKUP(tbSellers[[#This Row],[Station]],tbSystems[],10,FALSE)</f>
        <v>Medium</v>
      </c>
      <c r="J271" s="4"/>
      <c r="K271" s="30"/>
    </row>
    <row r="272" spans="2:11" s="2" customFormat="1" ht="27.95" hidden="1" customHeight="1" x14ac:dyDescent="0.25">
      <c r="B272" s="2" t="str">
        <f>_xlfn.CONCAT(tbSellers[[#This Row],[Station]],tbSellers[[#This Row],[Item]])</f>
        <v>RidunxiMagnetised Ferrite</v>
      </c>
      <c r="C272" s="2" t="s">
        <v>642</v>
      </c>
      <c r="D272" s="18" t="s">
        <v>268</v>
      </c>
      <c r="E272" s="7">
        <f>VLOOKUP(tbSellers[[#This Row],[Item]],tbMaterials[],4,FALSE)</f>
        <v>82</v>
      </c>
      <c r="F272" s="51">
        <v>1</v>
      </c>
      <c r="G272" s="20" t="str">
        <f>VLOOKUP(tbSellers[[#This Row],[Station]],tbSystems[],10,FALSE)</f>
        <v>Medium</v>
      </c>
      <c r="J272" s="4"/>
      <c r="K272" s="30"/>
    </row>
    <row r="273" spans="2:11" s="2" customFormat="1" ht="27.95" hidden="1" customHeight="1" x14ac:dyDescent="0.25">
      <c r="B273" s="2" t="str">
        <f>_xlfn.CONCAT(tbSellers[[#This Row],[Station]],tbSellers[[#This Row],[Item]])</f>
        <v>RidunxiPhosphorus</v>
      </c>
      <c r="C273" s="2" t="s">
        <v>642</v>
      </c>
      <c r="D273" s="18" t="s">
        <v>39</v>
      </c>
      <c r="E273" s="7">
        <f>VLOOKUP(tbSellers[[#This Row],[Item]],tbMaterials[],4,FALSE)</f>
        <v>62</v>
      </c>
      <c r="F273" s="51">
        <v>1</v>
      </c>
      <c r="G273" s="20" t="str">
        <f>VLOOKUP(tbSellers[[#This Row],[Station]],tbSystems[],10,FALSE)</f>
        <v>Medium</v>
      </c>
      <c r="J273" s="4"/>
      <c r="K273" s="30"/>
    </row>
    <row r="274" spans="2:11" s="2" customFormat="1" ht="27.95" hidden="1" customHeight="1" x14ac:dyDescent="0.25">
      <c r="B274" s="2" t="str">
        <f>_xlfn.CONCAT(tbSellers[[#This Row],[Station]],tbSellers[[#This Row],[Item]])</f>
        <v>RidunxiParaffinium</v>
      </c>
      <c r="C274" s="2" t="s">
        <v>642</v>
      </c>
      <c r="D274" s="18" t="s">
        <v>69</v>
      </c>
      <c r="E274" s="7">
        <f>VLOOKUP(tbSellers[[#This Row],[Item]],tbMaterials[],4,FALSE)</f>
        <v>62</v>
      </c>
      <c r="F274" s="51">
        <v>1</v>
      </c>
      <c r="G274" s="20" t="str">
        <f>VLOOKUP(tbSellers[[#This Row],[Station]],tbSystems[],10,FALSE)</f>
        <v>Medium</v>
      </c>
      <c r="J274" s="4"/>
      <c r="K274" s="30"/>
    </row>
    <row r="275" spans="2:11" s="2" customFormat="1" ht="27.95" hidden="1" customHeight="1" x14ac:dyDescent="0.25">
      <c r="B275" s="2" t="str">
        <f>_xlfn.CONCAT(tbSellers[[#This Row],[Station]],tbSellers[[#This Row],[Item]])</f>
        <v>RidunxiSodium Nitrate</v>
      </c>
      <c r="C275" s="2" t="s">
        <v>642</v>
      </c>
      <c r="D275" s="18" t="s">
        <v>12</v>
      </c>
      <c r="E275" s="7">
        <f>VLOOKUP(tbSellers[[#This Row],[Item]],tbMaterials[],4,FALSE)</f>
        <v>82</v>
      </c>
      <c r="F275" s="51">
        <v>1</v>
      </c>
      <c r="G275" s="20" t="str">
        <f>VLOOKUP(tbSellers[[#This Row],[Station]],tbSystems[],10,FALSE)</f>
        <v>Medium</v>
      </c>
      <c r="J275" s="4"/>
      <c r="K275" s="30"/>
    </row>
    <row r="276" spans="2:11" s="2" customFormat="1" ht="27.95" hidden="1" customHeight="1" x14ac:dyDescent="0.25">
      <c r="B276" s="2" t="str">
        <f>_xlfn.CONCAT(tbSellers[[#This Row],[Station]],tbSellers[[#This Row],[Item]])</f>
        <v>YendonoFerrite Dust</v>
      </c>
      <c r="C276" s="2" t="s">
        <v>644</v>
      </c>
      <c r="D276" s="18" t="s">
        <v>13</v>
      </c>
      <c r="E276" s="7">
        <f>VLOOKUP(tbSellers[[#This Row],[Item]],tbMaterials[],4,FALSE)</f>
        <v>14</v>
      </c>
      <c r="F276" s="51">
        <v>1</v>
      </c>
      <c r="G276" s="20" t="str">
        <f>VLOOKUP(tbSellers[[#This Row],[Station]],tbSystems[],10,FALSE)</f>
        <v>Medium</v>
      </c>
      <c r="J276" s="4"/>
      <c r="K276" s="30"/>
    </row>
    <row r="277" spans="2:11" s="2" customFormat="1" ht="27.95" hidden="1" customHeight="1" x14ac:dyDescent="0.25">
      <c r="B277" s="2" t="str">
        <f>_xlfn.CONCAT(tbSellers[[#This Row],[Station]],tbSellers[[#This Row],[Item]])</f>
        <v>RidunxiChromatic Metal</v>
      </c>
      <c r="C277" s="2" t="s">
        <v>642</v>
      </c>
      <c r="D277" s="18" t="s">
        <v>291</v>
      </c>
      <c r="E277" s="7">
        <f>VLOOKUP(tbSellers[[#This Row],[Item]],tbMaterials[],4,FALSE)</f>
        <v>245</v>
      </c>
      <c r="F277" s="51">
        <v>1</v>
      </c>
      <c r="G277" s="20" t="str">
        <f>VLOOKUP(tbSellers[[#This Row],[Station]],tbSystems[],10,FALSE)</f>
        <v>Medium</v>
      </c>
      <c r="J277" s="4"/>
      <c r="K277" s="30"/>
    </row>
    <row r="278" spans="2:11" s="2" customFormat="1" ht="27.95" hidden="1" customHeight="1" x14ac:dyDescent="0.25">
      <c r="B278" s="2" t="str">
        <f>_xlfn.CONCAT(tbSellers[[#This Row],[Station]],tbSellers[[#This Row],[Item]])</f>
        <v>RidunxiSalt</v>
      </c>
      <c r="C278" s="2" t="s">
        <v>642</v>
      </c>
      <c r="D278" s="18" t="s">
        <v>63</v>
      </c>
      <c r="E278" s="7">
        <f>VLOOKUP(tbSellers[[#This Row],[Item]],tbMaterials[],4,FALSE)</f>
        <v>299</v>
      </c>
      <c r="F278" s="51">
        <v>2</v>
      </c>
      <c r="G278" s="20" t="str">
        <f>VLOOKUP(tbSellers[[#This Row],[Station]],tbSystems[],10,FALSE)</f>
        <v>Medium</v>
      </c>
      <c r="J278" s="4"/>
      <c r="K278" s="30"/>
    </row>
    <row r="279" spans="2:11" s="2" customFormat="1" ht="27.95" hidden="1" customHeight="1" x14ac:dyDescent="0.25">
      <c r="B279" s="2" t="str">
        <f>_xlfn.CONCAT(tbSellers[[#This Row],[Station]],tbSellers[[#This Row],[Item]])</f>
        <v>RidunxiPure Ferrite</v>
      </c>
      <c r="C279" s="2" t="s">
        <v>642</v>
      </c>
      <c r="D279" s="18" t="s">
        <v>304</v>
      </c>
      <c r="E279" s="7">
        <f>VLOOKUP(tbSellers[[#This Row],[Item]],tbMaterials[],4,FALSE)</f>
        <v>28</v>
      </c>
      <c r="F279" s="51"/>
      <c r="G279" s="20" t="str">
        <f>VLOOKUP(tbSellers[[#This Row],[Station]],tbSystems[],10,FALSE)</f>
        <v>Medium</v>
      </c>
      <c r="J279" s="4"/>
      <c r="K279" s="30"/>
    </row>
    <row r="280" spans="2:11" s="2" customFormat="1" ht="27.95" hidden="1" customHeight="1" x14ac:dyDescent="0.25">
      <c r="B280" s="2" t="str">
        <f>_xlfn.CONCAT(tbSellers[[#This Row],[Station]],tbSellers[[#This Row],[Item]])</f>
        <v>RidunxiSilver</v>
      </c>
      <c r="C280" s="2" t="s">
        <v>642</v>
      </c>
      <c r="D280" s="18" t="s">
        <v>20</v>
      </c>
      <c r="E280" s="7">
        <f>VLOOKUP(tbSellers[[#This Row],[Item]],tbMaterials[],4,FALSE)</f>
        <v>186</v>
      </c>
      <c r="F280" s="51">
        <v>2</v>
      </c>
      <c r="G280" s="20" t="str">
        <f>VLOOKUP(tbSellers[[#This Row],[Station]],tbSystems[],10,FALSE)</f>
        <v>Medium</v>
      </c>
      <c r="J280" s="4"/>
      <c r="K280" s="30"/>
    </row>
    <row r="281" spans="2:11" s="2" customFormat="1" ht="27.95" hidden="1" customHeight="1" x14ac:dyDescent="0.25">
      <c r="B281" s="2" t="str">
        <f>_xlfn.CONCAT(tbSellers[[#This Row],[Station]],tbSellers[[#This Row],[Item]])</f>
        <v>YendonoOxygen</v>
      </c>
      <c r="C281" s="2" t="s">
        <v>644</v>
      </c>
      <c r="D281" s="18" t="s">
        <v>9</v>
      </c>
      <c r="E281" s="7">
        <f>VLOOKUP(tbSellers[[#This Row],[Item]],tbMaterials[],4,FALSE)</f>
        <v>34</v>
      </c>
      <c r="F281" s="51">
        <v>1</v>
      </c>
      <c r="G281" s="20" t="str">
        <f>VLOOKUP(tbSellers[[#This Row],[Station]],tbSystems[],10,FALSE)</f>
        <v>Medium</v>
      </c>
      <c r="J281" s="4"/>
      <c r="K281" s="30"/>
    </row>
    <row r="282" spans="2:11" s="2" customFormat="1" ht="27.95" hidden="1" customHeight="1" x14ac:dyDescent="0.25">
      <c r="B282" s="2" t="str">
        <f>_xlfn.CONCAT(tbSellers[[#This Row],[Station]],tbSellers[[#This Row],[Item]])</f>
        <v>YendonoCobalt</v>
      </c>
      <c r="C282" s="2" t="s">
        <v>644</v>
      </c>
      <c r="D282" s="18" t="s">
        <v>6</v>
      </c>
      <c r="E282" s="7">
        <f>VLOOKUP(tbSellers[[#This Row],[Item]],tbMaterials[],4,FALSE)</f>
        <v>198</v>
      </c>
      <c r="F282" s="51">
        <v>1</v>
      </c>
      <c r="G282" s="20" t="str">
        <f>VLOOKUP(tbSellers[[#This Row],[Station]],tbSystems[],10,FALSE)</f>
        <v>Medium</v>
      </c>
      <c r="J282" s="4"/>
      <c r="K282" s="30"/>
    </row>
    <row r="283" spans="2:11" s="2" customFormat="1" ht="27.95" hidden="1" customHeight="1" x14ac:dyDescent="0.25">
      <c r="B283" s="2" t="str">
        <f>_xlfn.CONCAT(tbSellers[[#This Row],[Station]],tbSellers[[#This Row],[Item]])</f>
        <v>YendonoSodium</v>
      </c>
      <c r="C283" s="2" t="s">
        <v>644</v>
      </c>
      <c r="D283" s="18" t="s">
        <v>10</v>
      </c>
      <c r="E283" s="7">
        <f>VLOOKUP(tbSellers[[#This Row],[Item]],tbMaterials[],4,FALSE)</f>
        <v>41</v>
      </c>
      <c r="F283" s="51">
        <v>1</v>
      </c>
      <c r="G283" s="20" t="str">
        <f>VLOOKUP(tbSellers[[#This Row],[Station]],tbSystems[],10,FALSE)</f>
        <v>Medium</v>
      </c>
      <c r="J283" s="4"/>
      <c r="K283" s="30"/>
    </row>
    <row r="284" spans="2:11" s="2" customFormat="1" ht="27.95" hidden="1" customHeight="1" x14ac:dyDescent="0.25">
      <c r="B284" s="2" t="str">
        <f>_xlfn.CONCAT(tbSellers[[#This Row],[Station]],tbSellers[[#This Row],[Item]])</f>
        <v>YendonoCopper</v>
      </c>
      <c r="C284" s="2" t="s">
        <v>644</v>
      </c>
      <c r="D284" s="18" t="s">
        <v>5</v>
      </c>
      <c r="E284" s="7">
        <f>VLOOKUP(tbSellers[[#This Row],[Item]],tbMaterials[],4,FALSE)</f>
        <v>121</v>
      </c>
      <c r="F284" s="51">
        <v>1</v>
      </c>
      <c r="G284" s="20" t="str">
        <f>VLOOKUP(tbSellers[[#This Row],[Station]],tbSystems[],10,FALSE)</f>
        <v>Medium</v>
      </c>
      <c r="J284" s="4"/>
      <c r="K284" s="30"/>
    </row>
    <row r="285" spans="2:11" s="2" customFormat="1" ht="27.95" hidden="1" customHeight="1" x14ac:dyDescent="0.25">
      <c r="B285" s="2" t="str">
        <f>_xlfn.CONCAT(tbSellers[[#This Row],[Station]],tbSellers[[#This Row],[Item]])</f>
        <v>Seruss-EdogaOxygen</v>
      </c>
      <c r="C285" s="2" t="s">
        <v>646</v>
      </c>
      <c r="D285" s="18" t="s">
        <v>9</v>
      </c>
      <c r="E285" s="7">
        <f>VLOOKUP(tbSellers[[#This Row],[Item]],tbMaterials[],4,FALSE)</f>
        <v>34</v>
      </c>
      <c r="F285" s="51">
        <v>1</v>
      </c>
      <c r="G285" s="20" t="str">
        <f>VLOOKUP(tbSellers[[#This Row],[Station]],tbSystems[],10,FALSE)</f>
        <v>Medium</v>
      </c>
      <c r="J285" s="4"/>
      <c r="K285" s="30"/>
    </row>
    <row r="286" spans="2:11" s="2" customFormat="1" ht="27.95" hidden="1" customHeight="1" x14ac:dyDescent="0.25">
      <c r="B286" s="2" t="str">
        <f>_xlfn.CONCAT(tbSellers[[#This Row],[Station]],tbSellers[[#This Row],[Item]])</f>
        <v>YendonoGold</v>
      </c>
      <c r="C286" s="2" t="s">
        <v>644</v>
      </c>
      <c r="D286" s="18" t="s">
        <v>27</v>
      </c>
      <c r="E286" s="7">
        <f>VLOOKUP(tbSellers[[#This Row],[Item]],tbMaterials[],4,FALSE)</f>
        <v>353</v>
      </c>
      <c r="F286" s="51">
        <v>1</v>
      </c>
      <c r="G286" s="20" t="str">
        <f>VLOOKUP(tbSellers[[#This Row],[Station]],tbSystems[],10,FALSE)</f>
        <v>Medium</v>
      </c>
      <c r="J286" s="4"/>
      <c r="K286" s="30"/>
    </row>
    <row r="287" spans="2:11" s="2" customFormat="1" ht="27.95" hidden="1" customHeight="1" x14ac:dyDescent="0.25">
      <c r="B287" s="2" t="str">
        <f>_xlfn.CONCAT(tbSellers[[#This Row],[Station]],tbSellers[[#This Row],[Item]])</f>
        <v>YendonoPure Ferrite</v>
      </c>
      <c r="C287" s="2" t="s">
        <v>644</v>
      </c>
      <c r="D287" s="18" t="s">
        <v>304</v>
      </c>
      <c r="E287" s="7">
        <f>VLOOKUP(tbSellers[[#This Row],[Item]],tbMaterials[],4,FALSE)</f>
        <v>28</v>
      </c>
      <c r="F287" s="51">
        <v>1</v>
      </c>
      <c r="G287" s="20" t="str">
        <f>VLOOKUP(tbSellers[[#This Row],[Station]],tbSystems[],10,FALSE)</f>
        <v>Medium</v>
      </c>
      <c r="J287" s="4"/>
      <c r="K287" s="30"/>
    </row>
    <row r="288" spans="2:11" s="2" customFormat="1" ht="27.95" hidden="1" customHeight="1" x14ac:dyDescent="0.25">
      <c r="B288" s="2" t="str">
        <f>_xlfn.CONCAT(tbSellers[[#This Row],[Station]],tbSellers[[#This Row],[Item]])</f>
        <v>YendonoChromatic Metal</v>
      </c>
      <c r="C288" s="2" t="s">
        <v>644</v>
      </c>
      <c r="D288" s="18" t="s">
        <v>291</v>
      </c>
      <c r="E288" s="7">
        <f>VLOOKUP(tbSellers[[#This Row],[Item]],tbMaterials[],4,FALSE)</f>
        <v>245</v>
      </c>
      <c r="F288" s="51">
        <v>1</v>
      </c>
      <c r="G288" s="20" t="str">
        <f>VLOOKUP(tbSellers[[#This Row],[Station]],tbSystems[],10,FALSE)</f>
        <v>Medium</v>
      </c>
      <c r="J288" s="4"/>
      <c r="K288" s="30"/>
    </row>
    <row r="289" spans="2:11" s="2" customFormat="1" ht="27.95" hidden="1" customHeight="1" x14ac:dyDescent="0.25">
      <c r="B289" s="2" t="str">
        <f>_xlfn.CONCAT(tbSellers[[#This Row],[Station]],tbSellers[[#This Row],[Item]])</f>
        <v>YendonoUranium</v>
      </c>
      <c r="C289" s="2" t="s">
        <v>644</v>
      </c>
      <c r="D289" s="18" t="s">
        <v>64</v>
      </c>
      <c r="E289" s="7">
        <f>VLOOKUP(tbSellers[[#This Row],[Item]],tbMaterials[],4,FALSE)</f>
        <v>62</v>
      </c>
      <c r="F289" s="51">
        <v>2</v>
      </c>
      <c r="G289" s="20" t="str">
        <f>VLOOKUP(tbSellers[[#This Row],[Station]],tbSystems[],10,FALSE)</f>
        <v>Medium</v>
      </c>
      <c r="J289" s="4"/>
      <c r="K289" s="30"/>
    </row>
    <row r="290" spans="2:11" s="2" customFormat="1" ht="27.95" hidden="1" customHeight="1" x14ac:dyDescent="0.25">
      <c r="B290" s="2" t="str">
        <f>_xlfn.CONCAT(tbSellers[[#This Row],[Station]],tbSellers[[#This Row],[Item]])</f>
        <v>YendonoPyrite</v>
      </c>
      <c r="C290" s="2" t="s">
        <v>644</v>
      </c>
      <c r="D290" s="18" t="s">
        <v>140</v>
      </c>
      <c r="E290" s="7">
        <f>VLOOKUP(tbSellers[[#This Row],[Item]],tbMaterials[],4,FALSE)</f>
        <v>62</v>
      </c>
      <c r="F290" s="51">
        <v>2</v>
      </c>
      <c r="G290" s="20" t="str">
        <f>VLOOKUP(tbSellers[[#This Row],[Station]],tbSystems[],10,FALSE)</f>
        <v>Medium</v>
      </c>
      <c r="J290" s="4"/>
      <c r="K290" s="30"/>
    </row>
    <row r="291" spans="2:11" s="2" customFormat="1" ht="27.95" hidden="1" customHeight="1" x14ac:dyDescent="0.25">
      <c r="B291" s="2" t="str">
        <f>_xlfn.CONCAT(tbSellers[[#This Row],[Station]],tbSellers[[#This Row],[Item]])</f>
        <v>Seruss-EdogaCobalt</v>
      </c>
      <c r="C291" s="2" t="s">
        <v>646</v>
      </c>
      <c r="D291" s="18" t="s">
        <v>6</v>
      </c>
      <c r="E291" s="7">
        <f>VLOOKUP(tbSellers[[#This Row],[Item]],tbMaterials[],4,FALSE)</f>
        <v>198</v>
      </c>
      <c r="F291" s="51">
        <v>1</v>
      </c>
      <c r="G291" s="20" t="str">
        <f>VLOOKUP(tbSellers[[#This Row],[Station]],tbSystems[],10,FALSE)</f>
        <v>Medium</v>
      </c>
      <c r="J291" s="4"/>
      <c r="K291" s="30"/>
    </row>
    <row r="292" spans="2:11" s="2" customFormat="1" ht="27.95" hidden="1" customHeight="1" x14ac:dyDescent="0.25">
      <c r="B292" s="2" t="str">
        <f>_xlfn.CONCAT(tbSellers[[#This Row],[Station]],tbSellers[[#This Row],[Item]])</f>
        <v>Seruss-EdogaFerrite Dust</v>
      </c>
      <c r="C292" s="2" t="s">
        <v>646</v>
      </c>
      <c r="D292" s="18" t="s">
        <v>13</v>
      </c>
      <c r="E292" s="7">
        <f>VLOOKUP(tbSellers[[#This Row],[Item]],tbMaterials[],4,FALSE)</f>
        <v>14</v>
      </c>
      <c r="F292" s="51">
        <v>1</v>
      </c>
      <c r="G292" s="20" t="str">
        <f>VLOOKUP(tbSellers[[#This Row],[Station]],tbSystems[],10,FALSE)</f>
        <v>Medium</v>
      </c>
      <c r="J292" s="4"/>
      <c r="K292" s="30"/>
    </row>
    <row r="293" spans="2:11" s="2" customFormat="1" ht="27.95" hidden="1" customHeight="1" x14ac:dyDescent="0.25">
      <c r="B293" s="2" t="str">
        <f>_xlfn.CONCAT(tbSellers[[#This Row],[Station]],tbSellers[[#This Row],[Item]])</f>
        <v>Seruss-EdogaSodium</v>
      </c>
      <c r="C293" s="2" t="s">
        <v>646</v>
      </c>
      <c r="D293" s="18" t="s">
        <v>10</v>
      </c>
      <c r="E293" s="7">
        <f>VLOOKUP(tbSellers[[#This Row],[Item]],tbMaterials[],4,FALSE)</f>
        <v>41</v>
      </c>
      <c r="F293" s="51">
        <v>1</v>
      </c>
      <c r="G293" s="20" t="str">
        <f>VLOOKUP(tbSellers[[#This Row],[Station]],tbSystems[],10,FALSE)</f>
        <v>Medium</v>
      </c>
      <c r="J293" s="4"/>
      <c r="K293" s="30"/>
    </row>
    <row r="294" spans="2:11" s="2" customFormat="1" ht="27.95" hidden="1" customHeight="1" x14ac:dyDescent="0.25">
      <c r="B294" s="2" t="str">
        <f>_xlfn.CONCAT(tbSellers[[#This Row],[Station]],tbSellers[[#This Row],[Item]])</f>
        <v>Seruss-EdogaPlatinum</v>
      </c>
      <c r="C294" s="2" t="s">
        <v>646</v>
      </c>
      <c r="D294" s="18" t="s">
        <v>19</v>
      </c>
      <c r="E294" s="7">
        <f>VLOOKUP(tbSellers[[#This Row],[Item]],tbMaterials[],4,FALSE)</f>
        <v>505</v>
      </c>
      <c r="F294" s="51">
        <v>1</v>
      </c>
      <c r="G294" s="20" t="str">
        <f>VLOOKUP(tbSellers[[#This Row],[Station]],tbSystems[],10,FALSE)</f>
        <v>Medium</v>
      </c>
      <c r="J294" s="4"/>
      <c r="K294" s="30"/>
    </row>
    <row r="295" spans="2:11" s="2" customFormat="1" ht="27.95" hidden="1" customHeight="1" x14ac:dyDescent="0.25">
      <c r="B295" s="2" t="str">
        <f>_xlfn.CONCAT(tbSellers[[#This Row],[Station]],tbSellers[[#This Row],[Item]])</f>
        <v>Seruss-EdogaPugneum</v>
      </c>
      <c r="C295" s="2" t="s">
        <v>646</v>
      </c>
      <c r="D295" s="18" t="s">
        <v>292</v>
      </c>
      <c r="E295" s="7">
        <f>VLOOKUP(tbSellers[[#This Row],[Item]],tbMaterials[],4,FALSE)</f>
        <v>138</v>
      </c>
      <c r="F295" s="51">
        <v>1</v>
      </c>
      <c r="G295" s="20" t="str">
        <f>VLOOKUP(tbSellers[[#This Row],[Station]],tbSystems[],10,FALSE)</f>
        <v>Medium</v>
      </c>
      <c r="J295" s="4"/>
      <c r="K295" s="30"/>
    </row>
    <row r="296" spans="2:11" s="2" customFormat="1" ht="27.95" hidden="1" customHeight="1" x14ac:dyDescent="0.25">
      <c r="B296" s="2" t="str">
        <f>_xlfn.CONCAT(tbSellers[[#This Row],[Station]],tbSellers[[#This Row],[Item]])</f>
        <v>Seruss-EdogaMagnetised Ferrite</v>
      </c>
      <c r="C296" s="2" t="s">
        <v>646</v>
      </c>
      <c r="D296" s="18" t="s">
        <v>268</v>
      </c>
      <c r="E296" s="7">
        <f>VLOOKUP(tbSellers[[#This Row],[Item]],tbMaterials[],4,FALSE)</f>
        <v>82</v>
      </c>
      <c r="F296" s="51">
        <v>1</v>
      </c>
      <c r="G296" s="20" t="str">
        <f>VLOOKUP(tbSellers[[#This Row],[Station]],tbSystems[],10,FALSE)</f>
        <v>Medium</v>
      </c>
      <c r="J296" s="4"/>
      <c r="K296" s="30"/>
    </row>
    <row r="297" spans="2:11" s="2" customFormat="1" ht="27.95" hidden="1" customHeight="1" x14ac:dyDescent="0.25">
      <c r="B297" s="2" t="str">
        <f>_xlfn.CONCAT(tbSellers[[#This Row],[Station]],tbSellers[[#This Row],[Item]])</f>
        <v>Seruss-EdogaUranium</v>
      </c>
      <c r="C297" s="2" t="s">
        <v>646</v>
      </c>
      <c r="D297" s="18" t="s">
        <v>64</v>
      </c>
      <c r="E297" s="7">
        <f>VLOOKUP(tbSellers[[#This Row],[Item]],tbMaterials[],4,FALSE)</f>
        <v>62</v>
      </c>
      <c r="F297" s="51">
        <v>1</v>
      </c>
      <c r="G297" s="20" t="str">
        <f>VLOOKUP(tbSellers[[#This Row],[Station]],tbSystems[],10,FALSE)</f>
        <v>Medium</v>
      </c>
      <c r="J297" s="4"/>
      <c r="K297" s="30"/>
    </row>
    <row r="298" spans="2:11" s="2" customFormat="1" ht="27.95" hidden="1" customHeight="1" x14ac:dyDescent="0.25">
      <c r="B298" s="2" t="str">
        <f>_xlfn.CONCAT(tbSellers[[#This Row],[Station]],tbSellers[[#This Row],[Item]])</f>
        <v>Seruss-EdogaPyrite</v>
      </c>
      <c r="C298" s="2" t="s">
        <v>646</v>
      </c>
      <c r="D298" s="18" t="s">
        <v>140</v>
      </c>
      <c r="E298" s="7">
        <f>VLOOKUP(tbSellers[[#This Row],[Item]],tbMaterials[],4,FALSE)</f>
        <v>62</v>
      </c>
      <c r="F298" s="51">
        <v>1</v>
      </c>
      <c r="G298" s="20" t="str">
        <f>VLOOKUP(tbSellers[[#This Row],[Station]],tbSystems[],10,FALSE)</f>
        <v>Medium</v>
      </c>
      <c r="J298" s="4"/>
      <c r="K298" s="30"/>
    </row>
    <row r="299" spans="2:11" s="2" customFormat="1" ht="27.95" hidden="1" customHeight="1" x14ac:dyDescent="0.25">
      <c r="B299" s="2" t="str">
        <f>_xlfn.CONCAT(tbSellers[[#This Row],[Station]],tbSellers[[#This Row],[Item]])</f>
        <v>Nuswick-PayeFerrite Dust</v>
      </c>
      <c r="C299" s="2" t="s">
        <v>648</v>
      </c>
      <c r="D299" s="18" t="s">
        <v>13</v>
      </c>
      <c r="E299" s="7">
        <f>VLOOKUP(tbSellers[[#This Row],[Item]],tbMaterials[],4,FALSE)</f>
        <v>14</v>
      </c>
      <c r="F299" s="51">
        <v>1</v>
      </c>
      <c r="G299" s="20" t="str">
        <f>VLOOKUP(tbSellers[[#This Row],[Station]],tbSystems[],10,FALSE)</f>
        <v>Low</v>
      </c>
      <c r="J299" s="4"/>
      <c r="K299" s="30"/>
    </row>
    <row r="300" spans="2:11" s="2" customFormat="1" ht="27.95" hidden="1" customHeight="1" x14ac:dyDescent="0.25">
      <c r="B300" s="2" t="str">
        <f>_xlfn.CONCAT(tbSellers[[#This Row],[Station]],tbSellers[[#This Row],[Item]])</f>
        <v>Seruss-EdogaPhosphorus</v>
      </c>
      <c r="C300" s="2" t="s">
        <v>646</v>
      </c>
      <c r="D300" s="18" t="s">
        <v>39</v>
      </c>
      <c r="E300" s="7">
        <f>VLOOKUP(tbSellers[[#This Row],[Item]],tbMaterials[],4,FALSE)</f>
        <v>62</v>
      </c>
      <c r="F300" s="51">
        <v>2</v>
      </c>
      <c r="G300" s="20" t="str">
        <f>VLOOKUP(tbSellers[[#This Row],[Station]],tbSystems[],10,FALSE)</f>
        <v>Medium</v>
      </c>
      <c r="J300" s="4"/>
      <c r="K300" s="30"/>
    </row>
    <row r="301" spans="2:11" s="2" customFormat="1" ht="27.95" hidden="1" customHeight="1" x14ac:dyDescent="0.25">
      <c r="B301" s="2" t="str">
        <f>_xlfn.CONCAT(tbSellers[[#This Row],[Station]],tbSellers[[#This Row],[Item]])</f>
        <v>Nuswick-PayeOxygen</v>
      </c>
      <c r="C301" s="2" t="s">
        <v>648</v>
      </c>
      <c r="D301" s="18" t="s">
        <v>9</v>
      </c>
      <c r="E301" s="7">
        <f>VLOOKUP(tbSellers[[#This Row],[Item]],tbMaterials[],4,FALSE)</f>
        <v>34</v>
      </c>
      <c r="F301" s="51">
        <v>1</v>
      </c>
      <c r="G301" s="20" t="str">
        <f>VLOOKUP(tbSellers[[#This Row],[Station]],tbSystems[],10,FALSE)</f>
        <v>Low</v>
      </c>
      <c r="J301" s="4"/>
      <c r="K301" s="30"/>
    </row>
    <row r="302" spans="2:11" s="2" customFormat="1" ht="27.95" hidden="1" customHeight="1" x14ac:dyDescent="0.25">
      <c r="B302" s="2" t="str">
        <f>_xlfn.CONCAT(tbSellers[[#This Row],[Station]],tbSellers[[#This Row],[Item]])</f>
        <v>Nuswick-PayeCobalt</v>
      </c>
      <c r="C302" s="2" t="s">
        <v>648</v>
      </c>
      <c r="D302" s="18" t="s">
        <v>6</v>
      </c>
      <c r="E302" s="7">
        <f>VLOOKUP(tbSellers[[#This Row],[Item]],tbMaterials[],4,FALSE)</f>
        <v>198</v>
      </c>
      <c r="F302" s="51">
        <v>1</v>
      </c>
      <c r="G302" s="20" t="str">
        <f>VLOOKUP(tbSellers[[#This Row],[Station]],tbSystems[],10,FALSE)</f>
        <v>Low</v>
      </c>
      <c r="J302" s="4"/>
      <c r="K302" s="30"/>
    </row>
    <row r="303" spans="2:11" s="2" customFormat="1" ht="27.95" hidden="1" customHeight="1" x14ac:dyDescent="0.25">
      <c r="B303" s="2" t="str">
        <f>_xlfn.CONCAT(tbSellers[[#This Row],[Station]],tbSellers[[#This Row],[Item]])</f>
        <v>Nuswick-PayeSodium</v>
      </c>
      <c r="C303" s="2" t="s">
        <v>648</v>
      </c>
      <c r="D303" s="18" t="s">
        <v>10</v>
      </c>
      <c r="E303" s="7">
        <f>VLOOKUP(tbSellers[[#This Row],[Item]],tbMaterials[],4,FALSE)</f>
        <v>41</v>
      </c>
      <c r="F303" s="51">
        <v>1</v>
      </c>
      <c r="G303" s="20" t="str">
        <f>VLOOKUP(tbSellers[[#This Row],[Station]],tbSystems[],10,FALSE)</f>
        <v>Low</v>
      </c>
      <c r="J303" s="4"/>
      <c r="K303" s="30"/>
    </row>
    <row r="304" spans="2:11" s="2" customFormat="1" ht="27.95" hidden="1" customHeight="1" x14ac:dyDescent="0.25">
      <c r="B304" s="2" t="str">
        <f>_xlfn.CONCAT(tbSellers[[#This Row],[Station]],tbSellers[[#This Row],[Item]])</f>
        <v>Nuswick-PayeUranium</v>
      </c>
      <c r="C304" s="2" t="s">
        <v>648</v>
      </c>
      <c r="D304" s="18" t="s">
        <v>64</v>
      </c>
      <c r="E304" s="7">
        <f>VLOOKUP(tbSellers[[#This Row],[Item]],tbMaterials[],4,FALSE)</f>
        <v>62</v>
      </c>
      <c r="F304" s="51">
        <v>1</v>
      </c>
      <c r="G304" s="20" t="str">
        <f>VLOOKUP(tbSellers[[#This Row],[Station]],tbSystems[],10,FALSE)</f>
        <v>Low</v>
      </c>
      <c r="J304" s="4"/>
      <c r="K304" s="30"/>
    </row>
    <row r="305" spans="2:12" s="2" customFormat="1" ht="27.95" hidden="1" customHeight="1" x14ac:dyDescent="0.25">
      <c r="B305" s="2" t="str">
        <f>_xlfn.CONCAT(tbSellers[[#This Row],[Station]],tbSellers[[#This Row],[Item]])</f>
        <v>Nuswick-PayeSalt</v>
      </c>
      <c r="C305" s="2" t="s">
        <v>648</v>
      </c>
      <c r="D305" s="18" t="s">
        <v>63</v>
      </c>
      <c r="E305" s="7">
        <f>VLOOKUP(tbSellers[[#This Row],[Item]],tbMaterials[],4,FALSE)</f>
        <v>299</v>
      </c>
      <c r="F305" s="51">
        <v>1</v>
      </c>
      <c r="G305" s="20" t="str">
        <f>VLOOKUP(tbSellers[[#This Row],[Station]],tbSystems[],10,FALSE)</f>
        <v>Low</v>
      </c>
      <c r="J305" s="4"/>
      <c r="K305" s="30"/>
    </row>
    <row r="306" spans="2:12" s="2" customFormat="1" ht="27.95" hidden="1" customHeight="1" x14ac:dyDescent="0.25">
      <c r="B306" s="2" t="str">
        <f>_xlfn.CONCAT(tbSellers[[#This Row],[Station]],tbSellers[[#This Row],[Item]])</f>
        <v>Nuswick-PayeSilver</v>
      </c>
      <c r="C306" s="2" t="s">
        <v>648</v>
      </c>
      <c r="D306" s="18" t="s">
        <v>20</v>
      </c>
      <c r="E306" s="7">
        <f>VLOOKUP(tbSellers[[#This Row],[Item]],tbMaterials[],4,FALSE)</f>
        <v>186</v>
      </c>
      <c r="F306" s="51">
        <v>1</v>
      </c>
      <c r="G306" s="20" t="str">
        <f>VLOOKUP(tbSellers[[#This Row],[Station]],tbSystems[],10,FALSE)</f>
        <v>Low</v>
      </c>
      <c r="J306" s="4"/>
      <c r="K306" s="30"/>
    </row>
    <row r="307" spans="2:12" s="2" customFormat="1" ht="27.95" hidden="1" customHeight="1" x14ac:dyDescent="0.25">
      <c r="B307" s="2" t="str">
        <f>_xlfn.CONCAT(tbSellers[[#This Row],[Station]],tbSellers[[#This Row],[Item]])</f>
        <v>Nuswick-PayePure Ferrite</v>
      </c>
      <c r="C307" s="2" t="s">
        <v>648</v>
      </c>
      <c r="D307" s="18" t="s">
        <v>304</v>
      </c>
      <c r="E307" s="7">
        <f>VLOOKUP(tbSellers[[#This Row],[Item]],tbMaterials[],4,FALSE)</f>
        <v>28</v>
      </c>
      <c r="F307" s="51">
        <v>1</v>
      </c>
      <c r="G307" s="20" t="str">
        <f>VLOOKUP(tbSellers[[#This Row],[Station]],tbSystems[],10,FALSE)</f>
        <v>Low</v>
      </c>
      <c r="J307" s="4"/>
      <c r="K307" s="30"/>
    </row>
    <row r="308" spans="2:12" s="2" customFormat="1" ht="27.95" hidden="1" customHeight="1" x14ac:dyDescent="0.25">
      <c r="B308" s="2" t="str">
        <f>_xlfn.CONCAT(tbSellers[[#This Row],[Station]],tbSellers[[#This Row],[Item]])</f>
        <v>Nuswick-PayePugneum</v>
      </c>
      <c r="C308" s="2" t="s">
        <v>648</v>
      </c>
      <c r="D308" s="18" t="s">
        <v>292</v>
      </c>
      <c r="E308" s="7">
        <f>VLOOKUP(tbSellers[[#This Row],[Item]],tbMaterials[],4,FALSE)</f>
        <v>138</v>
      </c>
      <c r="F308" s="51">
        <v>2</v>
      </c>
      <c r="G308" s="20" t="str">
        <f>VLOOKUP(tbSellers[[#This Row],[Station]],tbSystems[],10,FALSE)</f>
        <v>Low</v>
      </c>
      <c r="J308" s="4"/>
      <c r="K308" s="30"/>
    </row>
    <row r="309" spans="2:12" s="2" customFormat="1" ht="27.95" hidden="1" customHeight="1" x14ac:dyDescent="0.25">
      <c r="B309" s="2" t="str">
        <f>_xlfn.CONCAT(tbSellers[[#This Row],[Station]],tbSellers[[#This Row],[Item]])</f>
        <v>Nuswick-PayeParaffinium</v>
      </c>
      <c r="C309" s="2" t="s">
        <v>648</v>
      </c>
      <c r="D309" s="18" t="s">
        <v>69</v>
      </c>
      <c r="E309" s="7">
        <f>VLOOKUP(tbSellers[[#This Row],[Item]],tbMaterials[],4,FALSE)</f>
        <v>62</v>
      </c>
      <c r="F309" s="51">
        <v>2</v>
      </c>
      <c r="G309" s="20" t="str">
        <f>VLOOKUP(tbSellers[[#This Row],[Station]],tbSystems[],10,FALSE)</f>
        <v>Low</v>
      </c>
      <c r="J309" s="4"/>
      <c r="K309" s="30"/>
    </row>
    <row r="310" spans="2:12" s="2" customFormat="1" ht="27.95" customHeight="1" x14ac:dyDescent="0.25">
      <c r="B310" s="1"/>
      <c r="C310" s="8" t="s">
        <v>306</v>
      </c>
      <c r="D310" s="8"/>
      <c r="E310" s="4"/>
      <c r="F310" s="23"/>
      <c r="G310" s="41">
        <f>SUBTOTAL(103,tbSellers[Wealth Level])</f>
        <v>9</v>
      </c>
      <c r="J310" s="4"/>
      <c r="K310" s="30"/>
    </row>
    <row r="311" spans="2:12" s="2" customFormat="1" ht="27.95" customHeight="1" x14ac:dyDescent="0.25">
      <c r="C311" s="1"/>
      <c r="D311" s="1"/>
      <c r="E311" s="1"/>
      <c r="F311" s="1"/>
      <c r="G311" s="1"/>
      <c r="H311" s="4"/>
      <c r="I311" s="1"/>
      <c r="J311" s="1"/>
      <c r="K311" s="4"/>
      <c r="L311" s="30"/>
    </row>
    <row r="312" spans="2:12" s="2" customFormat="1" ht="27.95" customHeight="1" x14ac:dyDescent="0.25">
      <c r="E312" s="4"/>
      <c r="F312" s="31"/>
      <c r="H312" s="4"/>
      <c r="K312" s="4"/>
      <c r="L312" s="30"/>
    </row>
    <row r="313" spans="2:12" s="2" customFormat="1" ht="27.95" customHeight="1" x14ac:dyDescent="0.25">
      <c r="C313" s="55">
        <v>420129232</v>
      </c>
      <c r="D313" s="55">
        <v>87953504</v>
      </c>
      <c r="E313" s="55">
        <v>144940340</v>
      </c>
      <c r="F313" s="31"/>
      <c r="H313" s="4"/>
      <c r="K313" s="4"/>
      <c r="L313" s="30"/>
    </row>
    <row r="314" spans="2:12" s="2" customFormat="1" ht="27.95" customHeight="1" x14ac:dyDescent="0.25">
      <c r="C314" s="55">
        <v>391632491</v>
      </c>
      <c r="D314" s="55">
        <v>116106882</v>
      </c>
      <c r="E314" s="55">
        <v>193559358</v>
      </c>
      <c r="F314" s="31"/>
      <c r="H314" s="4"/>
      <c r="K314" s="4"/>
      <c r="L314" s="30"/>
    </row>
    <row r="315" spans="2:12" s="2" customFormat="1" ht="27.95" customHeight="1" x14ac:dyDescent="0.25">
      <c r="C315" s="55">
        <f>C313-C314</f>
        <v>28496741</v>
      </c>
      <c r="D315" s="55">
        <f>ABS(D313-D314)</f>
        <v>28153378</v>
      </c>
      <c r="E315" s="55">
        <f>ABS(E313-E314)</f>
        <v>48619018</v>
      </c>
      <c r="F315" s="31"/>
      <c r="H315" s="4"/>
      <c r="K315" s="4"/>
      <c r="L315" s="30"/>
    </row>
    <row r="316" spans="2:12" s="2" customFormat="1" ht="27.95" customHeight="1" x14ac:dyDescent="0.25">
      <c r="E316" s="4"/>
      <c r="F316" s="31"/>
      <c r="H316" s="4"/>
      <c r="K316" s="4"/>
      <c r="L316" s="30"/>
    </row>
    <row r="317" spans="2:12" s="2" customFormat="1" ht="27.95" customHeight="1" x14ac:dyDescent="0.25">
      <c r="E317" s="4"/>
      <c r="F317" s="31"/>
      <c r="H317" s="4"/>
      <c r="K317" s="4"/>
    </row>
    <row r="318" spans="2:12" s="2" customFormat="1" ht="27.95" customHeight="1" x14ac:dyDescent="0.25">
      <c r="E318" s="4"/>
      <c r="F318" s="31"/>
      <c r="H318" s="4"/>
      <c r="K318" s="4"/>
    </row>
    <row r="319" spans="2:12" s="2" customFormat="1" ht="27.95" customHeight="1" x14ac:dyDescent="0.25">
      <c r="E319" s="4"/>
      <c r="F319" s="31"/>
      <c r="H319" s="4"/>
      <c r="K319" s="4"/>
    </row>
    <row r="320" spans="2:12" s="2" customFormat="1" ht="27.95" customHeight="1" x14ac:dyDescent="0.25">
      <c r="E320" s="4"/>
      <c r="F320" s="31"/>
      <c r="H320" s="4"/>
      <c r="K320" s="4"/>
    </row>
    <row r="321" spans="5:11" s="2" customFormat="1" ht="27.95" customHeight="1" x14ac:dyDescent="0.25">
      <c r="E321" s="4"/>
      <c r="F321" s="31"/>
      <c r="H321" s="4"/>
      <c r="K321" s="4"/>
    </row>
    <row r="322" spans="5:11" s="2" customFormat="1" ht="27.95" customHeight="1" x14ac:dyDescent="0.25">
      <c r="E322" s="4"/>
      <c r="F322" s="31"/>
      <c r="H322" s="4"/>
      <c r="K322" s="4"/>
    </row>
    <row r="323" spans="5:11" s="2" customFormat="1" ht="27.95" customHeight="1" x14ac:dyDescent="0.25">
      <c r="E323" s="4"/>
      <c r="F323" s="31"/>
      <c r="H323" s="4"/>
      <c r="K323" s="4"/>
    </row>
    <row r="324" spans="5:11" s="2" customFormat="1" ht="27.95" customHeight="1" x14ac:dyDescent="0.25">
      <c r="E324" s="4"/>
      <c r="F324" s="31"/>
      <c r="H324" s="4"/>
      <c r="K324" s="4"/>
    </row>
    <row r="325" spans="5:11" s="2" customFormat="1" ht="27.95" customHeight="1" x14ac:dyDescent="0.25">
      <c r="E325" s="4"/>
      <c r="F325" s="31"/>
      <c r="H325" s="4"/>
      <c r="K325" s="4"/>
    </row>
    <row r="326" spans="5:11" s="2" customFormat="1" ht="27.95" customHeight="1" x14ac:dyDescent="0.25">
      <c r="E326" s="4"/>
      <c r="F326" s="31"/>
      <c r="H326" s="4"/>
      <c r="K326" s="4"/>
    </row>
    <row r="327" spans="5:11" s="2" customFormat="1" ht="27.95" customHeight="1" x14ac:dyDescent="0.25">
      <c r="E327" s="4"/>
      <c r="F327" s="31"/>
      <c r="H327" s="4"/>
      <c r="K327" s="4"/>
    </row>
    <row r="328" spans="5:11" s="2" customFormat="1" ht="27.95" customHeight="1" x14ac:dyDescent="0.25">
      <c r="E328" s="4"/>
      <c r="F328" s="31"/>
      <c r="H328" s="4"/>
      <c r="K328" s="4"/>
    </row>
    <row r="329" spans="5:11" s="2" customFormat="1" ht="27.95" customHeight="1" x14ac:dyDescent="0.25">
      <c r="E329" s="4"/>
      <c r="F329" s="31"/>
      <c r="H329" s="4"/>
      <c r="K329" s="4"/>
    </row>
    <row r="330" spans="5:11" s="2" customFormat="1" ht="27.95" customHeight="1" x14ac:dyDescent="0.25">
      <c r="E330" s="4"/>
      <c r="F330" s="31"/>
      <c r="H330" s="4"/>
      <c r="K330" s="4"/>
    </row>
    <row r="331" spans="5:11" s="2" customFormat="1" ht="27.95" customHeight="1" x14ac:dyDescent="0.25">
      <c r="E331" s="4"/>
      <c r="F331" s="31"/>
      <c r="H331" s="4"/>
      <c r="K331" s="4"/>
    </row>
    <row r="332" spans="5:11" s="2" customFormat="1" ht="27.95" customHeight="1" x14ac:dyDescent="0.25">
      <c r="E332" s="4"/>
      <c r="F332" s="31"/>
      <c r="H332" s="4"/>
      <c r="K332" s="4"/>
    </row>
    <row r="333" spans="5:11" s="2" customFormat="1" ht="27.95" customHeight="1" x14ac:dyDescent="0.25">
      <c r="E333" s="4"/>
      <c r="F333" s="31"/>
      <c r="H333" s="4"/>
      <c r="K333" s="4"/>
    </row>
    <row r="334" spans="5:11" s="2" customFormat="1" ht="27.95" customHeight="1" x14ac:dyDescent="0.25">
      <c r="E334" s="4"/>
      <c r="F334" s="31"/>
      <c r="H334" s="4"/>
      <c r="K334" s="4"/>
    </row>
    <row r="335" spans="5:11" s="2" customFormat="1" ht="27.95" customHeight="1" x14ac:dyDescent="0.25">
      <c r="E335" s="4"/>
      <c r="F335" s="31"/>
      <c r="H335" s="4"/>
      <c r="K335" s="4"/>
    </row>
    <row r="336" spans="5:11" s="2" customFormat="1" ht="27.95" customHeight="1" x14ac:dyDescent="0.25">
      <c r="E336" s="4"/>
      <c r="F336" s="31"/>
      <c r="H336" s="4"/>
      <c r="K336" s="4"/>
    </row>
    <row r="337" spans="5:11" s="2" customFormat="1" ht="27.95" customHeight="1" x14ac:dyDescent="0.25">
      <c r="E337" s="4"/>
      <c r="F337" s="31"/>
      <c r="H337" s="4"/>
      <c r="K337" s="4"/>
    </row>
    <row r="338" spans="5:11" s="2" customFormat="1" ht="27.95" customHeight="1" x14ac:dyDescent="0.25">
      <c r="E338" s="4"/>
      <c r="F338" s="31"/>
      <c r="H338" s="4"/>
      <c r="K338" s="4"/>
    </row>
    <row r="339" spans="5:11" s="2" customFormat="1" ht="27.95" customHeight="1" x14ac:dyDescent="0.25">
      <c r="E339" s="4"/>
      <c r="F339" s="31"/>
      <c r="H339" s="4"/>
      <c r="K339" s="4"/>
    </row>
    <row r="340" spans="5:11" s="2" customFormat="1" ht="27.95" customHeight="1" x14ac:dyDescent="0.25">
      <c r="E340" s="4"/>
      <c r="F340" s="31"/>
      <c r="H340" s="4"/>
      <c r="K340" s="4"/>
    </row>
    <row r="341" spans="5:11" s="2" customFormat="1" ht="27.95" customHeight="1" x14ac:dyDescent="0.25">
      <c r="E341" s="4"/>
      <c r="F341" s="31"/>
      <c r="H341" s="4"/>
      <c r="K341" s="4"/>
    </row>
    <row r="342" spans="5:11" s="2" customFormat="1" ht="27.95" customHeight="1" x14ac:dyDescent="0.25">
      <c r="E342" s="4"/>
      <c r="F342" s="31"/>
      <c r="H342" s="4"/>
      <c r="K342" s="4"/>
    </row>
    <row r="343" spans="5:11" s="2" customFormat="1" ht="27.95" customHeight="1" x14ac:dyDescent="0.25">
      <c r="E343" s="4"/>
      <c r="F343" s="31"/>
      <c r="H343" s="4"/>
      <c r="K343" s="4"/>
    </row>
    <row r="344" spans="5:11" s="2" customFormat="1" ht="27.95" customHeight="1" x14ac:dyDescent="0.25">
      <c r="E344" s="4"/>
      <c r="F344" s="31"/>
      <c r="H344" s="4"/>
      <c r="K344" s="4"/>
    </row>
    <row r="345" spans="5:11" s="2" customFormat="1" ht="27.95" customHeight="1" x14ac:dyDescent="0.25">
      <c r="E345" s="4"/>
      <c r="F345" s="31"/>
      <c r="H345" s="4"/>
      <c r="K345" s="4"/>
    </row>
    <row r="346" spans="5:11" s="2" customFormat="1" ht="27.95" customHeight="1" x14ac:dyDescent="0.25">
      <c r="E346" s="4"/>
      <c r="F346" s="31"/>
      <c r="H346" s="4"/>
      <c r="K346" s="4"/>
    </row>
    <row r="347" spans="5:11" s="2" customFormat="1" ht="27.95" customHeight="1" x14ac:dyDescent="0.25">
      <c r="E347" s="4"/>
      <c r="F347" s="31"/>
      <c r="H347" s="4"/>
      <c r="K347" s="4"/>
    </row>
    <row r="348" spans="5:11" s="2" customFormat="1" ht="27.95" customHeight="1" x14ac:dyDescent="0.25">
      <c r="E348" s="4"/>
      <c r="F348" s="31"/>
      <c r="H348" s="4"/>
      <c r="K348" s="4"/>
    </row>
    <row r="349" spans="5:11" s="2" customFormat="1" ht="27.95" customHeight="1" x14ac:dyDescent="0.25">
      <c r="E349" s="4"/>
      <c r="F349" s="31"/>
      <c r="H349" s="4"/>
      <c r="K349" s="4"/>
    </row>
    <row r="350" spans="5:11" s="2" customFormat="1" ht="27.95" customHeight="1" x14ac:dyDescent="0.25">
      <c r="E350" s="4"/>
      <c r="F350" s="31"/>
      <c r="H350" s="4"/>
      <c r="K350" s="4"/>
    </row>
    <row r="351" spans="5:11" s="2" customFormat="1" ht="27.95" customHeight="1" x14ac:dyDescent="0.25">
      <c r="E351" s="4"/>
      <c r="F351" s="31"/>
      <c r="H351" s="4"/>
      <c r="K351" s="4"/>
    </row>
    <row r="352" spans="5:11" s="2" customFormat="1" ht="27.95" customHeight="1" x14ac:dyDescent="0.25">
      <c r="E352" s="4"/>
      <c r="F352" s="31"/>
      <c r="H352" s="4"/>
      <c r="K352" s="4"/>
    </row>
    <row r="353" spans="5:11" s="2" customFormat="1" ht="27.95" customHeight="1" x14ac:dyDescent="0.25">
      <c r="E353" s="4"/>
      <c r="F353" s="31"/>
      <c r="H353" s="4"/>
      <c r="K353" s="4"/>
    </row>
    <row r="354" spans="5:11" s="2" customFormat="1" ht="27.95" customHeight="1" x14ac:dyDescent="0.25">
      <c r="E354" s="4"/>
      <c r="F354" s="31"/>
      <c r="H354" s="4"/>
      <c r="K354" s="4"/>
    </row>
    <row r="355" spans="5:11" s="2" customFormat="1" ht="27.95" customHeight="1" x14ac:dyDescent="0.25">
      <c r="E355" s="4"/>
      <c r="F355" s="31"/>
      <c r="H355" s="4"/>
      <c r="K355" s="4"/>
    </row>
    <row r="356" spans="5:11" s="2" customFormat="1" ht="27.95" customHeight="1" x14ac:dyDescent="0.25">
      <c r="E356" s="4"/>
      <c r="F356" s="31"/>
      <c r="H356" s="4"/>
      <c r="K356" s="4"/>
    </row>
    <row r="357" spans="5:11" s="2" customFormat="1" ht="27.95" customHeight="1" x14ac:dyDescent="0.25">
      <c r="E357" s="4"/>
      <c r="F357" s="31"/>
      <c r="H357" s="4"/>
      <c r="K357" s="4"/>
    </row>
    <row r="358" spans="5:11" s="2" customFormat="1" ht="27.95" customHeight="1" x14ac:dyDescent="0.25">
      <c r="E358" s="4"/>
      <c r="F358" s="31"/>
      <c r="H358" s="4"/>
      <c r="K358" s="4"/>
    </row>
    <row r="359" spans="5:11" s="2" customFormat="1" ht="27.95" customHeight="1" x14ac:dyDescent="0.25">
      <c r="E359" s="4"/>
      <c r="F359" s="31"/>
      <c r="H359" s="4"/>
      <c r="K359" s="4"/>
    </row>
    <row r="360" spans="5:11" s="2" customFormat="1" ht="27.95" customHeight="1" x14ac:dyDescent="0.25">
      <c r="E360" s="4"/>
      <c r="F360" s="31"/>
      <c r="H360" s="4"/>
      <c r="K360" s="4"/>
    </row>
    <row r="361" spans="5:11" s="2" customFormat="1" ht="27.95" customHeight="1" x14ac:dyDescent="0.25">
      <c r="E361" s="4"/>
      <c r="F361" s="31"/>
      <c r="H361" s="4"/>
      <c r="K361" s="4"/>
    </row>
    <row r="362" spans="5:11" s="2" customFormat="1" ht="27.95" customHeight="1" x14ac:dyDescent="0.25">
      <c r="E362" s="4"/>
      <c r="F362" s="31"/>
      <c r="H362" s="4"/>
      <c r="K362" s="4"/>
    </row>
    <row r="363" spans="5:11" s="2" customFormat="1" ht="27.95" customHeight="1" x14ac:dyDescent="0.25">
      <c r="E363" s="4"/>
      <c r="F363" s="31"/>
      <c r="H363" s="4"/>
      <c r="K363" s="4"/>
    </row>
    <row r="364" spans="5:11" s="2" customFormat="1" ht="27.95" customHeight="1" x14ac:dyDescent="0.25">
      <c r="E364" s="4"/>
      <c r="F364" s="31"/>
      <c r="H364" s="4"/>
      <c r="K364" s="4"/>
    </row>
    <row r="365" spans="5:11" s="2" customFormat="1" ht="27.95" customHeight="1" x14ac:dyDescent="0.25">
      <c r="E365" s="4"/>
      <c r="F365" s="31"/>
      <c r="H365" s="4"/>
      <c r="K365" s="4"/>
    </row>
    <row r="366" spans="5:11" s="2" customFormat="1" ht="27.95" customHeight="1" x14ac:dyDescent="0.25">
      <c r="E366" s="4"/>
      <c r="F366" s="31"/>
      <c r="H366" s="4"/>
      <c r="K366" s="4"/>
    </row>
    <row r="367" spans="5:11" s="2" customFormat="1" ht="27.95" customHeight="1" x14ac:dyDescent="0.25">
      <c r="E367" s="4"/>
      <c r="F367" s="31"/>
      <c r="H367" s="4"/>
      <c r="K367" s="4"/>
    </row>
    <row r="368" spans="5:11" s="2" customFormat="1" ht="27.95" customHeight="1" x14ac:dyDescent="0.25">
      <c r="E368" s="4"/>
      <c r="F368" s="31"/>
      <c r="H368" s="4"/>
      <c r="K368" s="4"/>
    </row>
    <row r="369" spans="5:11" s="2" customFormat="1" ht="27.95" customHeight="1" x14ac:dyDescent="0.25">
      <c r="E369" s="4"/>
      <c r="F369" s="31"/>
      <c r="H369" s="4"/>
      <c r="K369" s="4"/>
    </row>
    <row r="370" spans="5:11" s="2" customFormat="1" ht="27.95" customHeight="1" x14ac:dyDescent="0.25">
      <c r="E370" s="4"/>
      <c r="F370" s="31"/>
      <c r="H370" s="4"/>
      <c r="K370" s="4"/>
    </row>
    <row r="371" spans="5:11" s="2" customFormat="1" ht="27.95" customHeight="1" x14ac:dyDescent="0.25">
      <c r="E371" s="4"/>
      <c r="F371" s="31"/>
      <c r="H371" s="4"/>
      <c r="K371" s="4"/>
    </row>
    <row r="372" spans="5:11" s="2" customFormat="1" ht="27.95" customHeight="1" x14ac:dyDescent="0.25">
      <c r="E372" s="4"/>
      <c r="F372" s="31"/>
      <c r="H372" s="4"/>
      <c r="K372" s="4"/>
    </row>
    <row r="373" spans="5:11" s="2" customFormat="1" ht="27.95" customHeight="1" x14ac:dyDescent="0.25">
      <c r="E373" s="4"/>
      <c r="F373" s="31"/>
      <c r="H373" s="4"/>
      <c r="K373" s="4"/>
    </row>
    <row r="374" spans="5:11" s="2" customFormat="1" ht="27.95" customHeight="1" x14ac:dyDescent="0.25">
      <c r="E374" s="4"/>
      <c r="F374" s="31"/>
      <c r="H374" s="4"/>
      <c r="K374" s="4"/>
    </row>
    <row r="375" spans="5:11" s="2" customFormat="1" ht="27.95" customHeight="1" x14ac:dyDescent="0.25">
      <c r="E375" s="4"/>
      <c r="H375" s="4"/>
      <c r="K375" s="4"/>
    </row>
  </sheetData>
  <conditionalFormatting sqref="G5:G309">
    <cfRule type="cellIs" dxfId="97" priority="7" operator="equal">
      <formula>"Low"</formula>
    </cfRule>
    <cfRule type="cellIs" dxfId="96" priority="8" operator="equal">
      <formula>"High"</formula>
    </cfRule>
  </conditionalFormatting>
  <conditionalFormatting sqref="E5:E309">
    <cfRule type="cellIs" dxfId="95" priority="2" operator="lessThan">
      <formula>186</formula>
    </cfRule>
  </conditionalFormatting>
  <dataValidations count="2">
    <dataValidation type="list" allowBlank="1" showInputMessage="1" showErrorMessage="1" sqref="C5 C14:C120 C148:C219 C225:C242 C254:C309" xr:uid="{A7BC3553-FE0D-473A-B3F3-CDAAA42BC729}">
      <formula1>lsSystems</formula1>
    </dataValidation>
    <dataValidation type="list" allowBlank="1" showInputMessage="1" showErrorMessage="1" sqref="D5:D309" xr:uid="{0A84D67D-B59F-4156-98AB-B0D08F7E0C24}">
      <formula1>lsMaterials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45FEC-4DF3-4DA9-A1B4-2A37D574DA2A}">
  <sheetPr codeName="Sheet6"/>
  <dimension ref="B1:L149"/>
  <sheetViews>
    <sheetView showGridLines="0" topLeftCell="A41" workbookViewId="0">
      <selection activeCell="C132" sqref="C132"/>
    </sheetView>
  </sheetViews>
  <sheetFormatPr defaultRowHeight="14.25" x14ac:dyDescent="0.25"/>
  <cols>
    <col min="1" max="1" width="1.42578125" style="1" customWidth="1"/>
    <col min="2" max="2" width="18.7109375" style="1" customWidth="1"/>
    <col min="3" max="3" width="11.140625" style="6" customWidth="1"/>
    <col min="4" max="4" width="13.140625" style="6" customWidth="1"/>
    <col min="5" max="5" width="13.140625" style="4" customWidth="1"/>
    <col min="6" max="6" width="13.140625" style="1" customWidth="1"/>
    <col min="7" max="7" width="13.140625" style="4" customWidth="1"/>
    <col min="8" max="8" width="13.140625" style="1" customWidth="1"/>
    <col min="9" max="9" width="13.140625" style="6" customWidth="1"/>
    <col min="10" max="10" width="13.140625" style="39" customWidth="1"/>
    <col min="11" max="16384" width="9.140625" style="1"/>
  </cols>
  <sheetData>
    <row r="1" spans="2:11" ht="7.5" customHeight="1" x14ac:dyDescent="0.25"/>
    <row r="2" spans="2:11" s="2" customFormat="1" ht="27.95" customHeight="1" x14ac:dyDescent="0.25">
      <c r="B2" s="2" t="s">
        <v>0</v>
      </c>
      <c r="C2" s="4" t="s">
        <v>413</v>
      </c>
      <c r="D2" s="4" t="s">
        <v>44</v>
      </c>
      <c r="E2" s="2" t="s">
        <v>352</v>
      </c>
      <c r="F2" s="4" t="s">
        <v>353</v>
      </c>
      <c r="G2" s="2" t="s">
        <v>354</v>
      </c>
      <c r="H2" s="4" t="s">
        <v>355</v>
      </c>
      <c r="I2" s="2" t="s">
        <v>356</v>
      </c>
      <c r="J2" s="4" t="s">
        <v>357</v>
      </c>
      <c r="K2" s="7" t="s">
        <v>358</v>
      </c>
    </row>
    <row r="3" spans="2:11" s="2" customFormat="1" ht="27.95" hidden="1" customHeight="1" x14ac:dyDescent="0.25">
      <c r="B3" s="2" t="s">
        <v>347</v>
      </c>
      <c r="C3" s="4" t="s">
        <v>67</v>
      </c>
      <c r="D3" s="4" t="s">
        <v>316</v>
      </c>
      <c r="E3" s="2" t="s">
        <v>69</v>
      </c>
      <c r="F3" s="4">
        <v>50</v>
      </c>
      <c r="G3" s="2" t="s">
        <v>305</v>
      </c>
      <c r="H3" s="4">
        <v>50</v>
      </c>
      <c r="J3" s="4"/>
      <c r="K3" s="38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>23150</v>
      </c>
    </row>
    <row r="4" spans="2:11" s="2" customFormat="1" ht="27.95" hidden="1" customHeight="1" x14ac:dyDescent="0.25">
      <c r="B4" s="2" t="s">
        <v>408</v>
      </c>
      <c r="C4" s="4" t="s">
        <v>46</v>
      </c>
      <c r="D4" s="5" t="s">
        <v>414</v>
      </c>
      <c r="F4" s="4"/>
      <c r="H4" s="4"/>
      <c r="J4" s="4"/>
      <c r="K4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</row>
    <row r="5" spans="2:11" s="2" customFormat="1" ht="27.95" hidden="1" customHeight="1" x14ac:dyDescent="0.25">
      <c r="B5" s="2" t="s">
        <v>409</v>
      </c>
      <c r="C5" s="4" t="s">
        <v>46</v>
      </c>
      <c r="D5" s="5" t="s">
        <v>414</v>
      </c>
      <c r="F5" s="4"/>
      <c r="H5" s="4"/>
      <c r="J5" s="4"/>
      <c r="K5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</row>
    <row r="6" spans="2:11" s="2" customFormat="1" ht="27.95" hidden="1" customHeight="1" x14ac:dyDescent="0.25">
      <c r="B6" s="2" t="s">
        <v>410</v>
      </c>
      <c r="C6" s="4" t="s">
        <v>46</v>
      </c>
      <c r="D6" s="5" t="s">
        <v>414</v>
      </c>
      <c r="F6" s="4"/>
      <c r="H6" s="4"/>
      <c r="J6" s="4"/>
      <c r="K6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</row>
    <row r="7" spans="2:11" s="2" customFormat="1" ht="27.95" hidden="1" customHeight="1" x14ac:dyDescent="0.25">
      <c r="B7" s="2" t="s">
        <v>411</v>
      </c>
      <c r="C7" s="4" t="s">
        <v>46</v>
      </c>
      <c r="D7" s="5" t="s">
        <v>414</v>
      </c>
      <c r="F7" s="4"/>
      <c r="H7" s="4"/>
      <c r="J7" s="4"/>
      <c r="K7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</row>
    <row r="8" spans="2:11" s="2" customFormat="1" ht="27.95" hidden="1" customHeight="1" x14ac:dyDescent="0.25">
      <c r="B8" s="2" t="s">
        <v>412</v>
      </c>
      <c r="C8" s="4" t="s">
        <v>46</v>
      </c>
      <c r="D8" s="5" t="s">
        <v>414</v>
      </c>
      <c r="F8" s="4"/>
      <c r="H8" s="4"/>
      <c r="J8" s="4"/>
      <c r="K8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</row>
    <row r="9" spans="2:11" s="2" customFormat="1" ht="27.95" hidden="1" customHeight="1" x14ac:dyDescent="0.25">
      <c r="B9" s="2" t="s">
        <v>423</v>
      </c>
      <c r="C9" s="4" t="s">
        <v>46</v>
      </c>
      <c r="D9" s="5" t="s">
        <v>414</v>
      </c>
      <c r="F9" s="4"/>
      <c r="H9" s="4"/>
      <c r="J9" s="4"/>
      <c r="K9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</row>
    <row r="10" spans="2:11" s="2" customFormat="1" ht="27.95" hidden="1" customHeight="1" x14ac:dyDescent="0.25">
      <c r="B10" s="2" t="s">
        <v>421</v>
      </c>
      <c r="C10" s="4" t="s">
        <v>46</v>
      </c>
      <c r="D10" s="5" t="s">
        <v>414</v>
      </c>
      <c r="F10" s="4"/>
      <c r="H10" s="4"/>
      <c r="J10" s="4"/>
      <c r="K10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</row>
    <row r="11" spans="2:11" s="2" customFormat="1" ht="27.95" hidden="1" customHeight="1" x14ac:dyDescent="0.25">
      <c r="B11" s="2" t="s">
        <v>419</v>
      </c>
      <c r="C11" s="4" t="s">
        <v>46</v>
      </c>
      <c r="D11" s="5" t="s">
        <v>414</v>
      </c>
      <c r="F11" s="4"/>
      <c r="H11" s="4"/>
      <c r="J11" s="4"/>
      <c r="K11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</row>
    <row r="12" spans="2:11" s="2" customFormat="1" ht="27.95" hidden="1" customHeight="1" x14ac:dyDescent="0.25">
      <c r="B12" s="2" t="s">
        <v>430</v>
      </c>
      <c r="C12" s="4" t="s">
        <v>46</v>
      </c>
      <c r="D12" s="5" t="s">
        <v>414</v>
      </c>
      <c r="F12" s="4"/>
      <c r="H12" s="4"/>
      <c r="J12" s="4"/>
      <c r="K12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</row>
    <row r="13" spans="2:11" s="2" customFormat="1" ht="27.95" hidden="1" customHeight="1" x14ac:dyDescent="0.25">
      <c r="B13" s="2" t="s">
        <v>415</v>
      </c>
      <c r="C13" s="4" t="s">
        <v>46</v>
      </c>
      <c r="D13" s="5" t="s">
        <v>414</v>
      </c>
      <c r="F13" s="4"/>
      <c r="H13" s="4"/>
      <c r="J13" s="4"/>
      <c r="K13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</row>
    <row r="14" spans="2:11" s="2" customFormat="1" ht="27.95" hidden="1" customHeight="1" x14ac:dyDescent="0.25">
      <c r="B14" s="2" t="s">
        <v>435</v>
      </c>
      <c r="C14" s="4" t="s">
        <v>46</v>
      </c>
      <c r="D14" s="5" t="s">
        <v>414</v>
      </c>
      <c r="F14" s="4"/>
      <c r="H14" s="4"/>
      <c r="J14" s="4"/>
      <c r="K14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</row>
    <row r="15" spans="2:11" s="2" customFormat="1" ht="27.95" hidden="1" customHeight="1" x14ac:dyDescent="0.25">
      <c r="B15" s="2" t="s">
        <v>420</v>
      </c>
      <c r="C15" s="4" t="s">
        <v>46</v>
      </c>
      <c r="D15" s="5" t="s">
        <v>414</v>
      </c>
      <c r="F15" s="4"/>
      <c r="H15" s="4"/>
      <c r="J15" s="4"/>
      <c r="K15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</row>
    <row r="16" spans="2:11" s="2" customFormat="1" ht="27.95" hidden="1" customHeight="1" x14ac:dyDescent="0.25">
      <c r="B16" s="2" t="s">
        <v>422</v>
      </c>
      <c r="C16" s="4" t="s">
        <v>46</v>
      </c>
      <c r="D16" s="5" t="s">
        <v>414</v>
      </c>
      <c r="F16" s="4"/>
      <c r="H16" s="4"/>
      <c r="J16" s="4"/>
      <c r="K16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</row>
    <row r="17" spans="2:11" s="2" customFormat="1" ht="27.95" hidden="1" customHeight="1" x14ac:dyDescent="0.25">
      <c r="B17" s="2" t="s">
        <v>424</v>
      </c>
      <c r="C17" s="4" t="s">
        <v>46</v>
      </c>
      <c r="D17" s="5" t="s">
        <v>414</v>
      </c>
      <c r="F17" s="4"/>
      <c r="H17" s="4"/>
      <c r="J17" s="4"/>
      <c r="K17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</row>
    <row r="18" spans="2:11" s="2" customFormat="1" ht="27.95" hidden="1" customHeight="1" x14ac:dyDescent="0.25">
      <c r="B18" s="2" t="s">
        <v>432</v>
      </c>
      <c r="C18" s="4" t="s">
        <v>46</v>
      </c>
      <c r="D18" s="5" t="s">
        <v>414</v>
      </c>
      <c r="F18" s="4"/>
      <c r="H18" s="4"/>
      <c r="J18" s="4"/>
      <c r="K18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</row>
    <row r="19" spans="2:11" s="2" customFormat="1" ht="27.95" hidden="1" customHeight="1" x14ac:dyDescent="0.25">
      <c r="B19" s="2" t="s">
        <v>433</v>
      </c>
      <c r="C19" s="4" t="s">
        <v>46</v>
      </c>
      <c r="D19" s="5" t="s">
        <v>414</v>
      </c>
      <c r="F19" s="4"/>
      <c r="H19" s="4"/>
      <c r="J19" s="4"/>
      <c r="K19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</row>
    <row r="20" spans="2:11" s="2" customFormat="1" ht="27.95" hidden="1" customHeight="1" x14ac:dyDescent="0.25">
      <c r="B20" s="2" t="s">
        <v>411</v>
      </c>
      <c r="C20" s="4" t="s">
        <v>46</v>
      </c>
      <c r="D20" s="5" t="s">
        <v>414</v>
      </c>
      <c r="F20" s="4"/>
      <c r="H20" s="4"/>
      <c r="J20" s="4"/>
      <c r="K20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</row>
    <row r="21" spans="2:11" s="2" customFormat="1" ht="27.95" hidden="1" customHeight="1" x14ac:dyDescent="0.25">
      <c r="B21" s="2" t="s">
        <v>436</v>
      </c>
      <c r="C21" s="4" t="s">
        <v>46</v>
      </c>
      <c r="D21" s="5" t="s">
        <v>414</v>
      </c>
      <c r="F21" s="4"/>
      <c r="H21" s="4"/>
      <c r="J21" s="4"/>
      <c r="K21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</row>
    <row r="22" spans="2:11" s="2" customFormat="1" ht="27.95" hidden="1" customHeight="1" x14ac:dyDescent="0.25">
      <c r="B22" s="2" t="s">
        <v>429</v>
      </c>
      <c r="C22" s="4" t="s">
        <v>46</v>
      </c>
      <c r="D22" s="5" t="s">
        <v>414</v>
      </c>
      <c r="F22" s="4"/>
      <c r="H22" s="4"/>
      <c r="J22" s="4"/>
      <c r="K22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</row>
    <row r="23" spans="2:11" s="2" customFormat="1" ht="27.95" hidden="1" customHeight="1" x14ac:dyDescent="0.25">
      <c r="B23" s="2" t="s">
        <v>409</v>
      </c>
      <c r="C23" s="4" t="s">
        <v>46</v>
      </c>
      <c r="D23" s="5" t="s">
        <v>414</v>
      </c>
      <c r="F23" s="4"/>
      <c r="H23" s="4"/>
      <c r="J23" s="4"/>
      <c r="K23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</row>
    <row r="24" spans="2:11" s="2" customFormat="1" ht="27.95" hidden="1" customHeight="1" x14ac:dyDescent="0.25">
      <c r="B24" s="2" t="s">
        <v>431</v>
      </c>
      <c r="C24" s="4" t="s">
        <v>46</v>
      </c>
      <c r="D24" s="5" t="s">
        <v>414</v>
      </c>
      <c r="F24" s="4"/>
      <c r="H24" s="4"/>
      <c r="J24" s="4"/>
      <c r="K24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</row>
    <row r="25" spans="2:11" s="2" customFormat="1" ht="27.95" hidden="1" customHeight="1" x14ac:dyDescent="0.25">
      <c r="B25" s="2" t="s">
        <v>412</v>
      </c>
      <c r="C25" s="4" t="s">
        <v>46</v>
      </c>
      <c r="D25" s="5" t="s">
        <v>414</v>
      </c>
      <c r="F25" s="4"/>
      <c r="H25" s="4"/>
      <c r="J25" s="4"/>
      <c r="K25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</row>
    <row r="26" spans="2:11" s="2" customFormat="1" ht="27.95" hidden="1" customHeight="1" x14ac:dyDescent="0.25">
      <c r="B26" s="2" t="s">
        <v>425</v>
      </c>
      <c r="C26" s="4" t="s">
        <v>46</v>
      </c>
      <c r="D26" s="5" t="s">
        <v>414</v>
      </c>
      <c r="F26" s="4"/>
      <c r="H26" s="4"/>
      <c r="J26" s="4"/>
      <c r="K26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</row>
    <row r="27" spans="2:11" s="2" customFormat="1" ht="27.95" hidden="1" customHeight="1" x14ac:dyDescent="0.25">
      <c r="B27" s="2" t="s">
        <v>427</v>
      </c>
      <c r="C27" s="4" t="s">
        <v>46</v>
      </c>
      <c r="D27" s="5" t="s">
        <v>414</v>
      </c>
      <c r="F27" s="4"/>
      <c r="H27" s="4"/>
      <c r="J27" s="4"/>
      <c r="K27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</row>
    <row r="28" spans="2:11" s="2" customFormat="1" ht="27.95" hidden="1" customHeight="1" x14ac:dyDescent="0.25">
      <c r="B28" s="2" t="s">
        <v>416</v>
      </c>
      <c r="C28" s="4" t="s">
        <v>46</v>
      </c>
      <c r="D28" s="5" t="s">
        <v>414</v>
      </c>
      <c r="F28" s="4"/>
      <c r="H28" s="4"/>
      <c r="J28" s="4"/>
      <c r="K28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</row>
    <row r="29" spans="2:11" s="2" customFormat="1" ht="27.95" hidden="1" customHeight="1" x14ac:dyDescent="0.25">
      <c r="B29" s="2" t="s">
        <v>428</v>
      </c>
      <c r="C29" s="4" t="s">
        <v>46</v>
      </c>
      <c r="D29" s="5" t="s">
        <v>414</v>
      </c>
      <c r="F29" s="4"/>
      <c r="H29" s="4"/>
      <c r="J29" s="4"/>
      <c r="K29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</row>
    <row r="30" spans="2:11" s="2" customFormat="1" ht="27.95" hidden="1" customHeight="1" x14ac:dyDescent="0.25">
      <c r="B30" s="2" t="s">
        <v>408</v>
      </c>
      <c r="C30" s="4" t="s">
        <v>46</v>
      </c>
      <c r="D30" s="5" t="s">
        <v>414</v>
      </c>
      <c r="F30" s="4"/>
      <c r="H30" s="4"/>
      <c r="J30" s="4"/>
      <c r="K30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</row>
    <row r="31" spans="2:11" s="2" customFormat="1" ht="27.95" hidden="1" customHeight="1" x14ac:dyDescent="0.25">
      <c r="B31" s="2" t="s">
        <v>434</v>
      </c>
      <c r="C31" s="4" t="s">
        <v>46</v>
      </c>
      <c r="D31" s="5" t="s">
        <v>414</v>
      </c>
      <c r="F31" s="4"/>
      <c r="H31" s="4"/>
      <c r="J31" s="4"/>
      <c r="K31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</row>
    <row r="32" spans="2:11" s="2" customFormat="1" ht="27.95" hidden="1" customHeight="1" x14ac:dyDescent="0.25">
      <c r="B32" s="2" t="s">
        <v>426</v>
      </c>
      <c r="C32" s="4" t="s">
        <v>46</v>
      </c>
      <c r="D32" s="5" t="s">
        <v>414</v>
      </c>
      <c r="F32" s="4"/>
      <c r="H32" s="4"/>
      <c r="J32" s="4"/>
      <c r="K32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</row>
    <row r="33" spans="2:11" s="2" customFormat="1" ht="27.95" hidden="1" customHeight="1" x14ac:dyDescent="0.25">
      <c r="B33" s="2" t="s">
        <v>417</v>
      </c>
      <c r="C33" s="4" t="s">
        <v>46</v>
      </c>
      <c r="D33" s="5" t="s">
        <v>414</v>
      </c>
      <c r="F33" s="4"/>
      <c r="H33" s="4"/>
      <c r="J33" s="4"/>
      <c r="K33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</row>
    <row r="34" spans="2:11" s="2" customFormat="1" ht="27.95" hidden="1" customHeight="1" x14ac:dyDescent="0.25">
      <c r="B34" s="2" t="s">
        <v>410</v>
      </c>
      <c r="C34" s="4" t="s">
        <v>46</v>
      </c>
      <c r="D34" s="5" t="s">
        <v>414</v>
      </c>
      <c r="F34" s="4"/>
      <c r="H34" s="4"/>
      <c r="J34" s="4"/>
      <c r="K34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</row>
    <row r="35" spans="2:11" s="2" customFormat="1" ht="27.95" customHeight="1" x14ac:dyDescent="0.25">
      <c r="B35" s="2" t="s">
        <v>479</v>
      </c>
      <c r="C35" s="4" t="s">
        <v>46</v>
      </c>
      <c r="D35" s="5" t="s">
        <v>477</v>
      </c>
      <c r="F35" s="4"/>
      <c r="H35" s="4"/>
      <c r="J35" s="4"/>
      <c r="K35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</row>
    <row r="36" spans="2:11" s="2" customFormat="1" ht="27.95" customHeight="1" x14ac:dyDescent="0.25">
      <c r="B36" s="2" t="s">
        <v>480</v>
      </c>
      <c r="C36" s="4" t="s">
        <v>46</v>
      </c>
      <c r="D36" s="5" t="s">
        <v>477</v>
      </c>
      <c r="F36" s="4"/>
      <c r="H36" s="4"/>
      <c r="J36" s="4"/>
      <c r="K36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</row>
    <row r="37" spans="2:11" s="2" customFormat="1" ht="27.95" customHeight="1" x14ac:dyDescent="0.25">
      <c r="B37" s="2" t="s">
        <v>481</v>
      </c>
      <c r="C37" s="4" t="s">
        <v>46</v>
      </c>
      <c r="D37" s="5" t="s">
        <v>477</v>
      </c>
      <c r="F37" s="4"/>
      <c r="H37" s="4"/>
      <c r="J37" s="4"/>
      <c r="K37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</row>
    <row r="38" spans="2:11" s="2" customFormat="1" ht="27.95" customHeight="1" x14ac:dyDescent="0.25">
      <c r="B38" s="2" t="s">
        <v>482</v>
      </c>
      <c r="C38" s="4" t="s">
        <v>46</v>
      </c>
      <c r="D38" s="5" t="s">
        <v>477</v>
      </c>
      <c r="F38" s="4"/>
      <c r="H38" s="4"/>
      <c r="J38" s="4"/>
      <c r="K38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</row>
    <row r="39" spans="2:11" s="2" customFormat="1" ht="27.95" customHeight="1" x14ac:dyDescent="0.25">
      <c r="B39" s="2" t="s">
        <v>483</v>
      </c>
      <c r="C39" s="4" t="s">
        <v>46</v>
      </c>
      <c r="D39" s="5" t="s">
        <v>477</v>
      </c>
      <c r="F39" s="4"/>
      <c r="H39" s="4"/>
      <c r="J39" s="4"/>
      <c r="K39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</row>
    <row r="40" spans="2:11" s="2" customFormat="1" ht="27.95" customHeight="1" x14ac:dyDescent="0.25">
      <c r="B40" s="2" t="s">
        <v>484</v>
      </c>
      <c r="C40" s="4" t="s">
        <v>46</v>
      </c>
      <c r="D40" s="5" t="s">
        <v>477</v>
      </c>
      <c r="F40" s="4"/>
      <c r="H40" s="4"/>
      <c r="J40" s="4"/>
      <c r="K40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</row>
    <row r="41" spans="2:11" s="2" customFormat="1" ht="27.95" customHeight="1" x14ac:dyDescent="0.25">
      <c r="B41" s="2" t="s">
        <v>485</v>
      </c>
      <c r="C41" s="4" t="s">
        <v>46</v>
      </c>
      <c r="D41" s="5" t="s">
        <v>477</v>
      </c>
      <c r="F41" s="4"/>
      <c r="H41" s="4"/>
      <c r="J41" s="4"/>
      <c r="K41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</row>
    <row r="42" spans="2:11" s="2" customFormat="1" ht="27.95" customHeight="1" x14ac:dyDescent="0.25">
      <c r="B42" s="2" t="s">
        <v>486</v>
      </c>
      <c r="C42" s="4" t="s">
        <v>46</v>
      </c>
      <c r="D42" s="5" t="s">
        <v>477</v>
      </c>
      <c r="F42" s="4"/>
      <c r="H42" s="4"/>
      <c r="J42" s="4"/>
      <c r="K42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</row>
    <row r="43" spans="2:11" s="2" customFormat="1" ht="27.95" customHeight="1" x14ac:dyDescent="0.25">
      <c r="B43" s="2" t="s">
        <v>487</v>
      </c>
      <c r="C43" s="4" t="s">
        <v>46</v>
      </c>
      <c r="D43" s="5" t="s">
        <v>477</v>
      </c>
      <c r="F43" s="4"/>
      <c r="H43" s="4"/>
      <c r="J43" s="4"/>
      <c r="K43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</row>
    <row r="44" spans="2:11" s="2" customFormat="1" ht="27.95" customHeight="1" x14ac:dyDescent="0.25">
      <c r="B44" s="2" t="s">
        <v>488</v>
      </c>
      <c r="C44" s="4" t="s">
        <v>46</v>
      </c>
      <c r="D44" s="5" t="s">
        <v>477</v>
      </c>
      <c r="F44" s="4"/>
      <c r="H44" s="4"/>
      <c r="J44" s="4"/>
      <c r="K44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</row>
    <row r="45" spans="2:11" s="2" customFormat="1" ht="27.95" customHeight="1" x14ac:dyDescent="0.25">
      <c r="B45" s="2" t="s">
        <v>489</v>
      </c>
      <c r="C45" s="4" t="s">
        <v>46</v>
      </c>
      <c r="D45" s="5" t="s">
        <v>477</v>
      </c>
      <c r="F45" s="4"/>
      <c r="H45" s="4"/>
      <c r="J45" s="4"/>
      <c r="K45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</row>
    <row r="46" spans="2:11" s="2" customFormat="1" ht="27.95" customHeight="1" x14ac:dyDescent="0.25">
      <c r="B46" s="2" t="s">
        <v>490</v>
      </c>
      <c r="C46" s="4" t="s">
        <v>46</v>
      </c>
      <c r="D46" s="5" t="s">
        <v>477</v>
      </c>
      <c r="F46" s="4"/>
      <c r="H46" s="4"/>
      <c r="J46" s="4"/>
      <c r="K46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</row>
    <row r="47" spans="2:11" s="2" customFormat="1" ht="27.95" customHeight="1" x14ac:dyDescent="0.25">
      <c r="B47" s="2" t="s">
        <v>491</v>
      </c>
      <c r="C47" s="4" t="s">
        <v>46</v>
      </c>
      <c r="D47" s="5" t="s">
        <v>477</v>
      </c>
      <c r="F47" s="4"/>
      <c r="H47" s="4"/>
      <c r="J47" s="4"/>
      <c r="K47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</row>
    <row r="48" spans="2:11" s="2" customFormat="1" ht="27.95" customHeight="1" x14ac:dyDescent="0.25">
      <c r="B48" s="2" t="s">
        <v>492</v>
      </c>
      <c r="C48" s="4" t="s">
        <v>46</v>
      </c>
      <c r="D48" s="5" t="s">
        <v>477</v>
      </c>
      <c r="F48" s="4"/>
      <c r="H48" s="4"/>
      <c r="J48" s="4"/>
      <c r="K48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</row>
    <row r="49" spans="2:11" s="2" customFormat="1" ht="27.95" customHeight="1" x14ac:dyDescent="0.25">
      <c r="B49" s="2" t="s">
        <v>493</v>
      </c>
      <c r="C49" s="4" t="s">
        <v>46</v>
      </c>
      <c r="D49" s="5" t="s">
        <v>477</v>
      </c>
      <c r="F49" s="4"/>
      <c r="H49" s="4"/>
      <c r="J49" s="4"/>
      <c r="K49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</row>
    <row r="50" spans="2:11" s="2" customFormat="1" ht="27.95" customHeight="1" x14ac:dyDescent="0.25">
      <c r="B50" s="2" t="s">
        <v>494</v>
      </c>
      <c r="C50" s="4" t="s">
        <v>46</v>
      </c>
      <c r="D50" s="5" t="s">
        <v>477</v>
      </c>
      <c r="F50" s="4"/>
      <c r="H50" s="4"/>
      <c r="J50" s="4"/>
      <c r="K50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</row>
    <row r="51" spans="2:11" s="2" customFormat="1" ht="27.95" customHeight="1" x14ac:dyDescent="0.25">
      <c r="B51" s="2" t="s">
        <v>495</v>
      </c>
      <c r="C51" s="4" t="s">
        <v>46</v>
      </c>
      <c r="D51" s="5" t="s">
        <v>477</v>
      </c>
      <c r="F51" s="4"/>
      <c r="H51" s="4"/>
      <c r="J51" s="4"/>
      <c r="K51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</row>
    <row r="52" spans="2:11" s="2" customFormat="1" ht="27.95" customHeight="1" x14ac:dyDescent="0.25">
      <c r="B52" s="2" t="s">
        <v>496</v>
      </c>
      <c r="C52" s="4" t="s">
        <v>46</v>
      </c>
      <c r="D52" s="5" t="s">
        <v>477</v>
      </c>
      <c r="F52" s="4"/>
      <c r="H52" s="4"/>
      <c r="J52" s="4"/>
      <c r="K52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</row>
    <row r="53" spans="2:11" s="2" customFormat="1" ht="27.95" customHeight="1" x14ac:dyDescent="0.25">
      <c r="B53" s="2" t="s">
        <v>497</v>
      </c>
      <c r="C53" s="4" t="s">
        <v>46</v>
      </c>
      <c r="D53" s="5" t="s">
        <v>477</v>
      </c>
      <c r="F53" s="4"/>
      <c r="H53" s="4"/>
      <c r="J53" s="4"/>
      <c r="K53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</row>
    <row r="54" spans="2:11" s="2" customFormat="1" ht="27.95" customHeight="1" x14ac:dyDescent="0.25">
      <c r="B54" s="2" t="s">
        <v>498</v>
      </c>
      <c r="C54" s="4" t="s">
        <v>46</v>
      </c>
      <c r="D54" s="5" t="s">
        <v>477</v>
      </c>
      <c r="F54" s="4"/>
      <c r="H54" s="4"/>
      <c r="J54" s="4"/>
      <c r="K54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</row>
    <row r="55" spans="2:11" s="2" customFormat="1" ht="27.95" customHeight="1" x14ac:dyDescent="0.25">
      <c r="B55" s="2" t="s">
        <v>499</v>
      </c>
      <c r="C55" s="4" t="s">
        <v>46</v>
      </c>
      <c r="D55" s="5" t="s">
        <v>477</v>
      </c>
      <c r="F55" s="4"/>
      <c r="H55" s="4"/>
      <c r="J55" s="4"/>
      <c r="K55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</row>
    <row r="56" spans="2:11" s="2" customFormat="1" ht="27.95" customHeight="1" x14ac:dyDescent="0.25">
      <c r="B56" s="2" t="s">
        <v>500</v>
      </c>
      <c r="C56" s="4" t="s">
        <v>46</v>
      </c>
      <c r="D56" s="5" t="s">
        <v>477</v>
      </c>
      <c r="F56" s="4"/>
      <c r="H56" s="4"/>
      <c r="J56" s="4"/>
      <c r="K56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</row>
    <row r="57" spans="2:11" s="2" customFormat="1" ht="27.95" customHeight="1" x14ac:dyDescent="0.25">
      <c r="B57" s="2" t="s">
        <v>501</v>
      </c>
      <c r="C57" s="4" t="s">
        <v>46</v>
      </c>
      <c r="D57" s="5" t="s">
        <v>477</v>
      </c>
      <c r="F57" s="4"/>
      <c r="H57" s="4"/>
      <c r="J57" s="4"/>
      <c r="K57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</row>
    <row r="58" spans="2:11" s="2" customFormat="1" ht="27.95" customHeight="1" x14ac:dyDescent="0.25">
      <c r="B58" s="2" t="s">
        <v>502</v>
      </c>
      <c r="C58" s="4" t="s">
        <v>46</v>
      </c>
      <c r="D58" s="5" t="s">
        <v>477</v>
      </c>
      <c r="F58" s="4"/>
      <c r="H58" s="4"/>
      <c r="J58" s="4"/>
      <c r="K58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</row>
    <row r="59" spans="2:11" s="2" customFormat="1" ht="27.95" hidden="1" customHeight="1" x14ac:dyDescent="0.25">
      <c r="B59" s="47" t="s">
        <v>509</v>
      </c>
      <c r="C59" s="48" t="s">
        <v>46</v>
      </c>
      <c r="D59" s="50" t="s">
        <v>508</v>
      </c>
      <c r="E59" s="2" t="s">
        <v>11</v>
      </c>
      <c r="F59" s="4">
        <v>40</v>
      </c>
      <c r="H59" s="4"/>
      <c r="J59" s="4"/>
      <c r="K59" s="38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>1360</v>
      </c>
    </row>
    <row r="60" spans="2:11" s="2" customFormat="1" ht="27.95" hidden="1" customHeight="1" x14ac:dyDescent="0.25">
      <c r="B60" s="2" t="s">
        <v>437</v>
      </c>
      <c r="C60" s="4" t="s">
        <v>46</v>
      </c>
      <c r="D60" s="4" t="s">
        <v>438</v>
      </c>
      <c r="F60" s="4"/>
      <c r="H60" s="4"/>
      <c r="J60" s="4"/>
      <c r="K60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</row>
    <row r="61" spans="2:11" s="2" customFormat="1" ht="27.95" hidden="1" customHeight="1" x14ac:dyDescent="0.25">
      <c r="B61" s="2" t="s">
        <v>439</v>
      </c>
      <c r="C61" s="4" t="s">
        <v>46</v>
      </c>
      <c r="D61" s="4" t="s">
        <v>438</v>
      </c>
      <c r="F61" s="4"/>
      <c r="H61" s="4"/>
      <c r="J61" s="4"/>
      <c r="K61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</row>
    <row r="62" spans="2:11" s="2" customFormat="1" ht="27.95" hidden="1" customHeight="1" x14ac:dyDescent="0.25">
      <c r="B62" s="2" t="s">
        <v>440</v>
      </c>
      <c r="C62" s="4" t="s">
        <v>46</v>
      </c>
      <c r="D62" s="4" t="s">
        <v>438</v>
      </c>
      <c r="F62" s="4"/>
      <c r="H62" s="4"/>
      <c r="J62" s="4"/>
      <c r="K62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</row>
    <row r="63" spans="2:11" s="2" customFormat="1" ht="27.95" hidden="1" customHeight="1" x14ac:dyDescent="0.25">
      <c r="B63" s="2" t="s">
        <v>442</v>
      </c>
      <c r="C63" s="4" t="s">
        <v>46</v>
      </c>
      <c r="D63" s="4" t="s">
        <v>438</v>
      </c>
      <c r="F63" s="4"/>
      <c r="H63" s="4"/>
      <c r="J63" s="4"/>
      <c r="K63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</row>
    <row r="64" spans="2:11" s="2" customFormat="1" ht="27.95" hidden="1" customHeight="1" x14ac:dyDescent="0.25">
      <c r="B64" s="2" t="s">
        <v>443</v>
      </c>
      <c r="C64" s="4" t="s">
        <v>46</v>
      </c>
      <c r="D64" s="4" t="s">
        <v>438</v>
      </c>
      <c r="F64" s="4"/>
      <c r="H64" s="4"/>
      <c r="J64" s="4"/>
      <c r="K64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</row>
    <row r="65" spans="2:11" s="2" customFormat="1" ht="27.95" hidden="1" customHeight="1" x14ac:dyDescent="0.25">
      <c r="B65" s="2" t="s">
        <v>444</v>
      </c>
      <c r="C65" s="4" t="s">
        <v>46</v>
      </c>
      <c r="D65" s="4" t="s">
        <v>438</v>
      </c>
      <c r="F65" s="4"/>
      <c r="H65" s="4"/>
      <c r="J65" s="4"/>
      <c r="K65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</row>
    <row r="66" spans="2:11" s="2" customFormat="1" ht="27.95" hidden="1" customHeight="1" x14ac:dyDescent="0.25">
      <c r="B66" s="2" t="s">
        <v>445</v>
      </c>
      <c r="C66" s="4" t="s">
        <v>46</v>
      </c>
      <c r="D66" s="4" t="s">
        <v>438</v>
      </c>
      <c r="F66" s="4"/>
      <c r="H66" s="4"/>
      <c r="J66" s="4"/>
      <c r="K66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</row>
    <row r="67" spans="2:11" s="2" customFormat="1" ht="27.95" hidden="1" customHeight="1" x14ac:dyDescent="0.25">
      <c r="B67" s="2" t="s">
        <v>446</v>
      </c>
      <c r="C67" s="4" t="s">
        <v>46</v>
      </c>
      <c r="D67" s="4" t="s">
        <v>438</v>
      </c>
      <c r="F67" s="4"/>
      <c r="H67" s="4"/>
      <c r="J67" s="4"/>
      <c r="K67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</row>
    <row r="68" spans="2:11" s="2" customFormat="1" ht="27.95" hidden="1" customHeight="1" x14ac:dyDescent="0.25">
      <c r="B68" s="2" t="s">
        <v>447</v>
      </c>
      <c r="C68" s="4" t="s">
        <v>46</v>
      </c>
      <c r="D68" s="4" t="s">
        <v>438</v>
      </c>
      <c r="F68" s="4"/>
      <c r="H68" s="4"/>
      <c r="J68" s="4"/>
      <c r="K68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</row>
    <row r="69" spans="2:11" s="2" customFormat="1" ht="27.95" hidden="1" customHeight="1" x14ac:dyDescent="0.25">
      <c r="B69" s="2" t="s">
        <v>448</v>
      </c>
      <c r="C69" s="4" t="s">
        <v>46</v>
      </c>
      <c r="D69" s="4" t="s">
        <v>438</v>
      </c>
      <c r="F69" s="4"/>
      <c r="H69" s="4"/>
      <c r="J69" s="4"/>
      <c r="K69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</row>
    <row r="70" spans="2:11" s="2" customFormat="1" ht="27.95" hidden="1" customHeight="1" x14ac:dyDescent="0.25">
      <c r="B70" s="2" t="s">
        <v>449</v>
      </c>
      <c r="C70" s="4" t="s">
        <v>46</v>
      </c>
      <c r="D70" s="4" t="s">
        <v>438</v>
      </c>
      <c r="F70" s="4"/>
      <c r="H70" s="4"/>
      <c r="J70" s="4"/>
      <c r="K70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</row>
    <row r="71" spans="2:11" s="2" customFormat="1" ht="27.95" hidden="1" customHeight="1" x14ac:dyDescent="0.25">
      <c r="B71" s="2" t="s">
        <v>450</v>
      </c>
      <c r="C71" s="4" t="s">
        <v>46</v>
      </c>
      <c r="D71" s="4" t="s">
        <v>438</v>
      </c>
      <c r="F71" s="4"/>
      <c r="H71" s="4"/>
      <c r="J71" s="4"/>
      <c r="K71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</row>
    <row r="72" spans="2:11" s="2" customFormat="1" ht="27.95" hidden="1" customHeight="1" x14ac:dyDescent="0.25">
      <c r="B72" s="2" t="s">
        <v>451</v>
      </c>
      <c r="C72" s="4" t="s">
        <v>46</v>
      </c>
      <c r="D72" s="4" t="s">
        <v>438</v>
      </c>
      <c r="F72" s="4"/>
      <c r="H72" s="4"/>
      <c r="J72" s="4"/>
      <c r="K72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</row>
    <row r="73" spans="2:11" s="2" customFormat="1" ht="27.95" hidden="1" customHeight="1" x14ac:dyDescent="0.25">
      <c r="B73" s="2" t="s">
        <v>452</v>
      </c>
      <c r="C73" s="4" t="s">
        <v>46</v>
      </c>
      <c r="D73" s="4" t="s">
        <v>438</v>
      </c>
      <c r="F73" s="4"/>
      <c r="H73" s="4"/>
      <c r="J73" s="4"/>
      <c r="K73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</row>
    <row r="74" spans="2:11" s="2" customFormat="1" ht="27.95" hidden="1" customHeight="1" x14ac:dyDescent="0.25">
      <c r="B74" s="2" t="s">
        <v>453</v>
      </c>
      <c r="C74" s="4" t="s">
        <v>46</v>
      </c>
      <c r="D74" s="4" t="s">
        <v>438</v>
      </c>
      <c r="F74" s="4"/>
      <c r="H74" s="4"/>
      <c r="J74" s="4"/>
      <c r="K74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</row>
    <row r="75" spans="2:11" s="2" customFormat="1" ht="27.95" hidden="1" customHeight="1" x14ac:dyDescent="0.25">
      <c r="B75" s="2" t="s">
        <v>454</v>
      </c>
      <c r="C75" s="4" t="s">
        <v>46</v>
      </c>
      <c r="D75" s="4" t="s">
        <v>438</v>
      </c>
      <c r="F75" s="4"/>
      <c r="H75" s="4"/>
      <c r="J75" s="4"/>
      <c r="K75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</row>
    <row r="76" spans="2:11" s="2" customFormat="1" ht="27.95" hidden="1" customHeight="1" x14ac:dyDescent="0.25">
      <c r="B76" s="2" t="s">
        <v>455</v>
      </c>
      <c r="C76" s="4" t="s">
        <v>46</v>
      </c>
      <c r="D76" s="4" t="s">
        <v>438</v>
      </c>
      <c r="F76" s="4"/>
      <c r="H76" s="4"/>
      <c r="J76" s="4"/>
      <c r="K76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</row>
    <row r="77" spans="2:11" s="2" customFormat="1" ht="27.95" hidden="1" customHeight="1" x14ac:dyDescent="0.25">
      <c r="B77" s="2" t="s">
        <v>456</v>
      </c>
      <c r="C77" s="4" t="s">
        <v>46</v>
      </c>
      <c r="D77" s="4" t="s">
        <v>438</v>
      </c>
      <c r="F77" s="4"/>
      <c r="H77" s="4"/>
      <c r="J77" s="4"/>
      <c r="K77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</row>
    <row r="78" spans="2:11" s="2" customFormat="1" ht="27.95" hidden="1" customHeight="1" x14ac:dyDescent="0.25">
      <c r="B78" s="2" t="s">
        <v>457</v>
      </c>
      <c r="C78" s="4" t="s">
        <v>46</v>
      </c>
      <c r="D78" s="4" t="s">
        <v>438</v>
      </c>
      <c r="F78" s="4"/>
      <c r="H78" s="4"/>
      <c r="J78" s="4"/>
      <c r="K78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</row>
    <row r="79" spans="2:11" s="2" customFormat="1" ht="27.95" hidden="1" customHeight="1" x14ac:dyDescent="0.25">
      <c r="B79" s="2" t="s">
        <v>458</v>
      </c>
      <c r="C79" s="4" t="s">
        <v>46</v>
      </c>
      <c r="D79" s="4" t="s">
        <v>438</v>
      </c>
      <c r="F79" s="4"/>
      <c r="H79" s="4"/>
      <c r="J79" s="4"/>
      <c r="K79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</row>
    <row r="80" spans="2:11" s="2" customFormat="1" ht="27.95" hidden="1" customHeight="1" x14ac:dyDescent="0.25">
      <c r="B80" s="3" t="s">
        <v>515</v>
      </c>
      <c r="C80" s="48" t="s">
        <v>46</v>
      </c>
      <c r="D80" s="50" t="s">
        <v>323</v>
      </c>
      <c r="E80" s="2" t="s">
        <v>96</v>
      </c>
      <c r="F80" s="4">
        <v>150</v>
      </c>
      <c r="H80" s="4"/>
      <c r="J80" s="4"/>
      <c r="K80" s="38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>90300</v>
      </c>
    </row>
    <row r="81" spans="2:11" s="2" customFormat="1" ht="27.95" hidden="1" customHeight="1" x14ac:dyDescent="0.25">
      <c r="B81" s="3" t="s">
        <v>460</v>
      </c>
      <c r="C81" s="5" t="s">
        <v>46</v>
      </c>
      <c r="D81" s="5" t="s">
        <v>459</v>
      </c>
      <c r="F81" s="4"/>
      <c r="H81" s="4"/>
      <c r="J81" s="4"/>
      <c r="K81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</row>
    <row r="82" spans="2:11" s="2" customFormat="1" ht="27.95" hidden="1" customHeight="1" x14ac:dyDescent="0.25">
      <c r="B82" s="3" t="s">
        <v>461</v>
      </c>
      <c r="C82" s="5" t="s">
        <v>46</v>
      </c>
      <c r="D82" s="5" t="s">
        <v>459</v>
      </c>
      <c r="F82" s="4"/>
      <c r="H82" s="4"/>
      <c r="J82" s="4"/>
      <c r="K82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</row>
    <row r="83" spans="2:11" s="2" customFormat="1" ht="27.95" hidden="1" customHeight="1" x14ac:dyDescent="0.25">
      <c r="B83" s="3" t="s">
        <v>462</v>
      </c>
      <c r="C83" s="5" t="s">
        <v>46</v>
      </c>
      <c r="D83" s="5" t="s">
        <v>459</v>
      </c>
      <c r="F83" s="4"/>
      <c r="H83" s="4"/>
      <c r="J83" s="4"/>
      <c r="K83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</row>
    <row r="84" spans="2:11" s="2" customFormat="1" ht="27.95" hidden="1" customHeight="1" x14ac:dyDescent="0.25">
      <c r="B84" s="3" t="s">
        <v>463</v>
      </c>
      <c r="C84" s="5" t="s">
        <v>46</v>
      </c>
      <c r="D84" s="5" t="s">
        <v>459</v>
      </c>
      <c r="F84" s="4"/>
      <c r="H84" s="4"/>
      <c r="J84" s="4"/>
      <c r="K84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</row>
    <row r="85" spans="2:11" s="2" customFormat="1" ht="27.95" hidden="1" customHeight="1" x14ac:dyDescent="0.25">
      <c r="B85" s="3" t="s">
        <v>464</v>
      </c>
      <c r="C85" s="5" t="s">
        <v>46</v>
      </c>
      <c r="D85" s="5" t="s">
        <v>459</v>
      </c>
      <c r="F85" s="4"/>
      <c r="H85" s="4"/>
      <c r="J85" s="4"/>
      <c r="K85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</row>
    <row r="86" spans="2:11" s="2" customFormat="1" ht="27.95" hidden="1" customHeight="1" x14ac:dyDescent="0.25">
      <c r="B86" s="3" t="s">
        <v>465</v>
      </c>
      <c r="C86" s="5" t="s">
        <v>46</v>
      </c>
      <c r="D86" s="5" t="s">
        <v>459</v>
      </c>
      <c r="F86" s="4"/>
      <c r="H86" s="4"/>
      <c r="J86" s="4"/>
      <c r="K86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</row>
    <row r="87" spans="2:11" s="2" customFormat="1" ht="27.95" hidden="1" customHeight="1" x14ac:dyDescent="0.25">
      <c r="B87" s="3" t="s">
        <v>466</v>
      </c>
      <c r="C87" s="5" t="s">
        <v>46</v>
      </c>
      <c r="D87" s="5" t="s">
        <v>459</v>
      </c>
      <c r="F87" s="4"/>
      <c r="H87" s="4"/>
      <c r="J87" s="4"/>
      <c r="K87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</row>
    <row r="88" spans="2:11" s="2" customFormat="1" ht="27.95" hidden="1" customHeight="1" x14ac:dyDescent="0.25">
      <c r="B88" s="3" t="s">
        <v>467</v>
      </c>
      <c r="C88" s="5" t="s">
        <v>46</v>
      </c>
      <c r="D88" s="5" t="s">
        <v>459</v>
      </c>
      <c r="F88" s="4"/>
      <c r="H88" s="4"/>
      <c r="J88" s="4"/>
      <c r="K88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</row>
    <row r="89" spans="2:11" s="2" customFormat="1" ht="27.95" hidden="1" customHeight="1" x14ac:dyDescent="0.25">
      <c r="B89" s="3" t="s">
        <v>468</v>
      </c>
      <c r="C89" s="5" t="s">
        <v>46</v>
      </c>
      <c r="D89" s="5" t="s">
        <v>459</v>
      </c>
      <c r="F89" s="4"/>
      <c r="H89" s="4"/>
      <c r="J89" s="4"/>
      <c r="K89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</row>
    <row r="90" spans="2:11" s="2" customFormat="1" ht="27.95" hidden="1" customHeight="1" x14ac:dyDescent="0.25">
      <c r="B90" s="3" t="s">
        <v>469</v>
      </c>
      <c r="C90" s="5" t="s">
        <v>46</v>
      </c>
      <c r="D90" s="5" t="s">
        <v>459</v>
      </c>
      <c r="F90" s="4"/>
      <c r="H90" s="4"/>
      <c r="J90" s="4"/>
      <c r="K90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</row>
    <row r="91" spans="2:11" s="2" customFormat="1" ht="27.95" hidden="1" customHeight="1" x14ac:dyDescent="0.25">
      <c r="B91" s="3" t="s">
        <v>470</v>
      </c>
      <c r="C91" s="5" t="s">
        <v>46</v>
      </c>
      <c r="D91" s="5" t="s">
        <v>459</v>
      </c>
      <c r="F91" s="4"/>
      <c r="H91" s="4"/>
      <c r="J91" s="4"/>
      <c r="K91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</row>
    <row r="92" spans="2:11" s="2" customFormat="1" ht="27.95" hidden="1" customHeight="1" x14ac:dyDescent="0.25">
      <c r="B92" s="3" t="s">
        <v>471</v>
      </c>
      <c r="C92" s="5" t="s">
        <v>46</v>
      </c>
      <c r="D92" s="5" t="s">
        <v>459</v>
      </c>
      <c r="F92" s="4"/>
      <c r="H92" s="4"/>
      <c r="J92" s="4"/>
      <c r="K92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</row>
    <row r="93" spans="2:11" s="2" customFormat="1" ht="27.95" hidden="1" customHeight="1" x14ac:dyDescent="0.25">
      <c r="B93" s="3" t="s">
        <v>472</v>
      </c>
      <c r="C93" s="5" t="s">
        <v>46</v>
      </c>
      <c r="D93" s="5" t="s">
        <v>459</v>
      </c>
      <c r="F93" s="4"/>
      <c r="H93" s="4"/>
      <c r="J93" s="4"/>
      <c r="K93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</row>
    <row r="94" spans="2:11" s="2" customFormat="1" ht="27.95" hidden="1" customHeight="1" x14ac:dyDescent="0.25">
      <c r="B94" s="3" t="s">
        <v>473</v>
      </c>
      <c r="C94" s="5" t="s">
        <v>46</v>
      </c>
      <c r="D94" s="5" t="s">
        <v>459</v>
      </c>
      <c r="F94" s="4"/>
      <c r="H94" s="4"/>
      <c r="J94" s="4"/>
      <c r="K94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</row>
    <row r="95" spans="2:11" s="2" customFormat="1" ht="27.95" hidden="1" customHeight="1" x14ac:dyDescent="0.25">
      <c r="B95" s="3" t="s">
        <v>474</v>
      </c>
      <c r="C95" s="5" t="s">
        <v>46</v>
      </c>
      <c r="D95" s="5" t="s">
        <v>459</v>
      </c>
      <c r="F95" s="4"/>
      <c r="H95" s="4"/>
      <c r="J95" s="4"/>
      <c r="K95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</row>
    <row r="96" spans="2:11" s="2" customFormat="1" ht="27.95" hidden="1" customHeight="1" x14ac:dyDescent="0.25">
      <c r="B96" s="3" t="s">
        <v>475</v>
      </c>
      <c r="C96" s="5" t="s">
        <v>46</v>
      </c>
      <c r="D96" s="5" t="s">
        <v>459</v>
      </c>
      <c r="F96" s="4"/>
      <c r="H96" s="4"/>
      <c r="J96" s="4"/>
      <c r="K96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</row>
    <row r="97" spans="2:12" s="2" customFormat="1" ht="27.95" hidden="1" customHeight="1" x14ac:dyDescent="0.25">
      <c r="B97" s="47" t="s">
        <v>516</v>
      </c>
      <c r="C97" s="48" t="s">
        <v>67</v>
      </c>
      <c r="D97" s="50" t="s">
        <v>323</v>
      </c>
      <c r="E97" s="2" t="s">
        <v>9</v>
      </c>
      <c r="F97" s="4">
        <v>150</v>
      </c>
      <c r="H97" s="4"/>
      <c r="J97" s="4"/>
      <c r="K97" s="38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>5100</v>
      </c>
      <c r="L97" s="7"/>
    </row>
    <row r="98" spans="2:12" s="2" customFormat="1" ht="27.95" hidden="1" customHeight="1" x14ac:dyDescent="0.25">
      <c r="B98" s="47" t="s">
        <v>517</v>
      </c>
      <c r="C98" s="48" t="s">
        <v>46</v>
      </c>
      <c r="D98" s="50" t="s">
        <v>323</v>
      </c>
      <c r="E98" s="2" t="s">
        <v>12</v>
      </c>
      <c r="F98" s="4">
        <v>150</v>
      </c>
      <c r="H98" s="4"/>
      <c r="J98" s="4"/>
      <c r="K98" s="38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>12300</v>
      </c>
      <c r="L98" s="7"/>
    </row>
    <row r="99" spans="2:12" s="2" customFormat="1" ht="27.95" hidden="1" customHeight="1" x14ac:dyDescent="0.25">
      <c r="B99" s="47" t="s">
        <v>519</v>
      </c>
      <c r="C99" s="48" t="s">
        <v>46</v>
      </c>
      <c r="D99" s="50" t="s">
        <v>508</v>
      </c>
      <c r="E99" s="2" t="s">
        <v>291</v>
      </c>
      <c r="F99" s="4">
        <v>25</v>
      </c>
      <c r="G99" s="2" t="s">
        <v>290</v>
      </c>
      <c r="H99" s="4">
        <v>20</v>
      </c>
      <c r="J99" s="4"/>
      <c r="K99" s="38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>6605</v>
      </c>
      <c r="L99" s="7"/>
    </row>
    <row r="100" spans="2:12" s="2" customFormat="1" ht="27.95" hidden="1" customHeight="1" x14ac:dyDescent="0.25">
      <c r="B100" s="47" t="s">
        <v>527</v>
      </c>
      <c r="C100" s="48" t="s">
        <v>46</v>
      </c>
      <c r="D100" s="48" t="s">
        <v>323</v>
      </c>
      <c r="E100" s="2" t="s">
        <v>290</v>
      </c>
      <c r="F100" s="4">
        <v>150</v>
      </c>
      <c r="H100" s="4"/>
      <c r="J100" s="4"/>
      <c r="K100" s="38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>3600</v>
      </c>
      <c r="L100" s="7"/>
    </row>
    <row r="101" spans="2:12" s="2" customFormat="1" ht="27.95" hidden="1" customHeight="1" x14ac:dyDescent="0.25">
      <c r="B101" s="2" t="s">
        <v>528</v>
      </c>
      <c r="C101" s="4" t="s">
        <v>67</v>
      </c>
      <c r="D101" s="4" t="s">
        <v>330</v>
      </c>
      <c r="E101" s="2" t="s">
        <v>9</v>
      </c>
      <c r="F101" s="4">
        <v>50</v>
      </c>
      <c r="G101" s="3" t="s">
        <v>533</v>
      </c>
      <c r="H101" s="4">
        <v>1</v>
      </c>
      <c r="J101" s="4"/>
      <c r="K101" s="38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>2500</v>
      </c>
      <c r="L101" s="7"/>
    </row>
    <row r="102" spans="2:12" s="2" customFormat="1" ht="27.95" hidden="1" customHeight="1" x14ac:dyDescent="0.25">
      <c r="B102" s="47" t="s">
        <v>533</v>
      </c>
      <c r="C102" s="48" t="s">
        <v>46</v>
      </c>
      <c r="D102" s="48" t="s">
        <v>508</v>
      </c>
      <c r="E102" s="2" t="s">
        <v>13</v>
      </c>
      <c r="F102" s="4">
        <v>50</v>
      </c>
      <c r="H102" s="4"/>
      <c r="J102" s="4"/>
      <c r="K102" s="38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>700</v>
      </c>
      <c r="L102" s="7"/>
    </row>
    <row r="103" spans="2:12" s="2" customFormat="1" ht="27.95" hidden="1" customHeight="1" x14ac:dyDescent="0.25">
      <c r="B103" s="47" t="s">
        <v>521</v>
      </c>
      <c r="C103" s="48" t="s">
        <v>67</v>
      </c>
      <c r="D103" s="48" t="s">
        <v>323</v>
      </c>
      <c r="E103" s="2" t="s">
        <v>304</v>
      </c>
      <c r="F103" s="4">
        <v>150</v>
      </c>
      <c r="H103" s="4"/>
      <c r="J103" s="4"/>
      <c r="K103" s="38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>4200</v>
      </c>
      <c r="L103" s="7"/>
    </row>
    <row r="104" spans="2:12" s="2" customFormat="1" ht="27.95" hidden="1" customHeight="1" x14ac:dyDescent="0.25">
      <c r="B104" s="49" t="s">
        <v>537</v>
      </c>
      <c r="C104" s="48" t="s">
        <v>67</v>
      </c>
      <c r="D104" s="50" t="s">
        <v>316</v>
      </c>
      <c r="E104" s="3" t="s">
        <v>549</v>
      </c>
      <c r="F104" s="4">
        <v>1</v>
      </c>
      <c r="G104" s="2" t="s">
        <v>536</v>
      </c>
      <c r="H104" s="4">
        <v>1</v>
      </c>
      <c r="J104" s="4"/>
      <c r="K104" s="38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>100000</v>
      </c>
      <c r="L104" s="7"/>
    </row>
    <row r="105" spans="2:12" s="2" customFormat="1" ht="27.95" hidden="1" customHeight="1" x14ac:dyDescent="0.25">
      <c r="B105" s="49" t="s">
        <v>548</v>
      </c>
      <c r="C105" s="48" t="s">
        <v>67</v>
      </c>
      <c r="D105" s="50" t="s">
        <v>316</v>
      </c>
      <c r="E105" s="3"/>
      <c r="F105" s="4"/>
      <c r="H105" s="4"/>
      <c r="J105" s="4"/>
      <c r="K105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  <c r="L105" s="7"/>
    </row>
    <row r="106" spans="2:12" s="2" customFormat="1" ht="27.95" hidden="1" customHeight="1" x14ac:dyDescent="0.25">
      <c r="B106" s="3" t="s">
        <v>557</v>
      </c>
      <c r="C106" s="48" t="s">
        <v>46</v>
      </c>
      <c r="D106" s="50" t="s">
        <v>323</v>
      </c>
      <c r="E106" s="3"/>
      <c r="F106" s="4"/>
      <c r="H106" s="4"/>
      <c r="J106" s="4"/>
      <c r="K106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  <c r="L106" s="7"/>
    </row>
    <row r="107" spans="2:12" s="2" customFormat="1" ht="27.95" hidden="1" customHeight="1" x14ac:dyDescent="0.25">
      <c r="B107" s="3" t="s">
        <v>559</v>
      </c>
      <c r="C107" s="48" t="s">
        <v>67</v>
      </c>
      <c r="D107" s="50" t="s">
        <v>323</v>
      </c>
      <c r="E107" s="3"/>
      <c r="F107" s="4"/>
      <c r="H107" s="4"/>
      <c r="J107" s="4"/>
      <c r="K107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  <c r="L107" s="7"/>
    </row>
    <row r="108" spans="2:12" s="2" customFormat="1" ht="27.95" hidden="1" customHeight="1" x14ac:dyDescent="0.25">
      <c r="B108" s="3" t="s">
        <v>560</v>
      </c>
      <c r="C108" s="48" t="s">
        <v>67</v>
      </c>
      <c r="D108" s="50" t="s">
        <v>323</v>
      </c>
      <c r="E108" s="3" t="s">
        <v>371</v>
      </c>
      <c r="F108" s="4">
        <v>200</v>
      </c>
      <c r="G108" s="2" t="s">
        <v>561</v>
      </c>
      <c r="H108" s="4">
        <v>1</v>
      </c>
      <c r="J108" s="4"/>
      <c r="K108" s="38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>57000</v>
      </c>
      <c r="L108" s="7"/>
    </row>
    <row r="109" spans="2:12" s="2" customFormat="1" ht="27.95" hidden="1" customHeight="1" x14ac:dyDescent="0.25">
      <c r="B109" s="47" t="s">
        <v>549</v>
      </c>
      <c r="C109" s="48" t="s">
        <v>67</v>
      </c>
      <c r="D109" s="50" t="s">
        <v>316</v>
      </c>
      <c r="E109" s="2" t="s">
        <v>40</v>
      </c>
      <c r="F109" s="4">
        <v>250</v>
      </c>
      <c r="G109" s="2" t="s">
        <v>290</v>
      </c>
      <c r="H109" s="4">
        <v>50</v>
      </c>
      <c r="J109" s="4"/>
      <c r="K109" s="38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>6200</v>
      </c>
      <c r="L109" s="7"/>
    </row>
    <row r="110" spans="2:12" s="2" customFormat="1" ht="27.95" hidden="1" customHeight="1" x14ac:dyDescent="0.25">
      <c r="B110" s="47" t="s">
        <v>536</v>
      </c>
      <c r="C110" s="48" t="s">
        <v>67</v>
      </c>
      <c r="D110" s="50" t="s">
        <v>316</v>
      </c>
      <c r="E110" s="2" t="s">
        <v>22</v>
      </c>
      <c r="F110" s="4">
        <v>250</v>
      </c>
      <c r="G110" s="2" t="s">
        <v>290</v>
      </c>
      <c r="H110" s="4">
        <v>50</v>
      </c>
      <c r="J110" s="4"/>
      <c r="K110" s="38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>6200</v>
      </c>
      <c r="L110" s="7"/>
    </row>
    <row r="111" spans="2:12" s="2" customFormat="1" ht="27.95" hidden="1" customHeight="1" x14ac:dyDescent="0.25">
      <c r="B111" s="2" t="s">
        <v>555</v>
      </c>
      <c r="C111" s="4" t="s">
        <v>67</v>
      </c>
      <c r="D111" s="4" t="s">
        <v>316</v>
      </c>
      <c r="E111" s="2" t="s">
        <v>372</v>
      </c>
      <c r="F111" s="4">
        <v>250</v>
      </c>
      <c r="G111" s="2" t="s">
        <v>290</v>
      </c>
      <c r="H111" s="4">
        <v>50</v>
      </c>
      <c r="J111" s="7"/>
      <c r="K111" s="38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>6200</v>
      </c>
    </row>
    <row r="112" spans="2:12" s="2" customFormat="1" ht="27.95" hidden="1" customHeight="1" x14ac:dyDescent="0.25">
      <c r="B112" s="49" t="s">
        <v>578</v>
      </c>
      <c r="C112" s="4" t="s">
        <v>46</v>
      </c>
      <c r="D112" s="4"/>
      <c r="F112" s="4"/>
      <c r="H112" s="4"/>
      <c r="J112" s="7"/>
      <c r="K112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</row>
    <row r="113" spans="2:11" s="2" customFormat="1" ht="27.95" hidden="1" customHeight="1" x14ac:dyDescent="0.25">
      <c r="B113" s="49" t="s">
        <v>579</v>
      </c>
      <c r="C113" s="4" t="s">
        <v>46</v>
      </c>
      <c r="D113" s="4"/>
      <c r="F113" s="4"/>
      <c r="H113" s="4"/>
      <c r="J113" s="7"/>
      <c r="K113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</row>
    <row r="114" spans="2:11" s="2" customFormat="1" ht="27.95" hidden="1" customHeight="1" x14ac:dyDescent="0.25">
      <c r="B114" s="49" t="s">
        <v>580</v>
      </c>
      <c r="C114" s="4" t="s">
        <v>46</v>
      </c>
      <c r="D114" s="4"/>
      <c r="F114" s="4"/>
      <c r="H114" s="4"/>
      <c r="J114" s="7"/>
      <c r="K114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</row>
    <row r="115" spans="2:11" s="2" customFormat="1" ht="27.95" hidden="1" customHeight="1" x14ac:dyDescent="0.25">
      <c r="B115" s="49" t="s">
        <v>581</v>
      </c>
      <c r="C115" s="4" t="s">
        <v>46</v>
      </c>
      <c r="D115" s="4"/>
      <c r="F115" s="4"/>
      <c r="H115" s="4"/>
      <c r="J115" s="7"/>
      <c r="K115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</row>
    <row r="116" spans="2:11" s="2" customFormat="1" ht="27.95" hidden="1" customHeight="1" x14ac:dyDescent="0.25">
      <c r="B116" s="49" t="s">
        <v>582</v>
      </c>
      <c r="C116" s="4" t="s">
        <v>46</v>
      </c>
      <c r="D116" s="4"/>
      <c r="F116" s="4"/>
      <c r="H116" s="4"/>
      <c r="J116" s="7"/>
      <c r="K116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</row>
    <row r="117" spans="2:11" s="2" customFormat="1" ht="27.95" hidden="1" customHeight="1" x14ac:dyDescent="0.25">
      <c r="B117" s="49" t="s">
        <v>583</v>
      </c>
      <c r="C117" s="4" t="s">
        <v>46</v>
      </c>
      <c r="D117" s="4"/>
      <c r="F117" s="4"/>
      <c r="H117" s="4"/>
      <c r="J117" s="7"/>
      <c r="K117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</row>
    <row r="118" spans="2:11" s="2" customFormat="1" ht="27.95" hidden="1" customHeight="1" x14ac:dyDescent="0.25">
      <c r="B118" s="49" t="s">
        <v>584</v>
      </c>
      <c r="C118" s="4" t="s">
        <v>46</v>
      </c>
      <c r="D118" s="4"/>
      <c r="F118" s="4"/>
      <c r="H118" s="4"/>
      <c r="J118" s="7"/>
      <c r="K118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</row>
    <row r="119" spans="2:11" s="2" customFormat="1" ht="27.95" hidden="1" customHeight="1" x14ac:dyDescent="0.25">
      <c r="B119" s="49" t="s">
        <v>585</v>
      </c>
      <c r="C119" s="4" t="s">
        <v>46</v>
      </c>
      <c r="D119" s="4"/>
      <c r="F119" s="4"/>
      <c r="H119" s="4"/>
      <c r="J119" s="7"/>
      <c r="K119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</row>
    <row r="120" spans="2:11" s="2" customFormat="1" ht="27.95" hidden="1" customHeight="1" x14ac:dyDescent="0.25">
      <c r="B120" s="49" t="s">
        <v>586</v>
      </c>
      <c r="C120" s="4" t="s">
        <v>46</v>
      </c>
      <c r="D120" s="4"/>
      <c r="F120" s="4"/>
      <c r="H120" s="4"/>
      <c r="J120" s="7"/>
      <c r="K120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</row>
    <row r="121" spans="2:11" s="2" customFormat="1" ht="27.95" hidden="1" customHeight="1" x14ac:dyDescent="0.25">
      <c r="B121" s="49" t="s">
        <v>587</v>
      </c>
      <c r="C121" s="4" t="s">
        <v>46</v>
      </c>
      <c r="D121" s="4"/>
      <c r="F121" s="4"/>
      <c r="H121" s="4"/>
      <c r="J121" s="7"/>
      <c r="K121" s="38" t="str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/>
      </c>
    </row>
    <row r="122" spans="2:11" s="2" customFormat="1" ht="27.95" customHeight="1" x14ac:dyDescent="0.25">
      <c r="B122" s="49" t="s">
        <v>638</v>
      </c>
      <c r="C122" s="4" t="s">
        <v>46</v>
      </c>
      <c r="D122" s="4" t="s">
        <v>316</v>
      </c>
      <c r="E122" s="2" t="s">
        <v>639</v>
      </c>
      <c r="F122" s="4">
        <v>1</v>
      </c>
      <c r="G122" s="2" t="s">
        <v>548</v>
      </c>
      <c r="H122" s="4">
        <v>1</v>
      </c>
      <c r="J122" s="7">
        <v>1</v>
      </c>
      <c r="K122" s="38">
        <f>IF(ISTEXT(tbBlueprints[[#This Row],[Item 3]]),tbBlueprints[[#This Row],[Quantity 1]]*(VLOOKUP(tbBlueprints[[#This Row],[Item 1]],tbMaterials[],4,FALSE))+tbBlueprints[[#This Row],[Quantity 2]]*(VLOOKUP(tbBlueprints[[#This Row],[Item 2]],tbMaterials[],4,FALSE))+tbBlueprints[[#This Row],[Quantity 3]]*(VLOOKUP(tbBlueprints[[#This Row],[Item 3]],tbMaterials[],4,FALSE)),IF(ISTEXT(tbBlueprints[[#This Row],[Item 2]]),tbBlueprints[[#This Row],[Quantity 1]]*(VLOOKUP(tbBlueprints[[#This Row],[Item 1]],tbMaterials[],4,FALSE))+tbBlueprints[[#This Row],[Quantity 2]]*(VLOOKUP(tbBlueprints[[#This Row],[Item 2]],tbMaterials[],4,FALSE)),IF(ISTEXT(tbBlueprints[[#This Row],[Item 1]]),tbBlueprints[[#This Row],[Quantity 1]]*(VLOOKUP(tbBlueprints[[#This Row],[Item 1]],tbMaterials[],4,FALSE)),"")))</f>
        <v>2916250</v>
      </c>
    </row>
    <row r="123" spans="2:11" s="2" customFormat="1" ht="27.95" customHeight="1" x14ac:dyDescent="0.25">
      <c r="B123" s="49"/>
      <c r="C123" s="4"/>
      <c r="D123" s="4"/>
      <c r="F123" s="4"/>
      <c r="H123" s="4"/>
      <c r="I123"/>
      <c r="J123" s="7"/>
    </row>
    <row r="124" spans="2:11" s="2" customFormat="1" ht="27.95" customHeight="1" x14ac:dyDescent="0.25">
      <c r="B124" s="49"/>
      <c r="C124" s="4"/>
      <c r="D124" s="4"/>
      <c r="F124" s="4"/>
      <c r="H124" s="4"/>
      <c r="I124"/>
      <c r="J124" s="7"/>
    </row>
    <row r="125" spans="2:11" s="2" customFormat="1" ht="27.95" customHeight="1" x14ac:dyDescent="0.25">
      <c r="B125" s="49"/>
      <c r="C125" s="4"/>
      <c r="D125" s="4"/>
      <c r="F125" s="4"/>
      <c r="H125" s="4"/>
      <c r="I125"/>
      <c r="J125" s="7"/>
    </row>
    <row r="126" spans="2:11" s="2" customFormat="1" ht="27.95" customHeight="1" x14ac:dyDescent="0.25">
      <c r="B126" s="49"/>
      <c r="C126" s="4"/>
      <c r="D126" s="4"/>
      <c r="F126" s="4"/>
      <c r="H126" s="4"/>
      <c r="I126"/>
      <c r="J126" s="7"/>
    </row>
    <row r="127" spans="2:11" s="2" customFormat="1" ht="27.95" customHeight="1" x14ac:dyDescent="0.25">
      <c r="B127" s="49"/>
      <c r="C127" s="4"/>
      <c r="D127" s="4"/>
      <c r="F127" s="4"/>
      <c r="H127" s="4"/>
      <c r="I127"/>
      <c r="J127" s="7"/>
    </row>
    <row r="128" spans="2:11" s="2" customFormat="1" ht="27.95" customHeight="1" x14ac:dyDescent="0.25">
      <c r="B128" s="2" t="s">
        <v>553</v>
      </c>
      <c r="C128" s="2" t="s">
        <v>554</v>
      </c>
      <c r="D128" s="4" t="s">
        <v>338</v>
      </c>
      <c r="E128" s="4"/>
      <c r="G128" s="4"/>
      <c r="I128" s="4"/>
      <c r="J128" s="7"/>
    </row>
    <row r="129" spans="2:10" s="2" customFormat="1" ht="27.95" customHeight="1" x14ac:dyDescent="0.25">
      <c r="B129" s="2" t="s">
        <v>414</v>
      </c>
      <c r="C129" s="4" t="s">
        <v>418</v>
      </c>
      <c r="D129" s="4" t="s">
        <v>344</v>
      </c>
      <c r="E129" s="4"/>
      <c r="G129" s="4"/>
      <c r="I129" s="4"/>
      <c r="J129" s="7"/>
    </row>
    <row r="130" spans="2:10" s="2" customFormat="1" ht="27.95" customHeight="1" x14ac:dyDescent="0.25">
      <c r="B130" s="50" t="s">
        <v>477</v>
      </c>
      <c r="C130" s="4" t="s">
        <v>478</v>
      </c>
      <c r="D130" s="4" t="s">
        <v>344</v>
      </c>
      <c r="E130" s="4"/>
      <c r="G130" s="4"/>
      <c r="I130" s="4"/>
      <c r="J130" s="7"/>
    </row>
    <row r="131" spans="2:10" s="2" customFormat="1" ht="27.95" customHeight="1" x14ac:dyDescent="0.25">
      <c r="B131" s="2" t="s">
        <v>438</v>
      </c>
      <c r="C131" s="4" t="s">
        <v>441</v>
      </c>
      <c r="D131" s="4" t="s">
        <v>344</v>
      </c>
      <c r="E131" s="4"/>
      <c r="G131" s="4"/>
      <c r="I131" s="4"/>
      <c r="J131" s="7"/>
    </row>
    <row r="132" spans="2:10" s="2" customFormat="1" ht="27.95" customHeight="1" x14ac:dyDescent="0.25">
      <c r="B132" s="50" t="s">
        <v>459</v>
      </c>
      <c r="C132" s="4" t="s">
        <v>476</v>
      </c>
      <c r="D132" s="4" t="s">
        <v>344</v>
      </c>
      <c r="E132" s="4"/>
      <c r="G132" s="4"/>
      <c r="I132" s="4"/>
      <c r="J132" s="7"/>
    </row>
    <row r="133" spans="2:10" s="2" customFormat="1" ht="27.95" customHeight="1" x14ac:dyDescent="0.25">
      <c r="C133" s="4"/>
      <c r="D133" s="4"/>
      <c r="E133" s="4"/>
      <c r="G133" s="4"/>
      <c r="I133" s="4"/>
      <c r="J133" s="7"/>
    </row>
    <row r="134" spans="2:10" s="2" customFormat="1" ht="27.95" customHeight="1" x14ac:dyDescent="0.25">
      <c r="C134" s="4"/>
      <c r="D134" s="4"/>
      <c r="E134" s="4"/>
      <c r="G134" s="4"/>
      <c r="I134" s="4"/>
      <c r="J134" s="7"/>
    </row>
    <row r="135" spans="2:10" s="2" customFormat="1" ht="27.95" customHeight="1" x14ac:dyDescent="0.25">
      <c r="C135" s="4"/>
      <c r="D135" s="4"/>
      <c r="E135" s="4"/>
      <c r="G135" s="4"/>
      <c r="I135" s="4"/>
      <c r="J135" s="7"/>
    </row>
    <row r="136" spans="2:10" s="2" customFormat="1" ht="27.95" customHeight="1" x14ac:dyDescent="0.25">
      <c r="C136" s="4"/>
      <c r="D136" s="4"/>
      <c r="E136" s="4"/>
      <c r="G136" s="4"/>
      <c r="I136" s="4"/>
      <c r="J136" s="7"/>
    </row>
    <row r="137" spans="2:10" s="2" customFormat="1" ht="27.95" customHeight="1" x14ac:dyDescent="0.25">
      <c r="C137" s="4"/>
      <c r="D137" s="4"/>
      <c r="E137" s="4"/>
      <c r="G137" s="4"/>
      <c r="I137" s="4"/>
      <c r="J137" s="7"/>
    </row>
    <row r="138" spans="2:10" s="2" customFormat="1" ht="27.95" customHeight="1" x14ac:dyDescent="0.25">
      <c r="C138" s="4"/>
      <c r="D138" s="4"/>
      <c r="E138" s="4"/>
      <c r="G138" s="4"/>
      <c r="I138" s="4"/>
      <c r="J138" s="7"/>
    </row>
    <row r="139" spans="2:10" s="2" customFormat="1" ht="27.95" customHeight="1" x14ac:dyDescent="0.25">
      <c r="C139" s="4"/>
      <c r="D139" s="4"/>
      <c r="E139" s="4"/>
      <c r="G139" s="4"/>
      <c r="I139" s="4"/>
      <c r="J139" s="7"/>
    </row>
    <row r="140" spans="2:10" s="2" customFormat="1" ht="27.95" customHeight="1" x14ac:dyDescent="0.25">
      <c r="C140" s="4"/>
      <c r="D140" s="4"/>
      <c r="E140" s="4"/>
      <c r="G140" s="4"/>
      <c r="I140" s="4"/>
      <c r="J140" s="7"/>
    </row>
    <row r="141" spans="2:10" s="2" customFormat="1" ht="27.95" customHeight="1" x14ac:dyDescent="0.25">
      <c r="C141" s="4"/>
      <c r="D141" s="4"/>
      <c r="E141" s="4"/>
      <c r="G141" s="4"/>
      <c r="I141" s="4"/>
      <c r="J141" s="7"/>
    </row>
    <row r="142" spans="2:10" s="2" customFormat="1" ht="27.95" customHeight="1" x14ac:dyDescent="0.25">
      <c r="C142" s="4"/>
      <c r="D142" s="4"/>
      <c r="E142" s="4"/>
      <c r="G142" s="4"/>
      <c r="I142" s="4"/>
      <c r="J142" s="7"/>
    </row>
    <row r="143" spans="2:10" s="2" customFormat="1" ht="27.95" customHeight="1" x14ac:dyDescent="0.25">
      <c r="C143" s="4"/>
      <c r="D143" s="4"/>
      <c r="E143" s="4"/>
      <c r="G143" s="4"/>
      <c r="I143" s="4"/>
      <c r="J143" s="7"/>
    </row>
    <row r="144" spans="2:10" s="2" customFormat="1" ht="27.95" customHeight="1" x14ac:dyDescent="0.25">
      <c r="C144" s="4"/>
      <c r="D144" s="4"/>
      <c r="E144" s="4"/>
      <c r="G144" s="4"/>
      <c r="I144" s="4"/>
      <c r="J144" s="7"/>
    </row>
    <row r="145" spans="3:10" s="2" customFormat="1" x14ac:dyDescent="0.25">
      <c r="C145" s="4"/>
      <c r="D145" s="4"/>
      <c r="E145" s="4"/>
      <c r="G145" s="4"/>
      <c r="I145" s="4"/>
      <c r="J145" s="7"/>
    </row>
    <row r="146" spans="3:10" s="2" customFormat="1" x14ac:dyDescent="0.25">
      <c r="C146" s="4"/>
      <c r="D146" s="4"/>
      <c r="E146" s="4"/>
      <c r="G146" s="4"/>
      <c r="I146" s="4"/>
      <c r="J146" s="7"/>
    </row>
    <row r="147" spans="3:10" s="2" customFormat="1" x14ac:dyDescent="0.25">
      <c r="C147" s="4"/>
      <c r="D147" s="4"/>
      <c r="E147" s="4"/>
      <c r="G147" s="4"/>
      <c r="I147" s="4"/>
      <c r="J147" s="7"/>
    </row>
    <row r="148" spans="3:10" s="2" customFormat="1" x14ac:dyDescent="0.25">
      <c r="C148" s="4"/>
      <c r="D148" s="4"/>
      <c r="E148" s="4"/>
      <c r="G148" s="4"/>
      <c r="I148" s="4"/>
      <c r="J148" s="7"/>
    </row>
    <row r="149" spans="3:10" s="2" customFormat="1" x14ac:dyDescent="0.25">
      <c r="C149" s="4"/>
      <c r="D149" s="4"/>
      <c r="E149" s="4"/>
      <c r="G149" s="4"/>
      <c r="I149" s="4"/>
      <c r="J149" s="7"/>
    </row>
  </sheetData>
  <phoneticPr fontId="4" type="noConversion"/>
  <dataValidations count="1">
    <dataValidation type="list" allowBlank="1" showInputMessage="1" showErrorMessage="1" sqref="G3:G127 E3:E127 I3:I122" xr:uid="{D64C9C9F-4376-439A-8D11-65F6F7E41709}">
      <formula1>lsMaterials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DE4B2-A483-416B-888B-A9ECE290C9BC}">
  <sheetPr codeName="Sheet7"/>
  <dimension ref="B1:K83"/>
  <sheetViews>
    <sheetView showGridLines="0" topLeftCell="A34" workbookViewId="0">
      <selection activeCell="E47" sqref="E47"/>
    </sheetView>
  </sheetViews>
  <sheetFormatPr defaultRowHeight="14.25" x14ac:dyDescent="0.25"/>
  <cols>
    <col min="1" max="1" width="1.42578125" style="1" customWidth="1"/>
    <col min="2" max="2" width="28.7109375" style="1" customWidth="1"/>
    <col min="3" max="3" width="13.140625" style="1" customWidth="1"/>
    <col min="4" max="4" width="13.140625" style="6" customWidth="1"/>
    <col min="5" max="5" width="13.140625" style="1" customWidth="1"/>
    <col min="6" max="6" width="13.140625" style="6" customWidth="1"/>
    <col min="7" max="7" width="13.140625" style="1" customWidth="1"/>
    <col min="8" max="9" width="13.140625" style="6" customWidth="1"/>
    <col min="10" max="10" width="13.140625" style="39" customWidth="1"/>
    <col min="11" max="11" width="13.140625" style="1" customWidth="1"/>
    <col min="12" max="16384" width="9.140625" style="1"/>
  </cols>
  <sheetData>
    <row r="1" spans="2:11" ht="7.5" customHeight="1" x14ac:dyDescent="0.25"/>
    <row r="2" spans="2:11" s="2" customFormat="1" ht="27.95" customHeight="1" x14ac:dyDescent="0.25">
      <c r="B2" s="2" t="s">
        <v>0</v>
      </c>
      <c r="C2" s="43" t="s">
        <v>352</v>
      </c>
      <c r="D2" s="29" t="s">
        <v>353</v>
      </c>
      <c r="E2" s="43" t="s">
        <v>354</v>
      </c>
      <c r="F2" s="29" t="s">
        <v>355</v>
      </c>
      <c r="G2" s="43" t="s">
        <v>356</v>
      </c>
      <c r="H2" s="29" t="s">
        <v>357</v>
      </c>
      <c r="I2" s="45" t="s">
        <v>368</v>
      </c>
      <c r="J2" s="7" t="s">
        <v>358</v>
      </c>
      <c r="K2" s="46" t="s">
        <v>369</v>
      </c>
    </row>
    <row r="3" spans="2:11" s="2" customFormat="1" ht="27.95" customHeight="1" x14ac:dyDescent="0.25">
      <c r="B3" s="2" t="s">
        <v>347</v>
      </c>
      <c r="C3" s="2" t="s">
        <v>69</v>
      </c>
      <c r="D3" s="4">
        <v>30</v>
      </c>
      <c r="E3" s="2" t="s">
        <v>28</v>
      </c>
      <c r="F3" s="4">
        <v>20</v>
      </c>
      <c r="G3" s="2" t="s">
        <v>6</v>
      </c>
      <c r="H3" s="4">
        <v>60</v>
      </c>
      <c r="I3" s="4">
        <v>1</v>
      </c>
      <c r="J3" s="38">
        <f>IF(ISTEXT(tbRecipes[[#This Row],[Item 3]]),tbRecipes[[#This Row],[Quantity 1]]*(VLOOKUP(tbRecipes[[#This Row],[Item 1]],tbMaterials[],4,FALSE))+tbRecipes[[#This Row],[Quantity 2]]*(VLOOKUP(tbRecipes[[#This Row],[Item 2]],tbMaterials[],4,FALSE))+tbRecipes[[#This Row],[Quantity 3]]*(VLOOKUP(tbRecipes[[#This Row],[Item 3]],tbMaterials[],4,FALSE)),IF(ISTEXT(tbRecipes[[#This Row],[Item 2]]),tbRecipes[[#This Row],[Quantity 1]]*(VLOOKUP(tbRecipes[[#This Row],[Item 1]],tbMaterials[],4,FALSE))+tbRecipes[[#This Row],[Quantity 2]]*(VLOOKUP(tbRecipes[[#This Row],[Item 2]],tbMaterials[],4,FALSE)),IF(ISTEXT(tbRecipes[[#This Row],[Item 1]]),tbRecipes[[#This Row],[Quantity 1]]*(VLOOKUP(tbRecipes[[#This Row],[Item 1]],tbMaterials[],4,FALSE)),"")))</f>
        <v>13860</v>
      </c>
      <c r="K3" s="38">
        <f>IF(ISNUMBER(tbRecipes[[#This Row],[Total Cost]]),tbRecipes[[#This Row],[Total Cost]]/tbRecipes[[#This Row],[Output Qty]],"")</f>
        <v>13860</v>
      </c>
    </row>
    <row r="4" spans="2:11" s="2" customFormat="1" ht="27.95" customHeight="1" x14ac:dyDescent="0.25">
      <c r="B4" s="2" t="s">
        <v>347</v>
      </c>
      <c r="C4" s="2" t="s">
        <v>69</v>
      </c>
      <c r="D4" s="4">
        <v>30</v>
      </c>
      <c r="E4" s="2" t="s">
        <v>28</v>
      </c>
      <c r="F4" s="4">
        <v>20</v>
      </c>
      <c r="G4" s="2" t="s">
        <v>305</v>
      </c>
      <c r="H4" s="4">
        <v>30</v>
      </c>
      <c r="I4" s="4">
        <v>1</v>
      </c>
      <c r="J4" s="38">
        <f>IF(ISTEXT(tbRecipes[[#This Row],[Item 3]]),tbRecipes[[#This Row],[Quantity 1]]*(VLOOKUP(tbRecipes[[#This Row],[Item 1]],tbMaterials[],4,FALSE))+tbRecipes[[#This Row],[Quantity 2]]*(VLOOKUP(tbRecipes[[#This Row],[Item 2]],tbMaterials[],4,FALSE))+tbRecipes[[#This Row],[Quantity 3]]*(VLOOKUP(tbRecipes[[#This Row],[Item 3]],tbMaterials[],4,FALSE)),IF(ISTEXT(tbRecipes[[#This Row],[Item 2]]),tbRecipes[[#This Row],[Quantity 1]]*(VLOOKUP(tbRecipes[[#This Row],[Item 1]],tbMaterials[],4,FALSE))+tbRecipes[[#This Row],[Quantity 2]]*(VLOOKUP(tbRecipes[[#This Row],[Item 2]],tbMaterials[],4,FALSE)),IF(ISTEXT(tbRecipes[[#This Row],[Item 1]]),tbRecipes[[#This Row],[Quantity 1]]*(VLOOKUP(tbRecipes[[#This Row],[Item 1]],tbMaterials[],4,FALSE)),"")))</f>
        <v>14010</v>
      </c>
      <c r="K4" s="38">
        <f>IF(ISNUMBER(tbRecipes[[#This Row],[Total Cost]]),tbRecipes[[#This Row],[Total Cost]]/tbRecipes[[#This Row],[Output Qty]],"")</f>
        <v>14010</v>
      </c>
    </row>
    <row r="5" spans="2:11" s="2" customFormat="1" ht="27.95" customHeight="1" x14ac:dyDescent="0.25">
      <c r="B5" s="2" t="s">
        <v>347</v>
      </c>
      <c r="C5" s="2" t="s">
        <v>69</v>
      </c>
      <c r="D5" s="4">
        <v>30</v>
      </c>
      <c r="E5" s="2" t="s">
        <v>20</v>
      </c>
      <c r="F5" s="4">
        <v>20</v>
      </c>
      <c r="G5" s="2" t="s">
        <v>6</v>
      </c>
      <c r="H5" s="4">
        <v>60</v>
      </c>
      <c r="I5" s="4">
        <v>1</v>
      </c>
      <c r="J5" s="38">
        <f>IF(ISTEXT(tbRecipes[[#This Row],[Item 3]]),tbRecipes[[#This Row],[Quantity 1]]*(VLOOKUP(tbRecipes[[#This Row],[Item 1]],tbMaterials[],4,FALSE))+tbRecipes[[#This Row],[Quantity 2]]*(VLOOKUP(tbRecipes[[#This Row],[Item 2]],tbMaterials[],4,FALSE))+tbRecipes[[#This Row],[Quantity 3]]*(VLOOKUP(tbRecipes[[#This Row],[Item 3]],tbMaterials[],4,FALSE)),IF(ISTEXT(tbRecipes[[#This Row],[Item 2]]),tbRecipes[[#This Row],[Quantity 1]]*(VLOOKUP(tbRecipes[[#This Row],[Item 1]],tbMaterials[],4,FALSE))+tbRecipes[[#This Row],[Quantity 2]]*(VLOOKUP(tbRecipes[[#This Row],[Item 2]],tbMaterials[],4,FALSE)),IF(ISTEXT(tbRecipes[[#This Row],[Item 1]]),tbRecipes[[#This Row],[Quantity 1]]*(VLOOKUP(tbRecipes[[#This Row],[Item 1]],tbMaterials[],4,FALSE)),"")))</f>
        <v>17460</v>
      </c>
      <c r="K5" s="38">
        <f>IF(ISNUMBER(tbRecipes[[#This Row],[Total Cost]]),tbRecipes[[#This Row],[Total Cost]]/tbRecipes[[#This Row],[Output Qty]],"")</f>
        <v>17460</v>
      </c>
    </row>
    <row r="6" spans="2:11" s="2" customFormat="1" ht="27.95" customHeight="1" x14ac:dyDescent="0.25">
      <c r="B6" s="2" t="s">
        <v>347</v>
      </c>
      <c r="C6" s="2" t="s">
        <v>69</v>
      </c>
      <c r="D6" s="4">
        <v>30</v>
      </c>
      <c r="E6" s="2" t="s">
        <v>20</v>
      </c>
      <c r="F6" s="4">
        <v>20</v>
      </c>
      <c r="G6" s="2" t="s">
        <v>305</v>
      </c>
      <c r="H6" s="4">
        <v>30</v>
      </c>
      <c r="I6" s="4">
        <v>1</v>
      </c>
      <c r="J6" s="38">
        <f>IF(ISTEXT(tbRecipes[[#This Row],[Item 3]]),tbRecipes[[#This Row],[Quantity 1]]*(VLOOKUP(tbRecipes[[#This Row],[Item 1]],tbMaterials[],4,FALSE))+tbRecipes[[#This Row],[Quantity 2]]*(VLOOKUP(tbRecipes[[#This Row],[Item 2]],tbMaterials[],4,FALSE))+tbRecipes[[#This Row],[Quantity 3]]*(VLOOKUP(tbRecipes[[#This Row],[Item 3]],tbMaterials[],4,FALSE)),IF(ISTEXT(tbRecipes[[#This Row],[Item 2]]),tbRecipes[[#This Row],[Quantity 1]]*(VLOOKUP(tbRecipes[[#This Row],[Item 1]],tbMaterials[],4,FALSE))+tbRecipes[[#This Row],[Quantity 2]]*(VLOOKUP(tbRecipes[[#This Row],[Item 2]],tbMaterials[],4,FALSE)),IF(ISTEXT(tbRecipes[[#This Row],[Item 1]]),tbRecipes[[#This Row],[Quantity 1]]*(VLOOKUP(tbRecipes[[#This Row],[Item 1]],tbMaterials[],4,FALSE)),"")))</f>
        <v>17610</v>
      </c>
      <c r="K6" s="38">
        <f>IF(ISNUMBER(tbRecipes[[#This Row],[Total Cost]]),tbRecipes[[#This Row],[Total Cost]]/tbRecipes[[#This Row],[Output Qty]],"")</f>
        <v>17610</v>
      </c>
    </row>
    <row r="7" spans="2:11" s="2" customFormat="1" ht="27.95" customHeight="1" x14ac:dyDescent="0.25">
      <c r="B7" s="2" t="s">
        <v>347</v>
      </c>
      <c r="C7" s="2" t="s">
        <v>69</v>
      </c>
      <c r="D7" s="4">
        <v>30</v>
      </c>
      <c r="E7" s="2" t="s">
        <v>27</v>
      </c>
      <c r="F7" s="4">
        <v>10</v>
      </c>
      <c r="G7" s="2" t="s">
        <v>6</v>
      </c>
      <c r="H7" s="4">
        <v>60</v>
      </c>
      <c r="I7" s="4">
        <v>1</v>
      </c>
      <c r="J7" s="38">
        <f>IF(ISTEXT(tbRecipes[[#This Row],[Item 3]]),tbRecipes[[#This Row],[Quantity 1]]*(VLOOKUP(tbRecipes[[#This Row],[Item 1]],tbMaterials[],4,FALSE))+tbRecipes[[#This Row],[Quantity 2]]*(VLOOKUP(tbRecipes[[#This Row],[Item 2]],tbMaterials[],4,FALSE))+tbRecipes[[#This Row],[Quantity 3]]*(VLOOKUP(tbRecipes[[#This Row],[Item 3]],tbMaterials[],4,FALSE)),IF(ISTEXT(tbRecipes[[#This Row],[Item 2]]),tbRecipes[[#This Row],[Quantity 1]]*(VLOOKUP(tbRecipes[[#This Row],[Item 1]],tbMaterials[],4,FALSE))+tbRecipes[[#This Row],[Quantity 2]]*(VLOOKUP(tbRecipes[[#This Row],[Item 2]],tbMaterials[],4,FALSE)),IF(ISTEXT(tbRecipes[[#This Row],[Item 1]]),tbRecipes[[#This Row],[Quantity 1]]*(VLOOKUP(tbRecipes[[#This Row],[Item 1]],tbMaterials[],4,FALSE)),"")))</f>
        <v>17270</v>
      </c>
      <c r="K7" s="38">
        <f>IF(ISNUMBER(tbRecipes[[#This Row],[Total Cost]]),tbRecipes[[#This Row],[Total Cost]]/tbRecipes[[#This Row],[Output Qty]],"")</f>
        <v>17270</v>
      </c>
    </row>
    <row r="8" spans="2:11" s="2" customFormat="1" ht="27.95" customHeight="1" x14ac:dyDescent="0.25">
      <c r="B8" s="2" t="s">
        <v>347</v>
      </c>
      <c r="C8" s="2" t="s">
        <v>69</v>
      </c>
      <c r="D8" s="4">
        <v>30</v>
      </c>
      <c r="E8" s="2" t="s">
        <v>27</v>
      </c>
      <c r="F8" s="4">
        <v>10</v>
      </c>
      <c r="G8" s="2" t="s">
        <v>305</v>
      </c>
      <c r="H8" s="4">
        <v>30</v>
      </c>
      <c r="I8" s="4">
        <v>1</v>
      </c>
      <c r="J8" s="38">
        <f>IF(ISTEXT(tbRecipes[[#This Row],[Item 3]]),tbRecipes[[#This Row],[Quantity 1]]*(VLOOKUP(tbRecipes[[#This Row],[Item 1]],tbMaterials[],4,FALSE))+tbRecipes[[#This Row],[Quantity 2]]*(VLOOKUP(tbRecipes[[#This Row],[Item 2]],tbMaterials[],4,FALSE))+tbRecipes[[#This Row],[Quantity 3]]*(VLOOKUP(tbRecipes[[#This Row],[Item 3]],tbMaterials[],4,FALSE)),IF(ISTEXT(tbRecipes[[#This Row],[Item 2]]),tbRecipes[[#This Row],[Quantity 1]]*(VLOOKUP(tbRecipes[[#This Row],[Item 1]],tbMaterials[],4,FALSE))+tbRecipes[[#This Row],[Quantity 2]]*(VLOOKUP(tbRecipes[[#This Row],[Item 2]],tbMaterials[],4,FALSE)),IF(ISTEXT(tbRecipes[[#This Row],[Item 1]]),tbRecipes[[#This Row],[Quantity 1]]*(VLOOKUP(tbRecipes[[#This Row],[Item 1]],tbMaterials[],4,FALSE)),"")))</f>
        <v>17420</v>
      </c>
      <c r="K8" s="38">
        <f>IF(ISNUMBER(tbRecipes[[#This Row],[Total Cost]]),tbRecipes[[#This Row],[Total Cost]]/tbRecipes[[#This Row],[Output Qty]],"")</f>
        <v>17420</v>
      </c>
    </row>
    <row r="9" spans="2:11" s="2" customFormat="1" ht="27.95" customHeight="1" x14ac:dyDescent="0.25">
      <c r="B9" s="2" t="s">
        <v>347</v>
      </c>
      <c r="C9" s="2" t="s">
        <v>69</v>
      </c>
      <c r="D9" s="4">
        <v>30</v>
      </c>
      <c r="E9" s="2" t="s">
        <v>19</v>
      </c>
      <c r="F9" s="4">
        <v>5</v>
      </c>
      <c r="G9" s="2" t="s">
        <v>6</v>
      </c>
      <c r="H9" s="4">
        <v>60</v>
      </c>
      <c r="I9" s="4">
        <v>1</v>
      </c>
      <c r="J9" s="38">
        <f>IF(ISTEXT(tbRecipes[[#This Row],[Item 3]]),tbRecipes[[#This Row],[Quantity 1]]*(VLOOKUP(tbRecipes[[#This Row],[Item 1]],tbMaterials[],4,FALSE))+tbRecipes[[#This Row],[Quantity 2]]*(VLOOKUP(tbRecipes[[#This Row],[Item 2]],tbMaterials[],4,FALSE))+tbRecipes[[#This Row],[Quantity 3]]*(VLOOKUP(tbRecipes[[#This Row],[Item 3]],tbMaterials[],4,FALSE)),IF(ISTEXT(tbRecipes[[#This Row],[Item 2]]),tbRecipes[[#This Row],[Quantity 1]]*(VLOOKUP(tbRecipes[[#This Row],[Item 1]],tbMaterials[],4,FALSE))+tbRecipes[[#This Row],[Quantity 2]]*(VLOOKUP(tbRecipes[[#This Row],[Item 2]],tbMaterials[],4,FALSE)),IF(ISTEXT(tbRecipes[[#This Row],[Item 1]]),tbRecipes[[#This Row],[Quantity 1]]*(VLOOKUP(tbRecipes[[#This Row],[Item 1]],tbMaterials[],4,FALSE)),"")))</f>
        <v>16265</v>
      </c>
      <c r="K9" s="38">
        <f>IF(ISNUMBER(tbRecipes[[#This Row],[Total Cost]]),tbRecipes[[#This Row],[Total Cost]]/tbRecipes[[#This Row],[Output Qty]],"")</f>
        <v>16265</v>
      </c>
    </row>
    <row r="10" spans="2:11" s="2" customFormat="1" ht="27.95" customHeight="1" x14ac:dyDescent="0.25">
      <c r="B10" s="2" t="s">
        <v>347</v>
      </c>
      <c r="C10" s="2" t="s">
        <v>69</v>
      </c>
      <c r="D10" s="4">
        <v>30</v>
      </c>
      <c r="E10" s="2" t="s">
        <v>19</v>
      </c>
      <c r="F10" s="4">
        <v>5</v>
      </c>
      <c r="G10" s="2" t="s">
        <v>305</v>
      </c>
      <c r="H10" s="4">
        <v>30</v>
      </c>
      <c r="I10" s="4">
        <v>1</v>
      </c>
      <c r="J10" s="38">
        <f>IF(ISTEXT(tbRecipes[[#This Row],[Item 3]]),tbRecipes[[#This Row],[Quantity 1]]*(VLOOKUP(tbRecipes[[#This Row],[Item 1]],tbMaterials[],4,FALSE))+tbRecipes[[#This Row],[Quantity 2]]*(VLOOKUP(tbRecipes[[#This Row],[Item 2]],tbMaterials[],4,FALSE))+tbRecipes[[#This Row],[Quantity 3]]*(VLOOKUP(tbRecipes[[#This Row],[Item 3]],tbMaterials[],4,FALSE)),IF(ISTEXT(tbRecipes[[#This Row],[Item 2]]),tbRecipes[[#This Row],[Quantity 1]]*(VLOOKUP(tbRecipes[[#This Row],[Item 1]],tbMaterials[],4,FALSE))+tbRecipes[[#This Row],[Quantity 2]]*(VLOOKUP(tbRecipes[[#This Row],[Item 2]],tbMaterials[],4,FALSE)),IF(ISTEXT(tbRecipes[[#This Row],[Item 1]]),tbRecipes[[#This Row],[Quantity 1]]*(VLOOKUP(tbRecipes[[#This Row],[Item 1]],tbMaterials[],4,FALSE)),"")))</f>
        <v>16415</v>
      </c>
      <c r="K10" s="38">
        <f>IF(ISNUMBER(tbRecipes[[#This Row],[Total Cost]]),tbRecipes[[#This Row],[Total Cost]]/tbRecipes[[#This Row],[Output Qty]],"")</f>
        <v>16415</v>
      </c>
    </row>
    <row r="11" spans="2:11" s="2" customFormat="1" ht="27.95" customHeight="1" x14ac:dyDescent="0.25">
      <c r="B11" s="2" t="s">
        <v>291</v>
      </c>
      <c r="C11" s="2" t="s">
        <v>367</v>
      </c>
      <c r="D11" s="4">
        <v>1</v>
      </c>
      <c r="F11" s="4"/>
      <c r="H11" s="4"/>
      <c r="I11" s="4">
        <v>1</v>
      </c>
      <c r="J11" s="38">
        <f>IF(ISTEXT(tbRecipes[[#This Row],[Item 3]]),tbRecipes[[#This Row],[Quantity 1]]*(VLOOKUP(tbRecipes[[#This Row],[Item 1]],tbMaterials[],4,FALSE))+tbRecipes[[#This Row],[Quantity 2]]*(VLOOKUP(tbRecipes[[#This Row],[Item 2]],tbMaterials[],4,FALSE))+tbRecipes[[#This Row],[Quantity 3]]*(VLOOKUP(tbRecipes[[#This Row],[Item 3]],tbMaterials[],4,FALSE)),IF(ISTEXT(tbRecipes[[#This Row],[Item 2]]),tbRecipes[[#This Row],[Quantity 1]]*(VLOOKUP(tbRecipes[[#This Row],[Item 1]],tbMaterials[],4,FALSE))+tbRecipes[[#This Row],[Quantity 2]]*(VLOOKUP(tbRecipes[[#This Row],[Item 2]],tbMaterials[],4,FALSE)),IF(ISTEXT(tbRecipes[[#This Row],[Item 1]]),tbRecipes[[#This Row],[Quantity 1]]*(VLOOKUP(tbRecipes[[#This Row],[Item 1]],tbMaterials[],4,FALSE)),"")))</f>
        <v>245</v>
      </c>
      <c r="K11" s="38">
        <f>IF(ISNUMBER(tbRecipes[[#This Row],[Total Cost]]),tbRecipes[[#This Row],[Total Cost]]/tbRecipes[[#This Row],[Output Qty]],"")</f>
        <v>245</v>
      </c>
    </row>
    <row r="12" spans="2:11" s="2" customFormat="1" ht="27.95" customHeight="1" x14ac:dyDescent="0.25">
      <c r="B12" s="2" t="s">
        <v>291</v>
      </c>
      <c r="C12" s="2" t="s">
        <v>304</v>
      </c>
      <c r="D12" s="4">
        <v>1</v>
      </c>
      <c r="E12" s="2" t="s">
        <v>367</v>
      </c>
      <c r="F12" s="4">
        <v>1</v>
      </c>
      <c r="H12" s="4"/>
      <c r="I12" s="4">
        <v>2</v>
      </c>
      <c r="J12" s="38">
        <f>IF(ISTEXT(tbRecipes[[#This Row],[Item 3]]),tbRecipes[[#This Row],[Quantity 1]]*(VLOOKUP(tbRecipes[[#This Row],[Item 1]],tbMaterials[],4,FALSE))+tbRecipes[[#This Row],[Quantity 2]]*(VLOOKUP(tbRecipes[[#This Row],[Item 2]],tbMaterials[],4,FALSE))+tbRecipes[[#This Row],[Quantity 3]]*(VLOOKUP(tbRecipes[[#This Row],[Item 3]],tbMaterials[],4,FALSE)),IF(ISTEXT(tbRecipes[[#This Row],[Item 2]]),tbRecipes[[#This Row],[Quantity 1]]*(VLOOKUP(tbRecipes[[#This Row],[Item 1]],tbMaterials[],4,FALSE))+tbRecipes[[#This Row],[Quantity 2]]*(VLOOKUP(tbRecipes[[#This Row],[Item 2]],tbMaterials[],4,FALSE)),IF(ISTEXT(tbRecipes[[#This Row],[Item 1]]),tbRecipes[[#This Row],[Quantity 1]]*(VLOOKUP(tbRecipes[[#This Row],[Item 1]],tbMaterials[],4,FALSE)),"")))</f>
        <v>273</v>
      </c>
      <c r="K12" s="38">
        <f>IF(ISNUMBER(tbRecipes[[#This Row],[Total Cost]]),tbRecipes[[#This Row],[Total Cost]]/tbRecipes[[#This Row],[Output Qty]],"")</f>
        <v>136.5</v>
      </c>
    </row>
    <row r="13" spans="2:11" s="2" customFormat="1" ht="27.95" customHeight="1" x14ac:dyDescent="0.25">
      <c r="B13" s="2" t="s">
        <v>268</v>
      </c>
      <c r="C13" s="2" t="s">
        <v>13</v>
      </c>
      <c r="D13" s="4">
        <v>1</v>
      </c>
      <c r="E13" s="2" t="s">
        <v>367</v>
      </c>
      <c r="F13" s="4">
        <v>1</v>
      </c>
      <c r="H13" s="4"/>
      <c r="I13" s="4">
        <v>2</v>
      </c>
      <c r="J13" s="38">
        <f>IF(ISTEXT(tbRecipes[[#This Row],[Item 3]]),tbRecipes[[#This Row],[Quantity 1]]*(VLOOKUP(tbRecipes[[#This Row],[Item 1]],tbMaterials[],4,FALSE))+tbRecipes[[#This Row],[Quantity 2]]*(VLOOKUP(tbRecipes[[#This Row],[Item 2]],tbMaterials[],4,FALSE))+tbRecipes[[#This Row],[Quantity 3]]*(VLOOKUP(tbRecipes[[#This Row],[Item 3]],tbMaterials[],4,FALSE)),IF(ISTEXT(tbRecipes[[#This Row],[Item 2]]),tbRecipes[[#This Row],[Quantity 1]]*(VLOOKUP(tbRecipes[[#This Row],[Item 1]],tbMaterials[],4,FALSE))+tbRecipes[[#This Row],[Quantity 2]]*(VLOOKUP(tbRecipes[[#This Row],[Item 2]],tbMaterials[],4,FALSE)),IF(ISTEXT(tbRecipes[[#This Row],[Item 1]]),tbRecipes[[#This Row],[Quantity 1]]*(VLOOKUP(tbRecipes[[#This Row],[Item 1]],tbMaterials[],4,FALSE)),"")))</f>
        <v>259</v>
      </c>
      <c r="K13" s="38">
        <f>IF(ISNUMBER(tbRecipes[[#This Row],[Total Cost]]),tbRecipes[[#This Row],[Total Cost]]/tbRecipes[[#This Row],[Output Qty]],"")</f>
        <v>129.5</v>
      </c>
    </row>
    <row r="14" spans="2:11" s="2" customFormat="1" ht="27.95" customHeight="1" x14ac:dyDescent="0.25">
      <c r="B14" s="2" t="s">
        <v>335</v>
      </c>
      <c r="C14" s="2" t="s">
        <v>335</v>
      </c>
      <c r="D14" s="4">
        <v>1</v>
      </c>
      <c r="E14" s="2" t="s">
        <v>291</v>
      </c>
      <c r="F14" s="4">
        <v>1</v>
      </c>
      <c r="H14" s="4"/>
      <c r="I14" s="4">
        <v>2</v>
      </c>
      <c r="J14" s="38">
        <f>IF(ISTEXT(tbRecipes[[#This Row],[Item 3]]),tbRecipes[[#This Row],[Quantity 1]]*(VLOOKUP(tbRecipes[[#This Row],[Item 1]],tbMaterials[],4,FALSE))+tbRecipes[[#This Row],[Quantity 2]]*(VLOOKUP(tbRecipes[[#This Row],[Item 2]],tbMaterials[],4,FALSE))+tbRecipes[[#This Row],[Quantity 3]]*(VLOOKUP(tbRecipes[[#This Row],[Item 3]],tbMaterials[],4,FALSE)),IF(ISTEXT(tbRecipes[[#This Row],[Item 2]]),tbRecipes[[#This Row],[Quantity 1]]*(VLOOKUP(tbRecipes[[#This Row],[Item 1]],tbMaterials[],4,FALSE))+tbRecipes[[#This Row],[Quantity 2]]*(VLOOKUP(tbRecipes[[#This Row],[Item 2]],tbMaterials[],4,FALSE)),IF(ISTEXT(tbRecipes[[#This Row],[Item 1]]),tbRecipes[[#This Row],[Quantity 1]]*(VLOOKUP(tbRecipes[[#This Row],[Item 1]],tbMaterials[],4,FALSE)),"")))</f>
        <v>479</v>
      </c>
      <c r="K14" s="38">
        <f>IF(ISNUMBER(tbRecipes[[#This Row],[Total Cost]]),tbRecipes[[#This Row],[Total Cost]]/tbRecipes[[#This Row],[Output Qty]],"")</f>
        <v>239.5</v>
      </c>
    </row>
    <row r="15" spans="2:11" s="2" customFormat="1" ht="27.95" customHeight="1" x14ac:dyDescent="0.25">
      <c r="B15" s="2" t="s">
        <v>385</v>
      </c>
      <c r="C15" s="2" t="s">
        <v>11</v>
      </c>
      <c r="D15" s="4">
        <v>1</v>
      </c>
      <c r="E15" s="2" t="s">
        <v>28</v>
      </c>
      <c r="F15" s="4">
        <v>1</v>
      </c>
      <c r="H15" s="4"/>
      <c r="I15" s="4">
        <v>1</v>
      </c>
      <c r="J15" s="38">
        <f>IF(ISTEXT(tbRecipes[[#This Row],[Item 3]]),tbRecipes[[#This Row],[Quantity 1]]*(VLOOKUP(tbRecipes[[#This Row],[Item 1]],tbMaterials[],4,FALSE))+tbRecipes[[#This Row],[Quantity 2]]*(VLOOKUP(tbRecipes[[#This Row],[Item 2]],tbMaterials[],4,FALSE))+tbRecipes[[#This Row],[Quantity 3]]*(VLOOKUP(tbRecipes[[#This Row],[Item 3]],tbMaterials[],4,FALSE)),IF(ISTEXT(tbRecipes[[#This Row],[Item 2]]),tbRecipes[[#This Row],[Quantity 1]]*(VLOOKUP(tbRecipes[[#This Row],[Item 1]],tbMaterials[],4,FALSE))+tbRecipes[[#This Row],[Quantity 2]]*(VLOOKUP(tbRecipes[[#This Row],[Item 2]],tbMaterials[],4,FALSE)),IF(ISTEXT(tbRecipes[[#This Row],[Item 1]]),tbRecipes[[#This Row],[Quantity 1]]*(VLOOKUP(tbRecipes[[#This Row],[Item 1]],tbMaterials[],4,FALSE)),"")))</f>
        <v>40</v>
      </c>
      <c r="K15" s="38">
        <f>IF(ISNUMBER(tbRecipes[[#This Row],[Total Cost]]),tbRecipes[[#This Row],[Total Cost]]/tbRecipes[[#This Row],[Output Qty]],"")</f>
        <v>40</v>
      </c>
    </row>
    <row r="16" spans="2:11" s="2" customFormat="1" ht="27.95" customHeight="1" x14ac:dyDescent="0.25">
      <c r="B16" s="2" t="s">
        <v>509</v>
      </c>
      <c r="C16" s="2" t="s">
        <v>11</v>
      </c>
      <c r="D16" s="4">
        <v>30</v>
      </c>
      <c r="F16" s="4"/>
      <c r="H16" s="4"/>
      <c r="I16" s="4">
        <v>1</v>
      </c>
      <c r="J16" s="38">
        <f>IF(ISTEXT(tbRecipes[[#This Row],[Item 3]]),tbRecipes[[#This Row],[Quantity 1]]*(VLOOKUP(tbRecipes[[#This Row],[Item 1]],tbMaterials[],4,FALSE))+tbRecipes[[#This Row],[Quantity 2]]*(VLOOKUP(tbRecipes[[#This Row],[Item 2]],tbMaterials[],4,FALSE))+tbRecipes[[#This Row],[Quantity 3]]*(VLOOKUP(tbRecipes[[#This Row],[Item 3]],tbMaterials[],4,FALSE)),IF(ISTEXT(tbRecipes[[#This Row],[Item 2]]),tbRecipes[[#This Row],[Quantity 1]]*(VLOOKUP(tbRecipes[[#This Row],[Item 1]],tbMaterials[],4,FALSE))+tbRecipes[[#This Row],[Quantity 2]]*(VLOOKUP(tbRecipes[[#This Row],[Item 2]],tbMaterials[],4,FALSE)),IF(ISTEXT(tbRecipes[[#This Row],[Item 1]]),tbRecipes[[#This Row],[Quantity 1]]*(VLOOKUP(tbRecipes[[#This Row],[Item 1]],tbMaterials[],4,FALSE)),"")))</f>
        <v>1020</v>
      </c>
      <c r="K16" s="38">
        <f>IF(ISNUMBER(tbRecipes[[#This Row],[Total Cost]]),tbRecipes[[#This Row],[Total Cost]]/tbRecipes[[#This Row],[Output Qty]],"")</f>
        <v>1020</v>
      </c>
    </row>
    <row r="17" spans="2:11" s="2" customFormat="1" ht="27.95" customHeight="1" x14ac:dyDescent="0.25">
      <c r="B17" s="3" t="s">
        <v>515</v>
      </c>
      <c r="C17" s="2" t="s">
        <v>63</v>
      </c>
      <c r="D17" s="4">
        <v>50</v>
      </c>
      <c r="E17" s="2" t="s">
        <v>96</v>
      </c>
      <c r="F17" s="4">
        <v>50</v>
      </c>
      <c r="H17" s="4"/>
      <c r="I17" s="4">
        <v>1</v>
      </c>
      <c r="J17" s="38">
        <f>IF(ISTEXT(tbRecipes[[#This Row],[Item 3]]),tbRecipes[[#This Row],[Quantity 1]]*(VLOOKUP(tbRecipes[[#This Row],[Item 1]],tbMaterials[],4,FALSE))+tbRecipes[[#This Row],[Quantity 2]]*(VLOOKUP(tbRecipes[[#This Row],[Item 2]],tbMaterials[],4,FALSE))+tbRecipes[[#This Row],[Quantity 3]]*(VLOOKUP(tbRecipes[[#This Row],[Item 3]],tbMaterials[],4,FALSE)),IF(ISTEXT(tbRecipes[[#This Row],[Item 2]]),tbRecipes[[#This Row],[Quantity 1]]*(VLOOKUP(tbRecipes[[#This Row],[Item 1]],tbMaterials[],4,FALSE))+tbRecipes[[#This Row],[Quantity 2]]*(VLOOKUP(tbRecipes[[#This Row],[Item 2]],tbMaterials[],4,FALSE)),IF(ISTEXT(tbRecipes[[#This Row],[Item 1]]),tbRecipes[[#This Row],[Quantity 1]]*(VLOOKUP(tbRecipes[[#This Row],[Item 1]],tbMaterials[],4,FALSE)),"")))</f>
        <v>45050</v>
      </c>
      <c r="K17" s="38">
        <f>IF(ISNUMBER(tbRecipes[[#This Row],[Total Cost]]),tbRecipes[[#This Row],[Total Cost]]/tbRecipes[[#This Row],[Output Qty]],"")</f>
        <v>45050</v>
      </c>
    </row>
    <row r="18" spans="2:11" s="2" customFormat="1" ht="27.95" customHeight="1" x14ac:dyDescent="0.25">
      <c r="B18" s="3" t="s">
        <v>515</v>
      </c>
      <c r="C18" s="2" t="s">
        <v>63</v>
      </c>
      <c r="D18" s="4">
        <v>40</v>
      </c>
      <c r="E18" s="2" t="s">
        <v>96</v>
      </c>
      <c r="F18" s="4">
        <v>40</v>
      </c>
      <c r="G18" s="2" t="s">
        <v>28</v>
      </c>
      <c r="H18" s="4">
        <v>50</v>
      </c>
      <c r="I18" s="4">
        <v>1</v>
      </c>
      <c r="J18" s="38">
        <f>IF(ISTEXT(tbRecipes[[#This Row],[Item 3]]),tbRecipes[[#This Row],[Quantity 1]]*(VLOOKUP(tbRecipes[[#This Row],[Item 1]],tbMaterials[],4,FALSE))+tbRecipes[[#This Row],[Quantity 2]]*(VLOOKUP(tbRecipes[[#This Row],[Item 2]],tbMaterials[],4,FALSE))+tbRecipes[[#This Row],[Quantity 3]]*(VLOOKUP(tbRecipes[[#This Row],[Item 3]],tbMaterials[],4,FALSE)),IF(ISTEXT(tbRecipes[[#This Row],[Item 2]]),tbRecipes[[#This Row],[Quantity 1]]*(VLOOKUP(tbRecipes[[#This Row],[Item 1]],tbMaterials[],4,FALSE))+tbRecipes[[#This Row],[Quantity 2]]*(VLOOKUP(tbRecipes[[#This Row],[Item 2]],tbMaterials[],4,FALSE)),IF(ISTEXT(tbRecipes[[#This Row],[Item 1]]),tbRecipes[[#This Row],[Quantity 1]]*(VLOOKUP(tbRecipes[[#This Row],[Item 1]],tbMaterials[],4,FALSE)),"")))</f>
        <v>36340</v>
      </c>
      <c r="K18" s="38">
        <f>IF(ISNUMBER(tbRecipes[[#This Row],[Total Cost]]),tbRecipes[[#This Row],[Total Cost]]/tbRecipes[[#This Row],[Output Qty]],"")</f>
        <v>36340</v>
      </c>
    </row>
    <row r="19" spans="2:11" s="2" customFormat="1" ht="27.95" customHeight="1" x14ac:dyDescent="0.25">
      <c r="B19" s="47" t="s">
        <v>516</v>
      </c>
      <c r="C19" s="2" t="s">
        <v>9</v>
      </c>
      <c r="D19" s="4">
        <v>100</v>
      </c>
      <c r="E19" s="2" t="s">
        <v>28</v>
      </c>
      <c r="F19" s="4">
        <v>50</v>
      </c>
      <c r="H19" s="4"/>
      <c r="I19" s="4">
        <v>1</v>
      </c>
      <c r="J19" s="38">
        <f>IF(ISTEXT(tbRecipes[[#This Row],[Item 3]]),tbRecipes[[#This Row],[Quantity 1]]*(VLOOKUP(tbRecipes[[#This Row],[Item 1]],tbMaterials[],4,FALSE))+tbRecipes[[#This Row],[Quantity 2]]*(VLOOKUP(tbRecipes[[#This Row],[Item 2]],tbMaterials[],4,FALSE))+tbRecipes[[#This Row],[Quantity 3]]*(VLOOKUP(tbRecipes[[#This Row],[Item 3]],tbMaterials[],4,FALSE)),IF(ISTEXT(tbRecipes[[#This Row],[Item 2]]),tbRecipes[[#This Row],[Quantity 1]]*(VLOOKUP(tbRecipes[[#This Row],[Item 1]],tbMaterials[],4,FALSE))+tbRecipes[[#This Row],[Quantity 2]]*(VLOOKUP(tbRecipes[[#This Row],[Item 2]],tbMaterials[],4,FALSE)),IF(ISTEXT(tbRecipes[[#This Row],[Item 1]]),tbRecipes[[#This Row],[Quantity 1]]*(VLOOKUP(tbRecipes[[#This Row],[Item 1]],tbMaterials[],4,FALSE)),"")))</f>
        <v>3700</v>
      </c>
      <c r="K19" s="38">
        <f>IF(ISNUMBER(tbRecipes[[#This Row],[Total Cost]]),tbRecipes[[#This Row],[Total Cost]]/tbRecipes[[#This Row],[Output Qty]],"")</f>
        <v>3700</v>
      </c>
    </row>
    <row r="20" spans="2:11" s="2" customFormat="1" ht="27.95" customHeight="1" x14ac:dyDescent="0.25">
      <c r="B20" s="47" t="s">
        <v>516</v>
      </c>
      <c r="C20" s="2" t="s">
        <v>9</v>
      </c>
      <c r="D20" s="4">
        <v>40</v>
      </c>
      <c r="E20" s="2" t="s">
        <v>28</v>
      </c>
      <c r="F20" s="4">
        <v>50</v>
      </c>
      <c r="G20" s="2" t="s">
        <v>64</v>
      </c>
      <c r="H20" s="4">
        <v>40</v>
      </c>
      <c r="I20" s="4">
        <v>1</v>
      </c>
      <c r="J20" s="38">
        <f>IF(ISTEXT(tbRecipes[[#This Row],[Item 3]]),tbRecipes[[#This Row],[Quantity 1]]*(VLOOKUP(tbRecipes[[#This Row],[Item 1]],tbMaterials[],4,FALSE))+tbRecipes[[#This Row],[Quantity 2]]*(VLOOKUP(tbRecipes[[#This Row],[Item 2]],tbMaterials[],4,FALSE))+tbRecipes[[#This Row],[Quantity 3]]*(VLOOKUP(tbRecipes[[#This Row],[Item 3]],tbMaterials[],4,FALSE)),IF(ISTEXT(tbRecipes[[#This Row],[Item 2]]),tbRecipes[[#This Row],[Quantity 1]]*(VLOOKUP(tbRecipes[[#This Row],[Item 1]],tbMaterials[],4,FALSE))+tbRecipes[[#This Row],[Quantity 2]]*(VLOOKUP(tbRecipes[[#This Row],[Item 2]],tbMaterials[],4,FALSE)),IF(ISTEXT(tbRecipes[[#This Row],[Item 1]]),tbRecipes[[#This Row],[Quantity 1]]*(VLOOKUP(tbRecipes[[#This Row],[Item 1]],tbMaterials[],4,FALSE)),"")))</f>
        <v>4140</v>
      </c>
      <c r="K20" s="38">
        <f>IF(ISNUMBER(tbRecipes[[#This Row],[Total Cost]]),tbRecipes[[#This Row],[Total Cost]]/tbRecipes[[#This Row],[Output Qty]],"")</f>
        <v>4140</v>
      </c>
    </row>
    <row r="21" spans="2:11" s="2" customFormat="1" ht="27.95" customHeight="1" x14ac:dyDescent="0.25">
      <c r="B21" s="47" t="s">
        <v>517</v>
      </c>
      <c r="C21" s="2" t="s">
        <v>10</v>
      </c>
      <c r="D21" s="4">
        <v>50</v>
      </c>
      <c r="E21" s="2" t="s">
        <v>12</v>
      </c>
      <c r="F21" s="4">
        <v>50</v>
      </c>
      <c r="H21" s="4"/>
      <c r="I21" s="4">
        <v>1</v>
      </c>
      <c r="J21" s="38">
        <f>IF(ISTEXT(tbRecipes[[#This Row],[Item 3]]),tbRecipes[[#This Row],[Quantity 1]]*(VLOOKUP(tbRecipes[[#This Row],[Item 1]],tbMaterials[],4,FALSE))+tbRecipes[[#This Row],[Quantity 2]]*(VLOOKUP(tbRecipes[[#This Row],[Item 2]],tbMaterials[],4,FALSE))+tbRecipes[[#This Row],[Quantity 3]]*(VLOOKUP(tbRecipes[[#This Row],[Item 3]],tbMaterials[],4,FALSE)),IF(ISTEXT(tbRecipes[[#This Row],[Item 2]]),tbRecipes[[#This Row],[Quantity 1]]*(VLOOKUP(tbRecipes[[#This Row],[Item 1]],tbMaterials[],4,FALSE))+tbRecipes[[#This Row],[Quantity 2]]*(VLOOKUP(tbRecipes[[#This Row],[Item 2]],tbMaterials[],4,FALSE)),IF(ISTEXT(tbRecipes[[#This Row],[Item 1]]),tbRecipes[[#This Row],[Quantity 1]]*(VLOOKUP(tbRecipes[[#This Row],[Item 1]],tbMaterials[],4,FALSE)),"")))</f>
        <v>6150</v>
      </c>
      <c r="K21" s="38">
        <f>IF(ISNUMBER(tbRecipes[[#This Row],[Total Cost]]),tbRecipes[[#This Row],[Total Cost]]/tbRecipes[[#This Row],[Output Qty]],"")</f>
        <v>6150</v>
      </c>
    </row>
    <row r="22" spans="2:11" s="2" customFormat="1" ht="27.95" customHeight="1" x14ac:dyDescent="0.25">
      <c r="B22" s="47" t="s">
        <v>517</v>
      </c>
      <c r="C22" s="2" t="s">
        <v>10</v>
      </c>
      <c r="D22" s="4">
        <v>40</v>
      </c>
      <c r="E22" s="2" t="s">
        <v>12</v>
      </c>
      <c r="F22" s="4">
        <v>40</v>
      </c>
      <c r="G22" s="2" t="s">
        <v>28</v>
      </c>
      <c r="H22" s="4">
        <v>50</v>
      </c>
      <c r="I22" s="4">
        <v>1</v>
      </c>
      <c r="J22" s="38">
        <f>IF(ISTEXT(tbRecipes[[#This Row],[Item 3]]),tbRecipes[[#This Row],[Quantity 1]]*(VLOOKUP(tbRecipes[[#This Row],[Item 1]],tbMaterials[],4,FALSE))+tbRecipes[[#This Row],[Quantity 2]]*(VLOOKUP(tbRecipes[[#This Row],[Item 2]],tbMaterials[],4,FALSE))+tbRecipes[[#This Row],[Quantity 3]]*(VLOOKUP(tbRecipes[[#This Row],[Item 3]],tbMaterials[],4,FALSE)),IF(ISTEXT(tbRecipes[[#This Row],[Item 2]]),tbRecipes[[#This Row],[Quantity 1]]*(VLOOKUP(tbRecipes[[#This Row],[Item 1]],tbMaterials[],4,FALSE))+tbRecipes[[#This Row],[Quantity 2]]*(VLOOKUP(tbRecipes[[#This Row],[Item 2]],tbMaterials[],4,FALSE)),IF(ISTEXT(tbRecipes[[#This Row],[Item 1]]),tbRecipes[[#This Row],[Quantity 1]]*(VLOOKUP(tbRecipes[[#This Row],[Item 1]],tbMaterials[],4,FALSE)),"")))</f>
        <v>5220</v>
      </c>
      <c r="K22" s="38">
        <f>IF(ISNUMBER(tbRecipes[[#This Row],[Total Cost]]),tbRecipes[[#This Row],[Total Cost]]/tbRecipes[[#This Row],[Output Qty]],"")</f>
        <v>5220</v>
      </c>
    </row>
    <row r="23" spans="2:11" s="2" customFormat="1" ht="27.95" customHeight="1" x14ac:dyDescent="0.25">
      <c r="B23" s="3" t="s">
        <v>527</v>
      </c>
      <c r="C23" s="2" t="s">
        <v>7</v>
      </c>
      <c r="D23" s="4">
        <v>50</v>
      </c>
      <c r="E23" s="2" t="s">
        <v>290</v>
      </c>
      <c r="F23" s="4">
        <v>50</v>
      </c>
      <c r="H23" s="4"/>
      <c r="I23" s="4">
        <v>1</v>
      </c>
      <c r="J23" s="38">
        <f>IF(ISTEXT(tbRecipes[[#This Row],[Item 3]]),tbRecipes[[#This Row],[Quantity 1]]*(VLOOKUP(tbRecipes[[#This Row],[Item 1]],tbMaterials[],4,FALSE))+tbRecipes[[#This Row],[Quantity 2]]*(VLOOKUP(tbRecipes[[#This Row],[Item 2]],tbMaterials[],4,FALSE))+tbRecipes[[#This Row],[Quantity 3]]*(VLOOKUP(tbRecipes[[#This Row],[Item 3]],tbMaterials[],4,FALSE)),IF(ISTEXT(tbRecipes[[#This Row],[Item 2]]),tbRecipes[[#This Row],[Quantity 1]]*(VLOOKUP(tbRecipes[[#This Row],[Item 1]],tbMaterials[],4,FALSE))+tbRecipes[[#This Row],[Quantity 2]]*(VLOOKUP(tbRecipes[[#This Row],[Item 2]],tbMaterials[],4,FALSE)),IF(ISTEXT(tbRecipes[[#This Row],[Item 1]]),tbRecipes[[#This Row],[Quantity 1]]*(VLOOKUP(tbRecipes[[#This Row],[Item 1]],tbMaterials[],4,FALSE)),"")))</f>
        <v>1800</v>
      </c>
      <c r="K23" s="38">
        <f>IF(ISNUMBER(tbRecipes[[#This Row],[Total Cost]]),tbRecipes[[#This Row],[Total Cost]]/tbRecipes[[#This Row],[Output Qty]],"")</f>
        <v>1800</v>
      </c>
    </row>
    <row r="24" spans="2:11" s="2" customFormat="1" ht="27.95" customHeight="1" x14ac:dyDescent="0.25">
      <c r="B24" s="3" t="s">
        <v>527</v>
      </c>
      <c r="C24" s="2" t="s">
        <v>7</v>
      </c>
      <c r="D24" s="4">
        <v>40</v>
      </c>
      <c r="E24" s="2" t="s">
        <v>290</v>
      </c>
      <c r="F24" s="4">
        <v>40</v>
      </c>
      <c r="G24" s="2" t="s">
        <v>28</v>
      </c>
      <c r="H24" s="4">
        <v>50</v>
      </c>
      <c r="I24" s="4">
        <v>1</v>
      </c>
      <c r="J24" s="38">
        <f>IF(ISTEXT(tbRecipes[[#This Row],[Item 3]]),tbRecipes[[#This Row],[Quantity 1]]*(VLOOKUP(tbRecipes[[#This Row],[Item 1]],tbMaterials[],4,FALSE))+tbRecipes[[#This Row],[Quantity 2]]*(VLOOKUP(tbRecipes[[#This Row],[Item 2]],tbMaterials[],4,FALSE))+tbRecipes[[#This Row],[Quantity 3]]*(VLOOKUP(tbRecipes[[#This Row],[Item 3]],tbMaterials[],4,FALSE)),IF(ISTEXT(tbRecipes[[#This Row],[Item 2]]),tbRecipes[[#This Row],[Quantity 1]]*(VLOOKUP(tbRecipes[[#This Row],[Item 1]],tbMaterials[],4,FALSE))+tbRecipes[[#This Row],[Quantity 2]]*(VLOOKUP(tbRecipes[[#This Row],[Item 2]],tbMaterials[],4,FALSE)),IF(ISTEXT(tbRecipes[[#This Row],[Item 1]]),tbRecipes[[#This Row],[Quantity 1]]*(VLOOKUP(tbRecipes[[#This Row],[Item 1]],tbMaterials[],4,FALSE)),"")))</f>
        <v>1740</v>
      </c>
      <c r="K24" s="38">
        <f>IF(ISNUMBER(tbRecipes[[#This Row],[Total Cost]]),tbRecipes[[#This Row],[Total Cost]]/tbRecipes[[#This Row],[Output Qty]],"")</f>
        <v>1740</v>
      </c>
    </row>
    <row r="25" spans="2:11" s="2" customFormat="1" ht="27.95" customHeight="1" x14ac:dyDescent="0.25">
      <c r="B25" s="2" t="s">
        <v>528</v>
      </c>
      <c r="C25" s="2" t="s">
        <v>9</v>
      </c>
      <c r="D25" s="4">
        <v>10</v>
      </c>
      <c r="E25" s="2" t="s">
        <v>7</v>
      </c>
      <c r="F25" s="4">
        <v>20</v>
      </c>
      <c r="G25" s="2" t="s">
        <v>13</v>
      </c>
      <c r="H25" s="4">
        <v>20</v>
      </c>
      <c r="I25" s="4">
        <v>1</v>
      </c>
      <c r="J25" s="38">
        <f>IF(ISTEXT(tbRecipes[[#This Row],[Item 3]]),tbRecipes[[#This Row],[Quantity 1]]*(VLOOKUP(tbRecipes[[#This Row],[Item 1]],tbMaterials[],4,FALSE))+tbRecipes[[#This Row],[Quantity 2]]*(VLOOKUP(tbRecipes[[#This Row],[Item 2]],tbMaterials[],4,FALSE))+tbRecipes[[#This Row],[Quantity 3]]*(VLOOKUP(tbRecipes[[#This Row],[Item 3]],tbMaterials[],4,FALSE)),IF(ISTEXT(tbRecipes[[#This Row],[Item 2]]),tbRecipes[[#This Row],[Quantity 1]]*(VLOOKUP(tbRecipes[[#This Row],[Item 1]],tbMaterials[],4,FALSE))+tbRecipes[[#This Row],[Quantity 2]]*(VLOOKUP(tbRecipes[[#This Row],[Item 2]],tbMaterials[],4,FALSE)),IF(ISTEXT(tbRecipes[[#This Row],[Item 1]]),tbRecipes[[#This Row],[Quantity 1]]*(VLOOKUP(tbRecipes[[#This Row],[Item 1]],tbMaterials[],4,FALSE)),"")))</f>
        <v>860</v>
      </c>
      <c r="K25" s="38">
        <f>IF(ISNUMBER(tbRecipes[[#This Row],[Total Cost]]),tbRecipes[[#This Row],[Total Cost]]/tbRecipes[[#This Row],[Output Qty]],"")</f>
        <v>860</v>
      </c>
    </row>
    <row r="26" spans="2:11" s="2" customFormat="1" ht="27.95" customHeight="1" x14ac:dyDescent="0.25">
      <c r="B26" s="2" t="s">
        <v>528</v>
      </c>
      <c r="C26" s="2" t="s">
        <v>9</v>
      </c>
      <c r="D26" s="4">
        <v>10</v>
      </c>
      <c r="E26" s="2" t="s">
        <v>7</v>
      </c>
      <c r="F26" s="4">
        <v>20</v>
      </c>
      <c r="G26" s="2" t="s">
        <v>304</v>
      </c>
      <c r="H26" s="4">
        <v>20</v>
      </c>
      <c r="I26" s="4">
        <v>1</v>
      </c>
      <c r="J26" s="38">
        <f>IF(ISTEXT(tbRecipes[[#This Row],[Item 3]]),tbRecipes[[#This Row],[Quantity 1]]*(VLOOKUP(tbRecipes[[#This Row],[Item 1]],tbMaterials[],4,FALSE))+tbRecipes[[#This Row],[Quantity 2]]*(VLOOKUP(tbRecipes[[#This Row],[Item 2]],tbMaterials[],4,FALSE))+tbRecipes[[#This Row],[Quantity 3]]*(VLOOKUP(tbRecipes[[#This Row],[Item 3]],tbMaterials[],4,FALSE)),IF(ISTEXT(tbRecipes[[#This Row],[Item 2]]),tbRecipes[[#This Row],[Quantity 1]]*(VLOOKUP(tbRecipes[[#This Row],[Item 1]],tbMaterials[],4,FALSE))+tbRecipes[[#This Row],[Quantity 2]]*(VLOOKUP(tbRecipes[[#This Row],[Item 2]],tbMaterials[],4,FALSE)),IF(ISTEXT(tbRecipes[[#This Row],[Item 1]]),tbRecipes[[#This Row],[Quantity 1]]*(VLOOKUP(tbRecipes[[#This Row],[Item 1]],tbMaterials[],4,FALSE)),"")))</f>
        <v>1140</v>
      </c>
      <c r="K26" s="38">
        <f>IF(ISNUMBER(tbRecipes[[#This Row],[Total Cost]]),tbRecipes[[#This Row],[Total Cost]]/tbRecipes[[#This Row],[Output Qty]],"")</f>
        <v>1140</v>
      </c>
    </row>
    <row r="27" spans="2:11" s="2" customFormat="1" ht="27.95" customHeight="1" x14ac:dyDescent="0.25">
      <c r="B27" s="2" t="s">
        <v>528</v>
      </c>
      <c r="C27" s="2" t="s">
        <v>9</v>
      </c>
      <c r="D27" s="4">
        <v>10</v>
      </c>
      <c r="E27" s="2" t="s">
        <v>7</v>
      </c>
      <c r="F27" s="4">
        <v>20</v>
      </c>
      <c r="G27" s="2" t="s">
        <v>6</v>
      </c>
      <c r="H27" s="4">
        <v>10</v>
      </c>
      <c r="I27" s="4">
        <v>1</v>
      </c>
      <c r="J27" s="38">
        <f>IF(ISTEXT(tbRecipes[[#This Row],[Item 3]]),tbRecipes[[#This Row],[Quantity 1]]*(VLOOKUP(tbRecipes[[#This Row],[Item 1]],tbMaterials[],4,FALSE))+tbRecipes[[#This Row],[Quantity 2]]*(VLOOKUP(tbRecipes[[#This Row],[Item 2]],tbMaterials[],4,FALSE))+tbRecipes[[#This Row],[Quantity 3]]*(VLOOKUP(tbRecipes[[#This Row],[Item 3]],tbMaterials[],4,FALSE)),IF(ISTEXT(tbRecipes[[#This Row],[Item 2]]),tbRecipes[[#This Row],[Quantity 1]]*(VLOOKUP(tbRecipes[[#This Row],[Item 1]],tbMaterials[],4,FALSE))+tbRecipes[[#This Row],[Quantity 2]]*(VLOOKUP(tbRecipes[[#This Row],[Item 2]],tbMaterials[],4,FALSE)),IF(ISTEXT(tbRecipes[[#This Row],[Item 1]]),tbRecipes[[#This Row],[Quantity 1]]*(VLOOKUP(tbRecipes[[#This Row],[Item 1]],tbMaterials[],4,FALSE)),"")))</f>
        <v>2560</v>
      </c>
      <c r="K27" s="38">
        <f>IF(ISNUMBER(tbRecipes[[#This Row],[Total Cost]]),tbRecipes[[#This Row],[Total Cost]]/tbRecipes[[#This Row],[Output Qty]],"")</f>
        <v>2560</v>
      </c>
    </row>
    <row r="28" spans="2:11" s="2" customFormat="1" ht="27.95" customHeight="1" x14ac:dyDescent="0.25">
      <c r="B28" s="2" t="s">
        <v>528</v>
      </c>
      <c r="C28" s="2" t="s">
        <v>9</v>
      </c>
      <c r="D28" s="4">
        <v>10</v>
      </c>
      <c r="E28" s="2" t="s">
        <v>290</v>
      </c>
      <c r="F28" s="4">
        <v>10</v>
      </c>
      <c r="G28" s="2" t="s">
        <v>13</v>
      </c>
      <c r="H28" s="4">
        <v>20</v>
      </c>
      <c r="I28" s="4">
        <v>1</v>
      </c>
      <c r="J28" s="38">
        <f>IF(ISTEXT(tbRecipes[[#This Row],[Item 3]]),tbRecipes[[#This Row],[Quantity 1]]*(VLOOKUP(tbRecipes[[#This Row],[Item 1]],tbMaterials[],4,FALSE))+tbRecipes[[#This Row],[Quantity 2]]*(VLOOKUP(tbRecipes[[#This Row],[Item 2]],tbMaterials[],4,FALSE))+tbRecipes[[#This Row],[Quantity 3]]*(VLOOKUP(tbRecipes[[#This Row],[Item 3]],tbMaterials[],4,FALSE)),IF(ISTEXT(tbRecipes[[#This Row],[Item 2]]),tbRecipes[[#This Row],[Quantity 1]]*(VLOOKUP(tbRecipes[[#This Row],[Item 1]],tbMaterials[],4,FALSE))+tbRecipes[[#This Row],[Quantity 2]]*(VLOOKUP(tbRecipes[[#This Row],[Item 2]],tbMaterials[],4,FALSE)),IF(ISTEXT(tbRecipes[[#This Row],[Item 1]]),tbRecipes[[#This Row],[Quantity 1]]*(VLOOKUP(tbRecipes[[#This Row],[Item 1]],tbMaterials[],4,FALSE)),"")))</f>
        <v>860</v>
      </c>
      <c r="K28" s="38">
        <f>IF(ISNUMBER(tbRecipes[[#This Row],[Total Cost]]),tbRecipes[[#This Row],[Total Cost]]/tbRecipes[[#This Row],[Output Qty]],"")</f>
        <v>860</v>
      </c>
    </row>
    <row r="29" spans="2:11" s="2" customFormat="1" ht="27.95" customHeight="1" x14ac:dyDescent="0.25">
      <c r="B29" s="2" t="s">
        <v>528</v>
      </c>
      <c r="C29" s="2" t="s">
        <v>9</v>
      </c>
      <c r="D29" s="4">
        <v>10</v>
      </c>
      <c r="E29" s="2" t="s">
        <v>290</v>
      </c>
      <c r="F29" s="4">
        <v>10</v>
      </c>
      <c r="G29" s="2" t="s">
        <v>304</v>
      </c>
      <c r="H29" s="4">
        <v>20</v>
      </c>
      <c r="I29" s="4">
        <v>1</v>
      </c>
      <c r="J29" s="38">
        <f>IF(ISTEXT(tbRecipes[[#This Row],[Item 3]]),tbRecipes[[#This Row],[Quantity 1]]*(VLOOKUP(tbRecipes[[#This Row],[Item 1]],tbMaterials[],4,FALSE))+tbRecipes[[#This Row],[Quantity 2]]*(VLOOKUP(tbRecipes[[#This Row],[Item 2]],tbMaterials[],4,FALSE))+tbRecipes[[#This Row],[Quantity 3]]*(VLOOKUP(tbRecipes[[#This Row],[Item 3]],tbMaterials[],4,FALSE)),IF(ISTEXT(tbRecipes[[#This Row],[Item 2]]),tbRecipes[[#This Row],[Quantity 1]]*(VLOOKUP(tbRecipes[[#This Row],[Item 1]],tbMaterials[],4,FALSE))+tbRecipes[[#This Row],[Quantity 2]]*(VLOOKUP(tbRecipes[[#This Row],[Item 2]],tbMaterials[],4,FALSE)),IF(ISTEXT(tbRecipes[[#This Row],[Item 1]]),tbRecipes[[#This Row],[Quantity 1]]*(VLOOKUP(tbRecipes[[#This Row],[Item 1]],tbMaterials[],4,FALSE)),"")))</f>
        <v>1140</v>
      </c>
      <c r="K29" s="38">
        <f>IF(ISNUMBER(tbRecipes[[#This Row],[Total Cost]]),tbRecipes[[#This Row],[Total Cost]]/tbRecipes[[#This Row],[Output Qty]],"")</f>
        <v>1140</v>
      </c>
    </row>
    <row r="30" spans="2:11" s="2" customFormat="1" ht="27.95" customHeight="1" x14ac:dyDescent="0.25">
      <c r="B30" s="47" t="s">
        <v>521</v>
      </c>
      <c r="C30" s="2" t="s">
        <v>268</v>
      </c>
      <c r="D30" s="4">
        <v>35</v>
      </c>
      <c r="E30" s="2" t="s">
        <v>304</v>
      </c>
      <c r="F30" s="4">
        <v>35</v>
      </c>
      <c r="G30" s="2" t="s">
        <v>13</v>
      </c>
      <c r="H30" s="4">
        <v>35</v>
      </c>
      <c r="I30" s="4">
        <v>1</v>
      </c>
      <c r="J30" s="38">
        <f>IF(ISTEXT(tbRecipes[[#This Row],[Item 3]]),tbRecipes[[#This Row],[Quantity 1]]*(VLOOKUP(tbRecipes[[#This Row],[Item 1]],tbMaterials[],4,FALSE))+tbRecipes[[#This Row],[Quantity 2]]*(VLOOKUP(tbRecipes[[#This Row],[Item 2]],tbMaterials[],4,FALSE))+tbRecipes[[#This Row],[Quantity 3]]*(VLOOKUP(tbRecipes[[#This Row],[Item 3]],tbMaterials[],4,FALSE)),IF(ISTEXT(tbRecipes[[#This Row],[Item 2]]),tbRecipes[[#This Row],[Quantity 1]]*(VLOOKUP(tbRecipes[[#This Row],[Item 1]],tbMaterials[],4,FALSE))+tbRecipes[[#This Row],[Quantity 2]]*(VLOOKUP(tbRecipes[[#This Row],[Item 2]],tbMaterials[],4,FALSE)),IF(ISTEXT(tbRecipes[[#This Row],[Item 1]]),tbRecipes[[#This Row],[Quantity 1]]*(VLOOKUP(tbRecipes[[#This Row],[Item 1]],tbMaterials[],4,FALSE)),"")))</f>
        <v>4340</v>
      </c>
      <c r="K30" s="38">
        <f>IF(ISNUMBER(tbRecipes[[#This Row],[Total Cost]]),tbRecipes[[#This Row],[Total Cost]]/tbRecipes[[#This Row],[Output Qty]],"")</f>
        <v>4340</v>
      </c>
    </row>
    <row r="31" spans="2:11" s="2" customFormat="1" ht="27.95" customHeight="1" x14ac:dyDescent="0.25">
      <c r="B31" s="47" t="s">
        <v>521</v>
      </c>
      <c r="C31" s="2" t="s">
        <v>268</v>
      </c>
      <c r="D31" s="4">
        <v>25</v>
      </c>
      <c r="E31" s="2" t="s">
        <v>9</v>
      </c>
      <c r="F31" s="4">
        <v>50</v>
      </c>
      <c r="H31" s="4"/>
      <c r="I31" s="4">
        <v>1</v>
      </c>
      <c r="J31" s="38">
        <f>IF(ISTEXT(tbRecipes[[#This Row],[Item 3]]),tbRecipes[[#This Row],[Quantity 1]]*(VLOOKUP(tbRecipes[[#This Row],[Item 1]],tbMaterials[],4,FALSE))+tbRecipes[[#This Row],[Quantity 2]]*(VLOOKUP(tbRecipes[[#This Row],[Item 2]],tbMaterials[],4,FALSE))+tbRecipes[[#This Row],[Quantity 3]]*(VLOOKUP(tbRecipes[[#This Row],[Item 3]],tbMaterials[],4,FALSE)),IF(ISTEXT(tbRecipes[[#This Row],[Item 2]]),tbRecipes[[#This Row],[Quantity 1]]*(VLOOKUP(tbRecipes[[#This Row],[Item 1]],tbMaterials[],4,FALSE))+tbRecipes[[#This Row],[Quantity 2]]*(VLOOKUP(tbRecipes[[#This Row],[Item 2]],tbMaterials[],4,FALSE)),IF(ISTEXT(tbRecipes[[#This Row],[Item 1]]),tbRecipes[[#This Row],[Quantity 1]]*(VLOOKUP(tbRecipes[[#This Row],[Item 1]],tbMaterials[],4,FALSE)),"")))</f>
        <v>3750</v>
      </c>
      <c r="K31" s="38">
        <f>IF(ISNUMBER(tbRecipes[[#This Row],[Total Cost]]),tbRecipes[[#This Row],[Total Cost]]/tbRecipes[[#This Row],[Output Qty]],"")</f>
        <v>3750</v>
      </c>
    </row>
    <row r="32" spans="2:11" s="2" customFormat="1" ht="27.95" customHeight="1" x14ac:dyDescent="0.25">
      <c r="B32" s="47" t="s">
        <v>521</v>
      </c>
      <c r="C32" s="2" t="s">
        <v>268</v>
      </c>
      <c r="D32" s="4">
        <v>20</v>
      </c>
      <c r="E32" s="2" t="s">
        <v>9</v>
      </c>
      <c r="F32" s="4">
        <v>20</v>
      </c>
      <c r="G32" s="2" t="s">
        <v>28</v>
      </c>
      <c r="H32" s="4">
        <v>25</v>
      </c>
      <c r="I32" s="4">
        <v>1</v>
      </c>
      <c r="J32" s="38">
        <f>IF(ISTEXT(tbRecipes[[#This Row],[Item 3]]),tbRecipes[[#This Row],[Quantity 1]]*(VLOOKUP(tbRecipes[[#This Row],[Item 1]],tbMaterials[],4,FALSE))+tbRecipes[[#This Row],[Quantity 2]]*(VLOOKUP(tbRecipes[[#This Row],[Item 2]],tbMaterials[],4,FALSE))+tbRecipes[[#This Row],[Quantity 3]]*(VLOOKUP(tbRecipes[[#This Row],[Item 3]],tbMaterials[],4,FALSE)),IF(ISTEXT(tbRecipes[[#This Row],[Item 2]]),tbRecipes[[#This Row],[Quantity 1]]*(VLOOKUP(tbRecipes[[#This Row],[Item 1]],tbMaterials[],4,FALSE))+tbRecipes[[#This Row],[Quantity 2]]*(VLOOKUP(tbRecipes[[#This Row],[Item 2]],tbMaterials[],4,FALSE)),IF(ISTEXT(tbRecipes[[#This Row],[Item 1]]),tbRecipes[[#This Row],[Quantity 1]]*(VLOOKUP(tbRecipes[[#This Row],[Item 1]],tbMaterials[],4,FALSE)),"")))</f>
        <v>2470</v>
      </c>
      <c r="K32" s="38">
        <f>IF(ISNUMBER(tbRecipes[[#This Row],[Total Cost]]),tbRecipes[[#This Row],[Total Cost]]/tbRecipes[[#This Row],[Output Qty]],"")</f>
        <v>2470</v>
      </c>
    </row>
    <row r="33" spans="2:11" s="2" customFormat="1" ht="27.95" customHeight="1" x14ac:dyDescent="0.25">
      <c r="B33" s="2" t="s">
        <v>549</v>
      </c>
      <c r="C33" s="2" t="s">
        <v>40</v>
      </c>
      <c r="D33" s="4">
        <v>100</v>
      </c>
      <c r="E33" s="2" t="s">
        <v>7</v>
      </c>
      <c r="F33" s="4">
        <v>20</v>
      </c>
      <c r="G33" s="2" t="s">
        <v>96</v>
      </c>
      <c r="H33" s="4">
        <v>5</v>
      </c>
      <c r="I33" s="4">
        <v>1</v>
      </c>
      <c r="J33" s="38">
        <f>IF(ISTEXT(tbRecipes[[#This Row],[Item 3]]),tbRecipes[[#This Row],[Quantity 1]]*(VLOOKUP(tbRecipes[[#This Row],[Item 1]],tbMaterials[],4,FALSE))+tbRecipes[[#This Row],[Quantity 2]]*(VLOOKUP(tbRecipes[[#This Row],[Item 2]],tbMaterials[],4,FALSE))+tbRecipes[[#This Row],[Quantity 3]]*(VLOOKUP(tbRecipes[[#This Row],[Item 3]],tbMaterials[],4,FALSE)),IF(ISTEXT(tbRecipes[[#This Row],[Item 2]]),tbRecipes[[#This Row],[Quantity 1]]*(VLOOKUP(tbRecipes[[#This Row],[Item 1]],tbMaterials[],4,FALSE))+tbRecipes[[#This Row],[Quantity 2]]*(VLOOKUP(tbRecipes[[#This Row],[Item 2]],tbMaterials[],4,FALSE)),IF(ISTEXT(tbRecipes[[#This Row],[Item 1]]),tbRecipes[[#This Row],[Quantity 1]]*(VLOOKUP(tbRecipes[[#This Row],[Item 1]],tbMaterials[],4,FALSE)),"")))</f>
        <v>5250</v>
      </c>
      <c r="K33" s="38">
        <f>IF(ISNUMBER(tbRecipes[[#This Row],[Total Cost]]),tbRecipes[[#This Row],[Total Cost]]/tbRecipes[[#This Row],[Output Qty]],"")</f>
        <v>5250</v>
      </c>
    </row>
    <row r="34" spans="2:11" s="2" customFormat="1" ht="27.95" customHeight="1" x14ac:dyDescent="0.25">
      <c r="B34" s="2" t="s">
        <v>549</v>
      </c>
      <c r="C34" s="2" t="s">
        <v>40</v>
      </c>
      <c r="D34" s="4">
        <v>100</v>
      </c>
      <c r="E34" s="2" t="s">
        <v>7</v>
      </c>
      <c r="F34" s="4">
        <v>20</v>
      </c>
      <c r="G34" s="2" t="s">
        <v>63</v>
      </c>
      <c r="H34" s="4">
        <v>10</v>
      </c>
      <c r="I34" s="4">
        <v>1</v>
      </c>
      <c r="J34" s="38">
        <f>IF(ISTEXT(tbRecipes[[#This Row],[Item 3]]),tbRecipes[[#This Row],[Quantity 1]]*(VLOOKUP(tbRecipes[[#This Row],[Item 1]],tbMaterials[],4,FALSE))+tbRecipes[[#This Row],[Quantity 2]]*(VLOOKUP(tbRecipes[[#This Row],[Item 2]],tbMaterials[],4,FALSE))+tbRecipes[[#This Row],[Quantity 3]]*(VLOOKUP(tbRecipes[[#This Row],[Item 3]],tbMaterials[],4,FALSE)),IF(ISTEXT(tbRecipes[[#This Row],[Item 2]]),tbRecipes[[#This Row],[Quantity 1]]*(VLOOKUP(tbRecipes[[#This Row],[Item 1]],tbMaterials[],4,FALSE))+tbRecipes[[#This Row],[Quantity 2]]*(VLOOKUP(tbRecipes[[#This Row],[Item 2]],tbMaterials[],4,FALSE)),IF(ISTEXT(tbRecipes[[#This Row],[Item 1]]),tbRecipes[[#This Row],[Quantity 1]]*(VLOOKUP(tbRecipes[[#This Row],[Item 1]],tbMaterials[],4,FALSE)),"")))</f>
        <v>5230</v>
      </c>
      <c r="K34" s="38">
        <f>IF(ISNUMBER(tbRecipes[[#This Row],[Total Cost]]),tbRecipes[[#This Row],[Total Cost]]/tbRecipes[[#This Row],[Output Qty]],"")</f>
        <v>5230</v>
      </c>
    </row>
    <row r="35" spans="2:11" s="2" customFormat="1" ht="27.95" customHeight="1" x14ac:dyDescent="0.25">
      <c r="B35" s="2" t="s">
        <v>549</v>
      </c>
      <c r="C35" s="2" t="s">
        <v>40</v>
      </c>
      <c r="D35" s="4">
        <v>100</v>
      </c>
      <c r="E35" s="2" t="s">
        <v>290</v>
      </c>
      <c r="F35" s="4">
        <v>10</v>
      </c>
      <c r="G35" s="2" t="s">
        <v>96</v>
      </c>
      <c r="H35" s="4">
        <v>5</v>
      </c>
      <c r="I35" s="4">
        <v>1</v>
      </c>
      <c r="J35" s="38">
        <f>IF(ISTEXT(tbRecipes[[#This Row],[Item 3]]),tbRecipes[[#This Row],[Quantity 1]]*(VLOOKUP(tbRecipes[[#This Row],[Item 1]],tbMaterials[],4,FALSE))+tbRecipes[[#This Row],[Quantity 2]]*(VLOOKUP(tbRecipes[[#This Row],[Item 2]],tbMaterials[],4,FALSE))+tbRecipes[[#This Row],[Quantity 3]]*(VLOOKUP(tbRecipes[[#This Row],[Item 3]],tbMaterials[],4,FALSE)),IF(ISTEXT(tbRecipes[[#This Row],[Item 2]]),tbRecipes[[#This Row],[Quantity 1]]*(VLOOKUP(tbRecipes[[#This Row],[Item 1]],tbMaterials[],4,FALSE))+tbRecipes[[#This Row],[Quantity 2]]*(VLOOKUP(tbRecipes[[#This Row],[Item 2]],tbMaterials[],4,FALSE)),IF(ISTEXT(tbRecipes[[#This Row],[Item 1]]),tbRecipes[[#This Row],[Quantity 1]]*(VLOOKUP(tbRecipes[[#This Row],[Item 1]],tbMaterials[],4,FALSE)),"")))</f>
        <v>5250</v>
      </c>
      <c r="K35" s="38">
        <f>IF(ISNUMBER(tbRecipes[[#This Row],[Total Cost]]),tbRecipes[[#This Row],[Total Cost]]/tbRecipes[[#This Row],[Output Qty]],"")</f>
        <v>5250</v>
      </c>
    </row>
    <row r="36" spans="2:11" s="2" customFormat="1" ht="27.95" customHeight="1" x14ac:dyDescent="0.25">
      <c r="B36" s="2" t="s">
        <v>549</v>
      </c>
      <c r="C36" s="2" t="s">
        <v>40</v>
      </c>
      <c r="D36" s="4">
        <v>100</v>
      </c>
      <c r="E36" s="2" t="s">
        <v>290</v>
      </c>
      <c r="F36" s="4">
        <v>10</v>
      </c>
      <c r="G36" s="2" t="s">
        <v>63</v>
      </c>
      <c r="H36" s="4">
        <v>10</v>
      </c>
      <c r="I36" s="4">
        <v>1</v>
      </c>
      <c r="J36" s="38">
        <f>IF(ISTEXT(tbRecipes[[#This Row],[Item 3]]),tbRecipes[[#This Row],[Quantity 1]]*(VLOOKUP(tbRecipes[[#This Row],[Item 1]],tbMaterials[],4,FALSE))+tbRecipes[[#This Row],[Quantity 2]]*(VLOOKUP(tbRecipes[[#This Row],[Item 2]],tbMaterials[],4,FALSE))+tbRecipes[[#This Row],[Quantity 3]]*(VLOOKUP(tbRecipes[[#This Row],[Item 3]],tbMaterials[],4,FALSE)),IF(ISTEXT(tbRecipes[[#This Row],[Item 2]]),tbRecipes[[#This Row],[Quantity 1]]*(VLOOKUP(tbRecipes[[#This Row],[Item 1]],tbMaterials[],4,FALSE))+tbRecipes[[#This Row],[Quantity 2]]*(VLOOKUP(tbRecipes[[#This Row],[Item 2]],tbMaterials[],4,FALSE)),IF(ISTEXT(tbRecipes[[#This Row],[Item 1]]),tbRecipes[[#This Row],[Quantity 1]]*(VLOOKUP(tbRecipes[[#This Row],[Item 1]],tbMaterials[],4,FALSE)),"")))</f>
        <v>5230</v>
      </c>
      <c r="K36" s="38">
        <f>IF(ISNUMBER(tbRecipes[[#This Row],[Total Cost]]),tbRecipes[[#This Row],[Total Cost]]/tbRecipes[[#This Row],[Output Qty]],"")</f>
        <v>5230</v>
      </c>
    </row>
    <row r="37" spans="2:11" s="2" customFormat="1" ht="27.95" customHeight="1" x14ac:dyDescent="0.25">
      <c r="B37" s="2" t="s">
        <v>536</v>
      </c>
      <c r="C37" s="2" t="s">
        <v>22</v>
      </c>
      <c r="D37" s="4">
        <v>100</v>
      </c>
      <c r="E37" s="2" t="s">
        <v>7</v>
      </c>
      <c r="F37" s="4">
        <v>20</v>
      </c>
      <c r="G37" s="2" t="s">
        <v>96</v>
      </c>
      <c r="H37" s="4">
        <v>5</v>
      </c>
      <c r="I37" s="4">
        <v>1</v>
      </c>
      <c r="J37" s="38">
        <f>IF(ISTEXT(tbRecipes[[#This Row],[Item 3]]),tbRecipes[[#This Row],[Quantity 1]]*(VLOOKUP(tbRecipes[[#This Row],[Item 1]],tbMaterials[],4,FALSE))+tbRecipes[[#This Row],[Quantity 2]]*(VLOOKUP(tbRecipes[[#This Row],[Item 2]],tbMaterials[],4,FALSE))+tbRecipes[[#This Row],[Quantity 3]]*(VLOOKUP(tbRecipes[[#This Row],[Item 3]],tbMaterials[],4,FALSE)),IF(ISTEXT(tbRecipes[[#This Row],[Item 2]]),tbRecipes[[#This Row],[Quantity 1]]*(VLOOKUP(tbRecipes[[#This Row],[Item 1]],tbMaterials[],4,FALSE))+tbRecipes[[#This Row],[Quantity 2]]*(VLOOKUP(tbRecipes[[#This Row],[Item 2]],tbMaterials[],4,FALSE)),IF(ISTEXT(tbRecipes[[#This Row],[Item 1]]),tbRecipes[[#This Row],[Quantity 1]]*(VLOOKUP(tbRecipes[[#This Row],[Item 1]],tbMaterials[],4,FALSE)),"")))</f>
        <v>5250</v>
      </c>
      <c r="K37" s="38">
        <f>IF(ISNUMBER(tbRecipes[[#This Row],[Total Cost]]),tbRecipes[[#This Row],[Total Cost]]/tbRecipes[[#This Row],[Output Qty]],"")</f>
        <v>5250</v>
      </c>
    </row>
    <row r="38" spans="2:11" s="2" customFormat="1" ht="27.95" customHeight="1" x14ac:dyDescent="0.25">
      <c r="B38" s="2" t="s">
        <v>536</v>
      </c>
      <c r="C38" s="2" t="s">
        <v>22</v>
      </c>
      <c r="D38" s="4">
        <v>100</v>
      </c>
      <c r="E38" s="2" t="s">
        <v>7</v>
      </c>
      <c r="F38" s="4">
        <v>20</v>
      </c>
      <c r="G38" s="2" t="s">
        <v>63</v>
      </c>
      <c r="H38" s="4">
        <v>10</v>
      </c>
      <c r="I38" s="4">
        <v>1</v>
      </c>
      <c r="J38" s="38">
        <f>IF(ISTEXT(tbRecipes[[#This Row],[Item 3]]),tbRecipes[[#This Row],[Quantity 1]]*(VLOOKUP(tbRecipes[[#This Row],[Item 1]],tbMaterials[],4,FALSE))+tbRecipes[[#This Row],[Quantity 2]]*(VLOOKUP(tbRecipes[[#This Row],[Item 2]],tbMaterials[],4,FALSE))+tbRecipes[[#This Row],[Quantity 3]]*(VLOOKUP(tbRecipes[[#This Row],[Item 3]],tbMaterials[],4,FALSE)),IF(ISTEXT(tbRecipes[[#This Row],[Item 2]]),tbRecipes[[#This Row],[Quantity 1]]*(VLOOKUP(tbRecipes[[#This Row],[Item 1]],tbMaterials[],4,FALSE))+tbRecipes[[#This Row],[Quantity 2]]*(VLOOKUP(tbRecipes[[#This Row],[Item 2]],tbMaterials[],4,FALSE)),IF(ISTEXT(tbRecipes[[#This Row],[Item 1]]),tbRecipes[[#This Row],[Quantity 1]]*(VLOOKUP(tbRecipes[[#This Row],[Item 1]],tbMaterials[],4,FALSE)),"")))</f>
        <v>5230</v>
      </c>
      <c r="K38" s="38">
        <f>IF(ISNUMBER(tbRecipes[[#This Row],[Total Cost]]),tbRecipes[[#This Row],[Total Cost]]/tbRecipes[[#This Row],[Output Qty]],"")</f>
        <v>5230</v>
      </c>
    </row>
    <row r="39" spans="2:11" s="2" customFormat="1" ht="27.95" customHeight="1" x14ac:dyDescent="0.25">
      <c r="B39" s="2" t="s">
        <v>536</v>
      </c>
      <c r="C39" s="2" t="s">
        <v>22</v>
      </c>
      <c r="D39" s="4">
        <v>100</v>
      </c>
      <c r="E39" s="2" t="s">
        <v>290</v>
      </c>
      <c r="F39" s="4">
        <v>10</v>
      </c>
      <c r="G39" s="2" t="s">
        <v>96</v>
      </c>
      <c r="H39" s="4">
        <v>5</v>
      </c>
      <c r="I39" s="4">
        <v>1</v>
      </c>
      <c r="J39" s="38">
        <f>IF(ISTEXT(tbRecipes[[#This Row],[Item 3]]),tbRecipes[[#This Row],[Quantity 1]]*(VLOOKUP(tbRecipes[[#This Row],[Item 1]],tbMaterials[],4,FALSE))+tbRecipes[[#This Row],[Quantity 2]]*(VLOOKUP(tbRecipes[[#This Row],[Item 2]],tbMaterials[],4,FALSE))+tbRecipes[[#This Row],[Quantity 3]]*(VLOOKUP(tbRecipes[[#This Row],[Item 3]],tbMaterials[],4,FALSE)),IF(ISTEXT(tbRecipes[[#This Row],[Item 2]]),tbRecipes[[#This Row],[Quantity 1]]*(VLOOKUP(tbRecipes[[#This Row],[Item 1]],tbMaterials[],4,FALSE))+tbRecipes[[#This Row],[Quantity 2]]*(VLOOKUP(tbRecipes[[#This Row],[Item 2]],tbMaterials[],4,FALSE)),IF(ISTEXT(tbRecipes[[#This Row],[Item 1]]),tbRecipes[[#This Row],[Quantity 1]]*(VLOOKUP(tbRecipes[[#This Row],[Item 1]],tbMaterials[],4,FALSE)),"")))</f>
        <v>5250</v>
      </c>
      <c r="K39" s="38">
        <f>IF(ISNUMBER(tbRecipes[[#This Row],[Total Cost]]),tbRecipes[[#This Row],[Total Cost]]/tbRecipes[[#This Row],[Output Qty]],"")</f>
        <v>5250</v>
      </c>
    </row>
    <row r="40" spans="2:11" s="2" customFormat="1" ht="27.95" customHeight="1" x14ac:dyDescent="0.25">
      <c r="B40" s="2" t="s">
        <v>536</v>
      </c>
      <c r="C40" s="2" t="s">
        <v>22</v>
      </c>
      <c r="D40" s="4">
        <v>100</v>
      </c>
      <c r="E40" s="2" t="s">
        <v>290</v>
      </c>
      <c r="F40" s="4">
        <v>10</v>
      </c>
      <c r="G40" s="2" t="s">
        <v>63</v>
      </c>
      <c r="H40" s="4">
        <v>10</v>
      </c>
      <c r="I40" s="4">
        <v>1</v>
      </c>
      <c r="J40" s="38">
        <f>IF(ISTEXT(tbRecipes[[#This Row],[Item 3]]),tbRecipes[[#This Row],[Quantity 1]]*(VLOOKUP(tbRecipes[[#This Row],[Item 1]],tbMaterials[],4,FALSE))+tbRecipes[[#This Row],[Quantity 2]]*(VLOOKUP(tbRecipes[[#This Row],[Item 2]],tbMaterials[],4,FALSE))+tbRecipes[[#This Row],[Quantity 3]]*(VLOOKUP(tbRecipes[[#This Row],[Item 3]],tbMaterials[],4,FALSE)),IF(ISTEXT(tbRecipes[[#This Row],[Item 2]]),tbRecipes[[#This Row],[Quantity 1]]*(VLOOKUP(tbRecipes[[#This Row],[Item 1]],tbMaterials[],4,FALSE))+tbRecipes[[#This Row],[Quantity 2]]*(VLOOKUP(tbRecipes[[#This Row],[Item 2]],tbMaterials[],4,FALSE)),IF(ISTEXT(tbRecipes[[#This Row],[Item 1]]),tbRecipes[[#This Row],[Quantity 1]]*(VLOOKUP(tbRecipes[[#This Row],[Item 1]],tbMaterials[],4,FALSE)),"")))</f>
        <v>5230</v>
      </c>
      <c r="K40" s="38">
        <f>IF(ISNUMBER(tbRecipes[[#This Row],[Total Cost]]),tbRecipes[[#This Row],[Total Cost]]/tbRecipes[[#This Row],[Output Qty]],"")</f>
        <v>5230</v>
      </c>
    </row>
    <row r="41" spans="2:11" s="2" customFormat="1" ht="27.95" customHeight="1" x14ac:dyDescent="0.25">
      <c r="B41" s="2" t="s">
        <v>555</v>
      </c>
      <c r="C41" s="2" t="s">
        <v>372</v>
      </c>
      <c r="D41" s="4">
        <v>100</v>
      </c>
      <c r="E41" s="2" t="s">
        <v>7</v>
      </c>
      <c r="F41" s="4">
        <v>20</v>
      </c>
      <c r="G41" s="2" t="s">
        <v>96</v>
      </c>
      <c r="H41" s="4">
        <v>5</v>
      </c>
      <c r="I41" s="4">
        <v>1</v>
      </c>
      <c r="J41" s="38">
        <f>IF(ISTEXT(tbRecipes[[#This Row],[Item 3]]),tbRecipes[[#This Row],[Quantity 1]]*(VLOOKUP(tbRecipes[[#This Row],[Item 1]],tbMaterials[],4,FALSE))+tbRecipes[[#This Row],[Quantity 2]]*(VLOOKUP(tbRecipes[[#This Row],[Item 2]],tbMaterials[],4,FALSE))+tbRecipes[[#This Row],[Quantity 3]]*(VLOOKUP(tbRecipes[[#This Row],[Item 3]],tbMaterials[],4,FALSE)),IF(ISTEXT(tbRecipes[[#This Row],[Item 2]]),tbRecipes[[#This Row],[Quantity 1]]*(VLOOKUP(tbRecipes[[#This Row],[Item 1]],tbMaterials[],4,FALSE))+tbRecipes[[#This Row],[Quantity 2]]*(VLOOKUP(tbRecipes[[#This Row],[Item 2]],tbMaterials[],4,FALSE)),IF(ISTEXT(tbRecipes[[#This Row],[Item 1]]),tbRecipes[[#This Row],[Quantity 1]]*(VLOOKUP(tbRecipes[[#This Row],[Item 1]],tbMaterials[],4,FALSE)),"")))</f>
        <v>5250</v>
      </c>
      <c r="K41" s="38">
        <f>IF(ISNUMBER(tbRecipes[[#This Row],[Total Cost]]),tbRecipes[[#This Row],[Total Cost]]/tbRecipes[[#This Row],[Output Qty]],"")</f>
        <v>5250</v>
      </c>
    </row>
    <row r="42" spans="2:11" s="2" customFormat="1" ht="27.95" customHeight="1" x14ac:dyDescent="0.25">
      <c r="B42" s="2" t="s">
        <v>555</v>
      </c>
      <c r="C42" s="2" t="s">
        <v>372</v>
      </c>
      <c r="D42" s="4">
        <v>100</v>
      </c>
      <c r="E42" s="2" t="s">
        <v>7</v>
      </c>
      <c r="F42" s="4">
        <v>20</v>
      </c>
      <c r="G42" s="2" t="s">
        <v>63</v>
      </c>
      <c r="H42" s="4">
        <v>10</v>
      </c>
      <c r="I42" s="4">
        <v>1</v>
      </c>
      <c r="J42" s="38">
        <f>IF(ISTEXT(tbRecipes[[#This Row],[Item 3]]),tbRecipes[[#This Row],[Quantity 1]]*(VLOOKUP(tbRecipes[[#This Row],[Item 1]],tbMaterials[],4,FALSE))+tbRecipes[[#This Row],[Quantity 2]]*(VLOOKUP(tbRecipes[[#This Row],[Item 2]],tbMaterials[],4,FALSE))+tbRecipes[[#This Row],[Quantity 3]]*(VLOOKUP(tbRecipes[[#This Row],[Item 3]],tbMaterials[],4,FALSE)),IF(ISTEXT(tbRecipes[[#This Row],[Item 2]]),tbRecipes[[#This Row],[Quantity 1]]*(VLOOKUP(tbRecipes[[#This Row],[Item 1]],tbMaterials[],4,FALSE))+tbRecipes[[#This Row],[Quantity 2]]*(VLOOKUP(tbRecipes[[#This Row],[Item 2]],tbMaterials[],4,FALSE)),IF(ISTEXT(tbRecipes[[#This Row],[Item 1]]),tbRecipes[[#This Row],[Quantity 1]]*(VLOOKUP(tbRecipes[[#This Row],[Item 1]],tbMaterials[],4,FALSE)),"")))</f>
        <v>5230</v>
      </c>
      <c r="K42" s="38">
        <f>IF(ISNUMBER(tbRecipes[[#This Row],[Total Cost]]),tbRecipes[[#This Row],[Total Cost]]/tbRecipes[[#This Row],[Output Qty]],"")</f>
        <v>5230</v>
      </c>
    </row>
    <row r="43" spans="2:11" s="2" customFormat="1" ht="27.95" customHeight="1" x14ac:dyDescent="0.25">
      <c r="B43" s="2" t="s">
        <v>555</v>
      </c>
      <c r="C43" s="2" t="s">
        <v>372</v>
      </c>
      <c r="D43" s="4">
        <v>100</v>
      </c>
      <c r="E43" s="2" t="s">
        <v>290</v>
      </c>
      <c r="F43" s="4">
        <v>10</v>
      </c>
      <c r="G43" s="2" t="s">
        <v>96</v>
      </c>
      <c r="H43" s="4">
        <v>5</v>
      </c>
      <c r="I43" s="4">
        <v>1</v>
      </c>
      <c r="J43" s="38">
        <f>IF(ISTEXT(tbRecipes[[#This Row],[Item 3]]),tbRecipes[[#This Row],[Quantity 1]]*(VLOOKUP(tbRecipes[[#This Row],[Item 1]],tbMaterials[],4,FALSE))+tbRecipes[[#This Row],[Quantity 2]]*(VLOOKUP(tbRecipes[[#This Row],[Item 2]],tbMaterials[],4,FALSE))+tbRecipes[[#This Row],[Quantity 3]]*(VLOOKUP(tbRecipes[[#This Row],[Item 3]],tbMaterials[],4,FALSE)),IF(ISTEXT(tbRecipes[[#This Row],[Item 2]]),tbRecipes[[#This Row],[Quantity 1]]*(VLOOKUP(tbRecipes[[#This Row],[Item 1]],tbMaterials[],4,FALSE))+tbRecipes[[#This Row],[Quantity 2]]*(VLOOKUP(tbRecipes[[#This Row],[Item 2]],tbMaterials[],4,FALSE)),IF(ISTEXT(tbRecipes[[#This Row],[Item 1]]),tbRecipes[[#This Row],[Quantity 1]]*(VLOOKUP(tbRecipes[[#This Row],[Item 1]],tbMaterials[],4,FALSE)),"")))</f>
        <v>5250</v>
      </c>
      <c r="K43" s="38">
        <f>IF(ISNUMBER(tbRecipes[[#This Row],[Total Cost]]),tbRecipes[[#This Row],[Total Cost]]/tbRecipes[[#This Row],[Output Qty]],"")</f>
        <v>5250</v>
      </c>
    </row>
    <row r="44" spans="2:11" s="2" customFormat="1" ht="27.95" customHeight="1" x14ac:dyDescent="0.25">
      <c r="B44" s="2" t="s">
        <v>555</v>
      </c>
      <c r="C44" s="2" t="s">
        <v>372</v>
      </c>
      <c r="D44" s="4">
        <v>100</v>
      </c>
      <c r="E44" s="2" t="s">
        <v>290</v>
      </c>
      <c r="F44" s="4">
        <v>10</v>
      </c>
      <c r="G44" s="2" t="s">
        <v>63</v>
      </c>
      <c r="H44" s="4">
        <v>10</v>
      </c>
      <c r="I44" s="4">
        <v>1</v>
      </c>
      <c r="J44" s="38">
        <f>IF(ISTEXT(tbRecipes[[#This Row],[Item 3]]),tbRecipes[[#This Row],[Quantity 1]]*(VLOOKUP(tbRecipes[[#This Row],[Item 1]],tbMaterials[],4,FALSE))+tbRecipes[[#This Row],[Quantity 2]]*(VLOOKUP(tbRecipes[[#This Row],[Item 2]],tbMaterials[],4,FALSE))+tbRecipes[[#This Row],[Quantity 3]]*(VLOOKUP(tbRecipes[[#This Row],[Item 3]],tbMaterials[],4,FALSE)),IF(ISTEXT(tbRecipes[[#This Row],[Item 2]]),tbRecipes[[#This Row],[Quantity 1]]*(VLOOKUP(tbRecipes[[#This Row],[Item 1]],tbMaterials[],4,FALSE))+tbRecipes[[#This Row],[Quantity 2]]*(VLOOKUP(tbRecipes[[#This Row],[Item 2]],tbMaterials[],4,FALSE)),IF(ISTEXT(tbRecipes[[#This Row],[Item 1]]),tbRecipes[[#This Row],[Quantity 1]]*(VLOOKUP(tbRecipes[[#This Row],[Item 1]],tbMaterials[],4,FALSE)),"")))</f>
        <v>5230</v>
      </c>
      <c r="K44" s="38">
        <f>IF(ISNUMBER(tbRecipes[[#This Row],[Total Cost]]),tbRecipes[[#This Row],[Total Cost]]/tbRecipes[[#This Row],[Output Qty]],"")</f>
        <v>5230</v>
      </c>
    </row>
    <row r="45" spans="2:11" s="2" customFormat="1" ht="27.95" customHeight="1" x14ac:dyDescent="0.25">
      <c r="B45" s="2" t="s">
        <v>96</v>
      </c>
      <c r="C45" s="2" t="s">
        <v>63</v>
      </c>
      <c r="D45" s="4">
        <v>2</v>
      </c>
      <c r="F45" s="4"/>
      <c r="H45" s="4"/>
      <c r="I45" s="4">
        <v>1</v>
      </c>
      <c r="J45" s="38">
        <f>IF(ISTEXT(tbRecipes[[#This Row],[Item 3]]),tbRecipes[[#This Row],[Quantity 1]]*(VLOOKUP(tbRecipes[[#This Row],[Item 1]],tbMaterials[],4,FALSE))+tbRecipes[[#This Row],[Quantity 2]]*(VLOOKUP(tbRecipes[[#This Row],[Item 2]],tbMaterials[],4,FALSE))+tbRecipes[[#This Row],[Quantity 3]]*(VLOOKUP(tbRecipes[[#This Row],[Item 3]],tbMaterials[],4,FALSE)),IF(ISTEXT(tbRecipes[[#This Row],[Item 2]]),tbRecipes[[#This Row],[Quantity 1]]*(VLOOKUP(tbRecipes[[#This Row],[Item 1]],tbMaterials[],4,FALSE))+tbRecipes[[#This Row],[Quantity 2]]*(VLOOKUP(tbRecipes[[#This Row],[Item 2]],tbMaterials[],4,FALSE)),IF(ISTEXT(tbRecipes[[#This Row],[Item 1]]),tbRecipes[[#This Row],[Quantity 1]]*(VLOOKUP(tbRecipes[[#This Row],[Item 1]],tbMaterials[],4,FALSE)),"")))</f>
        <v>598</v>
      </c>
      <c r="K45" s="38">
        <f>IF(ISNUMBER(tbRecipes[[#This Row],[Total Cost]]),tbRecipes[[#This Row],[Total Cost]]/tbRecipes[[#This Row],[Output Qty]],"")</f>
        <v>598</v>
      </c>
    </row>
    <row r="46" spans="2:11" s="2" customFormat="1" ht="27.95" customHeight="1" x14ac:dyDescent="0.25">
      <c r="B46" s="46" t="s">
        <v>96</v>
      </c>
      <c r="C46" s="46" t="s">
        <v>63</v>
      </c>
      <c r="D46" s="53">
        <v>2</v>
      </c>
      <c r="E46" s="46" t="s">
        <v>9</v>
      </c>
      <c r="F46" s="53">
        <v>2</v>
      </c>
      <c r="G46" s="46"/>
      <c r="H46" s="53"/>
      <c r="I46" s="53">
        <v>5</v>
      </c>
      <c r="J46" s="54">
        <f>IF(ISTEXT(tbRecipes[[#This Row],[Item 3]]),tbRecipes[[#This Row],[Quantity 1]]*(VLOOKUP(tbRecipes[[#This Row],[Item 1]],tbMaterials[],4,FALSE))+tbRecipes[[#This Row],[Quantity 2]]*(VLOOKUP(tbRecipes[[#This Row],[Item 2]],tbMaterials[],4,FALSE))+tbRecipes[[#This Row],[Quantity 3]]*(VLOOKUP(tbRecipes[[#This Row],[Item 3]],tbMaterials[],4,FALSE)),IF(ISTEXT(tbRecipes[[#This Row],[Item 2]]),tbRecipes[[#This Row],[Quantity 1]]*(VLOOKUP(tbRecipes[[#This Row],[Item 1]],tbMaterials[],4,FALSE))+tbRecipes[[#This Row],[Quantity 2]]*(VLOOKUP(tbRecipes[[#This Row],[Item 2]],tbMaterials[],4,FALSE)),IF(ISTEXT(tbRecipes[[#This Row],[Item 1]]),tbRecipes[[#This Row],[Quantity 1]]*(VLOOKUP(tbRecipes[[#This Row],[Item 1]],tbMaterials[],4,FALSE)),"")))</f>
        <v>666</v>
      </c>
      <c r="K46" s="54">
        <f>IF(ISNUMBER(tbRecipes[[#This Row],[Total Cost]]),tbRecipes[[#This Row],[Total Cost]]/tbRecipes[[#This Row],[Output Qty]],"")</f>
        <v>133.19999999999999</v>
      </c>
    </row>
    <row r="47" spans="2:11" s="2" customFormat="1" ht="27.95" customHeight="1" x14ac:dyDescent="0.25">
      <c r="B47" s="2" t="s">
        <v>96</v>
      </c>
      <c r="C47" s="2" t="s">
        <v>515</v>
      </c>
      <c r="D47" s="4">
        <v>1</v>
      </c>
      <c r="F47" s="4"/>
      <c r="H47" s="4"/>
      <c r="I47" s="4">
        <v>150</v>
      </c>
      <c r="J47" s="38">
        <f>IF(ISTEXT(tbRecipes[[#This Row],[Item 3]]),tbRecipes[[#This Row],[Quantity 1]]*(VLOOKUP(tbRecipes[[#This Row],[Item 1]],tbMaterials[],4,FALSE))+tbRecipes[[#This Row],[Quantity 2]]*(VLOOKUP(tbRecipes[[#This Row],[Item 2]],tbMaterials[],4,FALSE))+tbRecipes[[#This Row],[Quantity 3]]*(VLOOKUP(tbRecipes[[#This Row],[Item 3]],tbMaterials[],4,FALSE)),IF(ISTEXT(tbRecipes[[#This Row],[Item 2]]),tbRecipes[[#This Row],[Quantity 1]]*(VLOOKUP(tbRecipes[[#This Row],[Item 1]],tbMaterials[],4,FALSE))+tbRecipes[[#This Row],[Quantity 2]]*(VLOOKUP(tbRecipes[[#This Row],[Item 2]],tbMaterials[],4,FALSE)),IF(ISTEXT(tbRecipes[[#This Row],[Item 1]]),tbRecipes[[#This Row],[Quantity 1]]*(VLOOKUP(tbRecipes[[#This Row],[Item 1]],tbMaterials[],4,FALSE)),"")))</f>
        <v>6150</v>
      </c>
      <c r="K47" s="38">
        <f>IF(ISNUMBER(tbRecipes[[#This Row],[Total Cost]]),tbRecipes[[#This Row],[Total Cost]]/tbRecipes[[#This Row],[Output Qty]],"")</f>
        <v>41</v>
      </c>
    </row>
    <row r="48" spans="2:11" s="2" customFormat="1" ht="27.95" customHeight="1" x14ac:dyDescent="0.25">
      <c r="B48" s="46" t="s">
        <v>96</v>
      </c>
      <c r="C48" s="46" t="s">
        <v>96</v>
      </c>
      <c r="D48" s="53">
        <v>1</v>
      </c>
      <c r="E48" s="46" t="s">
        <v>9</v>
      </c>
      <c r="F48" s="53">
        <v>2</v>
      </c>
      <c r="G48" s="46"/>
      <c r="H48" s="53"/>
      <c r="I48" s="53">
        <v>6</v>
      </c>
      <c r="J48" s="54">
        <f>IF(ISTEXT(tbRecipes[[#This Row],[Item 3]]),tbRecipes[[#This Row],[Quantity 1]]*(VLOOKUP(tbRecipes[[#This Row],[Item 1]],tbMaterials[],4,FALSE))+tbRecipes[[#This Row],[Quantity 2]]*(VLOOKUP(tbRecipes[[#This Row],[Item 2]],tbMaterials[],4,FALSE))+tbRecipes[[#This Row],[Quantity 3]]*(VLOOKUP(tbRecipes[[#This Row],[Item 3]],tbMaterials[],4,FALSE)),IF(ISTEXT(tbRecipes[[#This Row],[Item 2]]),tbRecipes[[#This Row],[Quantity 1]]*(VLOOKUP(tbRecipes[[#This Row],[Item 1]],tbMaterials[],4,FALSE))+tbRecipes[[#This Row],[Quantity 2]]*(VLOOKUP(tbRecipes[[#This Row],[Item 2]],tbMaterials[],4,FALSE)),IF(ISTEXT(tbRecipes[[#This Row],[Item 1]]),tbRecipes[[#This Row],[Quantity 1]]*(VLOOKUP(tbRecipes[[#This Row],[Item 1]],tbMaterials[],4,FALSE)),"")))</f>
        <v>670</v>
      </c>
      <c r="K48" s="54">
        <f>IF(ISNUMBER(tbRecipes[[#This Row],[Total Cost]]),tbRecipes[[#This Row],[Total Cost]]/tbRecipes[[#This Row],[Output Qty]],"")</f>
        <v>111.66666666666667</v>
      </c>
    </row>
    <row r="49" spans="2:11" s="2" customFormat="1" ht="27.95" customHeight="1" x14ac:dyDescent="0.25">
      <c r="B49" s="2" t="s">
        <v>96</v>
      </c>
      <c r="C49" s="2" t="s">
        <v>390</v>
      </c>
      <c r="D49" s="4">
        <v>1</v>
      </c>
      <c r="E49" s="2" t="s">
        <v>9</v>
      </c>
      <c r="F49" s="4">
        <v>1</v>
      </c>
      <c r="H49" s="4"/>
      <c r="I49" s="4">
        <v>2</v>
      </c>
      <c r="J49" s="38">
        <f>IF(ISTEXT(tbRecipes[[#This Row],[Item 3]]),tbRecipes[[#This Row],[Quantity 1]]*(VLOOKUP(tbRecipes[[#This Row],[Item 1]],tbMaterials[],4,FALSE))+tbRecipes[[#This Row],[Quantity 2]]*(VLOOKUP(tbRecipes[[#This Row],[Item 2]],tbMaterials[],4,FALSE))+tbRecipes[[#This Row],[Quantity 3]]*(VLOOKUP(tbRecipes[[#This Row],[Item 3]],tbMaterials[],4,FALSE)),IF(ISTEXT(tbRecipes[[#This Row],[Item 2]]),tbRecipes[[#This Row],[Quantity 1]]*(VLOOKUP(tbRecipes[[#This Row],[Item 1]],tbMaterials[],4,FALSE))+tbRecipes[[#This Row],[Quantity 2]]*(VLOOKUP(tbRecipes[[#This Row],[Item 2]],tbMaterials[],4,FALSE)),IF(ISTEXT(tbRecipes[[#This Row],[Item 1]]),tbRecipes[[#This Row],[Quantity 1]]*(VLOOKUP(tbRecipes[[#This Row],[Item 1]],tbMaterials[],4,FALSE)),"")))</f>
        <v>75</v>
      </c>
      <c r="K49" s="38">
        <f>IF(ISNUMBER(tbRecipes[[#This Row],[Total Cost]]),tbRecipes[[#This Row],[Total Cost]]/tbRecipes[[#This Row],[Output Qty]],"")</f>
        <v>37.5</v>
      </c>
    </row>
    <row r="50" spans="2:11" s="2" customFormat="1" ht="27.95" customHeight="1" x14ac:dyDescent="0.25">
      <c r="B50" s="2" t="s">
        <v>96</v>
      </c>
      <c r="C50" s="2" t="s">
        <v>390</v>
      </c>
      <c r="D50" s="4">
        <v>1</v>
      </c>
      <c r="E50" s="2" t="s">
        <v>292</v>
      </c>
      <c r="F50" s="4">
        <v>1</v>
      </c>
      <c r="H50" s="4"/>
      <c r="I50" s="4">
        <v>2</v>
      </c>
      <c r="J50" s="38">
        <f>IF(ISTEXT(tbRecipes[[#This Row],[Item 3]]),tbRecipes[[#This Row],[Quantity 1]]*(VLOOKUP(tbRecipes[[#This Row],[Item 1]],tbMaterials[],4,FALSE))+tbRecipes[[#This Row],[Quantity 2]]*(VLOOKUP(tbRecipes[[#This Row],[Item 2]],tbMaterials[],4,FALSE))+tbRecipes[[#This Row],[Quantity 3]]*(VLOOKUP(tbRecipes[[#This Row],[Item 3]],tbMaterials[],4,FALSE)),IF(ISTEXT(tbRecipes[[#This Row],[Item 2]]),tbRecipes[[#This Row],[Quantity 1]]*(VLOOKUP(tbRecipes[[#This Row],[Item 1]],tbMaterials[],4,FALSE))+tbRecipes[[#This Row],[Quantity 2]]*(VLOOKUP(tbRecipes[[#This Row],[Item 2]],tbMaterials[],4,FALSE)),IF(ISTEXT(tbRecipes[[#This Row],[Item 1]]),tbRecipes[[#This Row],[Quantity 1]]*(VLOOKUP(tbRecipes[[#This Row],[Item 1]],tbMaterials[],4,FALSE)),"")))</f>
        <v>179</v>
      </c>
      <c r="K50" s="38">
        <f>IF(ISNUMBER(tbRecipes[[#This Row],[Total Cost]]),tbRecipes[[#This Row],[Total Cost]]/tbRecipes[[#This Row],[Output Qty]],"")</f>
        <v>89.5</v>
      </c>
    </row>
    <row r="51" spans="2:11" s="2" customFormat="1" ht="27.95" customHeight="1" x14ac:dyDescent="0.25">
      <c r="B51" s="2" t="s">
        <v>96</v>
      </c>
      <c r="C51" s="2" t="s">
        <v>390</v>
      </c>
      <c r="D51" s="4">
        <v>1</v>
      </c>
      <c r="E51" s="2" t="s">
        <v>63</v>
      </c>
      <c r="F51" s="4">
        <v>1</v>
      </c>
      <c r="H51" s="4"/>
      <c r="I51" s="4">
        <v>2</v>
      </c>
      <c r="J51" s="38">
        <f>IF(ISTEXT(tbRecipes[[#This Row],[Item 3]]),tbRecipes[[#This Row],[Quantity 1]]*(VLOOKUP(tbRecipes[[#This Row],[Item 1]],tbMaterials[],4,FALSE))+tbRecipes[[#This Row],[Quantity 2]]*(VLOOKUP(tbRecipes[[#This Row],[Item 2]],tbMaterials[],4,FALSE))+tbRecipes[[#This Row],[Quantity 3]]*(VLOOKUP(tbRecipes[[#This Row],[Item 3]],tbMaterials[],4,FALSE)),IF(ISTEXT(tbRecipes[[#This Row],[Item 2]]),tbRecipes[[#This Row],[Quantity 1]]*(VLOOKUP(tbRecipes[[#This Row],[Item 1]],tbMaterials[],4,FALSE))+tbRecipes[[#This Row],[Quantity 2]]*(VLOOKUP(tbRecipes[[#This Row],[Item 2]],tbMaterials[],4,FALSE)),IF(ISTEXT(tbRecipes[[#This Row],[Item 1]]),tbRecipes[[#This Row],[Quantity 1]]*(VLOOKUP(tbRecipes[[#This Row],[Item 1]],tbMaterials[],4,FALSE)),"")))</f>
        <v>340</v>
      </c>
      <c r="K51" s="38">
        <f>IF(ISNUMBER(tbRecipes[[#This Row],[Total Cost]]),tbRecipes[[#This Row],[Total Cost]]/tbRecipes[[#This Row],[Output Qty]],"")</f>
        <v>170</v>
      </c>
    </row>
    <row r="52" spans="2:11" s="2" customFormat="1" ht="27.95" customHeight="1" x14ac:dyDescent="0.25">
      <c r="B52" s="2" t="s">
        <v>96</v>
      </c>
      <c r="C52" s="2" t="s">
        <v>390</v>
      </c>
      <c r="D52" s="4">
        <v>1</v>
      </c>
      <c r="E52" s="2" t="s">
        <v>96</v>
      </c>
      <c r="F52" s="4">
        <v>1</v>
      </c>
      <c r="H52" s="4"/>
      <c r="I52" s="4">
        <v>2</v>
      </c>
      <c r="J52" s="38">
        <f>IF(ISTEXT(tbRecipes[[#This Row],[Item 3]]),tbRecipes[[#This Row],[Quantity 1]]*(VLOOKUP(tbRecipes[[#This Row],[Item 1]],tbMaterials[],4,FALSE))+tbRecipes[[#This Row],[Quantity 2]]*(VLOOKUP(tbRecipes[[#This Row],[Item 2]],tbMaterials[],4,FALSE))+tbRecipes[[#This Row],[Quantity 3]]*(VLOOKUP(tbRecipes[[#This Row],[Item 3]],tbMaterials[],4,FALSE)),IF(ISTEXT(tbRecipes[[#This Row],[Item 2]]),tbRecipes[[#This Row],[Quantity 1]]*(VLOOKUP(tbRecipes[[#This Row],[Item 1]],tbMaterials[],4,FALSE))+tbRecipes[[#This Row],[Quantity 2]]*(VLOOKUP(tbRecipes[[#This Row],[Item 2]],tbMaterials[],4,FALSE)),IF(ISTEXT(tbRecipes[[#This Row],[Item 1]]),tbRecipes[[#This Row],[Quantity 1]]*(VLOOKUP(tbRecipes[[#This Row],[Item 1]],tbMaterials[],4,FALSE)),"")))</f>
        <v>643</v>
      </c>
      <c r="K52" s="38">
        <f>IF(ISNUMBER(tbRecipes[[#This Row],[Total Cost]]),tbRecipes[[#This Row],[Total Cost]]/tbRecipes[[#This Row],[Output Qty]],"")</f>
        <v>321.5</v>
      </c>
    </row>
    <row r="53" spans="2:11" s="2" customFormat="1" ht="27.95" customHeight="1" x14ac:dyDescent="0.25">
      <c r="B53" s="2" t="s">
        <v>19</v>
      </c>
      <c r="C53" s="2" t="s">
        <v>572</v>
      </c>
      <c r="D53" s="4">
        <v>1</v>
      </c>
      <c r="F53" s="4"/>
      <c r="H53" s="4"/>
      <c r="I53" s="4">
        <v>250</v>
      </c>
      <c r="J53" s="38">
        <f>IF(ISTEXT(tbRecipes[[#This Row],[Item 3]]),tbRecipes[[#This Row],[Quantity 1]]*(VLOOKUP(tbRecipes[[#This Row],[Item 1]],tbMaterials[],4,FALSE))+tbRecipes[[#This Row],[Quantity 2]]*(VLOOKUP(tbRecipes[[#This Row],[Item 2]],tbMaterials[],4,FALSE))+tbRecipes[[#This Row],[Quantity 3]]*(VLOOKUP(tbRecipes[[#This Row],[Item 3]],tbMaterials[],4,FALSE)),IF(ISTEXT(tbRecipes[[#This Row],[Item 2]]),tbRecipes[[#This Row],[Quantity 1]]*(VLOOKUP(tbRecipes[[#This Row],[Item 1]],tbMaterials[],4,FALSE))+tbRecipes[[#This Row],[Quantity 2]]*(VLOOKUP(tbRecipes[[#This Row],[Item 2]],tbMaterials[],4,FALSE)),IF(ISTEXT(tbRecipes[[#This Row],[Item 1]]),tbRecipes[[#This Row],[Quantity 1]]*(VLOOKUP(tbRecipes[[#This Row],[Item 1]],tbMaterials[],4,FALSE)),"")))</f>
        <v>150000</v>
      </c>
      <c r="K53" s="38">
        <f>IF(ISNUMBER(tbRecipes[[#This Row],[Total Cost]]),tbRecipes[[#This Row],[Total Cost]]/tbRecipes[[#This Row],[Output Qty]],"")</f>
        <v>600</v>
      </c>
    </row>
    <row r="54" spans="2:11" s="2" customFormat="1" ht="27.95" customHeight="1" x14ac:dyDescent="0.25">
      <c r="B54" s="2" t="s">
        <v>19</v>
      </c>
      <c r="C54" s="2" t="s">
        <v>569</v>
      </c>
      <c r="D54" s="4">
        <v>1</v>
      </c>
      <c r="F54" s="4"/>
      <c r="H54" s="4"/>
      <c r="I54" s="4">
        <v>250</v>
      </c>
      <c r="J54" s="38">
        <f>IF(ISTEXT(tbRecipes[[#This Row],[Item 3]]),tbRecipes[[#This Row],[Quantity 1]]*(VLOOKUP(tbRecipes[[#This Row],[Item 1]],tbMaterials[],4,FALSE))+tbRecipes[[#This Row],[Quantity 2]]*(VLOOKUP(tbRecipes[[#This Row],[Item 2]],tbMaterials[],4,FALSE))+tbRecipes[[#This Row],[Quantity 3]]*(VLOOKUP(tbRecipes[[#This Row],[Item 3]],tbMaterials[],4,FALSE)),IF(ISTEXT(tbRecipes[[#This Row],[Item 2]]),tbRecipes[[#This Row],[Quantity 1]]*(VLOOKUP(tbRecipes[[#This Row],[Item 1]],tbMaterials[],4,FALSE))+tbRecipes[[#This Row],[Quantity 2]]*(VLOOKUP(tbRecipes[[#This Row],[Item 2]],tbMaterials[],4,FALSE)),IF(ISTEXT(tbRecipes[[#This Row],[Item 1]]),tbRecipes[[#This Row],[Quantity 1]]*(VLOOKUP(tbRecipes[[#This Row],[Item 1]],tbMaterials[],4,FALSE)),"")))</f>
        <v>150000</v>
      </c>
      <c r="K54" s="38">
        <f>IF(ISNUMBER(tbRecipes[[#This Row],[Total Cost]]),tbRecipes[[#This Row],[Total Cost]]/tbRecipes[[#This Row],[Output Qty]],"")</f>
        <v>600</v>
      </c>
    </row>
    <row r="55" spans="2:11" s="2" customFormat="1" ht="27.95" customHeight="1" x14ac:dyDescent="0.25">
      <c r="B55" s="46" t="s">
        <v>19</v>
      </c>
      <c r="C55" s="46" t="s">
        <v>27</v>
      </c>
      <c r="D55" s="53">
        <v>1</v>
      </c>
      <c r="E55" s="46" t="s">
        <v>20</v>
      </c>
      <c r="F55" s="53">
        <v>1</v>
      </c>
      <c r="G55" s="46"/>
      <c r="H55" s="53"/>
      <c r="I55" s="53">
        <v>1</v>
      </c>
      <c r="J55" s="54">
        <f>IF(ISTEXT(tbRecipes[[#This Row],[Item 3]]),tbRecipes[[#This Row],[Quantity 1]]*(VLOOKUP(tbRecipes[[#This Row],[Item 1]],tbMaterials[],4,FALSE))+tbRecipes[[#This Row],[Quantity 2]]*(VLOOKUP(tbRecipes[[#This Row],[Item 2]],tbMaterials[],4,FALSE))+tbRecipes[[#This Row],[Quantity 3]]*(VLOOKUP(tbRecipes[[#This Row],[Item 3]],tbMaterials[],4,FALSE)),IF(ISTEXT(tbRecipes[[#This Row],[Item 2]]),tbRecipes[[#This Row],[Quantity 1]]*(VLOOKUP(tbRecipes[[#This Row],[Item 1]],tbMaterials[],4,FALSE))+tbRecipes[[#This Row],[Quantity 2]]*(VLOOKUP(tbRecipes[[#This Row],[Item 2]],tbMaterials[],4,FALSE)),IF(ISTEXT(tbRecipes[[#This Row],[Item 1]]),tbRecipes[[#This Row],[Quantity 1]]*(VLOOKUP(tbRecipes[[#This Row],[Item 1]],tbMaterials[],4,FALSE)),"")))</f>
        <v>539</v>
      </c>
      <c r="K55" s="54">
        <f>IF(ISNUMBER(tbRecipes[[#This Row],[Total Cost]]),tbRecipes[[#This Row],[Total Cost]]/tbRecipes[[#This Row],[Output Qty]],"")</f>
        <v>539</v>
      </c>
    </row>
    <row r="56" spans="2:11" s="2" customFormat="1" ht="27.95" customHeight="1" x14ac:dyDescent="0.25">
      <c r="B56" s="46" t="s">
        <v>19</v>
      </c>
      <c r="C56" s="46" t="s">
        <v>13</v>
      </c>
      <c r="D56" s="53">
        <v>1</v>
      </c>
      <c r="E56" s="46" t="s">
        <v>9</v>
      </c>
      <c r="F56" s="53">
        <v>1</v>
      </c>
      <c r="G56" s="46" t="s">
        <v>291</v>
      </c>
      <c r="H56" s="53">
        <v>250</v>
      </c>
      <c r="I56" s="53">
        <v>10</v>
      </c>
      <c r="J56" s="54">
        <f>IF(ISTEXT(tbRecipes[[#This Row],[Item 3]]),tbRecipes[[#This Row],[Quantity 1]]*(VLOOKUP(tbRecipes[[#This Row],[Item 1]],tbMaterials[],4,FALSE))+tbRecipes[[#This Row],[Quantity 2]]*(VLOOKUP(tbRecipes[[#This Row],[Item 2]],tbMaterials[],4,FALSE))+tbRecipes[[#This Row],[Quantity 3]]*(VLOOKUP(tbRecipes[[#This Row],[Item 3]],tbMaterials[],4,FALSE)),IF(ISTEXT(tbRecipes[[#This Row],[Item 2]]),tbRecipes[[#This Row],[Quantity 1]]*(VLOOKUP(tbRecipes[[#This Row],[Item 1]],tbMaterials[],4,FALSE))+tbRecipes[[#This Row],[Quantity 2]]*(VLOOKUP(tbRecipes[[#This Row],[Item 2]],tbMaterials[],4,FALSE)),IF(ISTEXT(tbRecipes[[#This Row],[Item 1]]),tbRecipes[[#This Row],[Quantity 1]]*(VLOOKUP(tbRecipes[[#This Row],[Item 1]],tbMaterials[],4,FALSE)),"")))</f>
        <v>61298</v>
      </c>
      <c r="K56" s="54">
        <f>IF(ISNUMBER(tbRecipes[[#This Row],[Total Cost]]),tbRecipes[[#This Row],[Total Cost]]/tbRecipes[[#This Row],[Output Qty]],"")</f>
        <v>6129.8</v>
      </c>
    </row>
    <row r="57" spans="2:11" s="2" customFormat="1" ht="27.95" customHeight="1" x14ac:dyDescent="0.25">
      <c r="D57" s="4"/>
      <c r="F57" s="4"/>
      <c r="H57" s="4"/>
      <c r="I57" s="4"/>
      <c r="J57" s="39"/>
    </row>
    <row r="58" spans="2:11" s="2" customFormat="1" ht="27.95" customHeight="1" x14ac:dyDescent="0.25">
      <c r="D58" s="4"/>
      <c r="F58" s="4"/>
      <c r="H58" s="4"/>
      <c r="I58" s="4"/>
      <c r="J58" s="39"/>
    </row>
    <row r="59" spans="2:11" s="2" customFormat="1" ht="27.95" customHeight="1" x14ac:dyDescent="0.25">
      <c r="D59" s="4"/>
      <c r="F59" s="4"/>
      <c r="H59" s="4"/>
      <c r="I59" s="4"/>
      <c r="J59" s="39"/>
    </row>
    <row r="60" spans="2:11" s="2" customFormat="1" ht="27.95" customHeight="1" x14ac:dyDescent="0.25">
      <c r="D60" s="4"/>
      <c r="F60" s="4"/>
      <c r="H60" s="4"/>
      <c r="I60" s="4"/>
      <c r="J60" s="39"/>
    </row>
    <row r="61" spans="2:11" s="2" customFormat="1" ht="27.95" customHeight="1" x14ac:dyDescent="0.25">
      <c r="D61" s="4"/>
      <c r="F61" s="4"/>
      <c r="H61" s="4"/>
      <c r="I61" s="4"/>
      <c r="J61" s="39"/>
    </row>
    <row r="62" spans="2:11" s="2" customFormat="1" ht="27.95" customHeight="1" x14ac:dyDescent="0.25">
      <c r="D62" s="4"/>
      <c r="F62" s="4"/>
      <c r="H62" s="4"/>
      <c r="I62" s="4"/>
      <c r="J62" s="39"/>
    </row>
    <row r="63" spans="2:11" s="2" customFormat="1" ht="27.95" customHeight="1" x14ac:dyDescent="0.25">
      <c r="D63" s="4"/>
      <c r="F63" s="4"/>
      <c r="H63" s="4"/>
      <c r="I63" s="4"/>
      <c r="J63" s="39"/>
    </row>
    <row r="64" spans="2:11" s="2" customFormat="1" ht="27.95" customHeight="1" x14ac:dyDescent="0.25">
      <c r="D64" s="4"/>
      <c r="F64" s="4"/>
      <c r="H64" s="4"/>
      <c r="I64" s="4"/>
      <c r="J64" s="39"/>
    </row>
    <row r="65" spans="4:10" s="2" customFormat="1" ht="27.95" customHeight="1" x14ac:dyDescent="0.25">
      <c r="D65" s="4"/>
      <c r="F65" s="4"/>
      <c r="H65" s="4"/>
      <c r="I65" s="4"/>
      <c r="J65" s="39"/>
    </row>
    <row r="66" spans="4:10" s="2" customFormat="1" ht="27.95" customHeight="1" x14ac:dyDescent="0.25">
      <c r="D66" s="4"/>
      <c r="F66" s="4"/>
      <c r="H66" s="4"/>
      <c r="I66" s="4"/>
      <c r="J66" s="39"/>
    </row>
    <row r="67" spans="4:10" s="2" customFormat="1" ht="27.95" customHeight="1" x14ac:dyDescent="0.25">
      <c r="D67" s="4"/>
      <c r="F67" s="4"/>
      <c r="H67" s="4"/>
      <c r="I67" s="4"/>
      <c r="J67" s="39"/>
    </row>
    <row r="68" spans="4:10" s="2" customFormat="1" ht="27.95" customHeight="1" x14ac:dyDescent="0.25">
      <c r="D68" s="4"/>
      <c r="F68" s="4"/>
      <c r="H68" s="4"/>
      <c r="I68" s="4"/>
      <c r="J68" s="39"/>
    </row>
    <row r="69" spans="4:10" s="2" customFormat="1" ht="27.95" customHeight="1" x14ac:dyDescent="0.25">
      <c r="D69" s="4"/>
      <c r="F69" s="4"/>
      <c r="H69" s="4"/>
      <c r="I69" s="4"/>
      <c r="J69" s="39"/>
    </row>
    <row r="70" spans="4:10" s="2" customFormat="1" ht="27.95" customHeight="1" x14ac:dyDescent="0.25">
      <c r="D70" s="4"/>
      <c r="F70" s="4"/>
      <c r="H70" s="4"/>
      <c r="I70" s="4"/>
      <c r="J70" s="39"/>
    </row>
    <row r="71" spans="4:10" s="2" customFormat="1" ht="27.95" customHeight="1" x14ac:dyDescent="0.25">
      <c r="D71" s="4"/>
      <c r="F71" s="4"/>
      <c r="H71" s="4"/>
      <c r="I71" s="4"/>
      <c r="J71" s="39"/>
    </row>
    <row r="72" spans="4:10" s="2" customFormat="1" ht="27.95" customHeight="1" x14ac:dyDescent="0.25">
      <c r="D72" s="4"/>
      <c r="F72" s="4"/>
      <c r="H72" s="4"/>
      <c r="I72" s="4"/>
      <c r="J72" s="39"/>
    </row>
    <row r="73" spans="4:10" s="2" customFormat="1" ht="27.95" customHeight="1" x14ac:dyDescent="0.25">
      <c r="D73" s="4"/>
      <c r="F73" s="4"/>
      <c r="H73" s="4"/>
      <c r="I73" s="4"/>
      <c r="J73" s="39"/>
    </row>
    <row r="74" spans="4:10" s="2" customFormat="1" ht="27.95" customHeight="1" x14ac:dyDescent="0.25">
      <c r="D74" s="4"/>
      <c r="F74" s="4"/>
      <c r="H74" s="4"/>
      <c r="I74" s="4"/>
      <c r="J74" s="39"/>
    </row>
    <row r="75" spans="4:10" s="2" customFormat="1" ht="27.95" customHeight="1" x14ac:dyDescent="0.25">
      <c r="D75" s="4"/>
      <c r="F75" s="4"/>
      <c r="H75" s="4"/>
      <c r="I75" s="4"/>
      <c r="J75" s="39"/>
    </row>
    <row r="76" spans="4:10" s="2" customFormat="1" ht="27.95" customHeight="1" x14ac:dyDescent="0.25">
      <c r="D76" s="4"/>
      <c r="F76" s="4"/>
      <c r="H76" s="4"/>
      <c r="I76" s="4"/>
      <c r="J76" s="39"/>
    </row>
    <row r="77" spans="4:10" s="2" customFormat="1" ht="27.95" customHeight="1" x14ac:dyDescent="0.25">
      <c r="D77" s="4"/>
      <c r="F77" s="4"/>
      <c r="H77" s="4"/>
      <c r="I77" s="4"/>
      <c r="J77" s="39"/>
    </row>
    <row r="78" spans="4:10" s="2" customFormat="1" ht="27.95" customHeight="1" x14ac:dyDescent="0.25">
      <c r="D78" s="4"/>
      <c r="F78" s="4"/>
      <c r="H78" s="4"/>
      <c r="I78" s="4"/>
      <c r="J78" s="39"/>
    </row>
    <row r="79" spans="4:10" s="2" customFormat="1" ht="27.95" customHeight="1" x14ac:dyDescent="0.25">
      <c r="D79" s="4"/>
      <c r="F79" s="4"/>
      <c r="H79" s="4"/>
      <c r="I79" s="4"/>
      <c r="J79" s="39"/>
    </row>
    <row r="80" spans="4:10" s="2" customFormat="1" ht="27.95" customHeight="1" x14ac:dyDescent="0.25">
      <c r="D80" s="4"/>
      <c r="F80" s="4"/>
      <c r="H80" s="4"/>
      <c r="I80" s="4"/>
      <c r="J80" s="39"/>
    </row>
    <row r="81" spans="4:10" s="2" customFormat="1" ht="27.95" customHeight="1" x14ac:dyDescent="0.25">
      <c r="D81" s="4"/>
      <c r="F81" s="4"/>
      <c r="H81" s="4"/>
      <c r="I81" s="4"/>
      <c r="J81" s="39"/>
    </row>
    <row r="82" spans="4:10" s="2" customFormat="1" ht="27.95" customHeight="1" x14ac:dyDescent="0.25">
      <c r="D82" s="4"/>
      <c r="F82" s="4"/>
      <c r="H82" s="4"/>
      <c r="I82" s="4"/>
      <c r="J82" s="39"/>
    </row>
    <row r="83" spans="4:10" s="2" customFormat="1" ht="27.95" customHeight="1" x14ac:dyDescent="0.25">
      <c r="D83" s="4"/>
      <c r="F83" s="4"/>
      <c r="H83" s="4"/>
      <c r="I83" s="4"/>
      <c r="J83" s="39"/>
    </row>
  </sheetData>
  <phoneticPr fontId="4" type="noConversion"/>
  <dataValidations disablePrompts="1" count="1">
    <dataValidation type="list" allowBlank="1" showInputMessage="1" showErrorMessage="1" sqref="E3:E10 G3:G10 B23:B24 B3:B18 E25:E29 C3:C24" xr:uid="{72AC4AC1-C04E-41F1-867E-34459A1B089B}">
      <formula1>lsMaterials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A91F-A8A2-49DC-A03E-1582C1840FD5}">
  <sheetPr codeName="Sheet8"/>
  <dimension ref="B1:E236"/>
  <sheetViews>
    <sheetView showGridLines="0" workbookViewId="0">
      <selection activeCell="J16" sqref="J16"/>
    </sheetView>
  </sheetViews>
  <sheetFormatPr defaultRowHeight="14.25" x14ac:dyDescent="0.25"/>
  <cols>
    <col min="1" max="1" width="1.42578125" style="1" customWidth="1"/>
    <col min="2" max="2" width="21.28515625" style="1" customWidth="1"/>
    <col min="3" max="3" width="17.28515625" style="1" customWidth="1"/>
    <col min="4" max="4" width="15" style="1" customWidth="1"/>
    <col min="5" max="18" width="13.28515625" style="1" customWidth="1"/>
    <col min="19" max="16384" width="9.140625" style="1"/>
  </cols>
  <sheetData>
    <row r="1" spans="2:3" ht="7.5" customHeight="1" x14ac:dyDescent="0.25"/>
    <row r="2" spans="2:3" s="2" customFormat="1" ht="27.95" customHeight="1" x14ac:dyDescent="0.25">
      <c r="B2" s="2" t="s">
        <v>157</v>
      </c>
      <c r="C2" s="2" t="s">
        <v>158</v>
      </c>
    </row>
    <row r="3" spans="2:3" s="2" customFormat="1" ht="27.95" customHeight="1" x14ac:dyDescent="0.25">
      <c r="B3" s="2" t="s">
        <v>159</v>
      </c>
      <c r="C3" s="2" t="s">
        <v>149</v>
      </c>
    </row>
    <row r="4" spans="2:3" s="2" customFormat="1" ht="27.95" customHeight="1" x14ac:dyDescent="0.25">
      <c r="B4" s="2" t="s">
        <v>160</v>
      </c>
      <c r="C4" s="2" t="s">
        <v>149</v>
      </c>
    </row>
    <row r="5" spans="2:3" s="2" customFormat="1" ht="27.95" customHeight="1" x14ac:dyDescent="0.25">
      <c r="B5" s="2" t="s">
        <v>161</v>
      </c>
      <c r="C5" s="2" t="s">
        <v>149</v>
      </c>
    </row>
    <row r="6" spans="2:3" s="2" customFormat="1" ht="27.95" customHeight="1" x14ac:dyDescent="0.25">
      <c r="B6" s="2" t="s">
        <v>162</v>
      </c>
      <c r="C6" s="2" t="s">
        <v>149</v>
      </c>
    </row>
    <row r="7" spans="2:3" s="2" customFormat="1" ht="27.95" customHeight="1" x14ac:dyDescent="0.25">
      <c r="B7" s="2" t="s">
        <v>163</v>
      </c>
      <c r="C7" s="2" t="s">
        <v>149</v>
      </c>
    </row>
    <row r="8" spans="2:3" s="2" customFormat="1" ht="27.95" customHeight="1" x14ac:dyDescent="0.25">
      <c r="B8" s="2" t="s">
        <v>164</v>
      </c>
      <c r="C8" s="2" t="s">
        <v>149</v>
      </c>
    </row>
    <row r="9" spans="2:3" s="2" customFormat="1" ht="27.95" customHeight="1" x14ac:dyDescent="0.25">
      <c r="B9" s="2" t="s">
        <v>165</v>
      </c>
      <c r="C9" s="2" t="s">
        <v>149</v>
      </c>
    </row>
    <row r="10" spans="2:3" s="2" customFormat="1" ht="27.95" customHeight="1" x14ac:dyDescent="0.25">
      <c r="B10" s="2" t="s">
        <v>166</v>
      </c>
      <c r="C10" s="2" t="s">
        <v>149</v>
      </c>
    </row>
    <row r="11" spans="2:3" s="2" customFormat="1" ht="27.95" customHeight="1" x14ac:dyDescent="0.25">
      <c r="B11" s="2" t="s">
        <v>162</v>
      </c>
      <c r="C11" s="2" t="s">
        <v>149</v>
      </c>
    </row>
    <row r="12" spans="2:3" s="2" customFormat="1" ht="27.95" customHeight="1" x14ac:dyDescent="0.25">
      <c r="B12" s="2" t="s">
        <v>167</v>
      </c>
      <c r="C12" s="2" t="s">
        <v>145</v>
      </c>
    </row>
    <row r="13" spans="2:3" s="2" customFormat="1" ht="27.95" customHeight="1" x14ac:dyDescent="0.25">
      <c r="B13" s="2" t="s">
        <v>168</v>
      </c>
      <c r="C13" s="2" t="s">
        <v>145</v>
      </c>
    </row>
    <row r="14" spans="2:3" s="2" customFormat="1" ht="27.95" customHeight="1" x14ac:dyDescent="0.25">
      <c r="B14" s="2" t="s">
        <v>169</v>
      </c>
      <c r="C14" s="2" t="s">
        <v>145</v>
      </c>
    </row>
    <row r="15" spans="2:3" s="2" customFormat="1" ht="27.95" customHeight="1" x14ac:dyDescent="0.25">
      <c r="B15" s="2" t="s">
        <v>170</v>
      </c>
      <c r="C15" s="2" t="s">
        <v>145</v>
      </c>
    </row>
    <row r="16" spans="2:3" s="2" customFormat="1" ht="27.95" customHeight="1" x14ac:dyDescent="0.25">
      <c r="B16" s="2" t="s">
        <v>171</v>
      </c>
      <c r="C16" s="2" t="s">
        <v>145</v>
      </c>
    </row>
    <row r="17" spans="2:5" s="2" customFormat="1" ht="27.95" customHeight="1" x14ac:dyDescent="0.25">
      <c r="B17" s="2" t="s">
        <v>172</v>
      </c>
      <c r="C17" s="2" t="s">
        <v>145</v>
      </c>
    </row>
    <row r="18" spans="2:5" s="2" customFormat="1" ht="27.95" customHeight="1" x14ac:dyDescent="0.25">
      <c r="B18" s="2" t="s">
        <v>173</v>
      </c>
      <c r="C18" s="2" t="s">
        <v>145</v>
      </c>
    </row>
    <row r="19" spans="2:5" s="2" customFormat="1" ht="27.95" customHeight="1" x14ac:dyDescent="0.25">
      <c r="B19" s="2" t="s">
        <v>174</v>
      </c>
      <c r="C19" s="2" t="s">
        <v>145</v>
      </c>
    </row>
    <row r="20" spans="2:5" s="2" customFormat="1" ht="27.95" customHeight="1" x14ac:dyDescent="0.25">
      <c r="B20" s="2" t="s">
        <v>175</v>
      </c>
      <c r="C20" s="2" t="s">
        <v>155</v>
      </c>
    </row>
    <row r="21" spans="2:5" s="2" customFormat="1" ht="27.95" customHeight="1" x14ac:dyDescent="0.25">
      <c r="B21" s="2" t="s">
        <v>176</v>
      </c>
      <c r="C21" s="2" t="s">
        <v>155</v>
      </c>
    </row>
    <row r="22" spans="2:5" s="2" customFormat="1" ht="27.95" customHeight="1" x14ac:dyDescent="0.25">
      <c r="B22" s="2" t="s">
        <v>177</v>
      </c>
      <c r="C22" s="2" t="s">
        <v>155</v>
      </c>
    </row>
    <row r="23" spans="2:5" s="2" customFormat="1" ht="27.95" customHeight="1" x14ac:dyDescent="0.25">
      <c r="B23" s="2" t="s">
        <v>129</v>
      </c>
      <c r="C23" s="2" t="s">
        <v>155</v>
      </c>
    </row>
    <row r="24" spans="2:5" s="2" customFormat="1" ht="27.95" customHeight="1" x14ac:dyDescent="0.25">
      <c r="B24" s="2" t="s">
        <v>178</v>
      </c>
      <c r="C24" s="2" t="s">
        <v>155</v>
      </c>
    </row>
    <row r="25" spans="2:5" s="2" customFormat="1" ht="27.95" customHeight="1" x14ac:dyDescent="0.25">
      <c r="B25" s="2" t="s">
        <v>179</v>
      </c>
      <c r="C25" s="2" t="s">
        <v>155</v>
      </c>
    </row>
    <row r="26" spans="2:5" s="2" customFormat="1" ht="27.95" customHeight="1" x14ac:dyDescent="0.25">
      <c r="B26" s="2" t="s">
        <v>180</v>
      </c>
      <c r="C26" s="2" t="s">
        <v>155</v>
      </c>
    </row>
    <row r="27" spans="2:5" s="2" customFormat="1" ht="27.95" customHeight="1" x14ac:dyDescent="0.25">
      <c r="B27" s="2" t="s">
        <v>181</v>
      </c>
      <c r="C27" s="2" t="s">
        <v>155</v>
      </c>
    </row>
    <row r="28" spans="2:5" s="2" customFormat="1" ht="27.95" customHeight="1" x14ac:dyDescent="0.25">
      <c r="B28" s="2" t="s">
        <v>620</v>
      </c>
      <c r="C28" s="2" t="s">
        <v>340</v>
      </c>
    </row>
    <row r="29" spans="2:5" s="2" customFormat="1" ht="27.95" customHeight="1" x14ac:dyDescent="0.25"/>
    <row r="30" spans="2:5" s="2" customFormat="1" ht="27.95" customHeight="1" x14ac:dyDescent="0.25">
      <c r="B30" s="2" t="s">
        <v>183</v>
      </c>
      <c r="C30" s="2" t="s">
        <v>184</v>
      </c>
      <c r="D30" s="2" t="s">
        <v>189</v>
      </c>
      <c r="E30" s="2" t="s">
        <v>191</v>
      </c>
    </row>
    <row r="31" spans="2:5" s="2" customFormat="1" ht="27.95" customHeight="1" x14ac:dyDescent="0.25">
      <c r="B31" s="2" t="s">
        <v>185</v>
      </c>
      <c r="C31" s="2" t="s">
        <v>186</v>
      </c>
      <c r="D31" s="2" t="s">
        <v>190</v>
      </c>
      <c r="E31" s="2" t="s">
        <v>192</v>
      </c>
    </row>
    <row r="32" spans="2:5" s="2" customFormat="1" ht="27.95" customHeight="1" x14ac:dyDescent="0.25">
      <c r="B32" s="2" t="s">
        <v>186</v>
      </c>
      <c r="C32" s="2" t="s">
        <v>186</v>
      </c>
      <c r="D32" s="2" t="s">
        <v>190</v>
      </c>
      <c r="E32" s="2" t="s">
        <v>192</v>
      </c>
    </row>
    <row r="33" spans="2:5" s="2" customFormat="1" ht="27.95" customHeight="1" x14ac:dyDescent="0.25">
      <c r="B33" s="2" t="s">
        <v>187</v>
      </c>
      <c r="C33" s="2" t="s">
        <v>186</v>
      </c>
      <c r="D33" s="2" t="s">
        <v>190</v>
      </c>
      <c r="E33" s="2" t="s">
        <v>192</v>
      </c>
    </row>
    <row r="34" spans="2:5" s="2" customFormat="1" ht="27.95" customHeight="1" x14ac:dyDescent="0.25">
      <c r="B34" s="2" t="s">
        <v>188</v>
      </c>
      <c r="C34" s="2" t="s">
        <v>186</v>
      </c>
      <c r="D34" s="2" t="s">
        <v>190</v>
      </c>
      <c r="E34" s="2" t="s">
        <v>192</v>
      </c>
    </row>
    <row r="35" spans="2:5" s="2" customFormat="1" ht="27.95" customHeight="1" x14ac:dyDescent="0.25">
      <c r="B35" s="2" t="s">
        <v>194</v>
      </c>
      <c r="C35" s="2" t="s">
        <v>192</v>
      </c>
      <c r="D35" s="2" t="s">
        <v>186</v>
      </c>
      <c r="E35" s="2" t="s">
        <v>190</v>
      </c>
    </row>
    <row r="36" spans="2:5" s="2" customFormat="1" ht="27.95" customHeight="1" x14ac:dyDescent="0.25">
      <c r="B36" s="2" t="s">
        <v>193</v>
      </c>
      <c r="C36" s="2" t="s">
        <v>192</v>
      </c>
      <c r="D36" s="2" t="s">
        <v>186</v>
      </c>
      <c r="E36" s="2" t="s">
        <v>190</v>
      </c>
    </row>
    <row r="37" spans="2:5" s="2" customFormat="1" ht="27.95" customHeight="1" x14ac:dyDescent="0.25">
      <c r="B37" s="2" t="s">
        <v>195</v>
      </c>
      <c r="C37" s="2" t="s">
        <v>192</v>
      </c>
      <c r="D37" s="2" t="s">
        <v>186</v>
      </c>
      <c r="E37" s="2" t="s">
        <v>190</v>
      </c>
    </row>
    <row r="38" spans="2:5" s="2" customFormat="1" ht="27.95" customHeight="1" x14ac:dyDescent="0.25">
      <c r="B38" s="2" t="s">
        <v>196</v>
      </c>
      <c r="C38" s="2" t="s">
        <v>192</v>
      </c>
      <c r="D38" s="2" t="s">
        <v>186</v>
      </c>
      <c r="E38" s="2" t="s">
        <v>190</v>
      </c>
    </row>
    <row r="39" spans="2:5" s="2" customFormat="1" ht="27.95" customHeight="1" x14ac:dyDescent="0.25">
      <c r="B39" s="2" t="s">
        <v>192</v>
      </c>
      <c r="C39" s="2" t="s">
        <v>192</v>
      </c>
      <c r="D39" s="2" t="s">
        <v>186</v>
      </c>
      <c r="E39" s="2" t="s">
        <v>190</v>
      </c>
    </row>
    <row r="40" spans="2:5" s="2" customFormat="1" ht="27.95" customHeight="1" x14ac:dyDescent="0.25">
      <c r="B40" s="2" t="s">
        <v>197</v>
      </c>
      <c r="C40" s="2" t="s">
        <v>190</v>
      </c>
      <c r="D40" s="2" t="s">
        <v>192</v>
      </c>
      <c r="E40" s="2" t="s">
        <v>186</v>
      </c>
    </row>
    <row r="41" spans="2:5" s="2" customFormat="1" ht="27.95" customHeight="1" x14ac:dyDescent="0.25">
      <c r="B41" s="2" t="s">
        <v>190</v>
      </c>
      <c r="C41" s="2" t="s">
        <v>190</v>
      </c>
      <c r="D41" s="2" t="s">
        <v>192</v>
      </c>
      <c r="E41" s="2" t="s">
        <v>186</v>
      </c>
    </row>
    <row r="42" spans="2:5" s="2" customFormat="1" ht="27.95" customHeight="1" x14ac:dyDescent="0.25">
      <c r="B42" s="2" t="s">
        <v>198</v>
      </c>
      <c r="C42" s="2" t="s">
        <v>190</v>
      </c>
      <c r="D42" s="2" t="s">
        <v>192</v>
      </c>
      <c r="E42" s="2" t="s">
        <v>186</v>
      </c>
    </row>
    <row r="43" spans="2:5" s="2" customFormat="1" ht="27.95" customHeight="1" x14ac:dyDescent="0.25">
      <c r="B43" s="2" t="s">
        <v>199</v>
      </c>
      <c r="C43" s="2" t="s">
        <v>190</v>
      </c>
      <c r="D43" s="2" t="s">
        <v>192</v>
      </c>
      <c r="E43" s="2" t="s">
        <v>186</v>
      </c>
    </row>
    <row r="44" spans="2:5" s="2" customFormat="1" ht="27.95" customHeight="1" x14ac:dyDescent="0.25">
      <c r="B44" s="2" t="s">
        <v>200</v>
      </c>
      <c r="C44" s="2" t="s">
        <v>200</v>
      </c>
      <c r="D44" s="2" t="s">
        <v>204</v>
      </c>
      <c r="E44" s="2" t="s">
        <v>203</v>
      </c>
    </row>
    <row r="45" spans="2:5" s="2" customFormat="1" ht="27.95" customHeight="1" x14ac:dyDescent="0.25">
      <c r="B45" s="2" t="s">
        <v>58</v>
      </c>
      <c r="C45" s="2" t="s">
        <v>200</v>
      </c>
      <c r="D45" s="2" t="s">
        <v>204</v>
      </c>
      <c r="E45" s="2" t="s">
        <v>203</v>
      </c>
    </row>
    <row r="46" spans="2:5" s="2" customFormat="1" ht="27.95" customHeight="1" x14ac:dyDescent="0.25">
      <c r="B46" s="2" t="s">
        <v>201</v>
      </c>
      <c r="C46" s="2" t="s">
        <v>200</v>
      </c>
      <c r="D46" s="2" t="s">
        <v>204</v>
      </c>
      <c r="E46" s="2" t="s">
        <v>203</v>
      </c>
    </row>
    <row r="47" spans="2:5" s="2" customFormat="1" ht="27.95" customHeight="1" x14ac:dyDescent="0.25">
      <c r="B47" s="2" t="s">
        <v>202</v>
      </c>
      <c r="C47" s="2" t="s">
        <v>200</v>
      </c>
      <c r="D47" s="2" t="s">
        <v>204</v>
      </c>
      <c r="E47" s="2" t="s">
        <v>203</v>
      </c>
    </row>
    <row r="48" spans="2:5" s="2" customFormat="1" ht="27.95" customHeight="1" x14ac:dyDescent="0.25">
      <c r="B48" s="2" t="s">
        <v>228</v>
      </c>
      <c r="C48" s="2" t="s">
        <v>203</v>
      </c>
      <c r="D48" s="2" t="s">
        <v>200</v>
      </c>
      <c r="E48" s="2" t="s">
        <v>231</v>
      </c>
    </row>
    <row r="49" spans="2:5" s="2" customFormat="1" ht="27.95" customHeight="1" x14ac:dyDescent="0.25">
      <c r="B49" s="2" t="s">
        <v>203</v>
      </c>
      <c r="C49" s="2" t="s">
        <v>203</v>
      </c>
      <c r="D49" s="2" t="s">
        <v>200</v>
      </c>
      <c r="E49" s="2" t="s">
        <v>231</v>
      </c>
    </row>
    <row r="50" spans="2:5" s="2" customFormat="1" ht="27.95" customHeight="1" x14ac:dyDescent="0.25">
      <c r="B50" s="2" t="s">
        <v>229</v>
      </c>
      <c r="C50" s="2" t="s">
        <v>203</v>
      </c>
      <c r="D50" s="2" t="s">
        <v>200</v>
      </c>
      <c r="E50" s="2" t="s">
        <v>231</v>
      </c>
    </row>
    <row r="51" spans="2:5" s="2" customFormat="1" ht="27.95" customHeight="1" x14ac:dyDescent="0.25">
      <c r="B51" s="2" t="s">
        <v>230</v>
      </c>
      <c r="C51" s="2" t="s">
        <v>203</v>
      </c>
      <c r="D51" s="2" t="s">
        <v>200</v>
      </c>
      <c r="E51" s="2" t="s">
        <v>231</v>
      </c>
    </row>
    <row r="52" spans="2:5" s="2" customFormat="1" ht="27.95" customHeight="1" x14ac:dyDescent="0.25">
      <c r="B52" s="2" t="s">
        <v>238</v>
      </c>
      <c r="C52" s="2" t="s">
        <v>237</v>
      </c>
      <c r="D52" s="2" t="s">
        <v>231</v>
      </c>
      <c r="E52" s="2" t="s">
        <v>200</v>
      </c>
    </row>
    <row r="53" spans="2:5" s="2" customFormat="1" ht="27.95" customHeight="1" x14ac:dyDescent="0.25">
      <c r="B53" s="2" t="s">
        <v>239</v>
      </c>
      <c r="C53" s="2" t="s">
        <v>237</v>
      </c>
      <c r="D53" s="2" t="s">
        <v>231</v>
      </c>
      <c r="E53" s="2" t="s">
        <v>200</v>
      </c>
    </row>
    <row r="54" spans="2:5" s="2" customFormat="1" ht="27.95" customHeight="1" x14ac:dyDescent="0.25">
      <c r="B54" s="2" t="s">
        <v>240</v>
      </c>
      <c r="C54" s="2" t="s">
        <v>237</v>
      </c>
      <c r="D54" s="2" t="s">
        <v>231</v>
      </c>
      <c r="E54" s="2" t="s">
        <v>200</v>
      </c>
    </row>
    <row r="55" spans="2:5" s="2" customFormat="1" ht="27.95" customHeight="1" x14ac:dyDescent="0.25">
      <c r="B55" s="2" t="s">
        <v>237</v>
      </c>
      <c r="C55" s="2" t="s">
        <v>237</v>
      </c>
      <c r="D55" s="2" t="s">
        <v>231</v>
      </c>
      <c r="E55" s="2" t="s">
        <v>200</v>
      </c>
    </row>
    <row r="56" spans="2:5" s="2" customFormat="1" ht="27.95" customHeight="1" x14ac:dyDescent="0.25">
      <c r="B56" s="2" t="s">
        <v>249</v>
      </c>
      <c r="C56" s="2" t="s">
        <v>231</v>
      </c>
      <c r="D56" s="2" t="s">
        <v>203</v>
      </c>
      <c r="E56" s="2" t="s">
        <v>237</v>
      </c>
    </row>
    <row r="57" spans="2:5" s="2" customFormat="1" ht="27.95" customHeight="1" x14ac:dyDescent="0.25">
      <c r="B57" s="2" t="s">
        <v>231</v>
      </c>
      <c r="C57" s="2" t="s">
        <v>231</v>
      </c>
      <c r="D57" s="2" t="s">
        <v>203</v>
      </c>
      <c r="E57" s="2" t="s">
        <v>237</v>
      </c>
    </row>
    <row r="58" spans="2:5" s="2" customFormat="1" ht="27.95" customHeight="1" x14ac:dyDescent="0.25">
      <c r="B58" s="2" t="s">
        <v>250</v>
      </c>
      <c r="C58" s="2" t="s">
        <v>231</v>
      </c>
      <c r="D58" s="2" t="s">
        <v>203</v>
      </c>
      <c r="E58" s="2" t="s">
        <v>237</v>
      </c>
    </row>
    <row r="59" spans="2:5" s="2" customFormat="1" ht="27.95" customHeight="1" x14ac:dyDescent="0.25">
      <c r="B59" s="2" t="s">
        <v>246</v>
      </c>
      <c r="C59" s="2" t="s">
        <v>231</v>
      </c>
      <c r="D59" s="2" t="s">
        <v>203</v>
      </c>
      <c r="E59" s="2" t="s">
        <v>237</v>
      </c>
    </row>
    <row r="60" spans="2:5" s="2" customFormat="1" ht="27.95" customHeight="1" x14ac:dyDescent="0.25">
      <c r="B60" s="2" t="s">
        <v>620</v>
      </c>
      <c r="C60" s="2" t="s">
        <v>340</v>
      </c>
      <c r="D60" s="2" t="s">
        <v>340</v>
      </c>
      <c r="E60" s="2" t="s">
        <v>340</v>
      </c>
    </row>
    <row r="61" spans="2:5" s="2" customFormat="1" ht="27.95" customHeight="1" x14ac:dyDescent="0.25"/>
    <row r="62" spans="2:5" s="2" customFormat="1" ht="27.95" customHeight="1" x14ac:dyDescent="0.25">
      <c r="B62" s="2" t="s">
        <v>184</v>
      </c>
      <c r="C62" s="2" t="s">
        <v>0</v>
      </c>
      <c r="D62" s="2" t="s">
        <v>205</v>
      </c>
    </row>
    <row r="63" spans="2:5" s="2" customFormat="1" ht="27.95" customHeight="1" x14ac:dyDescent="0.25">
      <c r="B63" s="2" t="s">
        <v>200</v>
      </c>
      <c r="C63" s="2" t="s">
        <v>206</v>
      </c>
      <c r="D63" s="4">
        <v>1</v>
      </c>
    </row>
    <row r="64" spans="2:5" s="2" customFormat="1" ht="27.95" customHeight="1" x14ac:dyDescent="0.25">
      <c r="B64" s="2" t="s">
        <v>200</v>
      </c>
      <c r="C64" s="2" t="s">
        <v>207</v>
      </c>
      <c r="D64" s="4">
        <v>2</v>
      </c>
    </row>
    <row r="65" spans="2:4" s="2" customFormat="1" ht="27.95" customHeight="1" x14ac:dyDescent="0.25">
      <c r="B65" s="2" t="s">
        <v>200</v>
      </c>
      <c r="C65" s="2" t="s">
        <v>208</v>
      </c>
      <c r="D65" s="4">
        <v>3</v>
      </c>
    </row>
    <row r="66" spans="2:4" s="2" customFormat="1" ht="27.95" customHeight="1" x14ac:dyDescent="0.25">
      <c r="B66" s="2" t="s">
        <v>200</v>
      </c>
      <c r="C66" s="2" t="s">
        <v>209</v>
      </c>
      <c r="D66" s="4">
        <v>4</v>
      </c>
    </row>
    <row r="67" spans="2:4" s="2" customFormat="1" ht="27.95" customHeight="1" x14ac:dyDescent="0.25">
      <c r="B67" s="2" t="s">
        <v>200</v>
      </c>
      <c r="C67" s="2" t="s">
        <v>210</v>
      </c>
      <c r="D67" s="4">
        <v>5</v>
      </c>
    </row>
    <row r="68" spans="2:4" s="2" customFormat="1" ht="27.95" customHeight="1" x14ac:dyDescent="0.25">
      <c r="B68" s="2" t="s">
        <v>186</v>
      </c>
      <c r="C68" s="2" t="s">
        <v>75</v>
      </c>
      <c r="D68" s="4">
        <v>1</v>
      </c>
    </row>
    <row r="69" spans="2:4" s="2" customFormat="1" ht="27.95" customHeight="1" x14ac:dyDescent="0.25">
      <c r="B69" s="2" t="s">
        <v>186</v>
      </c>
      <c r="C69" s="2" t="s">
        <v>76</v>
      </c>
      <c r="D69" s="4">
        <v>2</v>
      </c>
    </row>
    <row r="70" spans="2:4" s="2" customFormat="1" ht="27.95" customHeight="1" x14ac:dyDescent="0.25">
      <c r="B70" s="2" t="s">
        <v>186</v>
      </c>
      <c r="C70" s="2" t="s">
        <v>217</v>
      </c>
      <c r="D70" s="4">
        <v>3</v>
      </c>
    </row>
    <row r="71" spans="2:4" s="2" customFormat="1" ht="27.95" customHeight="1" x14ac:dyDescent="0.25">
      <c r="B71" s="2" t="s">
        <v>186</v>
      </c>
      <c r="C71" s="2" t="s">
        <v>218</v>
      </c>
      <c r="D71" s="4">
        <v>4</v>
      </c>
    </row>
    <row r="72" spans="2:4" s="2" customFormat="1" ht="27.95" customHeight="1" x14ac:dyDescent="0.25">
      <c r="B72" s="2" t="s">
        <v>186</v>
      </c>
      <c r="C72" s="2" t="s">
        <v>219</v>
      </c>
      <c r="D72" s="4">
        <v>5</v>
      </c>
    </row>
    <row r="73" spans="2:4" s="2" customFormat="1" ht="27.95" customHeight="1" x14ac:dyDescent="0.25">
      <c r="B73" s="2" t="s">
        <v>192</v>
      </c>
      <c r="C73" s="2" t="s">
        <v>30</v>
      </c>
      <c r="D73" s="4">
        <v>1</v>
      </c>
    </row>
    <row r="74" spans="2:4" s="2" customFormat="1" ht="27.95" customHeight="1" x14ac:dyDescent="0.25">
      <c r="B74" s="2" t="s">
        <v>192</v>
      </c>
      <c r="C74" s="2" t="s">
        <v>78</v>
      </c>
      <c r="D74" s="4">
        <v>2</v>
      </c>
    </row>
    <row r="75" spans="2:4" s="2" customFormat="1" ht="27.95" customHeight="1" x14ac:dyDescent="0.25">
      <c r="B75" s="2" t="s">
        <v>192</v>
      </c>
      <c r="C75" s="2" t="s">
        <v>220</v>
      </c>
      <c r="D75" s="4">
        <v>3</v>
      </c>
    </row>
    <row r="76" spans="2:4" s="2" customFormat="1" ht="27.95" customHeight="1" x14ac:dyDescent="0.25">
      <c r="B76" s="2" t="s">
        <v>192</v>
      </c>
      <c r="C76" s="2" t="s">
        <v>221</v>
      </c>
      <c r="D76" s="4">
        <v>4</v>
      </c>
    </row>
    <row r="77" spans="2:4" s="2" customFormat="1" ht="27.95" customHeight="1" x14ac:dyDescent="0.25">
      <c r="B77" s="2" t="s">
        <v>192</v>
      </c>
      <c r="C77" s="2" t="s">
        <v>222</v>
      </c>
      <c r="D77" s="4">
        <v>5</v>
      </c>
    </row>
    <row r="78" spans="2:4" s="2" customFormat="1" ht="27.95" customHeight="1" x14ac:dyDescent="0.25">
      <c r="B78" s="2" t="s">
        <v>190</v>
      </c>
      <c r="C78" s="2" t="s">
        <v>223</v>
      </c>
      <c r="D78" s="4">
        <v>1</v>
      </c>
    </row>
    <row r="79" spans="2:4" s="2" customFormat="1" ht="27.95" customHeight="1" x14ac:dyDescent="0.25">
      <c r="B79" s="2" t="s">
        <v>190</v>
      </c>
      <c r="C79" s="2" t="s">
        <v>224</v>
      </c>
      <c r="D79" s="4">
        <v>2</v>
      </c>
    </row>
    <row r="80" spans="2:4" s="2" customFormat="1" ht="27.95" customHeight="1" x14ac:dyDescent="0.25">
      <c r="B80" s="2" t="s">
        <v>190</v>
      </c>
      <c r="C80" s="2" t="s">
        <v>225</v>
      </c>
      <c r="D80" s="4">
        <v>3</v>
      </c>
    </row>
    <row r="81" spans="2:4" s="2" customFormat="1" ht="27.95" customHeight="1" x14ac:dyDescent="0.25">
      <c r="B81" s="2" t="s">
        <v>190</v>
      </c>
      <c r="C81" s="2" t="s">
        <v>226</v>
      </c>
      <c r="D81" s="4">
        <v>4</v>
      </c>
    </row>
    <row r="82" spans="2:4" s="2" customFormat="1" ht="27.95" customHeight="1" x14ac:dyDescent="0.25">
      <c r="B82" s="2" t="s">
        <v>190</v>
      </c>
      <c r="C82" s="2" t="s">
        <v>227</v>
      </c>
      <c r="D82" s="4">
        <v>5</v>
      </c>
    </row>
    <row r="83" spans="2:4" s="2" customFormat="1" ht="27.95" customHeight="1" x14ac:dyDescent="0.25">
      <c r="B83" s="2" t="s">
        <v>203</v>
      </c>
      <c r="C83" s="2" t="s">
        <v>212</v>
      </c>
      <c r="D83" s="4">
        <v>1</v>
      </c>
    </row>
    <row r="84" spans="2:4" s="2" customFormat="1" ht="27.95" customHeight="1" x14ac:dyDescent="0.25">
      <c r="B84" s="2" t="s">
        <v>203</v>
      </c>
      <c r="C84" s="2" t="s">
        <v>213</v>
      </c>
      <c r="D84" s="4">
        <v>2</v>
      </c>
    </row>
    <row r="85" spans="2:4" s="2" customFormat="1" ht="27.95" customHeight="1" x14ac:dyDescent="0.25">
      <c r="B85" s="2" t="s">
        <v>203</v>
      </c>
      <c r="C85" s="2" t="s">
        <v>214</v>
      </c>
      <c r="D85" s="4">
        <v>3</v>
      </c>
    </row>
    <row r="86" spans="2:4" s="2" customFormat="1" ht="27.95" customHeight="1" x14ac:dyDescent="0.25">
      <c r="B86" s="2" t="s">
        <v>203</v>
      </c>
      <c r="C86" s="2" t="s">
        <v>215</v>
      </c>
      <c r="D86" s="4">
        <v>4</v>
      </c>
    </row>
    <row r="87" spans="2:4" s="2" customFormat="1" ht="27.95" customHeight="1" x14ac:dyDescent="0.25">
      <c r="B87" s="2" t="s">
        <v>203</v>
      </c>
      <c r="C87" s="2" t="s">
        <v>216</v>
      </c>
      <c r="D87" s="4">
        <v>5</v>
      </c>
    </row>
    <row r="88" spans="2:4" s="2" customFormat="1" ht="27.95" customHeight="1" x14ac:dyDescent="0.25">
      <c r="B88" s="2" t="s">
        <v>237</v>
      </c>
      <c r="C88" s="2" t="s">
        <v>241</v>
      </c>
      <c r="D88" s="4">
        <v>1</v>
      </c>
    </row>
    <row r="89" spans="2:4" s="2" customFormat="1" ht="27.95" customHeight="1" x14ac:dyDescent="0.25">
      <c r="B89" s="2" t="s">
        <v>237</v>
      </c>
      <c r="C89" s="2" t="s">
        <v>242</v>
      </c>
      <c r="D89" s="4">
        <v>2</v>
      </c>
    </row>
    <row r="90" spans="2:4" s="2" customFormat="1" ht="27.95" customHeight="1" x14ac:dyDescent="0.25">
      <c r="B90" s="2" t="s">
        <v>237</v>
      </c>
      <c r="C90" s="2" t="s">
        <v>243</v>
      </c>
      <c r="D90" s="4">
        <v>3</v>
      </c>
    </row>
    <row r="91" spans="2:4" s="2" customFormat="1" ht="27.95" customHeight="1" x14ac:dyDescent="0.25">
      <c r="B91" s="2" t="s">
        <v>237</v>
      </c>
      <c r="C91" s="2" t="s">
        <v>244</v>
      </c>
      <c r="D91" s="4">
        <v>4</v>
      </c>
    </row>
    <row r="92" spans="2:4" s="2" customFormat="1" ht="27.95" customHeight="1" x14ac:dyDescent="0.25">
      <c r="B92" s="2" t="s">
        <v>237</v>
      </c>
      <c r="C92" s="2" t="s">
        <v>245</v>
      </c>
      <c r="D92" s="4">
        <v>5</v>
      </c>
    </row>
    <row r="93" spans="2:4" s="2" customFormat="1" ht="27.95" customHeight="1" x14ac:dyDescent="0.25">
      <c r="B93" s="2" t="s">
        <v>231</v>
      </c>
      <c r="C93" s="2" t="s">
        <v>232</v>
      </c>
      <c r="D93" s="4">
        <v>1</v>
      </c>
    </row>
    <row r="94" spans="2:4" s="2" customFormat="1" ht="27.95" customHeight="1" x14ac:dyDescent="0.25">
      <c r="B94" s="2" t="s">
        <v>231</v>
      </c>
      <c r="C94" s="2" t="s">
        <v>233</v>
      </c>
      <c r="D94" s="4">
        <v>2</v>
      </c>
    </row>
    <row r="95" spans="2:4" s="2" customFormat="1" ht="27.95" customHeight="1" x14ac:dyDescent="0.25">
      <c r="B95" s="2" t="s">
        <v>231</v>
      </c>
      <c r="C95" s="2" t="s">
        <v>234</v>
      </c>
      <c r="D95" s="4">
        <v>3</v>
      </c>
    </row>
    <row r="96" spans="2:4" s="2" customFormat="1" ht="27.95" customHeight="1" x14ac:dyDescent="0.25">
      <c r="B96" s="2" t="s">
        <v>231</v>
      </c>
      <c r="C96" s="2" t="s">
        <v>235</v>
      </c>
      <c r="D96" s="4">
        <v>4</v>
      </c>
    </row>
    <row r="97" spans="2:4" s="2" customFormat="1" ht="27.95" customHeight="1" x14ac:dyDescent="0.25">
      <c r="B97" s="2" t="s">
        <v>231</v>
      </c>
      <c r="C97" s="2" t="s">
        <v>236</v>
      </c>
      <c r="D97" s="4">
        <v>5</v>
      </c>
    </row>
    <row r="98" spans="2:4" s="2" customFormat="1" ht="27.95" customHeight="1" x14ac:dyDescent="0.25"/>
    <row r="99" spans="2:4" s="2" customFormat="1" ht="27.95" customHeight="1" x14ac:dyDescent="0.25">
      <c r="B99" s="2" t="s">
        <v>184</v>
      </c>
      <c r="C99" s="2" t="s">
        <v>0</v>
      </c>
      <c r="D99" s="2" t="s">
        <v>211</v>
      </c>
    </row>
    <row r="100" spans="2:4" s="2" customFormat="1" ht="27.95" customHeight="1" x14ac:dyDescent="0.25">
      <c r="B100" s="2" t="s">
        <v>200</v>
      </c>
      <c r="C100" s="2" t="s">
        <v>212</v>
      </c>
      <c r="D100" s="4">
        <v>1</v>
      </c>
    </row>
    <row r="101" spans="2:4" s="2" customFormat="1" ht="27.95" customHeight="1" x14ac:dyDescent="0.25">
      <c r="B101" s="2" t="s">
        <v>200</v>
      </c>
      <c r="C101" s="2" t="s">
        <v>213</v>
      </c>
      <c r="D101" s="4">
        <v>2</v>
      </c>
    </row>
    <row r="102" spans="2:4" s="2" customFormat="1" ht="27.95" customHeight="1" x14ac:dyDescent="0.25">
      <c r="B102" s="2" t="s">
        <v>200</v>
      </c>
      <c r="C102" s="2" t="s">
        <v>214</v>
      </c>
      <c r="D102" s="4">
        <v>3</v>
      </c>
    </row>
    <row r="103" spans="2:4" s="2" customFormat="1" ht="27.95" customHeight="1" x14ac:dyDescent="0.25">
      <c r="B103" s="2" t="s">
        <v>200</v>
      </c>
      <c r="C103" s="2" t="s">
        <v>215</v>
      </c>
      <c r="D103" s="4">
        <v>4</v>
      </c>
    </row>
    <row r="104" spans="2:4" s="2" customFormat="1" ht="27.95" customHeight="1" x14ac:dyDescent="0.25">
      <c r="B104" s="2" t="s">
        <v>200</v>
      </c>
      <c r="C104" s="2" t="s">
        <v>216</v>
      </c>
      <c r="D104" s="4">
        <v>5</v>
      </c>
    </row>
    <row r="105" spans="2:4" s="2" customFormat="1" ht="27.95" customHeight="1" x14ac:dyDescent="0.25">
      <c r="B105" s="2" t="s">
        <v>186</v>
      </c>
      <c r="C105" s="2" t="s">
        <v>30</v>
      </c>
      <c r="D105" s="4">
        <v>1</v>
      </c>
    </row>
    <row r="106" spans="2:4" s="2" customFormat="1" ht="27.95" customHeight="1" x14ac:dyDescent="0.25">
      <c r="B106" s="2" t="s">
        <v>186</v>
      </c>
      <c r="C106" s="2" t="s">
        <v>78</v>
      </c>
      <c r="D106" s="4">
        <v>2</v>
      </c>
    </row>
    <row r="107" spans="2:4" s="2" customFormat="1" ht="27.95" customHeight="1" x14ac:dyDescent="0.25">
      <c r="B107" s="2" t="s">
        <v>186</v>
      </c>
      <c r="C107" s="2" t="s">
        <v>220</v>
      </c>
      <c r="D107" s="4">
        <v>3</v>
      </c>
    </row>
    <row r="108" spans="2:4" s="2" customFormat="1" ht="27.95" customHeight="1" x14ac:dyDescent="0.25">
      <c r="B108" s="2" t="s">
        <v>186</v>
      </c>
      <c r="C108" s="2" t="s">
        <v>221</v>
      </c>
      <c r="D108" s="4">
        <v>4</v>
      </c>
    </row>
    <row r="109" spans="2:4" s="2" customFormat="1" ht="27.95" customHeight="1" x14ac:dyDescent="0.25">
      <c r="B109" s="2" t="s">
        <v>186</v>
      </c>
      <c r="C109" s="2" t="s">
        <v>222</v>
      </c>
      <c r="D109" s="4">
        <v>5</v>
      </c>
    </row>
    <row r="110" spans="2:4" s="2" customFormat="1" ht="27.95" customHeight="1" x14ac:dyDescent="0.25">
      <c r="B110" s="2" t="s">
        <v>192</v>
      </c>
      <c r="C110" s="2" t="s">
        <v>223</v>
      </c>
      <c r="D110" s="4">
        <v>1</v>
      </c>
    </row>
    <row r="111" spans="2:4" s="2" customFormat="1" ht="27.95" customHeight="1" x14ac:dyDescent="0.25">
      <c r="B111" s="2" t="s">
        <v>192</v>
      </c>
      <c r="C111" s="2" t="s">
        <v>224</v>
      </c>
      <c r="D111" s="4">
        <v>2</v>
      </c>
    </row>
    <row r="112" spans="2:4" s="2" customFormat="1" ht="27.95" customHeight="1" x14ac:dyDescent="0.25">
      <c r="B112" s="2" t="s">
        <v>192</v>
      </c>
      <c r="C112" s="2" t="s">
        <v>225</v>
      </c>
      <c r="D112" s="4">
        <v>3</v>
      </c>
    </row>
    <row r="113" spans="2:4" s="2" customFormat="1" ht="27.95" customHeight="1" x14ac:dyDescent="0.25">
      <c r="B113" s="2" t="s">
        <v>192</v>
      </c>
      <c r="C113" s="2" t="s">
        <v>226</v>
      </c>
      <c r="D113" s="4">
        <v>4</v>
      </c>
    </row>
    <row r="114" spans="2:4" s="2" customFormat="1" ht="27.95" customHeight="1" x14ac:dyDescent="0.25">
      <c r="B114" s="2" t="s">
        <v>192</v>
      </c>
      <c r="C114" s="2" t="s">
        <v>227</v>
      </c>
      <c r="D114" s="4">
        <v>5</v>
      </c>
    </row>
    <row r="115" spans="2:4" s="2" customFormat="1" ht="27.95" customHeight="1" x14ac:dyDescent="0.25">
      <c r="B115" s="2" t="s">
        <v>190</v>
      </c>
      <c r="C115" s="2" t="s">
        <v>75</v>
      </c>
      <c r="D115" s="4">
        <v>1</v>
      </c>
    </row>
    <row r="116" spans="2:4" s="2" customFormat="1" ht="27.95" customHeight="1" x14ac:dyDescent="0.25">
      <c r="B116" s="2" t="s">
        <v>190</v>
      </c>
      <c r="C116" s="2" t="s">
        <v>76</v>
      </c>
      <c r="D116" s="4">
        <v>2</v>
      </c>
    </row>
    <row r="117" spans="2:4" s="2" customFormat="1" ht="27.95" customHeight="1" x14ac:dyDescent="0.25">
      <c r="B117" s="2" t="s">
        <v>190</v>
      </c>
      <c r="C117" s="2" t="s">
        <v>217</v>
      </c>
      <c r="D117" s="4">
        <v>3</v>
      </c>
    </row>
    <row r="118" spans="2:4" s="2" customFormat="1" ht="27.95" customHeight="1" x14ac:dyDescent="0.25">
      <c r="B118" s="2" t="s">
        <v>190</v>
      </c>
      <c r="C118" s="2" t="s">
        <v>218</v>
      </c>
      <c r="D118" s="4">
        <v>4</v>
      </c>
    </row>
    <row r="119" spans="2:4" s="2" customFormat="1" ht="27.95" customHeight="1" x14ac:dyDescent="0.25">
      <c r="B119" s="2" t="s">
        <v>190</v>
      </c>
      <c r="C119" s="2" t="s">
        <v>219</v>
      </c>
      <c r="D119" s="4">
        <v>5</v>
      </c>
    </row>
    <row r="120" spans="2:4" s="2" customFormat="1" ht="27.95" customHeight="1" x14ac:dyDescent="0.25">
      <c r="B120" s="2" t="s">
        <v>203</v>
      </c>
      <c r="C120" s="2" t="s">
        <v>232</v>
      </c>
      <c r="D120" s="4">
        <v>1</v>
      </c>
    </row>
    <row r="121" spans="2:4" s="2" customFormat="1" ht="27.95" customHeight="1" x14ac:dyDescent="0.25">
      <c r="B121" s="2" t="s">
        <v>203</v>
      </c>
      <c r="C121" s="2" t="s">
        <v>233</v>
      </c>
      <c r="D121" s="4">
        <v>2</v>
      </c>
    </row>
    <row r="122" spans="2:4" s="2" customFormat="1" ht="27.95" customHeight="1" x14ac:dyDescent="0.25">
      <c r="B122" s="2" t="s">
        <v>203</v>
      </c>
      <c r="C122" s="2" t="s">
        <v>234</v>
      </c>
      <c r="D122" s="4">
        <v>3</v>
      </c>
    </row>
    <row r="123" spans="2:4" s="2" customFormat="1" ht="27.95" customHeight="1" x14ac:dyDescent="0.25">
      <c r="B123" s="2" t="s">
        <v>203</v>
      </c>
      <c r="C123" s="2" t="s">
        <v>235</v>
      </c>
      <c r="D123" s="4">
        <v>4</v>
      </c>
    </row>
    <row r="124" spans="2:4" s="2" customFormat="1" ht="27.95" customHeight="1" x14ac:dyDescent="0.25">
      <c r="B124" s="2" t="s">
        <v>203</v>
      </c>
      <c r="C124" s="2" t="s">
        <v>236</v>
      </c>
      <c r="D124" s="4">
        <v>5</v>
      </c>
    </row>
    <row r="125" spans="2:4" s="2" customFormat="1" ht="27.95" customHeight="1" x14ac:dyDescent="0.25">
      <c r="B125" s="2" t="s">
        <v>237</v>
      </c>
      <c r="C125" s="2" t="s">
        <v>206</v>
      </c>
      <c r="D125" s="4">
        <v>1</v>
      </c>
    </row>
    <row r="126" spans="2:4" s="2" customFormat="1" ht="27.95" customHeight="1" x14ac:dyDescent="0.25">
      <c r="B126" s="2" t="s">
        <v>237</v>
      </c>
      <c r="C126" s="2" t="s">
        <v>207</v>
      </c>
      <c r="D126" s="4">
        <v>2</v>
      </c>
    </row>
    <row r="127" spans="2:4" s="2" customFormat="1" ht="27.95" customHeight="1" x14ac:dyDescent="0.25">
      <c r="B127" s="2" t="s">
        <v>237</v>
      </c>
      <c r="C127" s="2" t="s">
        <v>208</v>
      </c>
      <c r="D127" s="4">
        <v>3</v>
      </c>
    </row>
    <row r="128" spans="2:4" s="2" customFormat="1" ht="27.95" customHeight="1" x14ac:dyDescent="0.25">
      <c r="B128" s="2" t="s">
        <v>237</v>
      </c>
      <c r="C128" s="2" t="s">
        <v>209</v>
      </c>
      <c r="D128" s="4">
        <v>4</v>
      </c>
    </row>
    <row r="129" spans="2:4" s="2" customFormat="1" ht="27.95" customHeight="1" x14ac:dyDescent="0.25">
      <c r="B129" s="2" t="s">
        <v>237</v>
      </c>
      <c r="C129" s="2" t="s">
        <v>210</v>
      </c>
      <c r="D129" s="4">
        <v>5</v>
      </c>
    </row>
    <row r="130" spans="2:4" s="2" customFormat="1" ht="27.95" customHeight="1" x14ac:dyDescent="0.25">
      <c r="B130" s="2" t="s">
        <v>231</v>
      </c>
      <c r="C130" s="2" t="s">
        <v>241</v>
      </c>
      <c r="D130" s="4">
        <v>1</v>
      </c>
    </row>
    <row r="131" spans="2:4" s="2" customFormat="1" ht="27.95" customHeight="1" x14ac:dyDescent="0.25">
      <c r="B131" s="2" t="s">
        <v>231</v>
      </c>
      <c r="C131" s="2" t="s">
        <v>242</v>
      </c>
      <c r="D131" s="4">
        <v>2</v>
      </c>
    </row>
    <row r="132" spans="2:4" s="2" customFormat="1" ht="27.95" customHeight="1" x14ac:dyDescent="0.25">
      <c r="B132" s="2" t="s">
        <v>231</v>
      </c>
      <c r="C132" s="2" t="s">
        <v>243</v>
      </c>
      <c r="D132" s="4">
        <v>3</v>
      </c>
    </row>
    <row r="133" spans="2:4" s="2" customFormat="1" ht="27.95" customHeight="1" x14ac:dyDescent="0.25">
      <c r="B133" s="2" t="s">
        <v>231</v>
      </c>
      <c r="C133" s="2" t="s">
        <v>244</v>
      </c>
      <c r="D133" s="4">
        <v>4</v>
      </c>
    </row>
    <row r="134" spans="2:4" s="2" customFormat="1" ht="27.95" customHeight="1" x14ac:dyDescent="0.25">
      <c r="B134" s="2" t="s">
        <v>231</v>
      </c>
      <c r="C134" s="2" t="s">
        <v>245</v>
      </c>
      <c r="D134" s="4">
        <v>5</v>
      </c>
    </row>
    <row r="135" spans="2:4" s="2" customFormat="1" ht="27.95" customHeight="1" x14ac:dyDescent="0.25"/>
    <row r="136" spans="2:4" s="2" customFormat="1" ht="27.95" customHeight="1" x14ac:dyDescent="0.25">
      <c r="B136" s="2" t="s">
        <v>251</v>
      </c>
      <c r="C136" s="2" t="s">
        <v>252</v>
      </c>
    </row>
    <row r="137" spans="2:4" s="2" customFormat="1" ht="27.95" customHeight="1" x14ac:dyDescent="0.25">
      <c r="B137" s="2" t="s">
        <v>153</v>
      </c>
      <c r="C137" s="2" t="s">
        <v>149</v>
      </c>
    </row>
    <row r="138" spans="2:4" s="2" customFormat="1" ht="27.95" customHeight="1" x14ac:dyDescent="0.25">
      <c r="B138" s="2" t="s">
        <v>149</v>
      </c>
      <c r="C138" s="2" t="s">
        <v>149</v>
      </c>
    </row>
    <row r="139" spans="2:4" s="2" customFormat="1" ht="27.95" customHeight="1" x14ac:dyDescent="0.25">
      <c r="B139" s="2" t="s">
        <v>253</v>
      </c>
      <c r="C139" s="2" t="s">
        <v>149</v>
      </c>
    </row>
    <row r="140" spans="2:4" s="2" customFormat="1" ht="27.95" customHeight="1" x14ac:dyDescent="0.25">
      <c r="B140" s="2" t="s">
        <v>143</v>
      </c>
      <c r="C140" s="2" t="s">
        <v>149</v>
      </c>
    </row>
    <row r="141" spans="2:4" s="2" customFormat="1" ht="27.95" customHeight="1" x14ac:dyDescent="0.25">
      <c r="B141" s="2" t="s">
        <v>152</v>
      </c>
      <c r="C141" s="2" t="s">
        <v>149</v>
      </c>
    </row>
    <row r="142" spans="2:4" s="2" customFormat="1" ht="27.95" customHeight="1" x14ac:dyDescent="0.25">
      <c r="B142" s="2" t="s">
        <v>142</v>
      </c>
      <c r="C142" s="2" t="s">
        <v>149</v>
      </c>
    </row>
    <row r="143" spans="2:4" s="2" customFormat="1" ht="27.95" customHeight="1" x14ac:dyDescent="0.25">
      <c r="B143" s="2" t="s">
        <v>262</v>
      </c>
      <c r="C143" s="2" t="s">
        <v>149</v>
      </c>
    </row>
    <row r="144" spans="2:4" s="2" customFormat="1" ht="27.95" customHeight="1" x14ac:dyDescent="0.25">
      <c r="B144" s="2" t="s">
        <v>273</v>
      </c>
      <c r="C144" s="2" t="s">
        <v>149</v>
      </c>
    </row>
    <row r="145" spans="2:3" s="2" customFormat="1" ht="27.95" customHeight="1" x14ac:dyDescent="0.25">
      <c r="B145" s="2" t="s">
        <v>311</v>
      </c>
      <c r="C145" s="2" t="s">
        <v>149</v>
      </c>
    </row>
    <row r="146" spans="2:3" s="2" customFormat="1" ht="27.95" customHeight="1" x14ac:dyDescent="0.25">
      <c r="B146" s="2" t="s">
        <v>254</v>
      </c>
      <c r="C146" s="2" t="s">
        <v>145</v>
      </c>
    </row>
    <row r="147" spans="2:3" s="2" customFormat="1" ht="27.95" customHeight="1" x14ac:dyDescent="0.25">
      <c r="B147" s="2" t="s">
        <v>255</v>
      </c>
      <c r="C147" s="2" t="s">
        <v>145</v>
      </c>
    </row>
    <row r="148" spans="2:3" s="2" customFormat="1" ht="27.95" customHeight="1" x14ac:dyDescent="0.25">
      <c r="B148" s="2" t="s">
        <v>259</v>
      </c>
      <c r="C148" s="2" t="s">
        <v>145</v>
      </c>
    </row>
    <row r="149" spans="2:3" s="2" customFormat="1" ht="27.95" customHeight="1" x14ac:dyDescent="0.25">
      <c r="B149" s="2" t="s">
        <v>146</v>
      </c>
      <c r="C149" s="2" t="s">
        <v>145</v>
      </c>
    </row>
    <row r="150" spans="2:3" s="2" customFormat="1" ht="27.95" customHeight="1" x14ac:dyDescent="0.25">
      <c r="B150" s="2" t="s">
        <v>145</v>
      </c>
      <c r="C150" s="2" t="s">
        <v>145</v>
      </c>
    </row>
    <row r="151" spans="2:3" s="2" customFormat="1" ht="27.95" customHeight="1" x14ac:dyDescent="0.25">
      <c r="B151" s="2" t="s">
        <v>150</v>
      </c>
      <c r="C151" s="2" t="s">
        <v>145</v>
      </c>
    </row>
    <row r="152" spans="2:3" s="2" customFormat="1" ht="27.95" customHeight="1" x14ac:dyDescent="0.25">
      <c r="B152" s="2" t="s">
        <v>144</v>
      </c>
      <c r="C152" s="2" t="s">
        <v>155</v>
      </c>
    </row>
    <row r="153" spans="2:3" s="2" customFormat="1" ht="27.95" customHeight="1" x14ac:dyDescent="0.25">
      <c r="B153" s="2" t="s">
        <v>256</v>
      </c>
      <c r="C153" s="2" t="s">
        <v>155</v>
      </c>
    </row>
    <row r="154" spans="2:3" s="2" customFormat="1" ht="27.95" customHeight="1" x14ac:dyDescent="0.25">
      <c r="B154" s="2" t="s">
        <v>257</v>
      </c>
      <c r="C154" s="2" t="s">
        <v>155</v>
      </c>
    </row>
    <row r="155" spans="2:3" s="2" customFormat="1" ht="27.95" customHeight="1" x14ac:dyDescent="0.25">
      <c r="B155" s="2" t="s">
        <v>258</v>
      </c>
      <c r="C155" s="2" t="s">
        <v>155</v>
      </c>
    </row>
    <row r="156" spans="2:3" s="2" customFormat="1" ht="27.95" customHeight="1" x14ac:dyDescent="0.25">
      <c r="B156" s="2" t="s">
        <v>151</v>
      </c>
      <c r="C156" s="2" t="s">
        <v>155</v>
      </c>
    </row>
    <row r="157" spans="2:3" s="2" customFormat="1" ht="27.95" customHeight="1" x14ac:dyDescent="0.25">
      <c r="B157" s="2" t="s">
        <v>154</v>
      </c>
      <c r="C157" s="2" t="s">
        <v>155</v>
      </c>
    </row>
    <row r="158" spans="2:3" s="2" customFormat="1" ht="27.95" customHeight="1" x14ac:dyDescent="0.25">
      <c r="B158" s="2" t="s">
        <v>155</v>
      </c>
      <c r="C158" s="2" t="s">
        <v>155</v>
      </c>
    </row>
    <row r="159" spans="2:3" s="2" customFormat="1" ht="27.95" customHeight="1" x14ac:dyDescent="0.25">
      <c r="B159" s="2" t="s">
        <v>645</v>
      </c>
      <c r="C159" s="2" t="s">
        <v>155</v>
      </c>
    </row>
    <row r="160" spans="2:3" s="2" customFormat="1" ht="27.95" customHeight="1" x14ac:dyDescent="0.25">
      <c r="B160" s="2" t="s">
        <v>620</v>
      </c>
      <c r="C160" s="2" t="s">
        <v>340</v>
      </c>
    </row>
    <row r="161" spans="2:3" s="2" customFormat="1" ht="27.95" customHeight="1" x14ac:dyDescent="0.25"/>
    <row r="162" spans="2:3" s="2" customFormat="1" ht="27.95" customHeight="1" x14ac:dyDescent="0.25">
      <c r="B162" s="2" t="s">
        <v>315</v>
      </c>
      <c r="C162" s="4" t="s">
        <v>359</v>
      </c>
    </row>
    <row r="163" spans="2:3" s="2" customFormat="1" ht="27.95" customHeight="1" x14ac:dyDescent="0.25">
      <c r="B163" s="2" t="s">
        <v>317</v>
      </c>
      <c r="C163" s="44">
        <v>9999</v>
      </c>
    </row>
    <row r="164" spans="2:3" s="2" customFormat="1" ht="27.95" customHeight="1" x14ac:dyDescent="0.25">
      <c r="B164" s="2" t="s">
        <v>316</v>
      </c>
      <c r="C164" s="44">
        <v>20</v>
      </c>
    </row>
    <row r="165" spans="2:3" s="2" customFormat="1" ht="27.95" customHeight="1" x14ac:dyDescent="0.25">
      <c r="B165" s="2" t="s">
        <v>323</v>
      </c>
      <c r="C165" s="44">
        <v>5</v>
      </c>
    </row>
    <row r="166" spans="2:3" s="2" customFormat="1" ht="27.95" customHeight="1" x14ac:dyDescent="0.25">
      <c r="B166" s="2" t="s">
        <v>330</v>
      </c>
      <c r="C166" s="44">
        <v>20</v>
      </c>
    </row>
    <row r="167" spans="2:3" s="2" customFormat="1" ht="27.95" customHeight="1" x14ac:dyDescent="0.25">
      <c r="B167" s="2" t="s">
        <v>505</v>
      </c>
      <c r="C167" s="44">
        <v>20</v>
      </c>
    </row>
    <row r="168" spans="2:3" s="2" customFormat="1" ht="27.95" customHeight="1" x14ac:dyDescent="0.25">
      <c r="B168" s="2" t="s">
        <v>508</v>
      </c>
      <c r="C168" s="44">
        <v>10</v>
      </c>
    </row>
    <row r="169" spans="2:3" s="2" customFormat="1" ht="27.95" customHeight="1" x14ac:dyDescent="0.25"/>
    <row r="170" spans="2:3" s="2" customFormat="1" ht="27.95" customHeight="1" x14ac:dyDescent="0.25">
      <c r="B170" s="2" t="s">
        <v>317</v>
      </c>
      <c r="C170" s="2" t="s">
        <v>591</v>
      </c>
    </row>
    <row r="171" spans="2:3" s="2" customFormat="1" ht="27.95" customHeight="1" x14ac:dyDescent="0.25">
      <c r="B171" s="2" t="s">
        <v>6</v>
      </c>
      <c r="C171" s="2" t="s">
        <v>592</v>
      </c>
    </row>
    <row r="172" spans="2:3" s="2" customFormat="1" ht="27.95" customHeight="1" x14ac:dyDescent="0.25">
      <c r="B172" s="2" t="s">
        <v>5</v>
      </c>
      <c r="C172" s="2" t="s">
        <v>592</v>
      </c>
    </row>
    <row r="173" spans="2:3" s="2" customFormat="1" ht="27.95" customHeight="1" x14ac:dyDescent="0.25">
      <c r="B173" s="2" t="s">
        <v>291</v>
      </c>
      <c r="C173" s="2" t="s">
        <v>592</v>
      </c>
    </row>
    <row r="174" spans="2:3" s="2" customFormat="1" ht="27.95" customHeight="1" x14ac:dyDescent="0.25">
      <c r="B174" s="2" t="s">
        <v>82</v>
      </c>
      <c r="C174" s="2" t="s">
        <v>592</v>
      </c>
    </row>
    <row r="175" spans="2:3" s="2" customFormat="1" ht="27.95" customHeight="1" x14ac:dyDescent="0.25">
      <c r="B175" s="2" t="s">
        <v>13</v>
      </c>
      <c r="C175" s="2" t="s">
        <v>592</v>
      </c>
    </row>
    <row r="176" spans="2:3" s="2" customFormat="1" ht="27.95" customHeight="1" x14ac:dyDescent="0.25">
      <c r="B176" s="2" t="s">
        <v>27</v>
      </c>
      <c r="C176" s="2" t="s">
        <v>592</v>
      </c>
    </row>
    <row r="177" spans="2:3" s="2" customFormat="1" ht="27.95" customHeight="1" x14ac:dyDescent="0.25">
      <c r="B177" s="2" t="s">
        <v>305</v>
      </c>
      <c r="C177" s="2" t="s">
        <v>601</v>
      </c>
    </row>
    <row r="178" spans="2:3" s="2" customFormat="1" ht="27.95" customHeight="1" x14ac:dyDescent="0.25">
      <c r="B178" s="2" t="s">
        <v>268</v>
      </c>
      <c r="C178" s="2" t="s">
        <v>592</v>
      </c>
    </row>
    <row r="179" spans="2:3" s="2" customFormat="1" ht="27.95" customHeight="1" x14ac:dyDescent="0.25">
      <c r="B179" s="2" t="s">
        <v>9</v>
      </c>
      <c r="C179" s="2" t="s">
        <v>592</v>
      </c>
    </row>
    <row r="180" spans="2:3" s="2" customFormat="1" ht="27.95" customHeight="1" x14ac:dyDescent="0.25">
      <c r="B180" s="2" t="s">
        <v>69</v>
      </c>
      <c r="C180" s="2" t="s">
        <v>601</v>
      </c>
    </row>
    <row r="181" spans="2:3" s="2" customFormat="1" ht="27.95" customHeight="1" x14ac:dyDescent="0.25">
      <c r="B181" s="2" t="s">
        <v>39</v>
      </c>
      <c r="C181" s="2" t="s">
        <v>592</v>
      </c>
    </row>
    <row r="182" spans="2:3" s="2" customFormat="1" ht="27.95" customHeight="1" x14ac:dyDescent="0.25">
      <c r="B182" s="2" t="s">
        <v>19</v>
      </c>
      <c r="C182" s="2" t="s">
        <v>592</v>
      </c>
    </row>
    <row r="183" spans="2:3" s="2" customFormat="1" ht="27.95" customHeight="1" x14ac:dyDescent="0.25">
      <c r="B183" s="2" t="s">
        <v>292</v>
      </c>
      <c r="C183" s="2" t="s">
        <v>601</v>
      </c>
    </row>
    <row r="184" spans="2:3" s="2" customFormat="1" ht="27.95" customHeight="1" x14ac:dyDescent="0.25">
      <c r="B184" s="2" t="s">
        <v>140</v>
      </c>
      <c r="C184" s="2" t="s">
        <v>601</v>
      </c>
    </row>
    <row r="185" spans="2:3" s="2" customFormat="1" ht="27.95" customHeight="1" x14ac:dyDescent="0.25">
      <c r="B185" s="2" t="s">
        <v>63</v>
      </c>
      <c r="C185" s="2" t="s">
        <v>592</v>
      </c>
    </row>
    <row r="186" spans="2:3" s="2" customFormat="1" ht="27.95" customHeight="1" x14ac:dyDescent="0.25">
      <c r="B186" s="2" t="s">
        <v>20</v>
      </c>
      <c r="C186" s="2" t="s">
        <v>601</v>
      </c>
    </row>
    <row r="187" spans="2:3" s="2" customFormat="1" ht="27.95" customHeight="1" x14ac:dyDescent="0.25">
      <c r="B187" s="2" t="s">
        <v>10</v>
      </c>
      <c r="C187" s="2" t="s">
        <v>592</v>
      </c>
    </row>
    <row r="188" spans="2:3" s="2" customFormat="1" ht="27.95" customHeight="1" x14ac:dyDescent="0.25">
      <c r="B188" s="2" t="s">
        <v>12</v>
      </c>
      <c r="C188" s="2" t="s">
        <v>601</v>
      </c>
    </row>
    <row r="189" spans="2:3" s="2" customFormat="1" ht="27.95" customHeight="1" x14ac:dyDescent="0.25">
      <c r="B189" s="2" t="s">
        <v>64</v>
      </c>
      <c r="C189" s="2" t="s">
        <v>601</v>
      </c>
    </row>
    <row r="190" spans="2:3" s="2" customFormat="1" ht="27.95" customHeight="1" x14ac:dyDescent="0.25"/>
    <row r="191" spans="2:3" s="2" customFormat="1" ht="27.95" customHeight="1" x14ac:dyDescent="0.25">
      <c r="B191" s="2" t="s">
        <v>594</v>
      </c>
      <c r="C191" s="2" t="s">
        <v>595</v>
      </c>
    </row>
    <row r="192" spans="2:3" s="2" customFormat="1" ht="27.95" customHeight="1" x14ac:dyDescent="0.25">
      <c r="B192" s="2" t="s">
        <v>9</v>
      </c>
      <c r="C192" s="2" t="s">
        <v>596</v>
      </c>
    </row>
    <row r="193" spans="2:3" s="2" customFormat="1" ht="27.95" customHeight="1" x14ac:dyDescent="0.25">
      <c r="B193" s="2" t="s">
        <v>63</v>
      </c>
      <c r="C193" s="2" t="s">
        <v>597</v>
      </c>
    </row>
    <row r="194" spans="2:3" s="2" customFormat="1" ht="27.95" customHeight="1" x14ac:dyDescent="0.25">
      <c r="B194" s="2" t="s">
        <v>20</v>
      </c>
      <c r="C194" s="2" t="s">
        <v>598</v>
      </c>
    </row>
    <row r="195" spans="2:3" s="2" customFormat="1" ht="27.95" customHeight="1" x14ac:dyDescent="0.25">
      <c r="B195" s="2" t="s">
        <v>27</v>
      </c>
      <c r="C195" s="2" t="s">
        <v>598</v>
      </c>
    </row>
    <row r="196" spans="2:3" s="2" customFormat="1" ht="27.95" customHeight="1" x14ac:dyDescent="0.25">
      <c r="B196" s="2" t="s">
        <v>13</v>
      </c>
      <c r="C196" s="2" t="s">
        <v>599</v>
      </c>
    </row>
    <row r="197" spans="2:3" s="2" customFormat="1" ht="27.95" customHeight="1" x14ac:dyDescent="0.25"/>
    <row r="198" spans="2:3" s="2" customFormat="1" ht="27.95" customHeight="1" x14ac:dyDescent="0.25">
      <c r="B198" s="46" t="s">
        <v>602</v>
      </c>
    </row>
    <row r="199" spans="2:3" s="2" customFormat="1" ht="27.95" customHeight="1" x14ac:dyDescent="0.25">
      <c r="B199" s="2" t="s">
        <v>85</v>
      </c>
    </row>
    <row r="200" spans="2:3" s="2" customFormat="1" ht="27.95" customHeight="1" x14ac:dyDescent="0.25">
      <c r="B200" s="2" t="s">
        <v>310</v>
      </c>
      <c r="C200" s="2" t="s">
        <v>104</v>
      </c>
    </row>
    <row r="201" spans="2:3" s="2" customFormat="1" ht="27.95" customHeight="1" x14ac:dyDescent="0.25">
      <c r="B201" s="2" t="s">
        <v>503</v>
      </c>
      <c r="C201" s="2" t="s">
        <v>104</v>
      </c>
    </row>
    <row r="202" spans="2:3" s="2" customFormat="1" ht="27.95" customHeight="1" x14ac:dyDescent="0.25">
      <c r="B202" s="2" t="s">
        <v>61</v>
      </c>
      <c r="C202" s="2" t="s">
        <v>104</v>
      </c>
    </row>
    <row r="203" spans="2:3" s="2" customFormat="1" ht="27.95" customHeight="1" x14ac:dyDescent="0.25">
      <c r="B203" s="2" t="s">
        <v>112</v>
      </c>
    </row>
    <row r="204" spans="2:3" s="2" customFormat="1" ht="27.95" customHeight="1" x14ac:dyDescent="0.25">
      <c r="B204" s="2" t="s">
        <v>318</v>
      </c>
      <c r="C204" s="2" t="s">
        <v>104</v>
      </c>
    </row>
    <row r="205" spans="2:3" s="2" customFormat="1" ht="27.95" customHeight="1" x14ac:dyDescent="0.25">
      <c r="B205" s="2" t="s">
        <v>141</v>
      </c>
    </row>
    <row r="206" spans="2:3" s="2" customFormat="1" ht="27.95" customHeight="1" x14ac:dyDescent="0.25">
      <c r="B206" s="2" t="s">
        <v>136</v>
      </c>
      <c r="C206" s="2" t="s">
        <v>104</v>
      </c>
    </row>
    <row r="207" spans="2:3" s="2" customFormat="1" ht="27.95" customHeight="1" x14ac:dyDescent="0.25">
      <c r="B207" s="2" t="s">
        <v>111</v>
      </c>
      <c r="C207" s="2" t="s">
        <v>104</v>
      </c>
    </row>
    <row r="208" spans="2:3" s="2" customFormat="1" ht="27.95" customHeight="1" x14ac:dyDescent="0.25"/>
    <row r="209" spans="2:2" s="2" customFormat="1" ht="27.95" customHeight="1" x14ac:dyDescent="0.25"/>
    <row r="210" spans="2:2" s="2" customFormat="1" ht="27.95" customHeight="1" x14ac:dyDescent="0.25"/>
    <row r="211" spans="2:2" s="2" customFormat="1" ht="27.95" customHeight="1" x14ac:dyDescent="0.25"/>
    <row r="212" spans="2:2" s="2" customFormat="1" ht="27.95" customHeight="1" x14ac:dyDescent="0.25"/>
    <row r="213" spans="2:2" s="2" customFormat="1" ht="27.95" customHeight="1" x14ac:dyDescent="0.25"/>
    <row r="214" spans="2:2" s="2" customFormat="1" ht="27.95" customHeight="1" x14ac:dyDescent="0.25"/>
    <row r="215" spans="2:2" s="2" customFormat="1" ht="27.95" customHeight="1" x14ac:dyDescent="0.25"/>
    <row r="216" spans="2:2" s="2" customFormat="1" ht="27.95" customHeight="1" x14ac:dyDescent="0.25"/>
    <row r="217" spans="2:2" s="2" customFormat="1" ht="27.95" customHeight="1" x14ac:dyDescent="0.25"/>
    <row r="218" spans="2:2" s="2" customFormat="1" ht="27.95" customHeight="1" x14ac:dyDescent="0.25"/>
    <row r="219" spans="2:2" s="2" customFormat="1" ht="27.95" customHeight="1" x14ac:dyDescent="0.25"/>
    <row r="220" spans="2:2" s="2" customFormat="1" ht="27.95" customHeight="1" x14ac:dyDescent="0.25">
      <c r="B220"/>
    </row>
    <row r="221" spans="2:2" s="2" customFormat="1" ht="27.95" customHeight="1" x14ac:dyDescent="0.25">
      <c r="B221"/>
    </row>
    <row r="222" spans="2:2" s="2" customFormat="1" ht="27.95" customHeight="1" x14ac:dyDescent="0.25">
      <c r="B222"/>
    </row>
    <row r="223" spans="2:2" s="2" customFormat="1" ht="27.95" customHeight="1" x14ac:dyDescent="0.25">
      <c r="B223"/>
    </row>
    <row r="224" spans="2:2" s="2" customFormat="1" ht="27.95" customHeight="1" x14ac:dyDescent="0.25">
      <c r="B224"/>
    </row>
    <row r="225" spans="2:2" s="2" customFormat="1" ht="27.95" customHeight="1" x14ac:dyDescent="0.25">
      <c r="B225"/>
    </row>
    <row r="226" spans="2:2" s="2" customFormat="1" ht="27.95" customHeight="1" x14ac:dyDescent="0.25">
      <c r="B226"/>
    </row>
    <row r="227" spans="2:2" s="2" customFormat="1" ht="27.95" customHeight="1" x14ac:dyDescent="0.25">
      <c r="B227"/>
    </row>
    <row r="228" spans="2:2" s="2" customFormat="1" ht="27.95" customHeight="1" x14ac:dyDescent="0.25">
      <c r="B228"/>
    </row>
    <row r="229" spans="2:2" s="2" customFormat="1" ht="27.95" customHeight="1" x14ac:dyDescent="0.25">
      <c r="B229"/>
    </row>
    <row r="230" spans="2:2" s="2" customFormat="1" ht="27.95" customHeight="1" x14ac:dyDescent="0.25">
      <c r="B230"/>
    </row>
    <row r="231" spans="2:2" s="2" customFormat="1" ht="27.95" customHeight="1" x14ac:dyDescent="0.25">
      <c r="B231"/>
    </row>
    <row r="232" spans="2:2" s="2" customFormat="1" ht="27.95" customHeight="1" x14ac:dyDescent="0.25">
      <c r="B232"/>
    </row>
    <row r="233" spans="2:2" s="2" customFormat="1" ht="27.95" customHeight="1" x14ac:dyDescent="0.25">
      <c r="B233"/>
    </row>
    <row r="234" spans="2:2" s="2" customFormat="1" ht="27.95" customHeight="1" x14ac:dyDescent="0.25">
      <c r="B234"/>
    </row>
    <row r="235" spans="2:2" s="2" customFormat="1" ht="27.95" customHeight="1" x14ac:dyDescent="0.25">
      <c r="B235"/>
    </row>
    <row r="236" spans="2:2" s="2" customFormat="1" ht="27.95" customHeight="1" x14ac:dyDescent="0.25">
      <c r="B236"/>
    </row>
  </sheetData>
  <phoneticPr fontId="4" type="noConversion"/>
  <pageMargins left="0.7" right="0.7" top="0.75" bottom="0.75" header="0.3" footer="0.3"/>
  <pageSetup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BB626-252A-40BC-B2B7-15E00FD0BA20}">
  <sheetPr codeName="Sheet9"/>
  <dimension ref="B1:N124"/>
  <sheetViews>
    <sheetView showGridLines="0" workbookViewId="0">
      <selection activeCell="B3" sqref="B3"/>
    </sheetView>
  </sheetViews>
  <sheetFormatPr defaultRowHeight="15" x14ac:dyDescent="0.25"/>
  <cols>
    <col min="1" max="1" width="1.42578125" customWidth="1"/>
    <col min="2" max="2" width="23.85546875" customWidth="1"/>
    <col min="3" max="14" width="13.140625" customWidth="1"/>
  </cols>
  <sheetData>
    <row r="1" spans="2:14" ht="7.5" customHeight="1" x14ac:dyDescent="0.25"/>
    <row r="2" spans="2:14" s="59" customFormat="1" ht="27.95" customHeight="1" x14ac:dyDescent="0.25">
      <c r="B2" s="59" t="s">
        <v>653</v>
      </c>
      <c r="C2" s="60" t="s">
        <v>654</v>
      </c>
      <c r="D2" s="60" t="s">
        <v>657</v>
      </c>
      <c r="E2" s="60" t="s">
        <v>658</v>
      </c>
      <c r="F2" s="60" t="s">
        <v>659</v>
      </c>
      <c r="G2" s="60" t="s">
        <v>660</v>
      </c>
      <c r="H2" s="60" t="s">
        <v>411</v>
      </c>
      <c r="I2" s="60" t="s">
        <v>416</v>
      </c>
      <c r="J2" s="60" t="s">
        <v>655</v>
      </c>
      <c r="K2" s="60" t="s">
        <v>408</v>
      </c>
      <c r="L2" s="60" t="s">
        <v>335</v>
      </c>
      <c r="M2" s="60" t="s">
        <v>371</v>
      </c>
      <c r="N2" s="60" t="s">
        <v>334</v>
      </c>
    </row>
    <row r="3" spans="2:14" s="56" customFormat="1" ht="27.95" customHeight="1" x14ac:dyDescent="0.25">
      <c r="B3" s="56" t="s">
        <v>656</v>
      </c>
      <c r="C3" s="57" t="s">
        <v>661</v>
      </c>
      <c r="D3" s="58">
        <v>88.1</v>
      </c>
      <c r="E3" s="58">
        <v>245</v>
      </c>
      <c r="F3" s="58">
        <v>811.5</v>
      </c>
      <c r="G3" s="58">
        <v>180.6</v>
      </c>
      <c r="H3" s="57" t="s">
        <v>662</v>
      </c>
      <c r="I3" s="57" t="s">
        <v>663</v>
      </c>
      <c r="J3" s="57" t="s">
        <v>663</v>
      </c>
      <c r="K3" s="57" t="s">
        <v>662</v>
      </c>
      <c r="L3" s="57"/>
      <c r="M3" s="57"/>
      <c r="N3" s="57"/>
    </row>
    <row r="4" spans="2:14" s="56" customFormat="1" ht="27.95" customHeight="1" x14ac:dyDescent="0.25">
      <c r="B4" s="56" t="s">
        <v>664</v>
      </c>
      <c r="C4" s="57" t="s">
        <v>665</v>
      </c>
      <c r="D4" s="58">
        <v>57</v>
      </c>
      <c r="E4" s="58">
        <v>244</v>
      </c>
      <c r="F4" s="58">
        <v>713</v>
      </c>
      <c r="G4" s="58">
        <v>571</v>
      </c>
      <c r="H4" s="57" t="s">
        <v>667</v>
      </c>
      <c r="I4" s="57" t="s">
        <v>663</v>
      </c>
      <c r="J4" s="57" t="s">
        <v>662</v>
      </c>
      <c r="K4" s="57" t="s">
        <v>666</v>
      </c>
      <c r="L4" s="57" t="s">
        <v>104</v>
      </c>
      <c r="M4" s="57" t="s">
        <v>104</v>
      </c>
      <c r="N4" s="57"/>
    </row>
    <row r="5" spans="2:14" s="56" customFormat="1" ht="27.95" customHeight="1" x14ac:dyDescent="0.25">
      <c r="B5" s="56" t="s">
        <v>668</v>
      </c>
      <c r="C5" s="57" t="s">
        <v>669</v>
      </c>
      <c r="D5" s="58">
        <v>319</v>
      </c>
      <c r="E5" s="58">
        <v>265</v>
      </c>
      <c r="F5" s="58">
        <v>428</v>
      </c>
      <c r="G5" s="58">
        <v>428</v>
      </c>
      <c r="H5" s="57" t="s">
        <v>662</v>
      </c>
      <c r="I5" s="57" t="s">
        <v>663</v>
      </c>
      <c r="J5" s="57" t="s">
        <v>670</v>
      </c>
      <c r="K5" s="57" t="s">
        <v>663</v>
      </c>
      <c r="L5" s="57" t="s">
        <v>104</v>
      </c>
      <c r="M5" s="57" t="s">
        <v>104</v>
      </c>
      <c r="N5" s="57"/>
    </row>
    <row r="6" spans="2:14" s="56" customFormat="1" ht="27.95" customHeight="1" x14ac:dyDescent="0.25"/>
    <row r="7" spans="2:14" s="56" customFormat="1" ht="27.95" customHeight="1" x14ac:dyDescent="0.25"/>
    <row r="8" spans="2:14" s="56" customFormat="1" ht="27.95" customHeight="1" x14ac:dyDescent="0.25"/>
    <row r="9" spans="2:14" s="56" customFormat="1" ht="27.95" customHeight="1" x14ac:dyDescent="0.25"/>
    <row r="10" spans="2:14" s="56" customFormat="1" ht="27.95" customHeight="1" x14ac:dyDescent="0.25"/>
    <row r="11" spans="2:14" s="56" customFormat="1" ht="27.95" customHeight="1" x14ac:dyDescent="0.25"/>
    <row r="12" spans="2:14" s="56" customFormat="1" ht="27.95" customHeight="1" x14ac:dyDescent="0.25"/>
    <row r="13" spans="2:14" s="56" customFormat="1" ht="27.95" customHeight="1" x14ac:dyDescent="0.25"/>
    <row r="14" spans="2:14" s="56" customFormat="1" ht="27.95" customHeight="1" x14ac:dyDescent="0.25"/>
    <row r="15" spans="2:14" s="56" customFormat="1" ht="27.95" customHeight="1" x14ac:dyDescent="0.25"/>
    <row r="16" spans="2:14" s="56" customFormat="1" ht="27.95" customHeight="1" x14ac:dyDescent="0.25"/>
    <row r="17" s="56" customFormat="1" ht="27.95" customHeight="1" x14ac:dyDescent="0.25"/>
    <row r="18" s="56" customFormat="1" ht="27.95" customHeight="1" x14ac:dyDescent="0.25"/>
    <row r="19" s="56" customFormat="1" ht="27.95" customHeight="1" x14ac:dyDescent="0.25"/>
    <row r="20" s="56" customFormat="1" ht="27.95" customHeight="1" x14ac:dyDescent="0.25"/>
    <row r="21" s="56" customFormat="1" ht="27.95" customHeight="1" x14ac:dyDescent="0.25"/>
    <row r="22" s="56" customFormat="1" ht="27.95" customHeight="1" x14ac:dyDescent="0.25"/>
    <row r="23" s="56" customFormat="1" ht="27.95" customHeight="1" x14ac:dyDescent="0.25"/>
    <row r="24" s="56" customFormat="1" ht="27.95" customHeight="1" x14ac:dyDescent="0.25"/>
    <row r="25" s="56" customFormat="1" ht="27.95" customHeight="1" x14ac:dyDescent="0.25"/>
    <row r="26" s="56" customFormat="1" ht="27.95" customHeight="1" x14ac:dyDescent="0.25"/>
    <row r="27" s="56" customFormat="1" ht="27.95" customHeight="1" x14ac:dyDescent="0.25"/>
    <row r="28" s="56" customFormat="1" ht="27.95" customHeight="1" x14ac:dyDescent="0.25"/>
    <row r="29" s="56" customFormat="1" ht="27.95" customHeight="1" x14ac:dyDescent="0.25"/>
    <row r="30" s="56" customFormat="1" ht="27.95" customHeight="1" x14ac:dyDescent="0.25"/>
    <row r="31" s="56" customFormat="1" ht="27.95" customHeight="1" x14ac:dyDescent="0.25"/>
    <row r="32" s="56" customFormat="1" ht="27.95" customHeight="1" x14ac:dyDescent="0.25"/>
    <row r="33" s="56" customFormat="1" ht="27.95" customHeight="1" x14ac:dyDescent="0.25"/>
    <row r="34" s="56" customFormat="1" ht="27.95" customHeight="1" x14ac:dyDescent="0.25"/>
    <row r="35" s="56" customFormat="1" ht="27.95" customHeight="1" x14ac:dyDescent="0.25"/>
    <row r="36" s="56" customFormat="1" ht="27.95" customHeight="1" x14ac:dyDescent="0.25"/>
    <row r="37" s="56" customFormat="1" ht="27.95" customHeight="1" x14ac:dyDescent="0.25"/>
    <row r="38" s="56" customFormat="1" ht="27.95" customHeight="1" x14ac:dyDescent="0.25"/>
    <row r="39" s="56" customFormat="1" ht="27.95" customHeight="1" x14ac:dyDescent="0.25"/>
    <row r="40" s="56" customFormat="1" ht="27.95" customHeight="1" x14ac:dyDescent="0.25"/>
    <row r="41" s="56" customFormat="1" ht="27.95" customHeight="1" x14ac:dyDescent="0.25"/>
    <row r="42" s="56" customFormat="1" ht="27.95" customHeight="1" x14ac:dyDescent="0.25"/>
    <row r="43" s="56" customFormat="1" ht="27.95" customHeight="1" x14ac:dyDescent="0.25"/>
    <row r="44" s="56" customFormat="1" ht="27.95" customHeight="1" x14ac:dyDescent="0.25"/>
    <row r="45" s="56" customFormat="1" ht="27.95" customHeight="1" x14ac:dyDescent="0.25"/>
    <row r="46" s="56" customFormat="1" ht="27.95" customHeight="1" x14ac:dyDescent="0.25"/>
    <row r="47" s="56" customFormat="1" ht="27.95" customHeight="1" x14ac:dyDescent="0.25"/>
    <row r="48" s="56" customFormat="1" ht="27.95" customHeight="1" x14ac:dyDescent="0.25"/>
    <row r="49" s="56" customFormat="1" ht="27.95" customHeight="1" x14ac:dyDescent="0.25"/>
    <row r="50" s="56" customFormat="1" ht="27.95" customHeight="1" x14ac:dyDescent="0.25"/>
    <row r="51" s="56" customFormat="1" ht="27.95" customHeight="1" x14ac:dyDescent="0.25"/>
    <row r="52" s="56" customFormat="1" ht="27.95" customHeight="1" x14ac:dyDescent="0.25"/>
    <row r="53" s="56" customFormat="1" ht="27.95" customHeight="1" x14ac:dyDescent="0.25"/>
    <row r="54" s="56" customFormat="1" ht="27.95" customHeight="1" x14ac:dyDescent="0.25"/>
    <row r="55" s="56" customFormat="1" ht="27.95" customHeight="1" x14ac:dyDescent="0.25"/>
    <row r="56" s="56" customFormat="1" ht="27.95" customHeight="1" x14ac:dyDescent="0.25"/>
    <row r="57" s="56" customFormat="1" ht="27.95" customHeight="1" x14ac:dyDescent="0.25"/>
    <row r="58" s="56" customFormat="1" ht="27.95" customHeight="1" x14ac:dyDescent="0.25"/>
    <row r="59" s="56" customFormat="1" ht="27.95" customHeight="1" x14ac:dyDescent="0.25"/>
    <row r="60" s="56" customFormat="1" ht="27.95" customHeight="1" x14ac:dyDescent="0.25"/>
    <row r="61" s="56" customFormat="1" ht="27.95" customHeight="1" x14ac:dyDescent="0.25"/>
    <row r="62" s="56" customFormat="1" ht="27.95" customHeight="1" x14ac:dyDescent="0.25"/>
    <row r="63" s="56" customFormat="1" ht="27.95" customHeight="1" x14ac:dyDescent="0.25"/>
    <row r="64" s="56" customFormat="1" ht="27.95" customHeight="1" x14ac:dyDescent="0.25"/>
    <row r="65" s="56" customFormat="1" ht="27.95" customHeight="1" x14ac:dyDescent="0.25"/>
    <row r="66" s="56" customFormat="1" ht="27.95" customHeight="1" x14ac:dyDescent="0.25"/>
    <row r="67" s="56" customFormat="1" ht="27.95" customHeight="1" x14ac:dyDescent="0.25"/>
    <row r="68" s="56" customFormat="1" ht="27.95" customHeight="1" x14ac:dyDescent="0.25"/>
    <row r="69" s="56" customFormat="1" ht="27.95" customHeight="1" x14ac:dyDescent="0.25"/>
    <row r="70" s="56" customFormat="1" ht="27.95" customHeight="1" x14ac:dyDescent="0.25"/>
    <row r="71" s="56" customFormat="1" ht="27.95" customHeight="1" x14ac:dyDescent="0.25"/>
    <row r="72" s="56" customFormat="1" ht="27.95" customHeight="1" x14ac:dyDescent="0.25"/>
    <row r="73" s="56" customFormat="1" ht="27.95" customHeight="1" x14ac:dyDescent="0.25"/>
    <row r="74" s="56" customFormat="1" ht="27.95" customHeight="1" x14ac:dyDescent="0.25"/>
    <row r="75" s="56" customFormat="1" ht="27.95" customHeight="1" x14ac:dyDescent="0.25"/>
    <row r="76" s="56" customFormat="1" ht="27.95" customHeight="1" x14ac:dyDescent="0.25"/>
    <row r="77" s="56" customFormat="1" ht="27.95" customHeight="1" x14ac:dyDescent="0.25"/>
    <row r="78" s="56" customFormat="1" ht="27.95" customHeight="1" x14ac:dyDescent="0.25"/>
    <row r="79" s="56" customFormat="1" ht="27.95" customHeight="1" x14ac:dyDescent="0.25"/>
    <row r="80" s="56" customFormat="1" ht="27.95" customHeight="1" x14ac:dyDescent="0.25"/>
    <row r="81" s="56" customFormat="1" ht="27.95" customHeight="1" x14ac:dyDescent="0.25"/>
    <row r="82" s="56" customFormat="1" ht="27.95" customHeight="1" x14ac:dyDescent="0.25"/>
    <row r="83" s="56" customFormat="1" ht="27.95" customHeight="1" x14ac:dyDescent="0.25"/>
    <row r="84" s="56" customFormat="1" ht="27.95" customHeight="1" x14ac:dyDescent="0.25"/>
    <row r="85" s="56" customFormat="1" ht="27.95" customHeight="1" x14ac:dyDescent="0.25"/>
    <row r="86" s="56" customFormat="1" ht="27.95" customHeight="1" x14ac:dyDescent="0.25"/>
    <row r="87" s="56" customFormat="1" ht="27.95" customHeight="1" x14ac:dyDescent="0.25"/>
    <row r="88" s="56" customFormat="1" ht="27.95" customHeight="1" x14ac:dyDescent="0.25"/>
    <row r="89" s="56" customFormat="1" ht="27.95" customHeight="1" x14ac:dyDescent="0.25"/>
    <row r="90" s="56" customFormat="1" ht="27.95" customHeight="1" x14ac:dyDescent="0.25"/>
    <row r="91" s="56" customFormat="1" ht="27.95" customHeight="1" x14ac:dyDescent="0.25"/>
    <row r="92" s="56" customFormat="1" ht="27.95" customHeight="1" x14ac:dyDescent="0.25"/>
    <row r="93" s="56" customFormat="1" ht="27.95" customHeight="1" x14ac:dyDescent="0.25"/>
    <row r="94" s="56" customFormat="1" ht="27.95" customHeight="1" x14ac:dyDescent="0.25"/>
    <row r="95" s="56" customFormat="1" ht="27.95" customHeight="1" x14ac:dyDescent="0.25"/>
    <row r="96" s="56" customFormat="1" ht="27.95" customHeight="1" x14ac:dyDescent="0.25"/>
    <row r="97" s="56" customFormat="1" ht="27.95" customHeight="1" x14ac:dyDescent="0.25"/>
    <row r="98" s="56" customFormat="1" ht="27.95" customHeight="1" x14ac:dyDescent="0.25"/>
    <row r="99" s="56" customFormat="1" ht="27.95" customHeight="1" x14ac:dyDescent="0.25"/>
    <row r="100" s="56" customFormat="1" ht="27.95" customHeight="1" x14ac:dyDescent="0.25"/>
    <row r="101" s="56" customFormat="1" ht="27.95" customHeight="1" x14ac:dyDescent="0.25"/>
    <row r="102" s="56" customFormat="1" ht="27.95" customHeight="1" x14ac:dyDescent="0.25"/>
    <row r="103" s="56" customFormat="1" ht="27.95" customHeight="1" x14ac:dyDescent="0.25"/>
    <row r="104" s="56" customFormat="1" ht="27.95" customHeight="1" x14ac:dyDescent="0.25"/>
    <row r="105" s="56" customFormat="1" ht="27.95" customHeight="1" x14ac:dyDescent="0.25"/>
    <row r="106" s="56" customFormat="1" ht="27.95" customHeight="1" x14ac:dyDescent="0.25"/>
    <row r="107" s="56" customFormat="1" ht="27.95" customHeight="1" x14ac:dyDescent="0.25"/>
    <row r="108" s="56" customFormat="1" ht="27.95" customHeight="1" x14ac:dyDescent="0.25"/>
    <row r="109" s="56" customFormat="1" ht="27.95" customHeight="1" x14ac:dyDescent="0.25"/>
    <row r="110" s="56" customFormat="1" ht="27.95" customHeight="1" x14ac:dyDescent="0.25"/>
    <row r="111" s="56" customFormat="1" ht="27.95" customHeight="1" x14ac:dyDescent="0.25"/>
    <row r="112" s="56" customFormat="1" ht="27.95" customHeight="1" x14ac:dyDescent="0.25"/>
    <row r="113" s="56" customFormat="1" ht="27.95" customHeight="1" x14ac:dyDescent="0.25"/>
    <row r="114" s="56" customFormat="1" ht="27.95" customHeight="1" x14ac:dyDescent="0.25"/>
    <row r="115" s="56" customFormat="1" ht="27.95" customHeight="1" x14ac:dyDescent="0.25"/>
    <row r="116" s="56" customFormat="1" ht="27.95" customHeight="1" x14ac:dyDescent="0.25"/>
    <row r="117" s="56" customFormat="1" ht="27.95" customHeight="1" x14ac:dyDescent="0.25"/>
    <row r="118" s="56" customFormat="1" ht="27.95" customHeight="1" x14ac:dyDescent="0.25"/>
    <row r="119" s="56" customFormat="1" ht="27.95" customHeight="1" x14ac:dyDescent="0.25"/>
    <row r="120" s="56" customFormat="1" ht="27.95" customHeight="1" x14ac:dyDescent="0.25"/>
    <row r="121" s="56" customFormat="1" ht="27.95" customHeight="1" x14ac:dyDescent="0.25"/>
    <row r="122" s="56" customFormat="1" ht="27.95" customHeight="1" x14ac:dyDescent="0.25"/>
    <row r="123" s="56" customFormat="1" ht="27.95" customHeight="1" x14ac:dyDescent="0.25"/>
    <row r="124" s="56" customFormat="1" ht="27.95" customHeight="1" x14ac:dyDescent="0.25"/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To-do</vt:lpstr>
      <vt:lpstr>Materials</vt:lpstr>
      <vt:lpstr>Exploration</vt:lpstr>
      <vt:lpstr>Trading</vt:lpstr>
      <vt:lpstr>Commodities</vt:lpstr>
      <vt:lpstr>Blueprints</vt:lpstr>
      <vt:lpstr>Recipes</vt:lpstr>
      <vt:lpstr>Lookups</vt:lpstr>
      <vt:lpstr>Ships</vt:lpstr>
      <vt:lpstr>lsMaterials</vt:lpstr>
      <vt:lpstr>lsSystems</vt:lpstr>
      <vt:lpstr>tbMaterialsWanted</vt:lpstr>
      <vt:lpstr>tbTradingPartners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Chase</dc:creator>
  <cp:lastModifiedBy>David Chase</cp:lastModifiedBy>
  <dcterms:created xsi:type="dcterms:W3CDTF">2020-06-17T15:42:45Z</dcterms:created>
  <dcterms:modified xsi:type="dcterms:W3CDTF">2020-06-29T23:50:43Z</dcterms:modified>
</cp:coreProperties>
</file>