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queryTables/queryTable1.xml" ContentType="application/vnd.openxmlformats-officedocument.spreadsheetml.queryTable+xml"/>
  <Override PartName="/xl/tables/table12.xml" ContentType="application/vnd.openxmlformats-officedocument.spreadsheetml.table+xml"/>
  <Override PartName="/xl/queryTables/queryTable2.xml" ContentType="application/vnd.openxmlformats-officedocument.spreadsheetml.queryTable+xml"/>
  <Override PartName="/xl/tables/table13.xml" ContentType="application/vnd.openxmlformats-officedocument.spreadsheetml.table+xml"/>
  <Override PartName="/xl/queryTables/queryTable3.xml" ContentType="application/vnd.openxmlformats-officedocument.spreadsheetml.queryTable+xml"/>
  <Override PartName="/xl/tables/table14.xml" ContentType="application/vnd.openxmlformats-officedocument.spreadsheetml.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Shared\Gaming\"/>
    </mc:Choice>
  </mc:AlternateContent>
  <xr:revisionPtr revIDLastSave="0" documentId="13_ncr:1_{426C7870-1D3B-4D66-A7AC-5E5781686007}" xr6:coauthVersionLast="46" xr6:coauthVersionMax="46" xr10:uidLastSave="{00000000-0000-0000-0000-000000000000}"/>
  <bookViews>
    <workbookView xWindow="17316" yWindow="0" windowWidth="17400" windowHeight="18900" xr2:uid="{37534A51-6A46-41CC-9424-48E9990522E2}"/>
  </bookViews>
  <sheets>
    <sheet name="Matches" sheetId="1" r:id="rId1"/>
    <sheet name="Map Bans" sheetId="7" r:id="rId2"/>
    <sheet name="Bets" sheetId="3" r:id="rId3"/>
    <sheet name="Match Analysis" sheetId="8" r:id="rId4"/>
    <sheet name="PvP" sheetId="2" r:id="rId5"/>
    <sheet name="Map Stats" sheetId="6" r:id="rId6"/>
    <sheet name="General Stats" sheetId="5" r:id="rId7"/>
    <sheet name="Supporting Data" sheetId="4" r:id="rId8"/>
  </sheets>
  <definedNames>
    <definedName name="ExternalData_1" localSheetId="6" hidden="1">'General Stats'!$B$21:$C$26</definedName>
    <definedName name="ExternalData_2" localSheetId="6" hidden="1">'General Stats'!$H$21:$I$26</definedName>
    <definedName name="ExternalData_3" localSheetId="6" hidden="1">'General Stats'!$B$29:$D$34</definedName>
    <definedName name="ExternalData_4" localSheetId="6" hidden="1">'General Stats'!$H$29:$J$34</definedName>
    <definedName name="sMA_Map">'Match Analysis'!$C$15</definedName>
    <definedName name="sMA_Match">'Match Analysis'!$B$2</definedName>
    <definedName name="sMA_Player1">'Match Analysis'!$C$13</definedName>
    <definedName name="sMA_Player1Pick">'Match Analysis'!$C$16</definedName>
    <definedName name="sMA_Player2">'Match Analysis'!$C$14</definedName>
    <definedName name="sMA_Player2Pick">'Match Analysis'!$C$17</definedName>
    <definedName name="sMapName">'Map Stats'!$B$2</definedName>
    <definedName name="sPlayer1">PvP!$B$2</definedName>
    <definedName name="sPlayer2">PvP!$D$2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4" i="1" l="1"/>
  <c r="I414" i="1"/>
  <c r="J414" i="1" s="1"/>
  <c r="B414" i="1" s="1"/>
  <c r="K414" i="1" s="1"/>
  <c r="V414" i="1"/>
  <c r="W414" i="1"/>
  <c r="X414" i="1"/>
  <c r="Y414" i="1"/>
  <c r="Z414" i="1"/>
  <c r="AA414" i="1"/>
  <c r="AB414" i="1"/>
  <c r="AC414" i="1"/>
  <c r="H413" i="1"/>
  <c r="I413" i="1"/>
  <c r="J413" i="1" s="1"/>
  <c r="B413" i="1" s="1"/>
  <c r="K413" i="1" s="1"/>
  <c r="V413" i="1"/>
  <c r="X413" i="1" s="1"/>
  <c r="W413" i="1"/>
  <c r="Y413" i="1"/>
  <c r="Z413" i="1"/>
  <c r="AA413" i="1"/>
  <c r="AB413" i="1"/>
  <c r="AC413" i="1"/>
  <c r="H412" i="1"/>
  <c r="I412" i="1"/>
  <c r="J412" i="1" s="1"/>
  <c r="B412" i="1" s="1"/>
  <c r="K412" i="1" s="1"/>
  <c r="V412" i="1"/>
  <c r="X412" i="1" s="1"/>
  <c r="W412" i="1"/>
  <c r="Y412" i="1" s="1"/>
  <c r="Z412" i="1"/>
  <c r="AA412" i="1"/>
  <c r="AB412" i="1"/>
  <c r="AC412" i="1"/>
  <c r="H411" i="1"/>
  <c r="I411" i="1"/>
  <c r="J411" i="1" s="1"/>
  <c r="B411" i="1" s="1"/>
  <c r="K411" i="1" s="1"/>
  <c r="V411" i="1"/>
  <c r="X411" i="1" s="1"/>
  <c r="W411" i="1"/>
  <c r="Y411" i="1" s="1"/>
  <c r="Z411" i="1"/>
  <c r="AA411" i="1"/>
  <c r="AB411" i="1"/>
  <c r="AC411" i="1"/>
  <c r="H410" i="1"/>
  <c r="I410" i="1"/>
  <c r="J410" i="1" s="1"/>
  <c r="B410" i="1" s="1"/>
  <c r="K410" i="1" s="1"/>
  <c r="V410" i="1"/>
  <c r="X410" i="1" s="1"/>
  <c r="W410" i="1"/>
  <c r="Y410" i="1" s="1"/>
  <c r="Z410" i="1"/>
  <c r="AA410" i="1"/>
  <c r="AB410" i="1"/>
  <c r="AC410" i="1"/>
  <c r="H409" i="1"/>
  <c r="I409" i="1"/>
  <c r="J409" i="1" s="1"/>
  <c r="B409" i="1" s="1"/>
  <c r="K409" i="1" s="1"/>
  <c r="V409" i="1"/>
  <c r="X409" i="1" s="1"/>
  <c r="W409" i="1"/>
  <c r="Y409" i="1" s="1"/>
  <c r="Z409" i="1"/>
  <c r="AA409" i="1"/>
  <c r="AB409" i="1"/>
  <c r="AC409" i="1"/>
  <c r="H408" i="1"/>
  <c r="I408" i="1"/>
  <c r="J408" i="1" s="1"/>
  <c r="B408" i="1" s="1"/>
  <c r="K408" i="1" s="1"/>
  <c r="V408" i="1"/>
  <c r="X408" i="1" s="1"/>
  <c r="W408" i="1"/>
  <c r="Y408" i="1" s="1"/>
  <c r="Z408" i="1"/>
  <c r="AA408" i="1"/>
  <c r="AB408" i="1"/>
  <c r="AC408" i="1"/>
  <c r="H407" i="1"/>
  <c r="I407" i="1"/>
  <c r="J407" i="1" s="1"/>
  <c r="B407" i="1" s="1"/>
  <c r="K407" i="1" s="1"/>
  <c r="V407" i="1"/>
  <c r="X407" i="1" s="1"/>
  <c r="W407" i="1"/>
  <c r="Y407" i="1" s="1"/>
  <c r="Z407" i="1"/>
  <c r="AA407" i="1"/>
  <c r="AB407" i="1"/>
  <c r="AC407" i="1"/>
  <c r="H406" i="1"/>
  <c r="I406" i="1"/>
  <c r="J406" i="1" s="1"/>
  <c r="B406" i="1" s="1"/>
  <c r="K406" i="1" s="1"/>
  <c r="V406" i="1"/>
  <c r="X406" i="1" s="1"/>
  <c r="W406" i="1"/>
  <c r="Y406" i="1" s="1"/>
  <c r="Z406" i="1"/>
  <c r="AA406" i="1"/>
  <c r="AB406" i="1"/>
  <c r="AC406" i="1"/>
  <c r="H405" i="1"/>
  <c r="I405" i="1"/>
  <c r="J405" i="1" s="1"/>
  <c r="B405" i="1" s="1"/>
  <c r="K405" i="1" s="1"/>
  <c r="V405" i="1"/>
  <c r="X405" i="1" s="1"/>
  <c r="W405" i="1"/>
  <c r="Y405" i="1" s="1"/>
  <c r="Z405" i="1"/>
  <c r="AA405" i="1"/>
  <c r="AB405" i="1"/>
  <c r="AC405" i="1"/>
  <c r="H404" i="1"/>
  <c r="I404" i="1"/>
  <c r="J404" i="1" s="1"/>
  <c r="B404" i="1" s="1"/>
  <c r="K404" i="1" s="1"/>
  <c r="V404" i="1"/>
  <c r="X404" i="1" s="1"/>
  <c r="W404" i="1"/>
  <c r="Y404" i="1" s="1"/>
  <c r="Z404" i="1"/>
  <c r="AA404" i="1"/>
  <c r="AB404" i="1"/>
  <c r="AC404" i="1"/>
  <c r="H403" i="1"/>
  <c r="I403" i="1"/>
  <c r="J403" i="1" s="1"/>
  <c r="B403" i="1" s="1"/>
  <c r="K403" i="1" s="1"/>
  <c r="V403" i="1"/>
  <c r="X403" i="1" s="1"/>
  <c r="W403" i="1"/>
  <c r="Y403" i="1" s="1"/>
  <c r="Z403" i="1"/>
  <c r="AA403" i="1"/>
  <c r="AB403" i="1"/>
  <c r="AC403" i="1"/>
  <c r="H402" i="1"/>
  <c r="I402" i="1"/>
  <c r="J402" i="1" s="1"/>
  <c r="B402" i="1" s="1"/>
  <c r="K402" i="1" s="1"/>
  <c r="V402" i="1"/>
  <c r="X402" i="1" s="1"/>
  <c r="W402" i="1"/>
  <c r="Y402" i="1" s="1"/>
  <c r="Z402" i="1"/>
  <c r="AA402" i="1"/>
  <c r="AB402" i="1"/>
  <c r="AC402" i="1"/>
  <c r="H401" i="1"/>
  <c r="I401" i="1"/>
  <c r="J401" i="1" s="1"/>
  <c r="B401" i="1" s="1"/>
  <c r="K401" i="1" s="1"/>
  <c r="V401" i="1"/>
  <c r="X401" i="1" s="1"/>
  <c r="W401" i="1"/>
  <c r="Y401" i="1" s="1"/>
  <c r="Z401" i="1"/>
  <c r="AA401" i="1"/>
  <c r="AB401" i="1"/>
  <c r="AC401" i="1"/>
  <c r="H400" i="1"/>
  <c r="I400" i="1"/>
  <c r="J400" i="1" s="1"/>
  <c r="B400" i="1" s="1"/>
  <c r="K400" i="1" s="1"/>
  <c r="V400" i="1"/>
  <c r="X400" i="1" s="1"/>
  <c r="W400" i="1"/>
  <c r="Y400" i="1" s="1"/>
  <c r="Z400" i="1"/>
  <c r="AA400" i="1"/>
  <c r="AB400" i="1"/>
  <c r="AC400" i="1"/>
  <c r="H399" i="1"/>
  <c r="I399" i="1"/>
  <c r="J399" i="1" s="1"/>
  <c r="B399" i="1" s="1"/>
  <c r="K399" i="1" s="1"/>
  <c r="V399" i="1"/>
  <c r="X399" i="1" s="1"/>
  <c r="W399" i="1"/>
  <c r="Y399" i="1" s="1"/>
  <c r="Z399" i="1"/>
  <c r="AA399" i="1"/>
  <c r="AB399" i="1"/>
  <c r="AC399" i="1"/>
  <c r="H398" i="1"/>
  <c r="I398" i="1"/>
  <c r="J398" i="1" s="1"/>
  <c r="B398" i="1" s="1"/>
  <c r="K398" i="1" s="1"/>
  <c r="V398" i="1"/>
  <c r="X398" i="1" s="1"/>
  <c r="W398" i="1"/>
  <c r="Y398" i="1" s="1"/>
  <c r="Z398" i="1"/>
  <c r="AA398" i="1"/>
  <c r="AB398" i="1"/>
  <c r="AC398" i="1"/>
  <c r="H397" i="1"/>
  <c r="I397" i="1"/>
  <c r="J397" i="1" s="1"/>
  <c r="B397" i="1" s="1"/>
  <c r="K397" i="1" s="1"/>
  <c r="V397" i="1"/>
  <c r="X397" i="1" s="1"/>
  <c r="W397" i="1"/>
  <c r="Y397" i="1" s="1"/>
  <c r="Z397" i="1"/>
  <c r="AA397" i="1"/>
  <c r="AB397" i="1"/>
  <c r="AC397" i="1"/>
  <c r="H396" i="1"/>
  <c r="I396" i="1"/>
  <c r="J396" i="1" s="1"/>
  <c r="B396" i="1" s="1"/>
  <c r="K396" i="1" s="1"/>
  <c r="V396" i="1"/>
  <c r="X396" i="1" s="1"/>
  <c r="W396" i="1"/>
  <c r="Y396" i="1" s="1"/>
  <c r="Z396" i="1"/>
  <c r="AA396" i="1"/>
  <c r="AB396" i="1"/>
  <c r="AC396" i="1"/>
  <c r="H395" i="1"/>
  <c r="I395" i="1"/>
  <c r="J395" i="1" s="1"/>
  <c r="B395" i="1" s="1"/>
  <c r="K395" i="1" s="1"/>
  <c r="V395" i="1"/>
  <c r="X395" i="1" s="1"/>
  <c r="W395" i="1"/>
  <c r="Y395" i="1" s="1"/>
  <c r="Z395" i="1"/>
  <c r="AA395" i="1"/>
  <c r="AB395" i="1"/>
  <c r="AC395" i="1"/>
  <c r="H394" i="1"/>
  <c r="I394" i="1"/>
  <c r="J394" i="1" s="1"/>
  <c r="B394" i="1" s="1"/>
  <c r="K394" i="1" s="1"/>
  <c r="V394" i="1"/>
  <c r="X394" i="1" s="1"/>
  <c r="W394" i="1"/>
  <c r="Y394" i="1" s="1"/>
  <c r="Z394" i="1"/>
  <c r="AA394" i="1"/>
  <c r="AB394" i="1"/>
  <c r="AC394" i="1"/>
  <c r="I111" i="3"/>
  <c r="K111" i="3" s="1"/>
  <c r="I109" i="3"/>
  <c r="K109" i="3" s="1"/>
  <c r="I104" i="3"/>
  <c r="J104" i="3" s="1"/>
  <c r="I103" i="3"/>
  <c r="J103" i="3" s="1"/>
  <c r="I102" i="3"/>
  <c r="K102" i="3" s="1"/>
  <c r="H393" i="1"/>
  <c r="I393" i="1"/>
  <c r="J393" i="1" s="1"/>
  <c r="B393" i="1" s="1"/>
  <c r="K393" i="1" s="1"/>
  <c r="V393" i="1"/>
  <c r="X393" i="1" s="1"/>
  <c r="W393" i="1"/>
  <c r="Y393" i="1" s="1"/>
  <c r="Z393" i="1"/>
  <c r="AA393" i="1"/>
  <c r="AB393" i="1"/>
  <c r="AC393" i="1"/>
  <c r="H392" i="1"/>
  <c r="I392" i="1"/>
  <c r="J392" i="1" s="1"/>
  <c r="B392" i="1" s="1"/>
  <c r="K392" i="1" s="1"/>
  <c r="V392" i="1"/>
  <c r="X392" i="1" s="1"/>
  <c r="W392" i="1"/>
  <c r="Y392" i="1" s="1"/>
  <c r="Z392" i="1"/>
  <c r="AA392" i="1"/>
  <c r="AB392" i="1"/>
  <c r="AC392" i="1"/>
  <c r="H391" i="1"/>
  <c r="I391" i="1"/>
  <c r="J391" i="1" s="1"/>
  <c r="B391" i="1" s="1"/>
  <c r="K391" i="1" s="1"/>
  <c r="V391" i="1"/>
  <c r="X391" i="1" s="1"/>
  <c r="W391" i="1"/>
  <c r="Y391" i="1" s="1"/>
  <c r="Z391" i="1"/>
  <c r="AA391" i="1"/>
  <c r="AB391" i="1"/>
  <c r="AC391" i="1"/>
  <c r="H384" i="1"/>
  <c r="I384" i="1"/>
  <c r="J384" i="1" s="1"/>
  <c r="B384" i="1" s="1"/>
  <c r="K384" i="1" s="1"/>
  <c r="V384" i="1"/>
  <c r="X384" i="1" s="1"/>
  <c r="W384" i="1"/>
  <c r="Y384" i="1" s="1"/>
  <c r="Z384" i="1"/>
  <c r="AA384" i="1"/>
  <c r="AB384" i="1"/>
  <c r="AC384" i="1"/>
  <c r="H383" i="1"/>
  <c r="I383" i="1"/>
  <c r="J383" i="1" s="1"/>
  <c r="B383" i="1" s="1"/>
  <c r="K383" i="1" s="1"/>
  <c r="V383" i="1"/>
  <c r="X383" i="1" s="1"/>
  <c r="W383" i="1"/>
  <c r="Y383" i="1" s="1"/>
  <c r="Z383" i="1"/>
  <c r="AA383" i="1"/>
  <c r="AB383" i="1"/>
  <c r="AC383" i="1"/>
  <c r="H382" i="1"/>
  <c r="I382" i="1"/>
  <c r="J382" i="1" s="1"/>
  <c r="B382" i="1" s="1"/>
  <c r="K382" i="1" s="1"/>
  <c r="V382" i="1"/>
  <c r="X382" i="1" s="1"/>
  <c r="W382" i="1"/>
  <c r="Y382" i="1" s="1"/>
  <c r="Z382" i="1"/>
  <c r="AA382" i="1"/>
  <c r="AB382" i="1"/>
  <c r="AC382" i="1"/>
  <c r="H381" i="1"/>
  <c r="I381" i="1"/>
  <c r="J381" i="1" s="1"/>
  <c r="B381" i="1" s="1"/>
  <c r="K381" i="1" s="1"/>
  <c r="V381" i="1"/>
  <c r="X381" i="1" s="1"/>
  <c r="W381" i="1"/>
  <c r="Y381" i="1" s="1"/>
  <c r="Z381" i="1"/>
  <c r="AA381" i="1"/>
  <c r="AB381" i="1"/>
  <c r="AC381" i="1"/>
  <c r="H380" i="1"/>
  <c r="I380" i="1"/>
  <c r="J380" i="1" s="1"/>
  <c r="B380" i="1" s="1"/>
  <c r="K380" i="1" s="1"/>
  <c r="V380" i="1"/>
  <c r="X380" i="1" s="1"/>
  <c r="W380" i="1"/>
  <c r="Y380" i="1" s="1"/>
  <c r="Z380" i="1"/>
  <c r="AA380" i="1"/>
  <c r="AB380" i="1"/>
  <c r="AC380" i="1"/>
  <c r="H379" i="1"/>
  <c r="I379" i="1"/>
  <c r="J379" i="1" s="1"/>
  <c r="B379" i="1" s="1"/>
  <c r="K379" i="1" s="1"/>
  <c r="V379" i="1"/>
  <c r="X379" i="1" s="1"/>
  <c r="W379" i="1"/>
  <c r="Y379" i="1" s="1"/>
  <c r="Z379" i="1"/>
  <c r="AA379" i="1"/>
  <c r="AB379" i="1"/>
  <c r="AC379" i="1"/>
  <c r="H378" i="1"/>
  <c r="I378" i="1"/>
  <c r="J378" i="1" s="1"/>
  <c r="B378" i="1" s="1"/>
  <c r="K378" i="1" s="1"/>
  <c r="V378" i="1"/>
  <c r="X378" i="1" s="1"/>
  <c r="W378" i="1"/>
  <c r="Y378" i="1" s="1"/>
  <c r="Z378" i="1"/>
  <c r="AA378" i="1"/>
  <c r="AB378" i="1"/>
  <c r="AC378" i="1"/>
  <c r="H377" i="1"/>
  <c r="I377" i="1"/>
  <c r="J377" i="1" s="1"/>
  <c r="B377" i="1" s="1"/>
  <c r="K377" i="1" s="1"/>
  <c r="V377" i="1"/>
  <c r="X377" i="1" s="1"/>
  <c r="W377" i="1"/>
  <c r="Y377" i="1" s="1"/>
  <c r="Z377" i="1"/>
  <c r="AA377" i="1"/>
  <c r="AB377" i="1"/>
  <c r="AC377" i="1"/>
  <c r="H376" i="1"/>
  <c r="I376" i="1"/>
  <c r="J376" i="1" s="1"/>
  <c r="B376" i="1" s="1"/>
  <c r="K376" i="1" s="1"/>
  <c r="V376" i="1"/>
  <c r="X376" i="1" s="1"/>
  <c r="W376" i="1"/>
  <c r="Y376" i="1" s="1"/>
  <c r="Z376" i="1"/>
  <c r="AA376" i="1"/>
  <c r="AB376" i="1"/>
  <c r="AC376" i="1"/>
  <c r="H387" i="1"/>
  <c r="I387" i="1"/>
  <c r="J387" i="1" s="1"/>
  <c r="B387" i="1" s="1"/>
  <c r="K387" i="1" s="1"/>
  <c r="V387" i="1"/>
  <c r="X387" i="1" s="1"/>
  <c r="W387" i="1"/>
  <c r="Y387" i="1" s="1"/>
  <c r="Z387" i="1"/>
  <c r="AA387" i="1"/>
  <c r="AB387" i="1"/>
  <c r="AC387" i="1"/>
  <c r="H386" i="1"/>
  <c r="I386" i="1"/>
  <c r="J386" i="1" s="1"/>
  <c r="B386" i="1" s="1"/>
  <c r="K386" i="1" s="1"/>
  <c r="V386" i="1"/>
  <c r="X386" i="1" s="1"/>
  <c r="W386" i="1"/>
  <c r="Y386" i="1" s="1"/>
  <c r="Z386" i="1"/>
  <c r="AA386" i="1"/>
  <c r="AB386" i="1"/>
  <c r="AC386" i="1"/>
  <c r="H385" i="1"/>
  <c r="I385" i="1"/>
  <c r="J385" i="1" s="1"/>
  <c r="B385" i="1" s="1"/>
  <c r="K385" i="1" s="1"/>
  <c r="V385" i="1"/>
  <c r="X385" i="1" s="1"/>
  <c r="W385" i="1"/>
  <c r="Y385" i="1" s="1"/>
  <c r="Z385" i="1"/>
  <c r="AA385" i="1"/>
  <c r="AB385" i="1"/>
  <c r="AC385" i="1"/>
  <c r="H390" i="1"/>
  <c r="I390" i="1"/>
  <c r="J390" i="1" s="1"/>
  <c r="B390" i="1" s="1"/>
  <c r="K390" i="1" s="1"/>
  <c r="V390" i="1"/>
  <c r="X390" i="1" s="1"/>
  <c r="W390" i="1"/>
  <c r="Y390" i="1" s="1"/>
  <c r="Z390" i="1"/>
  <c r="AA390" i="1"/>
  <c r="AB390" i="1"/>
  <c r="AC390" i="1"/>
  <c r="H389" i="1"/>
  <c r="I389" i="1"/>
  <c r="J389" i="1" s="1"/>
  <c r="B389" i="1" s="1"/>
  <c r="K389" i="1" s="1"/>
  <c r="V389" i="1"/>
  <c r="X389" i="1" s="1"/>
  <c r="W389" i="1"/>
  <c r="Y389" i="1" s="1"/>
  <c r="Z389" i="1"/>
  <c r="AA389" i="1"/>
  <c r="AB389" i="1"/>
  <c r="AC389" i="1"/>
  <c r="H388" i="1"/>
  <c r="I388" i="1"/>
  <c r="J388" i="1" s="1"/>
  <c r="B388" i="1" s="1"/>
  <c r="K388" i="1" s="1"/>
  <c r="V388" i="1"/>
  <c r="X388" i="1" s="1"/>
  <c r="W388" i="1"/>
  <c r="Y388" i="1" s="1"/>
  <c r="Z388" i="1"/>
  <c r="AA388" i="1"/>
  <c r="AB388" i="1"/>
  <c r="AC388" i="1"/>
  <c r="K133" i="3"/>
  <c r="J133" i="3"/>
  <c r="K132" i="3"/>
  <c r="J132" i="3"/>
  <c r="K131" i="3"/>
  <c r="J131" i="3"/>
  <c r="K130" i="3"/>
  <c r="J130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J111" i="3"/>
  <c r="K110" i="3"/>
  <c r="J110" i="3"/>
  <c r="K108" i="3"/>
  <c r="J108" i="3"/>
  <c r="K107" i="3"/>
  <c r="J107" i="3"/>
  <c r="K106" i="3"/>
  <c r="J106" i="3"/>
  <c r="K105" i="3"/>
  <c r="J105" i="3"/>
  <c r="I100" i="3"/>
  <c r="J100" i="3" s="1"/>
  <c r="I99" i="3"/>
  <c r="J99" i="3" s="1"/>
  <c r="I95" i="3"/>
  <c r="K95" i="3" s="1"/>
  <c r="I94" i="3"/>
  <c r="K94" i="3" s="1"/>
  <c r="I88" i="3"/>
  <c r="K88" i="3" s="1"/>
  <c r="I90" i="3"/>
  <c r="K90" i="3" s="1"/>
  <c r="I89" i="3"/>
  <c r="K89" i="3" s="1"/>
  <c r="I87" i="3"/>
  <c r="K87" i="3" s="1"/>
  <c r="I86" i="3"/>
  <c r="K86" i="3" s="1"/>
  <c r="K137" i="3"/>
  <c r="J137" i="3"/>
  <c r="K136" i="3"/>
  <c r="J136" i="3"/>
  <c r="K135" i="3"/>
  <c r="J135" i="3"/>
  <c r="K134" i="3"/>
  <c r="J134" i="3"/>
  <c r="K96" i="3"/>
  <c r="J96" i="3"/>
  <c r="K93" i="3"/>
  <c r="J93" i="3"/>
  <c r="K92" i="3"/>
  <c r="J92" i="3"/>
  <c r="K91" i="3"/>
  <c r="J91" i="3"/>
  <c r="K85" i="3"/>
  <c r="J85" i="3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I356" i="1"/>
  <c r="J356" i="1" s="1"/>
  <c r="B356" i="1" s="1"/>
  <c r="K356" i="1" s="1"/>
  <c r="I357" i="1"/>
  <c r="J357" i="1" s="1"/>
  <c r="B357" i="1" s="1"/>
  <c r="K357" i="1" s="1"/>
  <c r="I358" i="1"/>
  <c r="J358" i="1" s="1"/>
  <c r="B358" i="1" s="1"/>
  <c r="K358" i="1" s="1"/>
  <c r="I359" i="1"/>
  <c r="J359" i="1" s="1"/>
  <c r="B359" i="1" s="1"/>
  <c r="K359" i="1" s="1"/>
  <c r="I360" i="1"/>
  <c r="J360" i="1" s="1"/>
  <c r="B360" i="1" s="1"/>
  <c r="K360" i="1" s="1"/>
  <c r="I361" i="1"/>
  <c r="J361" i="1" s="1"/>
  <c r="B361" i="1" s="1"/>
  <c r="K361" i="1" s="1"/>
  <c r="I362" i="1"/>
  <c r="J362" i="1" s="1"/>
  <c r="B362" i="1" s="1"/>
  <c r="K362" i="1" s="1"/>
  <c r="I363" i="1"/>
  <c r="J363" i="1" s="1"/>
  <c r="B363" i="1" s="1"/>
  <c r="K363" i="1" s="1"/>
  <c r="I364" i="1"/>
  <c r="J364" i="1" s="1"/>
  <c r="B364" i="1" s="1"/>
  <c r="K364" i="1" s="1"/>
  <c r="I365" i="1"/>
  <c r="J365" i="1" s="1"/>
  <c r="B365" i="1" s="1"/>
  <c r="K365" i="1" s="1"/>
  <c r="I366" i="1"/>
  <c r="J366" i="1" s="1"/>
  <c r="B366" i="1" s="1"/>
  <c r="K366" i="1" s="1"/>
  <c r="I367" i="1"/>
  <c r="J367" i="1" s="1"/>
  <c r="B367" i="1" s="1"/>
  <c r="K367" i="1" s="1"/>
  <c r="I368" i="1"/>
  <c r="J368" i="1" s="1"/>
  <c r="B368" i="1" s="1"/>
  <c r="K368" i="1" s="1"/>
  <c r="I369" i="1"/>
  <c r="J369" i="1" s="1"/>
  <c r="B369" i="1" s="1"/>
  <c r="K369" i="1" s="1"/>
  <c r="I370" i="1"/>
  <c r="J370" i="1" s="1"/>
  <c r="B370" i="1" s="1"/>
  <c r="K370" i="1" s="1"/>
  <c r="I371" i="1"/>
  <c r="J371" i="1" s="1"/>
  <c r="B371" i="1" s="1"/>
  <c r="K371" i="1" s="1"/>
  <c r="I372" i="1"/>
  <c r="J372" i="1" s="1"/>
  <c r="B372" i="1" s="1"/>
  <c r="K372" i="1" s="1"/>
  <c r="I373" i="1"/>
  <c r="J373" i="1" s="1"/>
  <c r="B373" i="1" s="1"/>
  <c r="K373" i="1" s="1"/>
  <c r="I374" i="1"/>
  <c r="J374" i="1" s="1"/>
  <c r="B374" i="1" s="1"/>
  <c r="K374" i="1" s="1"/>
  <c r="I375" i="1"/>
  <c r="J375" i="1" s="1"/>
  <c r="B375" i="1" s="1"/>
  <c r="K375" i="1" s="1"/>
  <c r="V356" i="1"/>
  <c r="V357" i="1"/>
  <c r="V358" i="1"/>
  <c r="V359" i="1"/>
  <c r="V360" i="1"/>
  <c r="X360" i="1" s="1"/>
  <c r="V361" i="1"/>
  <c r="X361" i="1" s="1"/>
  <c r="V362" i="1"/>
  <c r="X362" i="1" s="1"/>
  <c r="V363" i="1"/>
  <c r="X363" i="1" s="1"/>
  <c r="V364" i="1"/>
  <c r="X364" i="1" s="1"/>
  <c r="V365" i="1"/>
  <c r="X365" i="1" s="1"/>
  <c r="V366" i="1"/>
  <c r="X366" i="1" s="1"/>
  <c r="V367" i="1"/>
  <c r="X367" i="1" s="1"/>
  <c r="V368" i="1"/>
  <c r="X368" i="1" s="1"/>
  <c r="V369" i="1"/>
  <c r="X369" i="1" s="1"/>
  <c r="V370" i="1"/>
  <c r="X370" i="1" s="1"/>
  <c r="V371" i="1"/>
  <c r="X371" i="1" s="1"/>
  <c r="V372" i="1"/>
  <c r="X372" i="1" s="1"/>
  <c r="V373" i="1"/>
  <c r="X373" i="1" s="1"/>
  <c r="V374" i="1"/>
  <c r="X374" i="1" s="1"/>
  <c r="V375" i="1"/>
  <c r="X375" i="1" s="1"/>
  <c r="W356" i="1"/>
  <c r="Y356" i="1" s="1"/>
  <c r="W357" i="1"/>
  <c r="Y357" i="1" s="1"/>
  <c r="W358" i="1"/>
  <c r="Y358" i="1" s="1"/>
  <c r="W359" i="1"/>
  <c r="W360" i="1"/>
  <c r="Y360" i="1" s="1"/>
  <c r="W361" i="1"/>
  <c r="Y361" i="1" s="1"/>
  <c r="W362" i="1"/>
  <c r="W363" i="1"/>
  <c r="Y363" i="1" s="1"/>
  <c r="W364" i="1"/>
  <c r="W365" i="1"/>
  <c r="W366" i="1"/>
  <c r="W367" i="1"/>
  <c r="W368" i="1"/>
  <c r="Y368" i="1" s="1"/>
  <c r="W369" i="1"/>
  <c r="W370" i="1"/>
  <c r="Y370" i="1" s="1"/>
  <c r="W371" i="1"/>
  <c r="Y371" i="1" s="1"/>
  <c r="W372" i="1"/>
  <c r="Y372" i="1" s="1"/>
  <c r="W373" i="1"/>
  <c r="Y373" i="1" s="1"/>
  <c r="W374" i="1"/>
  <c r="Y374" i="1" s="1"/>
  <c r="W375" i="1"/>
  <c r="Y375" i="1" s="1"/>
  <c r="X356" i="1"/>
  <c r="X357" i="1"/>
  <c r="X358" i="1"/>
  <c r="X359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H355" i="1"/>
  <c r="I355" i="1"/>
  <c r="J355" i="1" s="1"/>
  <c r="B355" i="1" s="1"/>
  <c r="K355" i="1" s="1"/>
  <c r="V355" i="1"/>
  <c r="X355" i="1" s="1"/>
  <c r="W355" i="1"/>
  <c r="Y355" i="1" s="1"/>
  <c r="Z355" i="1"/>
  <c r="AA355" i="1"/>
  <c r="AB355" i="1"/>
  <c r="AC355" i="1"/>
  <c r="B58" i="2"/>
  <c r="B59" i="2"/>
  <c r="B61" i="2"/>
  <c r="B60" i="2"/>
  <c r="B57" i="2"/>
  <c r="B56" i="2"/>
  <c r="B55" i="2"/>
  <c r="B54" i="2"/>
  <c r="H4" i="1"/>
  <c r="I4" i="1"/>
  <c r="J4" i="1" s="1"/>
  <c r="B4" i="1" s="1"/>
  <c r="K4" i="1" s="1"/>
  <c r="V4" i="1"/>
  <c r="X4" i="1" s="1"/>
  <c r="W4" i="1"/>
  <c r="Y4" i="1" s="1"/>
  <c r="Z4" i="1"/>
  <c r="AA4" i="1"/>
  <c r="AB4" i="1"/>
  <c r="AC4" i="1"/>
  <c r="H5" i="1"/>
  <c r="I5" i="1"/>
  <c r="J5" i="1" s="1"/>
  <c r="B5" i="1" s="1"/>
  <c r="K5" i="1" s="1"/>
  <c r="V5" i="1"/>
  <c r="X5" i="1" s="1"/>
  <c r="W5" i="1"/>
  <c r="Y5" i="1" s="1"/>
  <c r="Z5" i="1"/>
  <c r="AA5" i="1"/>
  <c r="AB5" i="1"/>
  <c r="AC5" i="1"/>
  <c r="H6" i="1"/>
  <c r="I6" i="1"/>
  <c r="J6" i="1" s="1"/>
  <c r="B6" i="1" s="1"/>
  <c r="K6" i="1" s="1"/>
  <c r="V6" i="1"/>
  <c r="X6" i="1" s="1"/>
  <c r="W6" i="1"/>
  <c r="Y6" i="1" s="1"/>
  <c r="Z6" i="1"/>
  <c r="AA6" i="1"/>
  <c r="AB6" i="1"/>
  <c r="AC6" i="1"/>
  <c r="H7" i="1"/>
  <c r="I7" i="1"/>
  <c r="J7" i="1" s="1"/>
  <c r="B7" i="1" s="1"/>
  <c r="K7" i="1" s="1"/>
  <c r="V7" i="1"/>
  <c r="X7" i="1" s="1"/>
  <c r="W7" i="1"/>
  <c r="Y7" i="1" s="1"/>
  <c r="Z7" i="1"/>
  <c r="AA7" i="1"/>
  <c r="AB7" i="1"/>
  <c r="AC7" i="1"/>
  <c r="H8" i="1"/>
  <c r="I8" i="1"/>
  <c r="J8" i="1" s="1"/>
  <c r="B8" i="1" s="1"/>
  <c r="K8" i="1" s="1"/>
  <c r="V8" i="1"/>
  <c r="X8" i="1" s="1"/>
  <c r="W8" i="1"/>
  <c r="Y8" i="1" s="1"/>
  <c r="Z8" i="1"/>
  <c r="AA8" i="1"/>
  <c r="AB8" i="1"/>
  <c r="AC8" i="1"/>
  <c r="H9" i="1"/>
  <c r="I9" i="1"/>
  <c r="J9" i="1" s="1"/>
  <c r="B9" i="1" s="1"/>
  <c r="K9" i="1" s="1"/>
  <c r="V9" i="1"/>
  <c r="X9" i="1" s="1"/>
  <c r="W9" i="1"/>
  <c r="Y9" i="1" s="1"/>
  <c r="Z9" i="1"/>
  <c r="AA9" i="1"/>
  <c r="AB9" i="1"/>
  <c r="AC9" i="1"/>
  <c r="H10" i="1"/>
  <c r="I10" i="1"/>
  <c r="J10" i="1" s="1"/>
  <c r="B10" i="1" s="1"/>
  <c r="K10" i="1" s="1"/>
  <c r="V10" i="1"/>
  <c r="X10" i="1" s="1"/>
  <c r="W10" i="1"/>
  <c r="Y10" i="1" s="1"/>
  <c r="Z10" i="1"/>
  <c r="AA10" i="1"/>
  <c r="AB10" i="1"/>
  <c r="AC10" i="1"/>
  <c r="H11" i="1"/>
  <c r="I11" i="1"/>
  <c r="J11" i="1" s="1"/>
  <c r="B11" i="1" s="1"/>
  <c r="K11" i="1" s="1"/>
  <c r="V11" i="1"/>
  <c r="X11" i="1" s="1"/>
  <c r="W11" i="1"/>
  <c r="Y11" i="1" s="1"/>
  <c r="Z11" i="1"/>
  <c r="AA11" i="1"/>
  <c r="AB11" i="1"/>
  <c r="AC11" i="1"/>
  <c r="H12" i="1"/>
  <c r="I12" i="1"/>
  <c r="J12" i="1" s="1"/>
  <c r="B12" i="1" s="1"/>
  <c r="K12" i="1" s="1"/>
  <c r="V12" i="1"/>
  <c r="X12" i="1" s="1"/>
  <c r="W12" i="1"/>
  <c r="Y12" i="1" s="1"/>
  <c r="Z12" i="1"/>
  <c r="AA12" i="1"/>
  <c r="AB12" i="1"/>
  <c r="AC12" i="1"/>
  <c r="H13" i="1"/>
  <c r="I13" i="1"/>
  <c r="J13" i="1" s="1"/>
  <c r="B13" i="1" s="1"/>
  <c r="K13" i="1" s="1"/>
  <c r="V13" i="1"/>
  <c r="X13" i="1" s="1"/>
  <c r="W13" i="1"/>
  <c r="Y13" i="1" s="1"/>
  <c r="Z13" i="1"/>
  <c r="AA13" i="1"/>
  <c r="AB13" i="1"/>
  <c r="AC13" i="1"/>
  <c r="H14" i="1"/>
  <c r="I14" i="1"/>
  <c r="J14" i="1" s="1"/>
  <c r="B14" i="1" s="1"/>
  <c r="K14" i="1" s="1"/>
  <c r="V14" i="1"/>
  <c r="X14" i="1" s="1"/>
  <c r="W14" i="1"/>
  <c r="Y14" i="1" s="1"/>
  <c r="Z14" i="1"/>
  <c r="AA14" i="1"/>
  <c r="AB14" i="1"/>
  <c r="AC14" i="1"/>
  <c r="H15" i="1"/>
  <c r="I15" i="1"/>
  <c r="J15" i="1" s="1"/>
  <c r="B15" i="1" s="1"/>
  <c r="K15" i="1" s="1"/>
  <c r="V15" i="1"/>
  <c r="X15" i="1" s="1"/>
  <c r="W15" i="1"/>
  <c r="Y15" i="1" s="1"/>
  <c r="Z15" i="1"/>
  <c r="AA15" i="1"/>
  <c r="AB15" i="1"/>
  <c r="AC15" i="1"/>
  <c r="H16" i="1"/>
  <c r="I16" i="1"/>
  <c r="J16" i="1" s="1"/>
  <c r="B16" i="1" s="1"/>
  <c r="K16" i="1" s="1"/>
  <c r="V16" i="1"/>
  <c r="X16" i="1" s="1"/>
  <c r="W16" i="1"/>
  <c r="Y16" i="1" s="1"/>
  <c r="Z16" i="1"/>
  <c r="AA16" i="1"/>
  <c r="AB16" i="1"/>
  <c r="AC16" i="1"/>
  <c r="H17" i="1"/>
  <c r="I17" i="1"/>
  <c r="J17" i="1" s="1"/>
  <c r="B17" i="1" s="1"/>
  <c r="K17" i="1" s="1"/>
  <c r="V17" i="1"/>
  <c r="X17" i="1" s="1"/>
  <c r="W17" i="1"/>
  <c r="Y17" i="1" s="1"/>
  <c r="Z17" i="1"/>
  <c r="AA17" i="1"/>
  <c r="AB17" i="1"/>
  <c r="AC17" i="1"/>
  <c r="H18" i="1"/>
  <c r="I18" i="1"/>
  <c r="J18" i="1" s="1"/>
  <c r="B18" i="1" s="1"/>
  <c r="K18" i="1" s="1"/>
  <c r="V18" i="1"/>
  <c r="X18" i="1" s="1"/>
  <c r="W18" i="1"/>
  <c r="Y18" i="1" s="1"/>
  <c r="Z18" i="1"/>
  <c r="AA18" i="1"/>
  <c r="AB18" i="1"/>
  <c r="AC18" i="1"/>
  <c r="H19" i="1"/>
  <c r="I19" i="1"/>
  <c r="J19" i="1" s="1"/>
  <c r="B19" i="1" s="1"/>
  <c r="K19" i="1" s="1"/>
  <c r="V19" i="1"/>
  <c r="X19" i="1" s="1"/>
  <c r="W19" i="1"/>
  <c r="Y19" i="1" s="1"/>
  <c r="Z19" i="1"/>
  <c r="AA19" i="1"/>
  <c r="AB19" i="1"/>
  <c r="AC19" i="1"/>
  <c r="H20" i="1"/>
  <c r="I20" i="1"/>
  <c r="J20" i="1" s="1"/>
  <c r="B20" i="1" s="1"/>
  <c r="K20" i="1" s="1"/>
  <c r="V20" i="1"/>
  <c r="X20" i="1" s="1"/>
  <c r="W20" i="1"/>
  <c r="Y20" i="1" s="1"/>
  <c r="Z20" i="1"/>
  <c r="AA20" i="1"/>
  <c r="AB20" i="1"/>
  <c r="AC20" i="1"/>
  <c r="H21" i="1"/>
  <c r="I21" i="1"/>
  <c r="J21" i="1" s="1"/>
  <c r="B21" i="1" s="1"/>
  <c r="K21" i="1" s="1"/>
  <c r="V21" i="1"/>
  <c r="X21" i="1" s="1"/>
  <c r="W21" i="1"/>
  <c r="Y21" i="1" s="1"/>
  <c r="Z21" i="1"/>
  <c r="AA21" i="1"/>
  <c r="AB21" i="1"/>
  <c r="AC21" i="1"/>
  <c r="I82" i="3"/>
  <c r="K82" i="3" s="1"/>
  <c r="I80" i="3"/>
  <c r="K80" i="3" s="1"/>
  <c r="I77" i="3"/>
  <c r="K77" i="3" s="1"/>
  <c r="I76" i="3"/>
  <c r="K76" i="3" s="1"/>
  <c r="I74" i="3"/>
  <c r="K74" i="3" s="1"/>
  <c r="I73" i="3"/>
  <c r="K73" i="3" s="1"/>
  <c r="I71" i="3"/>
  <c r="K71" i="3" s="1"/>
  <c r="K83" i="3"/>
  <c r="J83" i="3"/>
  <c r="K81" i="3"/>
  <c r="J81" i="3"/>
  <c r="K79" i="3"/>
  <c r="J79" i="3"/>
  <c r="K78" i="3"/>
  <c r="J78" i="3"/>
  <c r="K75" i="3"/>
  <c r="J75" i="3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I338" i="1"/>
  <c r="J338" i="1" s="1"/>
  <c r="B338" i="1" s="1"/>
  <c r="K338" i="1" s="1"/>
  <c r="I339" i="1"/>
  <c r="J339" i="1" s="1"/>
  <c r="B339" i="1" s="1"/>
  <c r="K339" i="1" s="1"/>
  <c r="I340" i="1"/>
  <c r="J340" i="1" s="1"/>
  <c r="B340" i="1" s="1"/>
  <c r="K340" i="1" s="1"/>
  <c r="I341" i="1"/>
  <c r="J341" i="1" s="1"/>
  <c r="B341" i="1" s="1"/>
  <c r="K341" i="1" s="1"/>
  <c r="I342" i="1"/>
  <c r="J342" i="1" s="1"/>
  <c r="B342" i="1" s="1"/>
  <c r="K342" i="1" s="1"/>
  <c r="I343" i="1"/>
  <c r="J343" i="1" s="1"/>
  <c r="B343" i="1" s="1"/>
  <c r="K343" i="1" s="1"/>
  <c r="I344" i="1"/>
  <c r="J344" i="1" s="1"/>
  <c r="B344" i="1" s="1"/>
  <c r="K344" i="1" s="1"/>
  <c r="I345" i="1"/>
  <c r="J345" i="1" s="1"/>
  <c r="B345" i="1" s="1"/>
  <c r="K345" i="1" s="1"/>
  <c r="I346" i="1"/>
  <c r="J346" i="1" s="1"/>
  <c r="B346" i="1" s="1"/>
  <c r="K346" i="1" s="1"/>
  <c r="I347" i="1"/>
  <c r="J347" i="1" s="1"/>
  <c r="B347" i="1" s="1"/>
  <c r="K347" i="1" s="1"/>
  <c r="I348" i="1"/>
  <c r="J348" i="1" s="1"/>
  <c r="B348" i="1" s="1"/>
  <c r="K348" i="1" s="1"/>
  <c r="I349" i="1"/>
  <c r="J349" i="1" s="1"/>
  <c r="B349" i="1" s="1"/>
  <c r="K349" i="1" s="1"/>
  <c r="I350" i="1"/>
  <c r="J350" i="1" s="1"/>
  <c r="B350" i="1" s="1"/>
  <c r="K350" i="1" s="1"/>
  <c r="I351" i="1"/>
  <c r="J351" i="1" s="1"/>
  <c r="B351" i="1" s="1"/>
  <c r="K351" i="1" s="1"/>
  <c r="I352" i="1"/>
  <c r="J352" i="1" s="1"/>
  <c r="B352" i="1" s="1"/>
  <c r="K352" i="1" s="1"/>
  <c r="I353" i="1"/>
  <c r="J353" i="1" s="1"/>
  <c r="B353" i="1" s="1"/>
  <c r="K353" i="1" s="1"/>
  <c r="I354" i="1"/>
  <c r="J354" i="1" s="1"/>
  <c r="B354" i="1" s="1"/>
  <c r="K354" i="1" s="1"/>
  <c r="V338" i="1"/>
  <c r="X338" i="1" s="1"/>
  <c r="V339" i="1"/>
  <c r="X339" i="1" s="1"/>
  <c r="V340" i="1"/>
  <c r="X340" i="1" s="1"/>
  <c r="V341" i="1"/>
  <c r="X341" i="1" s="1"/>
  <c r="V342" i="1"/>
  <c r="V343" i="1"/>
  <c r="X343" i="1" s="1"/>
  <c r="V344" i="1"/>
  <c r="X344" i="1" s="1"/>
  <c r="V345" i="1"/>
  <c r="X345" i="1" s="1"/>
  <c r="V346" i="1"/>
  <c r="X346" i="1" s="1"/>
  <c r="V347" i="1"/>
  <c r="X347" i="1" s="1"/>
  <c r="V348" i="1"/>
  <c r="X348" i="1" s="1"/>
  <c r="V349" i="1"/>
  <c r="X349" i="1" s="1"/>
  <c r="V350" i="1"/>
  <c r="X350" i="1" s="1"/>
  <c r="V351" i="1"/>
  <c r="X351" i="1" s="1"/>
  <c r="V352" i="1"/>
  <c r="X352" i="1" s="1"/>
  <c r="V353" i="1"/>
  <c r="X353" i="1" s="1"/>
  <c r="V354" i="1"/>
  <c r="X354" i="1" s="1"/>
  <c r="W338" i="1"/>
  <c r="Y338" i="1" s="1"/>
  <c r="W339" i="1"/>
  <c r="Y339" i="1" s="1"/>
  <c r="W340" i="1"/>
  <c r="Y340" i="1" s="1"/>
  <c r="W341" i="1"/>
  <c r="Y341" i="1" s="1"/>
  <c r="W342" i="1"/>
  <c r="Y342" i="1" s="1"/>
  <c r="W343" i="1"/>
  <c r="Y343" i="1" s="1"/>
  <c r="W344" i="1"/>
  <c r="Y344" i="1" s="1"/>
  <c r="W345" i="1"/>
  <c r="Y345" i="1" s="1"/>
  <c r="W346" i="1"/>
  <c r="Y346" i="1" s="1"/>
  <c r="W347" i="1"/>
  <c r="Y347" i="1" s="1"/>
  <c r="W348" i="1"/>
  <c r="Y348" i="1" s="1"/>
  <c r="W349" i="1"/>
  <c r="Y349" i="1" s="1"/>
  <c r="W350" i="1"/>
  <c r="Y350" i="1" s="1"/>
  <c r="W351" i="1"/>
  <c r="Y351" i="1" s="1"/>
  <c r="W352" i="1"/>
  <c r="Y352" i="1" s="1"/>
  <c r="W353" i="1"/>
  <c r="Y353" i="1" s="1"/>
  <c r="W354" i="1"/>
  <c r="Y354" i="1" s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H337" i="1"/>
  <c r="I337" i="1"/>
  <c r="J337" i="1" s="1"/>
  <c r="B337" i="1" s="1"/>
  <c r="K337" i="1" s="1"/>
  <c r="V337" i="1"/>
  <c r="X337" i="1" s="1"/>
  <c r="W337" i="1"/>
  <c r="Y337" i="1" s="1"/>
  <c r="Z337" i="1"/>
  <c r="AA337" i="1"/>
  <c r="AB337" i="1"/>
  <c r="AC337" i="1"/>
  <c r="K101" i="3"/>
  <c r="J101" i="3"/>
  <c r="K98" i="3"/>
  <c r="J98" i="3"/>
  <c r="K97" i="3"/>
  <c r="J97" i="3"/>
  <c r="K84" i="3"/>
  <c r="J84" i="3"/>
  <c r="K72" i="3"/>
  <c r="J72" i="3"/>
  <c r="K70" i="3"/>
  <c r="J70" i="3"/>
  <c r="K69" i="3"/>
  <c r="J69" i="3"/>
  <c r="K68" i="3"/>
  <c r="J68" i="3"/>
  <c r="H336" i="1"/>
  <c r="I336" i="1"/>
  <c r="J336" i="1" s="1"/>
  <c r="B336" i="1" s="1"/>
  <c r="K336" i="1" s="1"/>
  <c r="V336" i="1"/>
  <c r="X336" i="1" s="1"/>
  <c r="W336" i="1"/>
  <c r="Y336" i="1" s="1"/>
  <c r="Z336" i="1"/>
  <c r="AA336" i="1"/>
  <c r="AB336" i="1"/>
  <c r="AC33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I317" i="1"/>
  <c r="J317" i="1" s="1"/>
  <c r="B317" i="1" s="1"/>
  <c r="K317" i="1" s="1"/>
  <c r="I318" i="1"/>
  <c r="J318" i="1" s="1"/>
  <c r="B318" i="1" s="1"/>
  <c r="K318" i="1" s="1"/>
  <c r="I319" i="1"/>
  <c r="J319" i="1" s="1"/>
  <c r="B319" i="1" s="1"/>
  <c r="K319" i="1" s="1"/>
  <c r="I320" i="1"/>
  <c r="J320" i="1" s="1"/>
  <c r="B320" i="1" s="1"/>
  <c r="K320" i="1" s="1"/>
  <c r="I321" i="1"/>
  <c r="J321" i="1" s="1"/>
  <c r="B321" i="1" s="1"/>
  <c r="K321" i="1" s="1"/>
  <c r="I322" i="1"/>
  <c r="J322" i="1" s="1"/>
  <c r="B322" i="1" s="1"/>
  <c r="K322" i="1" s="1"/>
  <c r="I323" i="1"/>
  <c r="J323" i="1" s="1"/>
  <c r="B323" i="1" s="1"/>
  <c r="K323" i="1" s="1"/>
  <c r="I324" i="1"/>
  <c r="J324" i="1" s="1"/>
  <c r="B324" i="1" s="1"/>
  <c r="K324" i="1" s="1"/>
  <c r="I325" i="1"/>
  <c r="J325" i="1" s="1"/>
  <c r="B325" i="1" s="1"/>
  <c r="K325" i="1" s="1"/>
  <c r="I326" i="1"/>
  <c r="J326" i="1" s="1"/>
  <c r="B326" i="1" s="1"/>
  <c r="K326" i="1" s="1"/>
  <c r="I327" i="1"/>
  <c r="J327" i="1" s="1"/>
  <c r="B327" i="1" s="1"/>
  <c r="K327" i="1" s="1"/>
  <c r="I328" i="1"/>
  <c r="J328" i="1" s="1"/>
  <c r="B328" i="1" s="1"/>
  <c r="K328" i="1" s="1"/>
  <c r="I329" i="1"/>
  <c r="J329" i="1" s="1"/>
  <c r="B329" i="1" s="1"/>
  <c r="K329" i="1" s="1"/>
  <c r="I330" i="1"/>
  <c r="J330" i="1" s="1"/>
  <c r="B330" i="1" s="1"/>
  <c r="K330" i="1" s="1"/>
  <c r="I331" i="1"/>
  <c r="J331" i="1" s="1"/>
  <c r="B331" i="1" s="1"/>
  <c r="K331" i="1" s="1"/>
  <c r="I332" i="1"/>
  <c r="J332" i="1" s="1"/>
  <c r="B332" i="1" s="1"/>
  <c r="K332" i="1" s="1"/>
  <c r="I333" i="1"/>
  <c r="J333" i="1" s="1"/>
  <c r="B333" i="1" s="1"/>
  <c r="K333" i="1" s="1"/>
  <c r="I334" i="1"/>
  <c r="J334" i="1" s="1"/>
  <c r="B334" i="1" s="1"/>
  <c r="K334" i="1" s="1"/>
  <c r="I335" i="1"/>
  <c r="J335" i="1" s="1"/>
  <c r="B335" i="1" s="1"/>
  <c r="K335" i="1" s="1"/>
  <c r="V317" i="1"/>
  <c r="X317" i="1" s="1"/>
  <c r="V318" i="1"/>
  <c r="X318" i="1" s="1"/>
  <c r="V319" i="1"/>
  <c r="X319" i="1" s="1"/>
  <c r="V320" i="1"/>
  <c r="V321" i="1"/>
  <c r="X321" i="1" s="1"/>
  <c r="V322" i="1"/>
  <c r="X322" i="1" s="1"/>
  <c r="V323" i="1"/>
  <c r="X323" i="1" s="1"/>
  <c r="V324" i="1"/>
  <c r="X324" i="1" s="1"/>
  <c r="V325" i="1"/>
  <c r="X325" i="1" s="1"/>
  <c r="V326" i="1"/>
  <c r="X326" i="1" s="1"/>
  <c r="V327" i="1"/>
  <c r="X327" i="1" s="1"/>
  <c r="V328" i="1"/>
  <c r="V329" i="1"/>
  <c r="X329" i="1" s="1"/>
  <c r="V330" i="1"/>
  <c r="V331" i="1"/>
  <c r="X331" i="1" s="1"/>
  <c r="V332" i="1"/>
  <c r="X332" i="1" s="1"/>
  <c r="V333" i="1"/>
  <c r="X333" i="1" s="1"/>
  <c r="V334" i="1"/>
  <c r="V335" i="1"/>
  <c r="X335" i="1" s="1"/>
  <c r="W317" i="1"/>
  <c r="W318" i="1"/>
  <c r="Y318" i="1" s="1"/>
  <c r="W319" i="1"/>
  <c r="Y319" i="1" s="1"/>
  <c r="W320" i="1"/>
  <c r="W321" i="1"/>
  <c r="Y321" i="1" s="1"/>
  <c r="W322" i="1"/>
  <c r="Y322" i="1" s="1"/>
  <c r="W323" i="1"/>
  <c r="Y323" i="1" s="1"/>
  <c r="W324" i="1"/>
  <c r="Y324" i="1" s="1"/>
  <c r="W325" i="1"/>
  <c r="W326" i="1"/>
  <c r="Y326" i="1" s="1"/>
  <c r="W327" i="1"/>
  <c r="W328" i="1"/>
  <c r="W329" i="1"/>
  <c r="Y329" i="1" s="1"/>
  <c r="W330" i="1"/>
  <c r="Y330" i="1" s="1"/>
  <c r="W331" i="1"/>
  <c r="W332" i="1"/>
  <c r="W333" i="1"/>
  <c r="W334" i="1"/>
  <c r="Y334" i="1" s="1"/>
  <c r="W335" i="1"/>
  <c r="Y335" i="1" s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H316" i="1"/>
  <c r="I316" i="1"/>
  <c r="J316" i="1" s="1"/>
  <c r="B316" i="1" s="1"/>
  <c r="K316" i="1" s="1"/>
  <c r="V316" i="1"/>
  <c r="X316" i="1" s="1"/>
  <c r="W316" i="1"/>
  <c r="Y316" i="1" s="1"/>
  <c r="Z316" i="1"/>
  <c r="AA316" i="1"/>
  <c r="AB316" i="1"/>
  <c r="AC316" i="1"/>
  <c r="I66" i="3"/>
  <c r="J66" i="3" s="1"/>
  <c r="I60" i="3"/>
  <c r="I57" i="3"/>
  <c r="J55" i="3"/>
  <c r="K55" i="3"/>
  <c r="J56" i="3"/>
  <c r="K56" i="3"/>
  <c r="J58" i="3"/>
  <c r="K58" i="3"/>
  <c r="J59" i="3"/>
  <c r="K59" i="3"/>
  <c r="J61" i="3"/>
  <c r="K61" i="3"/>
  <c r="J62" i="3"/>
  <c r="K62" i="3"/>
  <c r="J63" i="3"/>
  <c r="K63" i="3"/>
  <c r="J64" i="3"/>
  <c r="K64" i="3"/>
  <c r="J65" i="3"/>
  <c r="K65" i="3"/>
  <c r="J67" i="3"/>
  <c r="K67" i="3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I298" i="1"/>
  <c r="J298" i="1" s="1"/>
  <c r="B298" i="1" s="1"/>
  <c r="K298" i="1" s="1"/>
  <c r="I299" i="1"/>
  <c r="J299" i="1" s="1"/>
  <c r="B299" i="1" s="1"/>
  <c r="K299" i="1" s="1"/>
  <c r="I300" i="1"/>
  <c r="J300" i="1" s="1"/>
  <c r="B300" i="1" s="1"/>
  <c r="K300" i="1" s="1"/>
  <c r="I301" i="1"/>
  <c r="J301" i="1" s="1"/>
  <c r="B301" i="1" s="1"/>
  <c r="K301" i="1" s="1"/>
  <c r="I302" i="1"/>
  <c r="J302" i="1" s="1"/>
  <c r="B302" i="1" s="1"/>
  <c r="K302" i="1" s="1"/>
  <c r="I303" i="1"/>
  <c r="J303" i="1" s="1"/>
  <c r="B303" i="1" s="1"/>
  <c r="K303" i="1" s="1"/>
  <c r="I304" i="1"/>
  <c r="J304" i="1" s="1"/>
  <c r="B304" i="1" s="1"/>
  <c r="K304" i="1" s="1"/>
  <c r="I305" i="1"/>
  <c r="J305" i="1" s="1"/>
  <c r="B305" i="1" s="1"/>
  <c r="K305" i="1" s="1"/>
  <c r="I306" i="1"/>
  <c r="J306" i="1" s="1"/>
  <c r="B306" i="1" s="1"/>
  <c r="K306" i="1" s="1"/>
  <c r="I307" i="1"/>
  <c r="J307" i="1" s="1"/>
  <c r="B307" i="1" s="1"/>
  <c r="K307" i="1" s="1"/>
  <c r="I308" i="1"/>
  <c r="J308" i="1" s="1"/>
  <c r="B308" i="1" s="1"/>
  <c r="K308" i="1" s="1"/>
  <c r="I309" i="1"/>
  <c r="J309" i="1" s="1"/>
  <c r="B309" i="1" s="1"/>
  <c r="K309" i="1" s="1"/>
  <c r="I310" i="1"/>
  <c r="J310" i="1" s="1"/>
  <c r="B310" i="1" s="1"/>
  <c r="K310" i="1" s="1"/>
  <c r="I311" i="1"/>
  <c r="J311" i="1" s="1"/>
  <c r="B311" i="1" s="1"/>
  <c r="K311" i="1" s="1"/>
  <c r="I312" i="1"/>
  <c r="J312" i="1" s="1"/>
  <c r="B312" i="1" s="1"/>
  <c r="K312" i="1" s="1"/>
  <c r="I313" i="1"/>
  <c r="J313" i="1" s="1"/>
  <c r="B313" i="1" s="1"/>
  <c r="K313" i="1" s="1"/>
  <c r="I314" i="1"/>
  <c r="J314" i="1" s="1"/>
  <c r="B314" i="1" s="1"/>
  <c r="K314" i="1" s="1"/>
  <c r="I315" i="1"/>
  <c r="J315" i="1" s="1"/>
  <c r="B315" i="1" s="1"/>
  <c r="K315" i="1" s="1"/>
  <c r="V298" i="1"/>
  <c r="X298" i="1" s="1"/>
  <c r="V299" i="1"/>
  <c r="X299" i="1" s="1"/>
  <c r="V300" i="1"/>
  <c r="V301" i="1"/>
  <c r="X301" i="1" s="1"/>
  <c r="V302" i="1"/>
  <c r="X302" i="1" s="1"/>
  <c r="V303" i="1"/>
  <c r="X303" i="1" s="1"/>
  <c r="V304" i="1"/>
  <c r="X304" i="1" s="1"/>
  <c r="V305" i="1"/>
  <c r="V306" i="1"/>
  <c r="V307" i="1"/>
  <c r="X307" i="1" s="1"/>
  <c r="V308" i="1"/>
  <c r="X308" i="1" s="1"/>
  <c r="V309" i="1"/>
  <c r="X309" i="1" s="1"/>
  <c r="V310" i="1"/>
  <c r="X310" i="1" s="1"/>
  <c r="V311" i="1"/>
  <c r="X311" i="1" s="1"/>
  <c r="V312" i="1"/>
  <c r="V313" i="1"/>
  <c r="V314" i="1"/>
  <c r="X314" i="1" s="1"/>
  <c r="V315" i="1"/>
  <c r="X315" i="1" s="1"/>
  <c r="W298" i="1"/>
  <c r="Y298" i="1" s="1"/>
  <c r="W299" i="1"/>
  <c r="Y299" i="1" s="1"/>
  <c r="W300" i="1"/>
  <c r="Y300" i="1" s="1"/>
  <c r="W301" i="1"/>
  <c r="Y301" i="1" s="1"/>
  <c r="W302" i="1"/>
  <c r="Y302" i="1" s="1"/>
  <c r="W303" i="1"/>
  <c r="W304" i="1"/>
  <c r="Y304" i="1" s="1"/>
  <c r="W305" i="1"/>
  <c r="Y305" i="1" s="1"/>
  <c r="W306" i="1"/>
  <c r="W307" i="1"/>
  <c r="Y307" i="1" s="1"/>
  <c r="W308" i="1"/>
  <c r="Y308" i="1" s="1"/>
  <c r="W309" i="1"/>
  <c r="W310" i="1"/>
  <c r="Y310" i="1" s="1"/>
  <c r="W311" i="1"/>
  <c r="Y311" i="1" s="1"/>
  <c r="W312" i="1"/>
  <c r="Y312" i="1" s="1"/>
  <c r="W313" i="1"/>
  <c r="Y313" i="1" s="1"/>
  <c r="W314" i="1"/>
  <c r="Y314" i="1" s="1"/>
  <c r="W315" i="1"/>
  <c r="Y315" i="1" s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H22" i="1"/>
  <c r="I22" i="1"/>
  <c r="J22" i="1" s="1"/>
  <c r="B22" i="1" s="1"/>
  <c r="K22" i="1" s="1"/>
  <c r="V22" i="1"/>
  <c r="X22" i="1" s="1"/>
  <c r="W22" i="1"/>
  <c r="Y22" i="1" s="1"/>
  <c r="Z22" i="1"/>
  <c r="AA22" i="1"/>
  <c r="AB22" i="1"/>
  <c r="AC22" i="1"/>
  <c r="H23" i="1"/>
  <c r="I23" i="1"/>
  <c r="J23" i="1" s="1"/>
  <c r="B23" i="1" s="1"/>
  <c r="K23" i="1" s="1"/>
  <c r="V23" i="1"/>
  <c r="X23" i="1" s="1"/>
  <c r="W23" i="1"/>
  <c r="Y23" i="1" s="1"/>
  <c r="Z23" i="1"/>
  <c r="AA23" i="1"/>
  <c r="AB23" i="1"/>
  <c r="AC23" i="1"/>
  <c r="H24" i="1"/>
  <c r="I24" i="1"/>
  <c r="J24" i="1" s="1"/>
  <c r="B24" i="1" s="1"/>
  <c r="K24" i="1" s="1"/>
  <c r="V24" i="1"/>
  <c r="X24" i="1" s="1"/>
  <c r="W24" i="1"/>
  <c r="Y24" i="1" s="1"/>
  <c r="Z24" i="1"/>
  <c r="AA24" i="1"/>
  <c r="AB24" i="1"/>
  <c r="AC24" i="1"/>
  <c r="H25" i="1"/>
  <c r="I25" i="1"/>
  <c r="J25" i="1" s="1"/>
  <c r="B25" i="1" s="1"/>
  <c r="K25" i="1" s="1"/>
  <c r="V25" i="1"/>
  <c r="X25" i="1" s="1"/>
  <c r="W25" i="1"/>
  <c r="Y25" i="1" s="1"/>
  <c r="Z25" i="1"/>
  <c r="AA25" i="1"/>
  <c r="AB25" i="1"/>
  <c r="AC25" i="1"/>
  <c r="H26" i="1"/>
  <c r="I26" i="1"/>
  <c r="J26" i="1" s="1"/>
  <c r="B26" i="1" s="1"/>
  <c r="K26" i="1" s="1"/>
  <c r="V26" i="1"/>
  <c r="X26" i="1" s="1"/>
  <c r="W26" i="1"/>
  <c r="Y26" i="1" s="1"/>
  <c r="Z26" i="1"/>
  <c r="AA26" i="1"/>
  <c r="AB26" i="1"/>
  <c r="AC26" i="1"/>
  <c r="H27" i="1"/>
  <c r="I27" i="1"/>
  <c r="J27" i="1" s="1"/>
  <c r="B27" i="1" s="1"/>
  <c r="K27" i="1" s="1"/>
  <c r="V27" i="1"/>
  <c r="X27" i="1" s="1"/>
  <c r="W27" i="1"/>
  <c r="Y27" i="1" s="1"/>
  <c r="Z27" i="1"/>
  <c r="AA27" i="1"/>
  <c r="AB27" i="1"/>
  <c r="AC27" i="1"/>
  <c r="H28" i="1"/>
  <c r="I28" i="1"/>
  <c r="J28" i="1" s="1"/>
  <c r="B28" i="1" s="1"/>
  <c r="K28" i="1" s="1"/>
  <c r="V28" i="1"/>
  <c r="X28" i="1" s="1"/>
  <c r="W28" i="1"/>
  <c r="Y28" i="1" s="1"/>
  <c r="Z28" i="1"/>
  <c r="AA28" i="1"/>
  <c r="AB28" i="1"/>
  <c r="AC28" i="1"/>
  <c r="H29" i="1"/>
  <c r="I29" i="1"/>
  <c r="J29" i="1" s="1"/>
  <c r="B29" i="1" s="1"/>
  <c r="K29" i="1" s="1"/>
  <c r="V29" i="1"/>
  <c r="X29" i="1" s="1"/>
  <c r="W29" i="1"/>
  <c r="Y29" i="1" s="1"/>
  <c r="Z29" i="1"/>
  <c r="AA29" i="1"/>
  <c r="AB29" i="1"/>
  <c r="AC29" i="1"/>
  <c r="H30" i="1"/>
  <c r="I30" i="1"/>
  <c r="J30" i="1" s="1"/>
  <c r="B30" i="1" s="1"/>
  <c r="K30" i="1" s="1"/>
  <c r="V30" i="1"/>
  <c r="X30" i="1" s="1"/>
  <c r="W30" i="1"/>
  <c r="Y30" i="1" s="1"/>
  <c r="Z30" i="1"/>
  <c r="AA30" i="1"/>
  <c r="AB30" i="1"/>
  <c r="AC30" i="1"/>
  <c r="H31" i="1"/>
  <c r="I31" i="1"/>
  <c r="J31" i="1" s="1"/>
  <c r="B31" i="1" s="1"/>
  <c r="K31" i="1" s="1"/>
  <c r="V31" i="1"/>
  <c r="X31" i="1" s="1"/>
  <c r="W31" i="1"/>
  <c r="Y31" i="1" s="1"/>
  <c r="Z31" i="1"/>
  <c r="AA31" i="1"/>
  <c r="AB31" i="1"/>
  <c r="AC31" i="1"/>
  <c r="H32" i="1"/>
  <c r="I32" i="1"/>
  <c r="J32" i="1" s="1"/>
  <c r="B32" i="1" s="1"/>
  <c r="K32" i="1" s="1"/>
  <c r="V32" i="1"/>
  <c r="X32" i="1" s="1"/>
  <c r="W32" i="1"/>
  <c r="Y32" i="1" s="1"/>
  <c r="Z32" i="1"/>
  <c r="AA32" i="1"/>
  <c r="AB32" i="1"/>
  <c r="AC32" i="1"/>
  <c r="H33" i="1"/>
  <c r="I33" i="1"/>
  <c r="J33" i="1" s="1"/>
  <c r="B33" i="1" s="1"/>
  <c r="K33" i="1" s="1"/>
  <c r="V33" i="1"/>
  <c r="X33" i="1" s="1"/>
  <c r="W33" i="1"/>
  <c r="Y33" i="1" s="1"/>
  <c r="Z33" i="1"/>
  <c r="AA33" i="1"/>
  <c r="AB33" i="1"/>
  <c r="AC33" i="1"/>
  <c r="H34" i="1"/>
  <c r="I34" i="1"/>
  <c r="J34" i="1" s="1"/>
  <c r="B34" i="1" s="1"/>
  <c r="K34" i="1" s="1"/>
  <c r="V34" i="1"/>
  <c r="X34" i="1" s="1"/>
  <c r="W34" i="1"/>
  <c r="Y34" i="1" s="1"/>
  <c r="Z34" i="1"/>
  <c r="AA34" i="1"/>
  <c r="AB34" i="1"/>
  <c r="AC34" i="1"/>
  <c r="H35" i="1"/>
  <c r="I35" i="1"/>
  <c r="J35" i="1" s="1"/>
  <c r="B35" i="1" s="1"/>
  <c r="K35" i="1" s="1"/>
  <c r="V35" i="1"/>
  <c r="X35" i="1" s="1"/>
  <c r="W35" i="1"/>
  <c r="Y35" i="1" s="1"/>
  <c r="Z35" i="1"/>
  <c r="AA35" i="1"/>
  <c r="AB35" i="1"/>
  <c r="AC35" i="1"/>
  <c r="H36" i="1"/>
  <c r="I36" i="1"/>
  <c r="J36" i="1" s="1"/>
  <c r="B36" i="1" s="1"/>
  <c r="K36" i="1" s="1"/>
  <c r="V36" i="1"/>
  <c r="X36" i="1" s="1"/>
  <c r="W36" i="1"/>
  <c r="Y36" i="1" s="1"/>
  <c r="Z36" i="1"/>
  <c r="AA36" i="1"/>
  <c r="AB36" i="1"/>
  <c r="AC36" i="1"/>
  <c r="H37" i="1"/>
  <c r="I37" i="1"/>
  <c r="J37" i="1" s="1"/>
  <c r="B37" i="1" s="1"/>
  <c r="K37" i="1" s="1"/>
  <c r="V37" i="1"/>
  <c r="X37" i="1" s="1"/>
  <c r="W37" i="1"/>
  <c r="Y37" i="1" s="1"/>
  <c r="Z37" i="1"/>
  <c r="AA37" i="1"/>
  <c r="AB37" i="1"/>
  <c r="AC37" i="1"/>
  <c r="H38" i="1"/>
  <c r="I38" i="1"/>
  <c r="J38" i="1" s="1"/>
  <c r="B38" i="1" s="1"/>
  <c r="K38" i="1" s="1"/>
  <c r="V38" i="1"/>
  <c r="X38" i="1" s="1"/>
  <c r="W38" i="1"/>
  <c r="Y38" i="1" s="1"/>
  <c r="Z38" i="1"/>
  <c r="AA38" i="1"/>
  <c r="AB38" i="1"/>
  <c r="AC38" i="1"/>
  <c r="H39" i="1"/>
  <c r="I39" i="1"/>
  <c r="J39" i="1" s="1"/>
  <c r="B39" i="1" s="1"/>
  <c r="K39" i="1" s="1"/>
  <c r="V39" i="1"/>
  <c r="X39" i="1" s="1"/>
  <c r="W39" i="1"/>
  <c r="Y39" i="1" s="1"/>
  <c r="Z39" i="1"/>
  <c r="AA39" i="1"/>
  <c r="AB39" i="1"/>
  <c r="AC39" i="1"/>
  <c r="H40" i="1"/>
  <c r="I40" i="1"/>
  <c r="J40" i="1" s="1"/>
  <c r="B40" i="1" s="1"/>
  <c r="K40" i="1" s="1"/>
  <c r="V40" i="1"/>
  <c r="X40" i="1" s="1"/>
  <c r="W40" i="1"/>
  <c r="Y40" i="1" s="1"/>
  <c r="Z40" i="1"/>
  <c r="AA40" i="1"/>
  <c r="AB40" i="1"/>
  <c r="AC40" i="1"/>
  <c r="H41" i="1"/>
  <c r="I41" i="1"/>
  <c r="J41" i="1" s="1"/>
  <c r="B41" i="1" s="1"/>
  <c r="K41" i="1" s="1"/>
  <c r="V41" i="1"/>
  <c r="X41" i="1" s="1"/>
  <c r="W41" i="1"/>
  <c r="Y41" i="1" s="1"/>
  <c r="Z41" i="1"/>
  <c r="AA41" i="1"/>
  <c r="AB41" i="1"/>
  <c r="AC41" i="1"/>
  <c r="H42" i="1"/>
  <c r="I42" i="1"/>
  <c r="J42" i="1" s="1"/>
  <c r="B42" i="1" s="1"/>
  <c r="K42" i="1" s="1"/>
  <c r="V42" i="1"/>
  <c r="X42" i="1" s="1"/>
  <c r="W42" i="1"/>
  <c r="Y42" i="1" s="1"/>
  <c r="Z42" i="1"/>
  <c r="AA42" i="1"/>
  <c r="AB42" i="1"/>
  <c r="AC42" i="1"/>
  <c r="H62" i="1"/>
  <c r="H63" i="1"/>
  <c r="I62" i="1"/>
  <c r="J62" i="1" s="1"/>
  <c r="B62" i="1" s="1"/>
  <c r="K62" i="1" s="1"/>
  <c r="I63" i="1"/>
  <c r="J63" i="1" s="1"/>
  <c r="B63" i="1" s="1"/>
  <c r="K63" i="1" s="1"/>
  <c r="V62" i="1"/>
  <c r="X62" i="1" s="1"/>
  <c r="V63" i="1"/>
  <c r="X63" i="1" s="1"/>
  <c r="W62" i="1"/>
  <c r="Y62" i="1" s="1"/>
  <c r="W63" i="1"/>
  <c r="Y63" i="1" s="1"/>
  <c r="Z62" i="1"/>
  <c r="Z63" i="1"/>
  <c r="AA62" i="1"/>
  <c r="AA63" i="1"/>
  <c r="AB62" i="1"/>
  <c r="AB63" i="1"/>
  <c r="AC62" i="1"/>
  <c r="AC6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I44" i="1"/>
  <c r="J44" i="1" s="1"/>
  <c r="B44" i="1" s="1"/>
  <c r="K44" i="1" s="1"/>
  <c r="I45" i="1"/>
  <c r="J45" i="1" s="1"/>
  <c r="B45" i="1" s="1"/>
  <c r="K45" i="1" s="1"/>
  <c r="I46" i="1"/>
  <c r="J46" i="1" s="1"/>
  <c r="B46" i="1" s="1"/>
  <c r="K46" i="1" s="1"/>
  <c r="I47" i="1"/>
  <c r="J47" i="1" s="1"/>
  <c r="B47" i="1" s="1"/>
  <c r="K47" i="1" s="1"/>
  <c r="I48" i="1"/>
  <c r="J48" i="1" s="1"/>
  <c r="B48" i="1" s="1"/>
  <c r="K48" i="1" s="1"/>
  <c r="I49" i="1"/>
  <c r="J49" i="1" s="1"/>
  <c r="B49" i="1" s="1"/>
  <c r="K49" i="1" s="1"/>
  <c r="I50" i="1"/>
  <c r="J50" i="1" s="1"/>
  <c r="B50" i="1" s="1"/>
  <c r="K50" i="1" s="1"/>
  <c r="I51" i="1"/>
  <c r="J51" i="1" s="1"/>
  <c r="B51" i="1" s="1"/>
  <c r="K51" i="1" s="1"/>
  <c r="I52" i="1"/>
  <c r="J52" i="1" s="1"/>
  <c r="B52" i="1" s="1"/>
  <c r="K52" i="1" s="1"/>
  <c r="I53" i="1"/>
  <c r="J53" i="1" s="1"/>
  <c r="B53" i="1" s="1"/>
  <c r="K53" i="1" s="1"/>
  <c r="I54" i="1"/>
  <c r="J54" i="1" s="1"/>
  <c r="B54" i="1" s="1"/>
  <c r="K54" i="1" s="1"/>
  <c r="I55" i="1"/>
  <c r="J55" i="1" s="1"/>
  <c r="B55" i="1" s="1"/>
  <c r="K55" i="1" s="1"/>
  <c r="I56" i="1"/>
  <c r="J56" i="1" s="1"/>
  <c r="B56" i="1" s="1"/>
  <c r="K56" i="1" s="1"/>
  <c r="I57" i="1"/>
  <c r="J57" i="1" s="1"/>
  <c r="B57" i="1" s="1"/>
  <c r="K57" i="1" s="1"/>
  <c r="I58" i="1"/>
  <c r="J58" i="1" s="1"/>
  <c r="B58" i="1" s="1"/>
  <c r="K58" i="1" s="1"/>
  <c r="I59" i="1"/>
  <c r="J59" i="1" s="1"/>
  <c r="B59" i="1" s="1"/>
  <c r="K59" i="1" s="1"/>
  <c r="I60" i="1"/>
  <c r="J60" i="1" s="1"/>
  <c r="B60" i="1" s="1"/>
  <c r="K60" i="1" s="1"/>
  <c r="I61" i="1"/>
  <c r="J61" i="1" s="1"/>
  <c r="B61" i="1" s="1"/>
  <c r="K61" i="1" s="1"/>
  <c r="V44" i="1"/>
  <c r="X44" i="1" s="1"/>
  <c r="V45" i="1"/>
  <c r="X45" i="1" s="1"/>
  <c r="V46" i="1"/>
  <c r="X46" i="1" s="1"/>
  <c r="V47" i="1"/>
  <c r="X47" i="1" s="1"/>
  <c r="V48" i="1"/>
  <c r="X48" i="1" s="1"/>
  <c r="V49" i="1"/>
  <c r="X49" i="1" s="1"/>
  <c r="V50" i="1"/>
  <c r="X50" i="1" s="1"/>
  <c r="V51" i="1"/>
  <c r="X51" i="1" s="1"/>
  <c r="V52" i="1"/>
  <c r="X52" i="1" s="1"/>
  <c r="V53" i="1"/>
  <c r="X53" i="1" s="1"/>
  <c r="V54" i="1"/>
  <c r="X54" i="1" s="1"/>
  <c r="V55" i="1"/>
  <c r="X55" i="1" s="1"/>
  <c r="V56" i="1"/>
  <c r="X56" i="1" s="1"/>
  <c r="V57" i="1"/>
  <c r="X57" i="1" s="1"/>
  <c r="V58" i="1"/>
  <c r="X58" i="1" s="1"/>
  <c r="V59" i="1"/>
  <c r="X59" i="1" s="1"/>
  <c r="V60" i="1"/>
  <c r="X60" i="1" s="1"/>
  <c r="V61" i="1"/>
  <c r="X61" i="1" s="1"/>
  <c r="W44" i="1"/>
  <c r="Y44" i="1" s="1"/>
  <c r="W45" i="1"/>
  <c r="Y45" i="1" s="1"/>
  <c r="W46" i="1"/>
  <c r="Y46" i="1" s="1"/>
  <c r="W47" i="1"/>
  <c r="Y47" i="1" s="1"/>
  <c r="W48" i="1"/>
  <c r="Y48" i="1" s="1"/>
  <c r="W49" i="1"/>
  <c r="Y49" i="1" s="1"/>
  <c r="W50" i="1"/>
  <c r="Y50" i="1" s="1"/>
  <c r="W51" i="1"/>
  <c r="Y51" i="1" s="1"/>
  <c r="W52" i="1"/>
  <c r="Y52" i="1" s="1"/>
  <c r="W53" i="1"/>
  <c r="Y53" i="1" s="1"/>
  <c r="W54" i="1"/>
  <c r="Y54" i="1" s="1"/>
  <c r="W55" i="1"/>
  <c r="Y55" i="1" s="1"/>
  <c r="W56" i="1"/>
  <c r="Y56" i="1" s="1"/>
  <c r="W57" i="1"/>
  <c r="Y57" i="1" s="1"/>
  <c r="W58" i="1"/>
  <c r="Y58" i="1" s="1"/>
  <c r="W59" i="1"/>
  <c r="Y59" i="1" s="1"/>
  <c r="W60" i="1"/>
  <c r="Y60" i="1" s="1"/>
  <c r="W61" i="1"/>
  <c r="Y61" i="1" s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H43" i="1"/>
  <c r="I43" i="1"/>
  <c r="J43" i="1" s="1"/>
  <c r="B43" i="1" s="1"/>
  <c r="K43" i="1" s="1"/>
  <c r="V43" i="1"/>
  <c r="X43" i="1" s="1"/>
  <c r="W43" i="1"/>
  <c r="Y43" i="1" s="1"/>
  <c r="Z43" i="1"/>
  <c r="AA43" i="1"/>
  <c r="AB43" i="1"/>
  <c r="AC43" i="1"/>
  <c r="I54" i="3"/>
  <c r="K54" i="3" s="1"/>
  <c r="I53" i="3"/>
  <c r="J53" i="3" s="1"/>
  <c r="I51" i="3"/>
  <c r="I50" i="3"/>
  <c r="J50" i="3" s="1"/>
  <c r="I49" i="3"/>
  <c r="J49" i="3" s="1"/>
  <c r="I47" i="3"/>
  <c r="J47" i="3" s="1"/>
  <c r="I46" i="3"/>
  <c r="K46" i="3" s="1"/>
  <c r="J52" i="3"/>
  <c r="K52" i="3"/>
  <c r="J44" i="3"/>
  <c r="K44" i="3"/>
  <c r="J45" i="3"/>
  <c r="K45" i="3"/>
  <c r="J48" i="3"/>
  <c r="K48" i="3"/>
  <c r="J39" i="3"/>
  <c r="K39" i="3"/>
  <c r="J40" i="3"/>
  <c r="K40" i="3"/>
  <c r="J41" i="3"/>
  <c r="K41" i="3"/>
  <c r="J42" i="3"/>
  <c r="K42" i="3"/>
  <c r="J43" i="3"/>
  <c r="K43" i="3"/>
  <c r="J138" i="3"/>
  <c r="K138" i="3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I278" i="1"/>
  <c r="J278" i="1" s="1"/>
  <c r="B278" i="1" s="1"/>
  <c r="K278" i="1" s="1"/>
  <c r="I279" i="1"/>
  <c r="J279" i="1" s="1"/>
  <c r="B279" i="1" s="1"/>
  <c r="K279" i="1" s="1"/>
  <c r="I280" i="1"/>
  <c r="J280" i="1" s="1"/>
  <c r="B280" i="1" s="1"/>
  <c r="K280" i="1" s="1"/>
  <c r="I281" i="1"/>
  <c r="J281" i="1" s="1"/>
  <c r="B281" i="1" s="1"/>
  <c r="K281" i="1" s="1"/>
  <c r="I282" i="1"/>
  <c r="J282" i="1" s="1"/>
  <c r="B282" i="1" s="1"/>
  <c r="K282" i="1" s="1"/>
  <c r="I283" i="1"/>
  <c r="J283" i="1" s="1"/>
  <c r="B283" i="1" s="1"/>
  <c r="K283" i="1" s="1"/>
  <c r="I284" i="1"/>
  <c r="J284" i="1" s="1"/>
  <c r="B284" i="1" s="1"/>
  <c r="K284" i="1" s="1"/>
  <c r="I285" i="1"/>
  <c r="J285" i="1" s="1"/>
  <c r="B285" i="1" s="1"/>
  <c r="K285" i="1" s="1"/>
  <c r="I286" i="1"/>
  <c r="J286" i="1" s="1"/>
  <c r="B286" i="1" s="1"/>
  <c r="K286" i="1" s="1"/>
  <c r="I287" i="1"/>
  <c r="J287" i="1" s="1"/>
  <c r="B287" i="1" s="1"/>
  <c r="K287" i="1" s="1"/>
  <c r="I288" i="1"/>
  <c r="J288" i="1" s="1"/>
  <c r="B288" i="1" s="1"/>
  <c r="K288" i="1" s="1"/>
  <c r="I289" i="1"/>
  <c r="J289" i="1" s="1"/>
  <c r="B289" i="1" s="1"/>
  <c r="K289" i="1" s="1"/>
  <c r="I290" i="1"/>
  <c r="J290" i="1" s="1"/>
  <c r="B290" i="1" s="1"/>
  <c r="K290" i="1" s="1"/>
  <c r="I291" i="1"/>
  <c r="J291" i="1" s="1"/>
  <c r="B291" i="1" s="1"/>
  <c r="K291" i="1" s="1"/>
  <c r="I292" i="1"/>
  <c r="J292" i="1" s="1"/>
  <c r="B292" i="1" s="1"/>
  <c r="K292" i="1" s="1"/>
  <c r="I293" i="1"/>
  <c r="J293" i="1" s="1"/>
  <c r="B293" i="1" s="1"/>
  <c r="K293" i="1" s="1"/>
  <c r="I294" i="1"/>
  <c r="J294" i="1" s="1"/>
  <c r="B294" i="1" s="1"/>
  <c r="K294" i="1" s="1"/>
  <c r="I295" i="1"/>
  <c r="J295" i="1" s="1"/>
  <c r="B295" i="1" s="1"/>
  <c r="K295" i="1" s="1"/>
  <c r="I296" i="1"/>
  <c r="J296" i="1" s="1"/>
  <c r="B296" i="1" s="1"/>
  <c r="K296" i="1" s="1"/>
  <c r="I297" i="1"/>
  <c r="J297" i="1" s="1"/>
  <c r="B297" i="1" s="1"/>
  <c r="K297" i="1" s="1"/>
  <c r="V278" i="1"/>
  <c r="X278" i="1" s="1"/>
  <c r="V279" i="1"/>
  <c r="X279" i="1" s="1"/>
  <c r="V280" i="1"/>
  <c r="X280" i="1" s="1"/>
  <c r="V281" i="1"/>
  <c r="X281" i="1" s="1"/>
  <c r="V282" i="1"/>
  <c r="X282" i="1" s="1"/>
  <c r="V283" i="1"/>
  <c r="X283" i="1" s="1"/>
  <c r="V284" i="1"/>
  <c r="X284" i="1" s="1"/>
  <c r="V285" i="1"/>
  <c r="X285" i="1" s="1"/>
  <c r="V286" i="1"/>
  <c r="X286" i="1" s="1"/>
  <c r="V287" i="1"/>
  <c r="X287" i="1" s="1"/>
  <c r="V288" i="1"/>
  <c r="X288" i="1" s="1"/>
  <c r="V289" i="1"/>
  <c r="V290" i="1"/>
  <c r="X290" i="1" s="1"/>
  <c r="V291" i="1"/>
  <c r="X291" i="1" s="1"/>
  <c r="V292" i="1"/>
  <c r="X292" i="1" s="1"/>
  <c r="V293" i="1"/>
  <c r="X293" i="1" s="1"/>
  <c r="V294" i="1"/>
  <c r="X294" i="1" s="1"/>
  <c r="V295" i="1"/>
  <c r="X295" i="1" s="1"/>
  <c r="V296" i="1"/>
  <c r="X296" i="1" s="1"/>
  <c r="V297" i="1"/>
  <c r="X297" i="1" s="1"/>
  <c r="W278" i="1"/>
  <c r="Y278" i="1" s="1"/>
  <c r="W279" i="1"/>
  <c r="Y279" i="1" s="1"/>
  <c r="W280" i="1"/>
  <c r="Y280" i="1" s="1"/>
  <c r="W281" i="1"/>
  <c r="Y281" i="1" s="1"/>
  <c r="W282" i="1"/>
  <c r="Y282" i="1" s="1"/>
  <c r="W283" i="1"/>
  <c r="Y283" i="1" s="1"/>
  <c r="W284" i="1"/>
  <c r="Y284" i="1" s="1"/>
  <c r="W285" i="1"/>
  <c r="Y285" i="1" s="1"/>
  <c r="W286" i="1"/>
  <c r="Y286" i="1" s="1"/>
  <c r="W287" i="1"/>
  <c r="Y287" i="1" s="1"/>
  <c r="W288" i="1"/>
  <c r="Y288" i="1" s="1"/>
  <c r="W289" i="1"/>
  <c r="Y289" i="1" s="1"/>
  <c r="W290" i="1"/>
  <c r="Y290" i="1" s="1"/>
  <c r="W291" i="1"/>
  <c r="Y291" i="1" s="1"/>
  <c r="W292" i="1"/>
  <c r="Y292" i="1" s="1"/>
  <c r="W293" i="1"/>
  <c r="W294" i="1"/>
  <c r="Y294" i="1" s="1"/>
  <c r="W295" i="1"/>
  <c r="Y295" i="1" s="1"/>
  <c r="W296" i="1"/>
  <c r="Y296" i="1" s="1"/>
  <c r="W297" i="1"/>
  <c r="Y297" i="1" s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H277" i="1"/>
  <c r="I277" i="1"/>
  <c r="J277" i="1" s="1"/>
  <c r="B277" i="1" s="1"/>
  <c r="K277" i="1" s="1"/>
  <c r="V277" i="1"/>
  <c r="X277" i="1" s="1"/>
  <c r="W277" i="1"/>
  <c r="Y277" i="1" s="1"/>
  <c r="Z277" i="1"/>
  <c r="AA277" i="1"/>
  <c r="AB277" i="1"/>
  <c r="AC277" i="1"/>
  <c r="AC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B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H28" i="5"/>
  <c r="B28" i="5"/>
  <c r="H64" i="1"/>
  <c r="I64" i="1"/>
  <c r="J64" i="1" s="1"/>
  <c r="B64" i="1" s="1"/>
  <c r="K64" i="1" s="1"/>
  <c r="V64" i="1"/>
  <c r="X64" i="1" s="1"/>
  <c r="W64" i="1"/>
  <c r="Y64" i="1" s="1"/>
  <c r="Z64" i="1"/>
  <c r="AA64" i="1"/>
  <c r="H65" i="1"/>
  <c r="I65" i="1"/>
  <c r="J65" i="1" s="1"/>
  <c r="B65" i="1" s="1"/>
  <c r="K65" i="1" s="1"/>
  <c r="V65" i="1"/>
  <c r="X65" i="1" s="1"/>
  <c r="W65" i="1"/>
  <c r="Y65" i="1" s="1"/>
  <c r="Z65" i="1"/>
  <c r="AA65" i="1"/>
  <c r="H66" i="1"/>
  <c r="I66" i="1"/>
  <c r="J66" i="1" s="1"/>
  <c r="B66" i="1" s="1"/>
  <c r="K66" i="1" s="1"/>
  <c r="V66" i="1"/>
  <c r="X66" i="1" s="1"/>
  <c r="W66" i="1"/>
  <c r="Y66" i="1" s="1"/>
  <c r="Z66" i="1"/>
  <c r="AA66" i="1"/>
  <c r="H67" i="1"/>
  <c r="I67" i="1"/>
  <c r="J67" i="1" s="1"/>
  <c r="B67" i="1" s="1"/>
  <c r="K67" i="1" s="1"/>
  <c r="V67" i="1"/>
  <c r="X67" i="1" s="1"/>
  <c r="W67" i="1"/>
  <c r="Y67" i="1" s="1"/>
  <c r="Z67" i="1"/>
  <c r="AA67" i="1"/>
  <c r="H68" i="1"/>
  <c r="I68" i="1"/>
  <c r="J68" i="1" s="1"/>
  <c r="B68" i="1" s="1"/>
  <c r="K68" i="1" s="1"/>
  <c r="V68" i="1"/>
  <c r="X68" i="1" s="1"/>
  <c r="W68" i="1"/>
  <c r="Y68" i="1" s="1"/>
  <c r="Z68" i="1"/>
  <c r="AA68" i="1"/>
  <c r="H69" i="1"/>
  <c r="I69" i="1"/>
  <c r="J69" i="1" s="1"/>
  <c r="B69" i="1" s="1"/>
  <c r="K69" i="1" s="1"/>
  <c r="V69" i="1"/>
  <c r="X69" i="1" s="1"/>
  <c r="W69" i="1"/>
  <c r="Y69" i="1" s="1"/>
  <c r="Z69" i="1"/>
  <c r="AA69" i="1"/>
  <c r="H70" i="1"/>
  <c r="I70" i="1"/>
  <c r="J70" i="1" s="1"/>
  <c r="B70" i="1" s="1"/>
  <c r="K70" i="1" s="1"/>
  <c r="V70" i="1"/>
  <c r="X70" i="1" s="1"/>
  <c r="W70" i="1"/>
  <c r="Y70" i="1" s="1"/>
  <c r="Z70" i="1"/>
  <c r="AA70" i="1"/>
  <c r="H71" i="1"/>
  <c r="I71" i="1"/>
  <c r="J71" i="1" s="1"/>
  <c r="B71" i="1" s="1"/>
  <c r="K71" i="1" s="1"/>
  <c r="V71" i="1"/>
  <c r="X71" i="1" s="1"/>
  <c r="W71" i="1"/>
  <c r="Y71" i="1" s="1"/>
  <c r="Z71" i="1"/>
  <c r="AA71" i="1"/>
  <c r="H72" i="1"/>
  <c r="I72" i="1"/>
  <c r="J72" i="1" s="1"/>
  <c r="B72" i="1" s="1"/>
  <c r="K72" i="1" s="1"/>
  <c r="V72" i="1"/>
  <c r="X72" i="1" s="1"/>
  <c r="W72" i="1"/>
  <c r="Y72" i="1" s="1"/>
  <c r="Z72" i="1"/>
  <c r="AA72" i="1"/>
  <c r="H73" i="1"/>
  <c r="I73" i="1"/>
  <c r="J73" i="1" s="1"/>
  <c r="B73" i="1" s="1"/>
  <c r="K73" i="1" s="1"/>
  <c r="V73" i="1"/>
  <c r="X73" i="1" s="1"/>
  <c r="W73" i="1"/>
  <c r="Y73" i="1" s="1"/>
  <c r="Z73" i="1"/>
  <c r="AA73" i="1"/>
  <c r="H74" i="1"/>
  <c r="I74" i="1"/>
  <c r="J74" i="1" s="1"/>
  <c r="B74" i="1" s="1"/>
  <c r="K74" i="1" s="1"/>
  <c r="V74" i="1"/>
  <c r="X74" i="1" s="1"/>
  <c r="W74" i="1"/>
  <c r="Y74" i="1" s="1"/>
  <c r="Z74" i="1"/>
  <c r="AA74" i="1"/>
  <c r="H75" i="1"/>
  <c r="I75" i="1"/>
  <c r="J75" i="1" s="1"/>
  <c r="B75" i="1" s="1"/>
  <c r="K75" i="1" s="1"/>
  <c r="V75" i="1"/>
  <c r="X75" i="1" s="1"/>
  <c r="W75" i="1"/>
  <c r="Y75" i="1" s="1"/>
  <c r="Z75" i="1"/>
  <c r="AA75" i="1"/>
  <c r="H76" i="1"/>
  <c r="I76" i="1"/>
  <c r="J76" i="1" s="1"/>
  <c r="B76" i="1" s="1"/>
  <c r="K76" i="1" s="1"/>
  <c r="V76" i="1"/>
  <c r="X76" i="1" s="1"/>
  <c r="W76" i="1"/>
  <c r="Y76" i="1" s="1"/>
  <c r="Z76" i="1"/>
  <c r="AA76" i="1"/>
  <c r="H77" i="1"/>
  <c r="I77" i="1"/>
  <c r="J77" i="1" s="1"/>
  <c r="B77" i="1" s="1"/>
  <c r="K77" i="1" s="1"/>
  <c r="V77" i="1"/>
  <c r="X77" i="1" s="1"/>
  <c r="W77" i="1"/>
  <c r="Y77" i="1" s="1"/>
  <c r="Z77" i="1"/>
  <c r="AA77" i="1"/>
  <c r="H78" i="1"/>
  <c r="I78" i="1"/>
  <c r="J78" i="1" s="1"/>
  <c r="B78" i="1" s="1"/>
  <c r="K78" i="1" s="1"/>
  <c r="V78" i="1"/>
  <c r="X78" i="1" s="1"/>
  <c r="W78" i="1"/>
  <c r="Y78" i="1" s="1"/>
  <c r="Z78" i="1"/>
  <c r="AA78" i="1"/>
  <c r="H79" i="1"/>
  <c r="I79" i="1"/>
  <c r="J79" i="1" s="1"/>
  <c r="B79" i="1" s="1"/>
  <c r="K79" i="1" s="1"/>
  <c r="V79" i="1"/>
  <c r="X79" i="1" s="1"/>
  <c r="W79" i="1"/>
  <c r="Y79" i="1" s="1"/>
  <c r="Z79" i="1"/>
  <c r="AA79" i="1"/>
  <c r="H80" i="1"/>
  <c r="I80" i="1"/>
  <c r="J80" i="1" s="1"/>
  <c r="B80" i="1" s="1"/>
  <c r="K80" i="1" s="1"/>
  <c r="V80" i="1"/>
  <c r="X80" i="1" s="1"/>
  <c r="W80" i="1"/>
  <c r="Y80" i="1" s="1"/>
  <c r="Z80" i="1"/>
  <c r="AA80" i="1"/>
  <c r="H81" i="1"/>
  <c r="I81" i="1"/>
  <c r="J81" i="1" s="1"/>
  <c r="B81" i="1" s="1"/>
  <c r="K81" i="1" s="1"/>
  <c r="V81" i="1"/>
  <c r="X81" i="1" s="1"/>
  <c r="W81" i="1"/>
  <c r="Y81" i="1" s="1"/>
  <c r="Z81" i="1"/>
  <c r="AA81" i="1"/>
  <c r="H82" i="1"/>
  <c r="I82" i="1"/>
  <c r="J82" i="1" s="1"/>
  <c r="B82" i="1" s="1"/>
  <c r="K82" i="1" s="1"/>
  <c r="V82" i="1"/>
  <c r="X82" i="1" s="1"/>
  <c r="W82" i="1"/>
  <c r="Y82" i="1" s="1"/>
  <c r="Z82" i="1"/>
  <c r="AA82" i="1"/>
  <c r="H83" i="1"/>
  <c r="I83" i="1"/>
  <c r="J83" i="1" s="1"/>
  <c r="B83" i="1" s="1"/>
  <c r="K83" i="1" s="1"/>
  <c r="V83" i="1"/>
  <c r="X83" i="1" s="1"/>
  <c r="W83" i="1"/>
  <c r="Y83" i="1" s="1"/>
  <c r="Z83" i="1"/>
  <c r="AA83" i="1"/>
  <c r="H84" i="1"/>
  <c r="I84" i="1"/>
  <c r="J84" i="1" s="1"/>
  <c r="B84" i="1" s="1"/>
  <c r="K84" i="1" s="1"/>
  <c r="V84" i="1"/>
  <c r="X84" i="1" s="1"/>
  <c r="W84" i="1"/>
  <c r="Y84" i="1" s="1"/>
  <c r="Z84" i="1"/>
  <c r="AA84" i="1"/>
  <c r="H85" i="1"/>
  <c r="I85" i="1"/>
  <c r="J85" i="1" s="1"/>
  <c r="B85" i="1" s="1"/>
  <c r="K85" i="1" s="1"/>
  <c r="V85" i="1"/>
  <c r="X85" i="1" s="1"/>
  <c r="W85" i="1"/>
  <c r="Y85" i="1" s="1"/>
  <c r="Z85" i="1"/>
  <c r="AA85" i="1"/>
  <c r="H86" i="1"/>
  <c r="I86" i="1"/>
  <c r="J86" i="1" s="1"/>
  <c r="B86" i="1" s="1"/>
  <c r="K86" i="1" s="1"/>
  <c r="V86" i="1"/>
  <c r="X86" i="1" s="1"/>
  <c r="W86" i="1"/>
  <c r="Y86" i="1" s="1"/>
  <c r="Z86" i="1"/>
  <c r="AA86" i="1"/>
  <c r="H87" i="1"/>
  <c r="I87" i="1"/>
  <c r="J87" i="1" s="1"/>
  <c r="B87" i="1" s="1"/>
  <c r="K87" i="1" s="1"/>
  <c r="V87" i="1"/>
  <c r="X87" i="1" s="1"/>
  <c r="W87" i="1"/>
  <c r="Y87" i="1" s="1"/>
  <c r="Z87" i="1"/>
  <c r="AA87" i="1"/>
  <c r="H88" i="1"/>
  <c r="I88" i="1"/>
  <c r="J88" i="1" s="1"/>
  <c r="B88" i="1" s="1"/>
  <c r="K88" i="1" s="1"/>
  <c r="V88" i="1"/>
  <c r="X88" i="1" s="1"/>
  <c r="W88" i="1"/>
  <c r="Y88" i="1" s="1"/>
  <c r="Z88" i="1"/>
  <c r="AA88" i="1"/>
  <c r="H89" i="1"/>
  <c r="I89" i="1"/>
  <c r="J89" i="1" s="1"/>
  <c r="B89" i="1" s="1"/>
  <c r="K89" i="1" s="1"/>
  <c r="V89" i="1"/>
  <c r="X89" i="1" s="1"/>
  <c r="W89" i="1"/>
  <c r="Y89" i="1" s="1"/>
  <c r="Z89" i="1"/>
  <c r="AA89" i="1"/>
  <c r="H90" i="1"/>
  <c r="I90" i="1"/>
  <c r="J90" i="1" s="1"/>
  <c r="B90" i="1" s="1"/>
  <c r="K90" i="1" s="1"/>
  <c r="V90" i="1"/>
  <c r="X90" i="1" s="1"/>
  <c r="W90" i="1"/>
  <c r="Y90" i="1" s="1"/>
  <c r="Z90" i="1"/>
  <c r="AA90" i="1"/>
  <c r="H91" i="1"/>
  <c r="I91" i="1"/>
  <c r="J91" i="1" s="1"/>
  <c r="B91" i="1" s="1"/>
  <c r="K91" i="1" s="1"/>
  <c r="V91" i="1"/>
  <c r="X91" i="1" s="1"/>
  <c r="W91" i="1"/>
  <c r="Y91" i="1" s="1"/>
  <c r="Z91" i="1"/>
  <c r="AA91" i="1"/>
  <c r="H92" i="1"/>
  <c r="I92" i="1"/>
  <c r="J92" i="1" s="1"/>
  <c r="B92" i="1" s="1"/>
  <c r="K92" i="1" s="1"/>
  <c r="V92" i="1"/>
  <c r="X92" i="1" s="1"/>
  <c r="W92" i="1"/>
  <c r="Y92" i="1" s="1"/>
  <c r="Z92" i="1"/>
  <c r="AA92" i="1"/>
  <c r="H93" i="1"/>
  <c r="I93" i="1"/>
  <c r="J93" i="1" s="1"/>
  <c r="B93" i="1" s="1"/>
  <c r="K93" i="1" s="1"/>
  <c r="V93" i="1"/>
  <c r="X93" i="1" s="1"/>
  <c r="W93" i="1"/>
  <c r="Y93" i="1" s="1"/>
  <c r="Z93" i="1"/>
  <c r="AA93" i="1"/>
  <c r="H94" i="1"/>
  <c r="I94" i="1"/>
  <c r="J94" i="1" s="1"/>
  <c r="B94" i="1" s="1"/>
  <c r="K94" i="1" s="1"/>
  <c r="V94" i="1"/>
  <c r="X94" i="1" s="1"/>
  <c r="W94" i="1"/>
  <c r="Y94" i="1" s="1"/>
  <c r="Z94" i="1"/>
  <c r="AA94" i="1"/>
  <c r="H95" i="1"/>
  <c r="I95" i="1"/>
  <c r="J95" i="1" s="1"/>
  <c r="B95" i="1" s="1"/>
  <c r="K95" i="1" s="1"/>
  <c r="V95" i="1"/>
  <c r="X95" i="1" s="1"/>
  <c r="W95" i="1"/>
  <c r="Y95" i="1" s="1"/>
  <c r="Z95" i="1"/>
  <c r="AA95" i="1"/>
  <c r="H96" i="1"/>
  <c r="I96" i="1"/>
  <c r="J96" i="1" s="1"/>
  <c r="B96" i="1" s="1"/>
  <c r="K96" i="1" s="1"/>
  <c r="V96" i="1"/>
  <c r="X96" i="1" s="1"/>
  <c r="W96" i="1"/>
  <c r="Y96" i="1" s="1"/>
  <c r="Z96" i="1"/>
  <c r="AA96" i="1"/>
  <c r="H97" i="1"/>
  <c r="I97" i="1"/>
  <c r="J97" i="1" s="1"/>
  <c r="B97" i="1" s="1"/>
  <c r="K97" i="1" s="1"/>
  <c r="V97" i="1"/>
  <c r="X97" i="1" s="1"/>
  <c r="W97" i="1"/>
  <c r="Y97" i="1" s="1"/>
  <c r="Z97" i="1"/>
  <c r="AA97" i="1"/>
  <c r="H98" i="1"/>
  <c r="I98" i="1"/>
  <c r="J98" i="1" s="1"/>
  <c r="B98" i="1" s="1"/>
  <c r="K98" i="1" s="1"/>
  <c r="V98" i="1"/>
  <c r="X98" i="1" s="1"/>
  <c r="W98" i="1"/>
  <c r="Y98" i="1" s="1"/>
  <c r="Z98" i="1"/>
  <c r="AA98" i="1"/>
  <c r="H99" i="1"/>
  <c r="I99" i="1"/>
  <c r="J99" i="1" s="1"/>
  <c r="B99" i="1" s="1"/>
  <c r="K99" i="1" s="1"/>
  <c r="V99" i="1"/>
  <c r="X99" i="1" s="1"/>
  <c r="W99" i="1"/>
  <c r="Y99" i="1" s="1"/>
  <c r="Z99" i="1"/>
  <c r="AA99" i="1"/>
  <c r="H100" i="1"/>
  <c r="I100" i="1"/>
  <c r="J100" i="1" s="1"/>
  <c r="B100" i="1" s="1"/>
  <c r="K100" i="1" s="1"/>
  <c r="V100" i="1"/>
  <c r="X100" i="1" s="1"/>
  <c r="W100" i="1"/>
  <c r="Y100" i="1" s="1"/>
  <c r="Z100" i="1"/>
  <c r="AA100" i="1"/>
  <c r="H101" i="1"/>
  <c r="I101" i="1"/>
  <c r="J101" i="1" s="1"/>
  <c r="B101" i="1" s="1"/>
  <c r="K101" i="1" s="1"/>
  <c r="V101" i="1"/>
  <c r="X101" i="1" s="1"/>
  <c r="W101" i="1"/>
  <c r="Y101" i="1" s="1"/>
  <c r="Z101" i="1"/>
  <c r="AA101" i="1"/>
  <c r="H102" i="1"/>
  <c r="I102" i="1"/>
  <c r="J102" i="1" s="1"/>
  <c r="B102" i="1" s="1"/>
  <c r="K102" i="1" s="1"/>
  <c r="V102" i="1"/>
  <c r="X102" i="1" s="1"/>
  <c r="W102" i="1"/>
  <c r="Y102" i="1" s="1"/>
  <c r="Z102" i="1"/>
  <c r="AA102" i="1"/>
  <c r="H3" i="1"/>
  <c r="I3" i="1"/>
  <c r="J3" i="1" s="1"/>
  <c r="B3" i="1" s="1"/>
  <c r="K3" i="1" s="1"/>
  <c r="V3" i="1"/>
  <c r="X3" i="1" s="1"/>
  <c r="W3" i="1"/>
  <c r="Y3" i="1" s="1"/>
  <c r="Z3" i="1"/>
  <c r="AA3" i="1"/>
  <c r="H120" i="1"/>
  <c r="I120" i="1"/>
  <c r="J120" i="1" s="1"/>
  <c r="B120" i="1" s="1"/>
  <c r="K120" i="1" s="1"/>
  <c r="V120" i="1"/>
  <c r="X120" i="1" s="1"/>
  <c r="W120" i="1"/>
  <c r="Y120" i="1" s="1"/>
  <c r="Z120" i="1"/>
  <c r="AA120" i="1"/>
  <c r="H103" i="1"/>
  <c r="I103" i="1"/>
  <c r="J103" i="1" s="1"/>
  <c r="B103" i="1" s="1"/>
  <c r="K103" i="1" s="1"/>
  <c r="V103" i="1"/>
  <c r="X103" i="1" s="1"/>
  <c r="W103" i="1"/>
  <c r="Y103" i="1" s="1"/>
  <c r="Z103" i="1"/>
  <c r="AA103" i="1"/>
  <c r="H104" i="1"/>
  <c r="I104" i="1"/>
  <c r="J104" i="1" s="1"/>
  <c r="B104" i="1" s="1"/>
  <c r="K104" i="1" s="1"/>
  <c r="V104" i="1"/>
  <c r="X104" i="1" s="1"/>
  <c r="W104" i="1"/>
  <c r="Y104" i="1" s="1"/>
  <c r="Z104" i="1"/>
  <c r="AA104" i="1"/>
  <c r="H105" i="1"/>
  <c r="I105" i="1"/>
  <c r="J105" i="1" s="1"/>
  <c r="B105" i="1" s="1"/>
  <c r="K105" i="1" s="1"/>
  <c r="V105" i="1"/>
  <c r="X105" i="1" s="1"/>
  <c r="W105" i="1"/>
  <c r="Y105" i="1" s="1"/>
  <c r="Z105" i="1"/>
  <c r="AA105" i="1"/>
  <c r="H106" i="1"/>
  <c r="I106" i="1"/>
  <c r="J106" i="1" s="1"/>
  <c r="B106" i="1" s="1"/>
  <c r="K106" i="1" s="1"/>
  <c r="V106" i="1"/>
  <c r="X106" i="1" s="1"/>
  <c r="W106" i="1"/>
  <c r="Y106" i="1" s="1"/>
  <c r="Z106" i="1"/>
  <c r="AA106" i="1"/>
  <c r="H107" i="1"/>
  <c r="I107" i="1"/>
  <c r="J107" i="1" s="1"/>
  <c r="B107" i="1" s="1"/>
  <c r="K107" i="1" s="1"/>
  <c r="V107" i="1"/>
  <c r="X107" i="1" s="1"/>
  <c r="W107" i="1"/>
  <c r="Y107" i="1" s="1"/>
  <c r="Z107" i="1"/>
  <c r="AA107" i="1"/>
  <c r="H108" i="1"/>
  <c r="I108" i="1"/>
  <c r="J108" i="1" s="1"/>
  <c r="B108" i="1" s="1"/>
  <c r="K108" i="1" s="1"/>
  <c r="V108" i="1"/>
  <c r="X108" i="1" s="1"/>
  <c r="W108" i="1"/>
  <c r="Y108" i="1" s="1"/>
  <c r="Z108" i="1"/>
  <c r="AA108" i="1"/>
  <c r="H109" i="1"/>
  <c r="I109" i="1"/>
  <c r="J109" i="1" s="1"/>
  <c r="B109" i="1" s="1"/>
  <c r="K109" i="1" s="1"/>
  <c r="V109" i="1"/>
  <c r="X109" i="1" s="1"/>
  <c r="W109" i="1"/>
  <c r="Y109" i="1" s="1"/>
  <c r="Z109" i="1"/>
  <c r="AA109" i="1"/>
  <c r="H110" i="1"/>
  <c r="I110" i="1"/>
  <c r="J110" i="1" s="1"/>
  <c r="B110" i="1" s="1"/>
  <c r="K110" i="1" s="1"/>
  <c r="V110" i="1"/>
  <c r="X110" i="1" s="1"/>
  <c r="W110" i="1"/>
  <c r="Y110" i="1" s="1"/>
  <c r="Z110" i="1"/>
  <c r="AA110" i="1"/>
  <c r="H111" i="1"/>
  <c r="I111" i="1"/>
  <c r="J111" i="1" s="1"/>
  <c r="B111" i="1" s="1"/>
  <c r="K111" i="1" s="1"/>
  <c r="V111" i="1"/>
  <c r="X111" i="1" s="1"/>
  <c r="W111" i="1"/>
  <c r="Y111" i="1" s="1"/>
  <c r="Z111" i="1"/>
  <c r="AA111" i="1"/>
  <c r="H112" i="1"/>
  <c r="I112" i="1"/>
  <c r="J112" i="1" s="1"/>
  <c r="B112" i="1" s="1"/>
  <c r="K112" i="1" s="1"/>
  <c r="V112" i="1"/>
  <c r="X112" i="1" s="1"/>
  <c r="W112" i="1"/>
  <c r="Y112" i="1" s="1"/>
  <c r="Z112" i="1"/>
  <c r="AA112" i="1"/>
  <c r="H113" i="1"/>
  <c r="I113" i="1"/>
  <c r="J113" i="1" s="1"/>
  <c r="B113" i="1" s="1"/>
  <c r="K113" i="1" s="1"/>
  <c r="V113" i="1"/>
  <c r="X113" i="1" s="1"/>
  <c r="W113" i="1"/>
  <c r="Y113" i="1" s="1"/>
  <c r="Z113" i="1"/>
  <c r="AA113" i="1"/>
  <c r="H114" i="1"/>
  <c r="I114" i="1"/>
  <c r="J114" i="1" s="1"/>
  <c r="B114" i="1" s="1"/>
  <c r="K114" i="1" s="1"/>
  <c r="V114" i="1"/>
  <c r="X114" i="1" s="1"/>
  <c r="W114" i="1"/>
  <c r="Y114" i="1" s="1"/>
  <c r="Z114" i="1"/>
  <c r="AA114" i="1"/>
  <c r="H115" i="1"/>
  <c r="I115" i="1"/>
  <c r="J115" i="1" s="1"/>
  <c r="B115" i="1" s="1"/>
  <c r="K115" i="1" s="1"/>
  <c r="V115" i="1"/>
  <c r="X115" i="1" s="1"/>
  <c r="W115" i="1"/>
  <c r="Y115" i="1" s="1"/>
  <c r="Z115" i="1"/>
  <c r="AA115" i="1"/>
  <c r="H116" i="1"/>
  <c r="I116" i="1"/>
  <c r="J116" i="1" s="1"/>
  <c r="B116" i="1" s="1"/>
  <c r="K116" i="1" s="1"/>
  <c r="V116" i="1"/>
  <c r="X116" i="1" s="1"/>
  <c r="W116" i="1"/>
  <c r="Y116" i="1" s="1"/>
  <c r="Z116" i="1"/>
  <c r="AA116" i="1"/>
  <c r="H117" i="1"/>
  <c r="I117" i="1"/>
  <c r="J117" i="1" s="1"/>
  <c r="B117" i="1" s="1"/>
  <c r="K117" i="1" s="1"/>
  <c r="V117" i="1"/>
  <c r="X117" i="1" s="1"/>
  <c r="W117" i="1"/>
  <c r="Y117" i="1" s="1"/>
  <c r="Z117" i="1"/>
  <c r="AA117" i="1"/>
  <c r="H118" i="1"/>
  <c r="I118" i="1"/>
  <c r="J118" i="1" s="1"/>
  <c r="B118" i="1" s="1"/>
  <c r="K118" i="1" s="1"/>
  <c r="V118" i="1"/>
  <c r="X118" i="1" s="1"/>
  <c r="W118" i="1"/>
  <c r="Y118" i="1" s="1"/>
  <c r="Z118" i="1"/>
  <c r="AA118" i="1"/>
  <c r="H119" i="1"/>
  <c r="I119" i="1"/>
  <c r="J119" i="1" s="1"/>
  <c r="B119" i="1" s="1"/>
  <c r="K119" i="1" s="1"/>
  <c r="V119" i="1"/>
  <c r="X119" i="1" s="1"/>
  <c r="W119" i="1"/>
  <c r="Y119" i="1" s="1"/>
  <c r="Z119" i="1"/>
  <c r="AA119" i="1"/>
  <c r="H274" i="1"/>
  <c r="I274" i="1"/>
  <c r="J274" i="1" s="1"/>
  <c r="B274" i="1" s="1"/>
  <c r="K274" i="1" s="1"/>
  <c r="V274" i="1"/>
  <c r="X274" i="1" s="1"/>
  <c r="W274" i="1"/>
  <c r="Y274" i="1" s="1"/>
  <c r="Z274" i="1"/>
  <c r="AA274" i="1"/>
  <c r="H275" i="1"/>
  <c r="I275" i="1"/>
  <c r="J275" i="1" s="1"/>
  <c r="B275" i="1" s="1"/>
  <c r="K275" i="1" s="1"/>
  <c r="V275" i="1"/>
  <c r="X275" i="1" s="1"/>
  <c r="W275" i="1"/>
  <c r="Y275" i="1" s="1"/>
  <c r="Z275" i="1"/>
  <c r="AA275" i="1"/>
  <c r="H276" i="1"/>
  <c r="I276" i="1"/>
  <c r="J276" i="1" s="1"/>
  <c r="B276" i="1" s="1"/>
  <c r="K276" i="1" s="1"/>
  <c r="V276" i="1"/>
  <c r="X276" i="1" s="1"/>
  <c r="W276" i="1"/>
  <c r="Y276" i="1" s="1"/>
  <c r="Z276" i="1"/>
  <c r="AA276" i="1"/>
  <c r="J36" i="3"/>
  <c r="K36" i="3"/>
  <c r="J37" i="3"/>
  <c r="K37" i="3"/>
  <c r="J38" i="3"/>
  <c r="K38" i="3"/>
  <c r="J33" i="3"/>
  <c r="K33" i="3"/>
  <c r="J34" i="3"/>
  <c r="K34" i="3"/>
  <c r="J35" i="3"/>
  <c r="K35" i="3"/>
  <c r="J31" i="3"/>
  <c r="K31" i="3"/>
  <c r="J32" i="3"/>
  <c r="K32" i="3"/>
  <c r="J30" i="3"/>
  <c r="K30" i="3"/>
  <c r="H259" i="1"/>
  <c r="I259" i="1"/>
  <c r="J259" i="1" s="1"/>
  <c r="B259" i="1" s="1"/>
  <c r="K259" i="1" s="1"/>
  <c r="V259" i="1"/>
  <c r="X259" i="1" s="1"/>
  <c r="W259" i="1"/>
  <c r="Y259" i="1" s="1"/>
  <c r="Z259" i="1"/>
  <c r="AA259" i="1"/>
  <c r="H260" i="1"/>
  <c r="I260" i="1"/>
  <c r="J260" i="1" s="1"/>
  <c r="B260" i="1" s="1"/>
  <c r="K260" i="1" s="1"/>
  <c r="V260" i="1"/>
  <c r="X260" i="1" s="1"/>
  <c r="W260" i="1"/>
  <c r="Y260" i="1" s="1"/>
  <c r="Z260" i="1"/>
  <c r="AA260" i="1"/>
  <c r="H261" i="1"/>
  <c r="I261" i="1"/>
  <c r="J261" i="1" s="1"/>
  <c r="B261" i="1" s="1"/>
  <c r="K261" i="1" s="1"/>
  <c r="V261" i="1"/>
  <c r="X261" i="1" s="1"/>
  <c r="W261" i="1"/>
  <c r="Y261" i="1" s="1"/>
  <c r="Z261" i="1"/>
  <c r="AA261" i="1"/>
  <c r="H262" i="1"/>
  <c r="I262" i="1"/>
  <c r="J262" i="1" s="1"/>
  <c r="B262" i="1" s="1"/>
  <c r="K262" i="1" s="1"/>
  <c r="V262" i="1"/>
  <c r="X262" i="1" s="1"/>
  <c r="W262" i="1"/>
  <c r="Y262" i="1" s="1"/>
  <c r="Z262" i="1"/>
  <c r="AA262" i="1"/>
  <c r="H263" i="1"/>
  <c r="I263" i="1"/>
  <c r="J263" i="1" s="1"/>
  <c r="B263" i="1" s="1"/>
  <c r="K263" i="1" s="1"/>
  <c r="V263" i="1"/>
  <c r="X263" i="1" s="1"/>
  <c r="W263" i="1"/>
  <c r="Y263" i="1" s="1"/>
  <c r="Z263" i="1"/>
  <c r="AA263" i="1"/>
  <c r="H264" i="1"/>
  <c r="I264" i="1"/>
  <c r="J264" i="1" s="1"/>
  <c r="B264" i="1" s="1"/>
  <c r="K264" i="1" s="1"/>
  <c r="V264" i="1"/>
  <c r="X264" i="1" s="1"/>
  <c r="W264" i="1"/>
  <c r="Y264" i="1" s="1"/>
  <c r="Z264" i="1"/>
  <c r="AA264" i="1"/>
  <c r="H265" i="1"/>
  <c r="I265" i="1"/>
  <c r="J265" i="1" s="1"/>
  <c r="B265" i="1" s="1"/>
  <c r="K265" i="1" s="1"/>
  <c r="V265" i="1"/>
  <c r="X265" i="1" s="1"/>
  <c r="W265" i="1"/>
  <c r="Y265" i="1" s="1"/>
  <c r="Z265" i="1"/>
  <c r="AA265" i="1"/>
  <c r="H266" i="1"/>
  <c r="I266" i="1"/>
  <c r="J266" i="1" s="1"/>
  <c r="B266" i="1" s="1"/>
  <c r="K266" i="1" s="1"/>
  <c r="V266" i="1"/>
  <c r="X266" i="1" s="1"/>
  <c r="W266" i="1"/>
  <c r="Y266" i="1" s="1"/>
  <c r="Z266" i="1"/>
  <c r="AA266" i="1"/>
  <c r="H267" i="1"/>
  <c r="I267" i="1"/>
  <c r="J267" i="1" s="1"/>
  <c r="B267" i="1" s="1"/>
  <c r="K267" i="1" s="1"/>
  <c r="V267" i="1"/>
  <c r="X267" i="1" s="1"/>
  <c r="W267" i="1"/>
  <c r="Y267" i="1" s="1"/>
  <c r="Z267" i="1"/>
  <c r="AA267" i="1"/>
  <c r="H268" i="1"/>
  <c r="I268" i="1"/>
  <c r="J268" i="1" s="1"/>
  <c r="B268" i="1" s="1"/>
  <c r="K268" i="1" s="1"/>
  <c r="V268" i="1"/>
  <c r="X268" i="1" s="1"/>
  <c r="W268" i="1"/>
  <c r="Y268" i="1" s="1"/>
  <c r="Z268" i="1"/>
  <c r="AA268" i="1"/>
  <c r="H269" i="1"/>
  <c r="I269" i="1"/>
  <c r="J269" i="1" s="1"/>
  <c r="B269" i="1" s="1"/>
  <c r="K269" i="1" s="1"/>
  <c r="V269" i="1"/>
  <c r="X269" i="1" s="1"/>
  <c r="W269" i="1"/>
  <c r="Y269" i="1" s="1"/>
  <c r="Z269" i="1"/>
  <c r="AA269" i="1"/>
  <c r="H270" i="1"/>
  <c r="I270" i="1"/>
  <c r="J270" i="1" s="1"/>
  <c r="B270" i="1" s="1"/>
  <c r="K270" i="1" s="1"/>
  <c r="V270" i="1"/>
  <c r="X270" i="1" s="1"/>
  <c r="W270" i="1"/>
  <c r="Y270" i="1" s="1"/>
  <c r="Z270" i="1"/>
  <c r="AA270" i="1"/>
  <c r="H271" i="1"/>
  <c r="I271" i="1"/>
  <c r="J271" i="1" s="1"/>
  <c r="V271" i="1"/>
  <c r="X271" i="1" s="1"/>
  <c r="W271" i="1"/>
  <c r="Y271" i="1" s="1"/>
  <c r="Z271" i="1"/>
  <c r="AA271" i="1"/>
  <c r="H272" i="1"/>
  <c r="I272" i="1"/>
  <c r="J272" i="1" s="1"/>
  <c r="B272" i="1" s="1"/>
  <c r="K272" i="1" s="1"/>
  <c r="V272" i="1"/>
  <c r="X272" i="1" s="1"/>
  <c r="W272" i="1"/>
  <c r="Y272" i="1" s="1"/>
  <c r="Z272" i="1"/>
  <c r="AA272" i="1"/>
  <c r="H273" i="1"/>
  <c r="I273" i="1"/>
  <c r="J273" i="1" s="1"/>
  <c r="B273" i="1" s="1"/>
  <c r="K273" i="1" s="1"/>
  <c r="V273" i="1"/>
  <c r="X273" i="1" s="1"/>
  <c r="W273" i="1"/>
  <c r="Y273" i="1" s="1"/>
  <c r="Z273" i="1"/>
  <c r="AA273" i="1"/>
  <c r="H121" i="1"/>
  <c r="I121" i="1"/>
  <c r="J121" i="1" s="1"/>
  <c r="B121" i="1" s="1"/>
  <c r="K121" i="1" s="1"/>
  <c r="V121" i="1"/>
  <c r="X121" i="1" s="1"/>
  <c r="W121" i="1"/>
  <c r="Y121" i="1" s="1"/>
  <c r="Z121" i="1"/>
  <c r="AA121" i="1"/>
  <c r="H122" i="1"/>
  <c r="I122" i="1"/>
  <c r="J122" i="1" s="1"/>
  <c r="B122" i="1" s="1"/>
  <c r="K122" i="1" s="1"/>
  <c r="V122" i="1"/>
  <c r="X122" i="1" s="1"/>
  <c r="W122" i="1"/>
  <c r="Y122" i="1" s="1"/>
  <c r="Z122" i="1"/>
  <c r="AA122" i="1"/>
  <c r="H123" i="1"/>
  <c r="I123" i="1"/>
  <c r="J123" i="1" s="1"/>
  <c r="B123" i="1" s="1"/>
  <c r="K123" i="1" s="1"/>
  <c r="V123" i="1"/>
  <c r="X123" i="1" s="1"/>
  <c r="W123" i="1"/>
  <c r="Y123" i="1" s="1"/>
  <c r="Z123" i="1"/>
  <c r="AA123" i="1"/>
  <c r="H124" i="1"/>
  <c r="I124" i="1"/>
  <c r="J124" i="1" s="1"/>
  <c r="B124" i="1" s="1"/>
  <c r="K124" i="1" s="1"/>
  <c r="V124" i="1"/>
  <c r="X124" i="1" s="1"/>
  <c r="W124" i="1"/>
  <c r="Y124" i="1" s="1"/>
  <c r="Z124" i="1"/>
  <c r="AA124" i="1"/>
  <c r="H125" i="1"/>
  <c r="I125" i="1"/>
  <c r="J125" i="1" s="1"/>
  <c r="B125" i="1" s="1"/>
  <c r="K125" i="1" s="1"/>
  <c r="V125" i="1"/>
  <c r="X125" i="1" s="1"/>
  <c r="W125" i="1"/>
  <c r="Y125" i="1" s="1"/>
  <c r="Z125" i="1"/>
  <c r="AA125" i="1"/>
  <c r="H126" i="1"/>
  <c r="I126" i="1"/>
  <c r="J126" i="1" s="1"/>
  <c r="B126" i="1" s="1"/>
  <c r="K126" i="1" s="1"/>
  <c r="V126" i="1"/>
  <c r="X126" i="1" s="1"/>
  <c r="W126" i="1"/>
  <c r="Y126" i="1" s="1"/>
  <c r="Z126" i="1"/>
  <c r="AA126" i="1"/>
  <c r="H127" i="1"/>
  <c r="I127" i="1"/>
  <c r="J127" i="1" s="1"/>
  <c r="B127" i="1" s="1"/>
  <c r="K127" i="1" s="1"/>
  <c r="V127" i="1"/>
  <c r="X127" i="1" s="1"/>
  <c r="W127" i="1"/>
  <c r="Y127" i="1" s="1"/>
  <c r="Z127" i="1"/>
  <c r="AA127" i="1"/>
  <c r="H128" i="1"/>
  <c r="I128" i="1"/>
  <c r="J128" i="1" s="1"/>
  <c r="B128" i="1" s="1"/>
  <c r="K128" i="1" s="1"/>
  <c r="V128" i="1"/>
  <c r="X128" i="1" s="1"/>
  <c r="W128" i="1"/>
  <c r="Y128" i="1" s="1"/>
  <c r="Z128" i="1"/>
  <c r="AA128" i="1"/>
  <c r="H129" i="1"/>
  <c r="I129" i="1"/>
  <c r="J129" i="1" s="1"/>
  <c r="B129" i="1" s="1"/>
  <c r="K129" i="1" s="1"/>
  <c r="V129" i="1"/>
  <c r="X129" i="1" s="1"/>
  <c r="W129" i="1"/>
  <c r="Y129" i="1" s="1"/>
  <c r="Z129" i="1"/>
  <c r="AA129" i="1"/>
  <c r="H130" i="1"/>
  <c r="I130" i="1"/>
  <c r="J130" i="1" s="1"/>
  <c r="B130" i="1" s="1"/>
  <c r="K130" i="1" s="1"/>
  <c r="V130" i="1"/>
  <c r="X130" i="1" s="1"/>
  <c r="W130" i="1"/>
  <c r="Y130" i="1" s="1"/>
  <c r="Z130" i="1"/>
  <c r="AA130" i="1"/>
  <c r="H131" i="1"/>
  <c r="I131" i="1"/>
  <c r="J131" i="1" s="1"/>
  <c r="B131" i="1" s="1"/>
  <c r="K131" i="1" s="1"/>
  <c r="V131" i="1"/>
  <c r="X131" i="1" s="1"/>
  <c r="W131" i="1"/>
  <c r="Y131" i="1" s="1"/>
  <c r="Z131" i="1"/>
  <c r="AA131" i="1"/>
  <c r="H132" i="1"/>
  <c r="I132" i="1"/>
  <c r="J132" i="1" s="1"/>
  <c r="B132" i="1" s="1"/>
  <c r="K132" i="1" s="1"/>
  <c r="V132" i="1"/>
  <c r="X132" i="1" s="1"/>
  <c r="W132" i="1"/>
  <c r="Y132" i="1" s="1"/>
  <c r="Z132" i="1"/>
  <c r="AA132" i="1"/>
  <c r="H133" i="1"/>
  <c r="I133" i="1"/>
  <c r="J133" i="1" s="1"/>
  <c r="B133" i="1" s="1"/>
  <c r="K133" i="1" s="1"/>
  <c r="V133" i="1"/>
  <c r="X133" i="1" s="1"/>
  <c r="W133" i="1"/>
  <c r="Y133" i="1" s="1"/>
  <c r="Z133" i="1"/>
  <c r="AA133" i="1"/>
  <c r="H134" i="1"/>
  <c r="I134" i="1"/>
  <c r="J134" i="1" s="1"/>
  <c r="B134" i="1" s="1"/>
  <c r="K134" i="1" s="1"/>
  <c r="V134" i="1"/>
  <c r="X134" i="1" s="1"/>
  <c r="W134" i="1"/>
  <c r="Y134" i="1" s="1"/>
  <c r="Z134" i="1"/>
  <c r="AA134" i="1"/>
  <c r="H135" i="1"/>
  <c r="I135" i="1"/>
  <c r="J135" i="1" s="1"/>
  <c r="B135" i="1" s="1"/>
  <c r="K135" i="1" s="1"/>
  <c r="V135" i="1"/>
  <c r="X135" i="1" s="1"/>
  <c r="W135" i="1"/>
  <c r="Y135" i="1" s="1"/>
  <c r="Z135" i="1"/>
  <c r="AA135" i="1"/>
  <c r="H136" i="1"/>
  <c r="I136" i="1"/>
  <c r="J136" i="1" s="1"/>
  <c r="B136" i="1" s="1"/>
  <c r="K136" i="1" s="1"/>
  <c r="V136" i="1"/>
  <c r="X136" i="1" s="1"/>
  <c r="W136" i="1"/>
  <c r="Y136" i="1" s="1"/>
  <c r="Z136" i="1"/>
  <c r="AA136" i="1"/>
  <c r="H137" i="1"/>
  <c r="I137" i="1"/>
  <c r="J137" i="1" s="1"/>
  <c r="B137" i="1" s="1"/>
  <c r="K137" i="1" s="1"/>
  <c r="V137" i="1"/>
  <c r="X137" i="1" s="1"/>
  <c r="W137" i="1"/>
  <c r="Y137" i="1" s="1"/>
  <c r="Z137" i="1"/>
  <c r="AA137" i="1"/>
  <c r="H138" i="1"/>
  <c r="I138" i="1"/>
  <c r="J138" i="1" s="1"/>
  <c r="B138" i="1" s="1"/>
  <c r="K138" i="1" s="1"/>
  <c r="V138" i="1"/>
  <c r="X138" i="1" s="1"/>
  <c r="W138" i="1"/>
  <c r="Y138" i="1" s="1"/>
  <c r="Z138" i="1"/>
  <c r="AA138" i="1"/>
  <c r="H139" i="1"/>
  <c r="I139" i="1"/>
  <c r="J139" i="1" s="1"/>
  <c r="B139" i="1" s="1"/>
  <c r="K139" i="1" s="1"/>
  <c r="V139" i="1"/>
  <c r="X139" i="1" s="1"/>
  <c r="W139" i="1"/>
  <c r="Y139" i="1" s="1"/>
  <c r="Z139" i="1"/>
  <c r="AA139" i="1"/>
  <c r="H140" i="1"/>
  <c r="I140" i="1"/>
  <c r="J140" i="1" s="1"/>
  <c r="B140" i="1" s="1"/>
  <c r="K140" i="1" s="1"/>
  <c r="V140" i="1"/>
  <c r="X140" i="1" s="1"/>
  <c r="W140" i="1"/>
  <c r="Y140" i="1" s="1"/>
  <c r="Z140" i="1"/>
  <c r="AA140" i="1"/>
  <c r="H141" i="1"/>
  <c r="I141" i="1"/>
  <c r="J141" i="1" s="1"/>
  <c r="B141" i="1" s="1"/>
  <c r="K141" i="1" s="1"/>
  <c r="V141" i="1"/>
  <c r="X141" i="1" s="1"/>
  <c r="W141" i="1"/>
  <c r="Y141" i="1" s="1"/>
  <c r="Z141" i="1"/>
  <c r="AA141" i="1"/>
  <c r="H20" i="5"/>
  <c r="B20" i="5"/>
  <c r="B13" i="6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B73" i="2"/>
  <c r="B68" i="2"/>
  <c r="B63" i="2"/>
  <c r="B52" i="2"/>
  <c r="B47" i="2"/>
  <c r="B42" i="2"/>
  <c r="B50" i="2"/>
  <c r="B49" i="2"/>
  <c r="K103" i="3" l="1"/>
  <c r="J109" i="3"/>
  <c r="K104" i="3"/>
  <c r="J102" i="3"/>
  <c r="J88" i="3"/>
  <c r="J90" i="3"/>
  <c r="K99" i="3"/>
  <c r="J94" i="3"/>
  <c r="Q99" i="3"/>
  <c r="Q139" i="3" s="1"/>
  <c r="K100" i="3"/>
  <c r="J95" i="3"/>
  <c r="J87" i="3"/>
  <c r="J89" i="3"/>
  <c r="Y362" i="1"/>
  <c r="Y369" i="1"/>
  <c r="J86" i="3"/>
  <c r="Y367" i="1"/>
  <c r="Y365" i="1"/>
  <c r="Y366" i="1"/>
  <c r="Y364" i="1"/>
  <c r="Y359" i="1"/>
  <c r="J82" i="3"/>
  <c r="J71" i="3"/>
  <c r="J74" i="3"/>
  <c r="J73" i="3"/>
  <c r="J80" i="3"/>
  <c r="J76" i="3"/>
  <c r="J77" i="3"/>
  <c r="X342" i="1"/>
  <c r="Y327" i="1"/>
  <c r="Y333" i="1"/>
  <c r="X330" i="1"/>
  <c r="Y317" i="1"/>
  <c r="X328" i="1"/>
  <c r="Y328" i="1"/>
  <c r="Y325" i="1"/>
  <c r="X320" i="1"/>
  <c r="Y320" i="1"/>
  <c r="X334" i="1"/>
  <c r="Y332" i="1"/>
  <c r="Y331" i="1"/>
  <c r="K60" i="3"/>
  <c r="J60" i="3"/>
  <c r="K57" i="3"/>
  <c r="K66" i="3"/>
  <c r="J57" i="3"/>
  <c r="J46" i="3"/>
  <c r="X313" i="1"/>
  <c r="X300" i="1"/>
  <c r="X312" i="1"/>
  <c r="Y309" i="1"/>
  <c r="X306" i="1"/>
  <c r="Y306" i="1"/>
  <c r="X305" i="1"/>
  <c r="Y303" i="1"/>
  <c r="K49" i="3"/>
  <c r="K51" i="3"/>
  <c r="J51" i="3"/>
  <c r="K53" i="3"/>
  <c r="J54" i="3"/>
  <c r="K47" i="3"/>
  <c r="Y293" i="1"/>
  <c r="K50" i="3"/>
  <c r="X289" i="1"/>
  <c r="B271" i="1"/>
  <c r="K271" i="1" s="1"/>
  <c r="B76" i="2"/>
  <c r="B75" i="2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B71" i="2"/>
  <c r="B70" i="2"/>
  <c r="B66" i="2"/>
  <c r="B65" i="2"/>
  <c r="H244" i="1"/>
  <c r="I244" i="1"/>
  <c r="J244" i="1" s="1"/>
  <c r="B244" i="1" s="1"/>
  <c r="K244" i="1" s="1"/>
  <c r="V244" i="1"/>
  <c r="X244" i="1" s="1"/>
  <c r="W244" i="1"/>
  <c r="Y244" i="1" s="1"/>
  <c r="H245" i="1"/>
  <c r="I245" i="1"/>
  <c r="J245" i="1" s="1"/>
  <c r="B245" i="1" s="1"/>
  <c r="K245" i="1" s="1"/>
  <c r="V245" i="1"/>
  <c r="X245" i="1" s="1"/>
  <c r="W245" i="1"/>
  <c r="Y245" i="1" s="1"/>
  <c r="H246" i="1"/>
  <c r="I246" i="1"/>
  <c r="J246" i="1" s="1"/>
  <c r="B246" i="1" s="1"/>
  <c r="K246" i="1" s="1"/>
  <c r="V246" i="1"/>
  <c r="X246" i="1" s="1"/>
  <c r="W246" i="1"/>
  <c r="Y246" i="1" s="1"/>
  <c r="H247" i="1"/>
  <c r="I247" i="1"/>
  <c r="J247" i="1" s="1"/>
  <c r="B247" i="1" s="1"/>
  <c r="K247" i="1" s="1"/>
  <c r="V247" i="1"/>
  <c r="X247" i="1" s="1"/>
  <c r="W247" i="1"/>
  <c r="Y247" i="1" s="1"/>
  <c r="H248" i="1"/>
  <c r="I248" i="1"/>
  <c r="J248" i="1" s="1"/>
  <c r="B248" i="1" s="1"/>
  <c r="K248" i="1" s="1"/>
  <c r="V248" i="1"/>
  <c r="X248" i="1" s="1"/>
  <c r="W248" i="1"/>
  <c r="Y248" i="1" s="1"/>
  <c r="H249" i="1"/>
  <c r="I249" i="1"/>
  <c r="J249" i="1" s="1"/>
  <c r="B249" i="1" s="1"/>
  <c r="K249" i="1" s="1"/>
  <c r="V249" i="1"/>
  <c r="X249" i="1" s="1"/>
  <c r="W249" i="1"/>
  <c r="Y249" i="1" s="1"/>
  <c r="H250" i="1"/>
  <c r="I250" i="1"/>
  <c r="J250" i="1" s="1"/>
  <c r="B250" i="1" s="1"/>
  <c r="K250" i="1" s="1"/>
  <c r="V250" i="1"/>
  <c r="X250" i="1" s="1"/>
  <c r="W250" i="1"/>
  <c r="Y250" i="1" s="1"/>
  <c r="H251" i="1"/>
  <c r="I251" i="1"/>
  <c r="J251" i="1" s="1"/>
  <c r="B251" i="1" s="1"/>
  <c r="K251" i="1" s="1"/>
  <c r="V251" i="1"/>
  <c r="X251" i="1" s="1"/>
  <c r="W251" i="1"/>
  <c r="Y251" i="1" s="1"/>
  <c r="H252" i="1"/>
  <c r="I252" i="1"/>
  <c r="J252" i="1" s="1"/>
  <c r="B252" i="1" s="1"/>
  <c r="K252" i="1" s="1"/>
  <c r="V252" i="1"/>
  <c r="X252" i="1" s="1"/>
  <c r="W252" i="1"/>
  <c r="Y252" i="1" s="1"/>
  <c r="H253" i="1"/>
  <c r="I253" i="1"/>
  <c r="J253" i="1" s="1"/>
  <c r="B253" i="1" s="1"/>
  <c r="K253" i="1" s="1"/>
  <c r="V253" i="1"/>
  <c r="X253" i="1" s="1"/>
  <c r="W253" i="1"/>
  <c r="Y253" i="1" s="1"/>
  <c r="H254" i="1"/>
  <c r="I254" i="1"/>
  <c r="J254" i="1" s="1"/>
  <c r="B254" i="1" s="1"/>
  <c r="K254" i="1" s="1"/>
  <c r="V254" i="1"/>
  <c r="X254" i="1" s="1"/>
  <c r="W254" i="1"/>
  <c r="Y254" i="1" s="1"/>
  <c r="H255" i="1"/>
  <c r="I255" i="1"/>
  <c r="J255" i="1" s="1"/>
  <c r="B255" i="1" s="1"/>
  <c r="K255" i="1" s="1"/>
  <c r="V255" i="1"/>
  <c r="X255" i="1" s="1"/>
  <c r="W255" i="1"/>
  <c r="Y255" i="1" s="1"/>
  <c r="H256" i="1"/>
  <c r="I256" i="1"/>
  <c r="J256" i="1" s="1"/>
  <c r="B256" i="1" s="1"/>
  <c r="K256" i="1" s="1"/>
  <c r="V256" i="1"/>
  <c r="X256" i="1" s="1"/>
  <c r="W256" i="1"/>
  <c r="Y256" i="1" s="1"/>
  <c r="H257" i="1"/>
  <c r="I257" i="1"/>
  <c r="J257" i="1" s="1"/>
  <c r="B257" i="1" s="1"/>
  <c r="K257" i="1" s="1"/>
  <c r="V257" i="1"/>
  <c r="X257" i="1" s="1"/>
  <c r="W257" i="1"/>
  <c r="Y257" i="1" s="1"/>
  <c r="H258" i="1"/>
  <c r="I258" i="1"/>
  <c r="J258" i="1" s="1"/>
  <c r="B258" i="1" s="1"/>
  <c r="K258" i="1" s="1"/>
  <c r="V258" i="1"/>
  <c r="X258" i="1" s="1"/>
  <c r="W258" i="1"/>
  <c r="Y258" i="1" s="1"/>
  <c r="B45" i="2"/>
  <c r="B44" i="2"/>
  <c r="D45" i="2"/>
  <c r="H142" i="1"/>
  <c r="I142" i="1"/>
  <c r="J142" i="1" s="1"/>
  <c r="B142" i="1" s="1"/>
  <c r="K142" i="1" s="1"/>
  <c r="V142" i="1"/>
  <c r="X142" i="1" s="1"/>
  <c r="W142" i="1"/>
  <c r="Y142" i="1" s="1"/>
  <c r="H143" i="1"/>
  <c r="I143" i="1"/>
  <c r="J143" i="1" s="1"/>
  <c r="B143" i="1" s="1"/>
  <c r="K143" i="1" s="1"/>
  <c r="V143" i="1"/>
  <c r="X143" i="1" s="1"/>
  <c r="W143" i="1"/>
  <c r="Y143" i="1" s="1"/>
  <c r="H144" i="1"/>
  <c r="I144" i="1"/>
  <c r="J144" i="1" s="1"/>
  <c r="B144" i="1" s="1"/>
  <c r="K144" i="1" s="1"/>
  <c r="V144" i="1"/>
  <c r="X144" i="1" s="1"/>
  <c r="W144" i="1"/>
  <c r="Y144" i="1" s="1"/>
  <c r="H145" i="1"/>
  <c r="I145" i="1"/>
  <c r="J145" i="1" s="1"/>
  <c r="B145" i="1" s="1"/>
  <c r="K145" i="1" s="1"/>
  <c r="V145" i="1"/>
  <c r="X145" i="1" s="1"/>
  <c r="W145" i="1"/>
  <c r="Y145" i="1" s="1"/>
  <c r="H146" i="1"/>
  <c r="I146" i="1"/>
  <c r="J146" i="1" s="1"/>
  <c r="B146" i="1" s="1"/>
  <c r="K146" i="1" s="1"/>
  <c r="V146" i="1"/>
  <c r="X146" i="1" s="1"/>
  <c r="W146" i="1"/>
  <c r="Y146" i="1" s="1"/>
  <c r="H147" i="1"/>
  <c r="I147" i="1"/>
  <c r="J147" i="1" s="1"/>
  <c r="B147" i="1" s="1"/>
  <c r="K147" i="1" s="1"/>
  <c r="V147" i="1"/>
  <c r="X147" i="1" s="1"/>
  <c r="W147" i="1"/>
  <c r="Y147" i="1" s="1"/>
  <c r="H148" i="1"/>
  <c r="I148" i="1"/>
  <c r="J148" i="1" s="1"/>
  <c r="B148" i="1" s="1"/>
  <c r="K148" i="1" s="1"/>
  <c r="V148" i="1"/>
  <c r="X148" i="1" s="1"/>
  <c r="W148" i="1"/>
  <c r="Y148" i="1" s="1"/>
  <c r="H149" i="1"/>
  <c r="I149" i="1"/>
  <c r="J149" i="1" s="1"/>
  <c r="B149" i="1" s="1"/>
  <c r="K149" i="1" s="1"/>
  <c r="V149" i="1"/>
  <c r="X149" i="1" s="1"/>
  <c r="W149" i="1"/>
  <c r="Y149" i="1" s="1"/>
  <c r="H150" i="1"/>
  <c r="I150" i="1"/>
  <c r="J150" i="1" s="1"/>
  <c r="B150" i="1" s="1"/>
  <c r="K150" i="1" s="1"/>
  <c r="V150" i="1"/>
  <c r="X150" i="1" s="1"/>
  <c r="W150" i="1"/>
  <c r="Y150" i="1" s="1"/>
  <c r="H151" i="1"/>
  <c r="I151" i="1"/>
  <c r="J151" i="1" s="1"/>
  <c r="B151" i="1" s="1"/>
  <c r="K151" i="1" s="1"/>
  <c r="V151" i="1"/>
  <c r="X151" i="1" s="1"/>
  <c r="W151" i="1"/>
  <c r="Y151" i="1" s="1"/>
  <c r="H152" i="1"/>
  <c r="I152" i="1"/>
  <c r="J152" i="1" s="1"/>
  <c r="B152" i="1" s="1"/>
  <c r="K152" i="1" s="1"/>
  <c r="V152" i="1"/>
  <c r="X152" i="1" s="1"/>
  <c r="W152" i="1"/>
  <c r="Y152" i="1" s="1"/>
  <c r="H153" i="1"/>
  <c r="I153" i="1"/>
  <c r="J153" i="1" s="1"/>
  <c r="B153" i="1" s="1"/>
  <c r="K153" i="1" s="1"/>
  <c r="V153" i="1"/>
  <c r="X153" i="1" s="1"/>
  <c r="W153" i="1"/>
  <c r="Y153" i="1" s="1"/>
  <c r="H154" i="1"/>
  <c r="I154" i="1"/>
  <c r="J154" i="1" s="1"/>
  <c r="B154" i="1" s="1"/>
  <c r="K154" i="1" s="1"/>
  <c r="V154" i="1"/>
  <c r="X154" i="1" s="1"/>
  <c r="W154" i="1"/>
  <c r="Y154" i="1" s="1"/>
  <c r="H155" i="1"/>
  <c r="I155" i="1"/>
  <c r="J155" i="1" s="1"/>
  <c r="B155" i="1" s="1"/>
  <c r="K155" i="1" s="1"/>
  <c r="V155" i="1"/>
  <c r="X155" i="1" s="1"/>
  <c r="W155" i="1"/>
  <c r="Y155" i="1" s="1"/>
  <c r="H156" i="1"/>
  <c r="I156" i="1"/>
  <c r="J156" i="1" s="1"/>
  <c r="B156" i="1" s="1"/>
  <c r="K156" i="1" s="1"/>
  <c r="V156" i="1"/>
  <c r="X156" i="1" s="1"/>
  <c r="W156" i="1"/>
  <c r="Y156" i="1" s="1"/>
  <c r="H157" i="1"/>
  <c r="I157" i="1"/>
  <c r="J157" i="1" s="1"/>
  <c r="B157" i="1" s="1"/>
  <c r="K157" i="1" s="1"/>
  <c r="V157" i="1"/>
  <c r="X157" i="1" s="1"/>
  <c r="W157" i="1"/>
  <c r="Y157" i="1" s="1"/>
  <c r="H158" i="1"/>
  <c r="I158" i="1"/>
  <c r="J158" i="1" s="1"/>
  <c r="B158" i="1" s="1"/>
  <c r="K158" i="1" s="1"/>
  <c r="V158" i="1"/>
  <c r="X158" i="1" s="1"/>
  <c r="W158" i="1"/>
  <c r="Y158" i="1" s="1"/>
  <c r="H159" i="1"/>
  <c r="I159" i="1"/>
  <c r="J159" i="1" s="1"/>
  <c r="B159" i="1" s="1"/>
  <c r="K159" i="1" s="1"/>
  <c r="V159" i="1"/>
  <c r="X159" i="1" s="1"/>
  <c r="W159" i="1"/>
  <c r="Y159" i="1" s="1"/>
  <c r="H160" i="1"/>
  <c r="I160" i="1"/>
  <c r="J160" i="1" s="1"/>
  <c r="B160" i="1" s="1"/>
  <c r="K160" i="1" s="1"/>
  <c r="V160" i="1"/>
  <c r="X160" i="1" s="1"/>
  <c r="W160" i="1"/>
  <c r="Y160" i="1" s="1"/>
  <c r="H161" i="1"/>
  <c r="I161" i="1"/>
  <c r="J161" i="1" s="1"/>
  <c r="B161" i="1" s="1"/>
  <c r="K161" i="1" s="1"/>
  <c r="V161" i="1"/>
  <c r="X161" i="1" s="1"/>
  <c r="W161" i="1"/>
  <c r="Y161" i="1" s="1"/>
  <c r="H162" i="1"/>
  <c r="I162" i="1"/>
  <c r="J162" i="1" s="1"/>
  <c r="B162" i="1" s="1"/>
  <c r="K162" i="1" s="1"/>
  <c r="V162" i="1"/>
  <c r="X162" i="1" s="1"/>
  <c r="W162" i="1"/>
  <c r="Y162" i="1" s="1"/>
  <c r="H163" i="1"/>
  <c r="I163" i="1"/>
  <c r="J163" i="1" s="1"/>
  <c r="B163" i="1" s="1"/>
  <c r="K163" i="1" s="1"/>
  <c r="V163" i="1"/>
  <c r="X163" i="1" s="1"/>
  <c r="W163" i="1"/>
  <c r="Y163" i="1" s="1"/>
  <c r="H164" i="1"/>
  <c r="I164" i="1"/>
  <c r="J164" i="1" s="1"/>
  <c r="B164" i="1" s="1"/>
  <c r="K164" i="1" s="1"/>
  <c r="V164" i="1"/>
  <c r="X164" i="1" s="1"/>
  <c r="W164" i="1"/>
  <c r="Y164" i="1" s="1"/>
  <c r="H165" i="1"/>
  <c r="I165" i="1"/>
  <c r="J165" i="1" s="1"/>
  <c r="B165" i="1" s="1"/>
  <c r="K165" i="1" s="1"/>
  <c r="V165" i="1"/>
  <c r="X165" i="1" s="1"/>
  <c r="W165" i="1"/>
  <c r="Y165" i="1" s="1"/>
  <c r="H166" i="1"/>
  <c r="I166" i="1"/>
  <c r="J166" i="1" s="1"/>
  <c r="B166" i="1" s="1"/>
  <c r="K166" i="1" s="1"/>
  <c r="V166" i="1"/>
  <c r="X166" i="1" s="1"/>
  <c r="W166" i="1"/>
  <c r="Y166" i="1" s="1"/>
  <c r="H167" i="1"/>
  <c r="I167" i="1"/>
  <c r="J167" i="1" s="1"/>
  <c r="B167" i="1" s="1"/>
  <c r="K167" i="1" s="1"/>
  <c r="V167" i="1"/>
  <c r="X167" i="1" s="1"/>
  <c r="W167" i="1"/>
  <c r="Y167" i="1" s="1"/>
  <c r="H168" i="1"/>
  <c r="I168" i="1"/>
  <c r="J168" i="1" s="1"/>
  <c r="B168" i="1" s="1"/>
  <c r="K168" i="1" s="1"/>
  <c r="V168" i="1"/>
  <c r="X168" i="1" s="1"/>
  <c r="W168" i="1"/>
  <c r="Y168" i="1" s="1"/>
  <c r="H169" i="1"/>
  <c r="I169" i="1"/>
  <c r="J169" i="1" s="1"/>
  <c r="B169" i="1" s="1"/>
  <c r="K169" i="1" s="1"/>
  <c r="V169" i="1"/>
  <c r="X169" i="1" s="1"/>
  <c r="W169" i="1"/>
  <c r="Y169" i="1" s="1"/>
  <c r="H170" i="1"/>
  <c r="I170" i="1"/>
  <c r="J170" i="1" s="1"/>
  <c r="B170" i="1" s="1"/>
  <c r="K170" i="1" s="1"/>
  <c r="V170" i="1"/>
  <c r="X170" i="1" s="1"/>
  <c r="W170" i="1"/>
  <c r="Y170" i="1" s="1"/>
  <c r="H171" i="1"/>
  <c r="I171" i="1"/>
  <c r="J171" i="1" s="1"/>
  <c r="B171" i="1" s="1"/>
  <c r="K171" i="1" s="1"/>
  <c r="V171" i="1"/>
  <c r="X171" i="1" s="1"/>
  <c r="W171" i="1"/>
  <c r="Y171" i="1" s="1"/>
  <c r="H172" i="1"/>
  <c r="I172" i="1"/>
  <c r="J172" i="1" s="1"/>
  <c r="B172" i="1" s="1"/>
  <c r="K172" i="1" s="1"/>
  <c r="V172" i="1"/>
  <c r="X172" i="1" s="1"/>
  <c r="W172" i="1"/>
  <c r="Y172" i="1" s="1"/>
  <c r="H173" i="1"/>
  <c r="I173" i="1"/>
  <c r="J173" i="1" s="1"/>
  <c r="B173" i="1" s="1"/>
  <c r="K173" i="1" s="1"/>
  <c r="V173" i="1"/>
  <c r="X173" i="1" s="1"/>
  <c r="W173" i="1"/>
  <c r="Y173" i="1" s="1"/>
  <c r="H174" i="1"/>
  <c r="I174" i="1"/>
  <c r="J174" i="1" s="1"/>
  <c r="B174" i="1" s="1"/>
  <c r="K174" i="1" s="1"/>
  <c r="V174" i="1"/>
  <c r="X174" i="1" s="1"/>
  <c r="W174" i="1"/>
  <c r="Y174" i="1" s="1"/>
  <c r="H175" i="1"/>
  <c r="I175" i="1"/>
  <c r="J175" i="1" s="1"/>
  <c r="B175" i="1" s="1"/>
  <c r="K175" i="1" s="1"/>
  <c r="V175" i="1"/>
  <c r="X175" i="1" s="1"/>
  <c r="W175" i="1"/>
  <c r="Y175" i="1" s="1"/>
  <c r="H176" i="1"/>
  <c r="I176" i="1"/>
  <c r="J176" i="1" s="1"/>
  <c r="B176" i="1" s="1"/>
  <c r="K176" i="1" s="1"/>
  <c r="V176" i="1"/>
  <c r="X176" i="1" s="1"/>
  <c r="W176" i="1"/>
  <c r="Y176" i="1" s="1"/>
  <c r="H177" i="1"/>
  <c r="I177" i="1"/>
  <c r="J177" i="1" s="1"/>
  <c r="B177" i="1" s="1"/>
  <c r="K177" i="1" s="1"/>
  <c r="V177" i="1"/>
  <c r="X177" i="1" s="1"/>
  <c r="W177" i="1"/>
  <c r="Y177" i="1" s="1"/>
  <c r="H178" i="1"/>
  <c r="I178" i="1"/>
  <c r="J178" i="1" s="1"/>
  <c r="B178" i="1" s="1"/>
  <c r="K178" i="1" s="1"/>
  <c r="V178" i="1"/>
  <c r="X178" i="1" s="1"/>
  <c r="W178" i="1"/>
  <c r="Y178" i="1" s="1"/>
  <c r="H179" i="1"/>
  <c r="I179" i="1"/>
  <c r="J179" i="1" s="1"/>
  <c r="B179" i="1" s="1"/>
  <c r="K179" i="1" s="1"/>
  <c r="V179" i="1"/>
  <c r="X179" i="1" s="1"/>
  <c r="W179" i="1"/>
  <c r="Y179" i="1" s="1"/>
  <c r="H180" i="1"/>
  <c r="I180" i="1"/>
  <c r="J180" i="1" s="1"/>
  <c r="B180" i="1" s="1"/>
  <c r="K180" i="1" s="1"/>
  <c r="V180" i="1"/>
  <c r="X180" i="1" s="1"/>
  <c r="W180" i="1"/>
  <c r="Y180" i="1" s="1"/>
  <c r="H181" i="1"/>
  <c r="I181" i="1"/>
  <c r="J181" i="1" s="1"/>
  <c r="B181" i="1" s="1"/>
  <c r="K181" i="1" s="1"/>
  <c r="V181" i="1"/>
  <c r="X181" i="1" s="1"/>
  <c r="W181" i="1"/>
  <c r="Y181" i="1" s="1"/>
  <c r="H182" i="1"/>
  <c r="I182" i="1"/>
  <c r="J182" i="1" s="1"/>
  <c r="B182" i="1" s="1"/>
  <c r="K182" i="1" s="1"/>
  <c r="V182" i="1"/>
  <c r="X182" i="1" s="1"/>
  <c r="W182" i="1"/>
  <c r="Y182" i="1" s="1"/>
  <c r="H183" i="1"/>
  <c r="I183" i="1"/>
  <c r="J183" i="1" s="1"/>
  <c r="B183" i="1" s="1"/>
  <c r="K183" i="1" s="1"/>
  <c r="V183" i="1"/>
  <c r="X183" i="1" s="1"/>
  <c r="W183" i="1"/>
  <c r="Y183" i="1" s="1"/>
  <c r="H197" i="1"/>
  <c r="I197" i="1"/>
  <c r="J197" i="1" s="1"/>
  <c r="B197" i="1" s="1"/>
  <c r="K197" i="1" s="1"/>
  <c r="V197" i="1"/>
  <c r="X197" i="1" s="1"/>
  <c r="W197" i="1"/>
  <c r="Y197" i="1" s="1"/>
  <c r="H198" i="1"/>
  <c r="I198" i="1"/>
  <c r="J198" i="1" s="1"/>
  <c r="B198" i="1" s="1"/>
  <c r="K198" i="1" s="1"/>
  <c r="V198" i="1"/>
  <c r="X198" i="1" s="1"/>
  <c r="W198" i="1"/>
  <c r="Y198" i="1" s="1"/>
  <c r="H199" i="1"/>
  <c r="I199" i="1"/>
  <c r="J199" i="1" s="1"/>
  <c r="B199" i="1" s="1"/>
  <c r="K199" i="1" s="1"/>
  <c r="V199" i="1"/>
  <c r="X199" i="1" s="1"/>
  <c r="W199" i="1"/>
  <c r="Y199" i="1" s="1"/>
  <c r="H200" i="1"/>
  <c r="I200" i="1"/>
  <c r="J200" i="1" s="1"/>
  <c r="B200" i="1" s="1"/>
  <c r="K200" i="1" s="1"/>
  <c r="V200" i="1"/>
  <c r="X200" i="1" s="1"/>
  <c r="W200" i="1"/>
  <c r="Y200" i="1" s="1"/>
  <c r="H201" i="1"/>
  <c r="I201" i="1"/>
  <c r="J201" i="1" s="1"/>
  <c r="B201" i="1" s="1"/>
  <c r="K201" i="1" s="1"/>
  <c r="V201" i="1"/>
  <c r="X201" i="1" s="1"/>
  <c r="W201" i="1"/>
  <c r="Y201" i="1" s="1"/>
  <c r="H202" i="1"/>
  <c r="I202" i="1"/>
  <c r="J202" i="1" s="1"/>
  <c r="B202" i="1" s="1"/>
  <c r="K202" i="1" s="1"/>
  <c r="V202" i="1"/>
  <c r="X202" i="1" s="1"/>
  <c r="W202" i="1"/>
  <c r="Y202" i="1" s="1"/>
  <c r="H203" i="1"/>
  <c r="I203" i="1"/>
  <c r="J203" i="1" s="1"/>
  <c r="B203" i="1" s="1"/>
  <c r="K203" i="1" s="1"/>
  <c r="V203" i="1"/>
  <c r="X203" i="1" s="1"/>
  <c r="W203" i="1"/>
  <c r="Y203" i="1" s="1"/>
  <c r="H184" i="1"/>
  <c r="I184" i="1"/>
  <c r="J184" i="1" s="1"/>
  <c r="B184" i="1" s="1"/>
  <c r="K184" i="1" s="1"/>
  <c r="V184" i="1"/>
  <c r="X184" i="1" s="1"/>
  <c r="W184" i="1"/>
  <c r="Y184" i="1" s="1"/>
  <c r="H185" i="1"/>
  <c r="I185" i="1"/>
  <c r="J185" i="1" s="1"/>
  <c r="B185" i="1" s="1"/>
  <c r="K185" i="1" s="1"/>
  <c r="V185" i="1"/>
  <c r="X185" i="1" s="1"/>
  <c r="W185" i="1"/>
  <c r="Y185" i="1" s="1"/>
  <c r="H186" i="1"/>
  <c r="I186" i="1"/>
  <c r="J186" i="1" s="1"/>
  <c r="B186" i="1" s="1"/>
  <c r="K186" i="1" s="1"/>
  <c r="V186" i="1"/>
  <c r="X186" i="1" s="1"/>
  <c r="W186" i="1"/>
  <c r="Y186" i="1" s="1"/>
  <c r="H187" i="1"/>
  <c r="I187" i="1"/>
  <c r="J187" i="1" s="1"/>
  <c r="B187" i="1" s="1"/>
  <c r="K187" i="1" s="1"/>
  <c r="V187" i="1"/>
  <c r="X187" i="1" s="1"/>
  <c r="W187" i="1"/>
  <c r="Y187" i="1" s="1"/>
  <c r="H188" i="1"/>
  <c r="I188" i="1"/>
  <c r="J188" i="1" s="1"/>
  <c r="B188" i="1" s="1"/>
  <c r="K188" i="1" s="1"/>
  <c r="V188" i="1"/>
  <c r="X188" i="1" s="1"/>
  <c r="W188" i="1"/>
  <c r="Y188" i="1" s="1"/>
  <c r="H189" i="1"/>
  <c r="I189" i="1"/>
  <c r="J189" i="1" s="1"/>
  <c r="B189" i="1" s="1"/>
  <c r="K189" i="1" s="1"/>
  <c r="V189" i="1"/>
  <c r="X189" i="1" s="1"/>
  <c r="W189" i="1"/>
  <c r="Y189" i="1" s="1"/>
  <c r="H190" i="1"/>
  <c r="I190" i="1"/>
  <c r="J190" i="1" s="1"/>
  <c r="B190" i="1" s="1"/>
  <c r="K190" i="1" s="1"/>
  <c r="V190" i="1"/>
  <c r="X190" i="1" s="1"/>
  <c r="W190" i="1"/>
  <c r="Y190" i="1" s="1"/>
  <c r="H191" i="1"/>
  <c r="I191" i="1"/>
  <c r="J191" i="1" s="1"/>
  <c r="B191" i="1" s="1"/>
  <c r="K191" i="1" s="1"/>
  <c r="V191" i="1"/>
  <c r="X191" i="1" s="1"/>
  <c r="W191" i="1"/>
  <c r="Y191" i="1" s="1"/>
  <c r="H192" i="1"/>
  <c r="I192" i="1"/>
  <c r="J192" i="1" s="1"/>
  <c r="B192" i="1" s="1"/>
  <c r="K192" i="1" s="1"/>
  <c r="V192" i="1"/>
  <c r="X192" i="1" s="1"/>
  <c r="W192" i="1"/>
  <c r="Y192" i="1" s="1"/>
  <c r="H193" i="1"/>
  <c r="I193" i="1"/>
  <c r="J193" i="1" s="1"/>
  <c r="B193" i="1" s="1"/>
  <c r="K193" i="1" s="1"/>
  <c r="V193" i="1"/>
  <c r="X193" i="1" s="1"/>
  <c r="W193" i="1"/>
  <c r="Y193" i="1" s="1"/>
  <c r="H194" i="1"/>
  <c r="I194" i="1"/>
  <c r="J194" i="1" s="1"/>
  <c r="B194" i="1" s="1"/>
  <c r="K194" i="1" s="1"/>
  <c r="V194" i="1"/>
  <c r="X194" i="1" s="1"/>
  <c r="W194" i="1"/>
  <c r="Y194" i="1" s="1"/>
  <c r="H195" i="1"/>
  <c r="I195" i="1"/>
  <c r="J195" i="1" s="1"/>
  <c r="B195" i="1" s="1"/>
  <c r="K195" i="1" s="1"/>
  <c r="V195" i="1"/>
  <c r="X195" i="1" s="1"/>
  <c r="W195" i="1"/>
  <c r="Y195" i="1" s="1"/>
  <c r="H196" i="1"/>
  <c r="I196" i="1"/>
  <c r="J196" i="1" s="1"/>
  <c r="B196" i="1" s="1"/>
  <c r="K196" i="1" s="1"/>
  <c r="V196" i="1"/>
  <c r="X196" i="1" s="1"/>
  <c r="W196" i="1"/>
  <c r="Y196" i="1" s="1"/>
  <c r="H204" i="1"/>
  <c r="I204" i="1"/>
  <c r="J204" i="1" s="1"/>
  <c r="B204" i="1" s="1"/>
  <c r="K204" i="1" s="1"/>
  <c r="V204" i="1"/>
  <c r="X204" i="1" s="1"/>
  <c r="W204" i="1"/>
  <c r="Y204" i="1" s="1"/>
  <c r="I227" i="1"/>
  <c r="J227" i="1" s="1"/>
  <c r="B227" i="1" s="1"/>
  <c r="K227" i="1" s="1"/>
  <c r="I228" i="1"/>
  <c r="J228" i="1" s="1"/>
  <c r="B228" i="1" s="1"/>
  <c r="K228" i="1" s="1"/>
  <c r="I229" i="1"/>
  <c r="J229" i="1" s="1"/>
  <c r="B229" i="1" s="1"/>
  <c r="K229" i="1" s="1"/>
  <c r="I230" i="1"/>
  <c r="J230" i="1" s="1"/>
  <c r="B230" i="1" s="1"/>
  <c r="K230" i="1" s="1"/>
  <c r="I231" i="1"/>
  <c r="J231" i="1" s="1"/>
  <c r="B231" i="1" s="1"/>
  <c r="K231" i="1" s="1"/>
  <c r="I232" i="1"/>
  <c r="J232" i="1" s="1"/>
  <c r="B232" i="1" s="1"/>
  <c r="K232" i="1" s="1"/>
  <c r="I233" i="1"/>
  <c r="J233" i="1" s="1"/>
  <c r="B233" i="1" s="1"/>
  <c r="K233" i="1" s="1"/>
  <c r="I234" i="1"/>
  <c r="J234" i="1" s="1"/>
  <c r="B234" i="1" s="1"/>
  <c r="K234" i="1" s="1"/>
  <c r="I235" i="1"/>
  <c r="J235" i="1" s="1"/>
  <c r="B235" i="1" s="1"/>
  <c r="K235" i="1" s="1"/>
  <c r="I236" i="1"/>
  <c r="J236" i="1" s="1"/>
  <c r="B236" i="1" s="1"/>
  <c r="K236" i="1" s="1"/>
  <c r="I237" i="1"/>
  <c r="J237" i="1" s="1"/>
  <c r="B237" i="1" s="1"/>
  <c r="K237" i="1" s="1"/>
  <c r="I238" i="1"/>
  <c r="J238" i="1" s="1"/>
  <c r="B238" i="1" s="1"/>
  <c r="K238" i="1" s="1"/>
  <c r="I239" i="1"/>
  <c r="J239" i="1" s="1"/>
  <c r="B239" i="1" s="1"/>
  <c r="K239" i="1" s="1"/>
  <c r="I240" i="1"/>
  <c r="J240" i="1" s="1"/>
  <c r="B240" i="1" s="1"/>
  <c r="K240" i="1" s="1"/>
  <c r="I241" i="1"/>
  <c r="J241" i="1" s="1"/>
  <c r="B241" i="1" s="1"/>
  <c r="K241" i="1" s="1"/>
  <c r="I242" i="1"/>
  <c r="J242" i="1" s="1"/>
  <c r="B242" i="1" s="1"/>
  <c r="K242" i="1" s="1"/>
  <c r="I205" i="1"/>
  <c r="J205" i="1" s="1"/>
  <c r="B205" i="1" s="1"/>
  <c r="K205" i="1" s="1"/>
  <c r="I206" i="1"/>
  <c r="J206" i="1" s="1"/>
  <c r="B206" i="1" s="1"/>
  <c r="K206" i="1" s="1"/>
  <c r="I207" i="1"/>
  <c r="J207" i="1" s="1"/>
  <c r="B207" i="1" s="1"/>
  <c r="K207" i="1" s="1"/>
  <c r="I208" i="1"/>
  <c r="J208" i="1" s="1"/>
  <c r="B208" i="1" s="1"/>
  <c r="K208" i="1" s="1"/>
  <c r="I209" i="1"/>
  <c r="J209" i="1" s="1"/>
  <c r="B209" i="1" s="1"/>
  <c r="K209" i="1" s="1"/>
  <c r="I210" i="1"/>
  <c r="J210" i="1" s="1"/>
  <c r="B210" i="1" s="1"/>
  <c r="K210" i="1" s="1"/>
  <c r="I211" i="1"/>
  <c r="J211" i="1" s="1"/>
  <c r="B211" i="1" s="1"/>
  <c r="K211" i="1" s="1"/>
  <c r="I212" i="1"/>
  <c r="J212" i="1" s="1"/>
  <c r="B212" i="1" s="1"/>
  <c r="K212" i="1" s="1"/>
  <c r="I213" i="1"/>
  <c r="J213" i="1" s="1"/>
  <c r="B213" i="1" s="1"/>
  <c r="K213" i="1" s="1"/>
  <c r="I214" i="1"/>
  <c r="J214" i="1" s="1"/>
  <c r="B214" i="1" s="1"/>
  <c r="K214" i="1" s="1"/>
  <c r="I215" i="1"/>
  <c r="J215" i="1" s="1"/>
  <c r="B215" i="1" s="1"/>
  <c r="K215" i="1" s="1"/>
  <c r="I216" i="1"/>
  <c r="J216" i="1" s="1"/>
  <c r="B216" i="1" s="1"/>
  <c r="K216" i="1" s="1"/>
  <c r="I217" i="1"/>
  <c r="J217" i="1" s="1"/>
  <c r="B217" i="1" s="1"/>
  <c r="K217" i="1" s="1"/>
  <c r="I218" i="1"/>
  <c r="J218" i="1" s="1"/>
  <c r="B218" i="1" s="1"/>
  <c r="K218" i="1" s="1"/>
  <c r="I219" i="1"/>
  <c r="J219" i="1" s="1"/>
  <c r="B219" i="1" s="1"/>
  <c r="K219" i="1" s="1"/>
  <c r="I220" i="1"/>
  <c r="J220" i="1" s="1"/>
  <c r="B220" i="1" s="1"/>
  <c r="K220" i="1" s="1"/>
  <c r="I221" i="1"/>
  <c r="J221" i="1" s="1"/>
  <c r="B221" i="1" s="1"/>
  <c r="K221" i="1" s="1"/>
  <c r="I222" i="1"/>
  <c r="J222" i="1" s="1"/>
  <c r="B222" i="1" s="1"/>
  <c r="K222" i="1" s="1"/>
  <c r="I223" i="1"/>
  <c r="J223" i="1" s="1"/>
  <c r="B223" i="1" s="1"/>
  <c r="K223" i="1" s="1"/>
  <c r="I224" i="1"/>
  <c r="J224" i="1" s="1"/>
  <c r="B224" i="1" s="1"/>
  <c r="K224" i="1" s="1"/>
  <c r="I225" i="1"/>
  <c r="J225" i="1" s="1"/>
  <c r="B225" i="1" s="1"/>
  <c r="K225" i="1" s="1"/>
  <c r="I243" i="1"/>
  <c r="J243" i="1" s="1"/>
  <c r="B243" i="1" s="1"/>
  <c r="K243" i="1" s="1"/>
  <c r="H226" i="1"/>
  <c r="I226" i="1" s="1"/>
  <c r="J226" i="1" s="1"/>
  <c r="B226" i="1" s="1"/>
  <c r="K226" i="1" s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43" i="1"/>
  <c r="W225" i="1"/>
  <c r="Y225" i="1" s="1"/>
  <c r="V225" i="1"/>
  <c r="X225" i="1" s="1"/>
  <c r="W224" i="1"/>
  <c r="Y224" i="1" s="1"/>
  <c r="V224" i="1"/>
  <c r="X224" i="1" s="1"/>
  <c r="W223" i="1"/>
  <c r="Y223" i="1" s="1"/>
  <c r="V223" i="1"/>
  <c r="X223" i="1" s="1"/>
  <c r="V205" i="1"/>
  <c r="X205" i="1" s="1"/>
  <c r="W205" i="1"/>
  <c r="Y205" i="1" s="1"/>
  <c r="V206" i="1"/>
  <c r="X206" i="1" s="1"/>
  <c r="W206" i="1"/>
  <c r="Y206" i="1" s="1"/>
  <c r="V207" i="1"/>
  <c r="X207" i="1" s="1"/>
  <c r="W207" i="1"/>
  <c r="Y207" i="1" s="1"/>
  <c r="V208" i="1"/>
  <c r="X208" i="1" s="1"/>
  <c r="W208" i="1"/>
  <c r="Y208" i="1" s="1"/>
  <c r="V209" i="1"/>
  <c r="X209" i="1" s="1"/>
  <c r="W209" i="1"/>
  <c r="Y209" i="1" s="1"/>
  <c r="V210" i="1"/>
  <c r="X210" i="1" s="1"/>
  <c r="W210" i="1"/>
  <c r="Y210" i="1" s="1"/>
  <c r="V211" i="1"/>
  <c r="X211" i="1" s="1"/>
  <c r="W211" i="1"/>
  <c r="Y211" i="1" s="1"/>
  <c r="V212" i="1"/>
  <c r="X212" i="1" s="1"/>
  <c r="W212" i="1"/>
  <c r="Y212" i="1" s="1"/>
  <c r="V213" i="1"/>
  <c r="X213" i="1" s="1"/>
  <c r="W213" i="1"/>
  <c r="Y213" i="1" s="1"/>
  <c r="V214" i="1"/>
  <c r="X214" i="1" s="1"/>
  <c r="W214" i="1"/>
  <c r="Y214" i="1" s="1"/>
  <c r="V215" i="1"/>
  <c r="X215" i="1" s="1"/>
  <c r="W215" i="1"/>
  <c r="Y215" i="1" s="1"/>
  <c r="V216" i="1"/>
  <c r="X216" i="1" s="1"/>
  <c r="W216" i="1"/>
  <c r="Y216" i="1" s="1"/>
  <c r="V217" i="1"/>
  <c r="X217" i="1" s="1"/>
  <c r="W217" i="1"/>
  <c r="Y217" i="1" s="1"/>
  <c r="V218" i="1"/>
  <c r="X218" i="1" s="1"/>
  <c r="W218" i="1"/>
  <c r="Y218" i="1" s="1"/>
  <c r="V219" i="1"/>
  <c r="X219" i="1" s="1"/>
  <c r="W219" i="1"/>
  <c r="Y219" i="1" s="1"/>
  <c r="V220" i="1"/>
  <c r="X220" i="1" s="1"/>
  <c r="W220" i="1"/>
  <c r="Y220" i="1" s="1"/>
  <c r="V221" i="1"/>
  <c r="X221" i="1" s="1"/>
  <c r="W221" i="1"/>
  <c r="Y221" i="1" s="1"/>
  <c r="V222" i="1"/>
  <c r="X222" i="1" s="1"/>
  <c r="W222" i="1"/>
  <c r="Y222" i="1" s="1"/>
  <c r="W226" i="1"/>
  <c r="Y226" i="1" s="1"/>
  <c r="W227" i="1"/>
  <c r="Y227" i="1" s="1"/>
  <c r="W228" i="1"/>
  <c r="Y228" i="1" s="1"/>
  <c r="W229" i="1"/>
  <c r="Y229" i="1" s="1"/>
  <c r="W230" i="1"/>
  <c r="Y230" i="1" s="1"/>
  <c r="W231" i="1"/>
  <c r="Y231" i="1" s="1"/>
  <c r="W232" i="1"/>
  <c r="Y232" i="1" s="1"/>
  <c r="W233" i="1"/>
  <c r="Y233" i="1" s="1"/>
  <c r="W234" i="1"/>
  <c r="Y234" i="1" s="1"/>
  <c r="W235" i="1"/>
  <c r="Y235" i="1" s="1"/>
  <c r="W236" i="1"/>
  <c r="Y236" i="1" s="1"/>
  <c r="W237" i="1"/>
  <c r="Y237" i="1" s="1"/>
  <c r="W238" i="1"/>
  <c r="Y238" i="1" s="1"/>
  <c r="W239" i="1"/>
  <c r="Y239" i="1" s="1"/>
  <c r="W240" i="1"/>
  <c r="Y240" i="1" s="1"/>
  <c r="W241" i="1"/>
  <c r="Y241" i="1" s="1"/>
  <c r="W242" i="1"/>
  <c r="Y242" i="1" s="1"/>
  <c r="W243" i="1"/>
  <c r="Y243" i="1" s="1"/>
  <c r="V226" i="1"/>
  <c r="X226" i="1" s="1"/>
  <c r="V227" i="1"/>
  <c r="X227" i="1" s="1"/>
  <c r="V228" i="1"/>
  <c r="X228" i="1" s="1"/>
  <c r="V229" i="1"/>
  <c r="X229" i="1" s="1"/>
  <c r="V230" i="1"/>
  <c r="X230" i="1" s="1"/>
  <c r="V231" i="1"/>
  <c r="X231" i="1" s="1"/>
  <c r="V232" i="1"/>
  <c r="X232" i="1" s="1"/>
  <c r="V233" i="1"/>
  <c r="X233" i="1" s="1"/>
  <c r="V234" i="1"/>
  <c r="X234" i="1" s="1"/>
  <c r="V235" i="1"/>
  <c r="X235" i="1" s="1"/>
  <c r="V236" i="1"/>
  <c r="X236" i="1" s="1"/>
  <c r="V237" i="1"/>
  <c r="X237" i="1" s="1"/>
  <c r="V238" i="1"/>
  <c r="X238" i="1" s="1"/>
  <c r="V239" i="1"/>
  <c r="X239" i="1" s="1"/>
  <c r="V240" i="1"/>
  <c r="X240" i="1" s="1"/>
  <c r="V241" i="1"/>
  <c r="X241" i="1" s="1"/>
  <c r="V242" i="1"/>
  <c r="X242" i="1" s="1"/>
  <c r="V243" i="1"/>
  <c r="X243" i="1" s="1"/>
  <c r="C17" i="8" l="1"/>
  <c r="C16" i="8"/>
  <c r="C15" i="8"/>
  <c r="C14" i="8"/>
  <c r="C13" i="8"/>
  <c r="S132" i="3"/>
  <c r="P132" i="3" s="1"/>
  <c r="C125" i="3"/>
  <c r="F127" i="3"/>
  <c r="T110" i="3"/>
  <c r="T105" i="3"/>
  <c r="C128" i="3"/>
  <c r="C120" i="3"/>
  <c r="G112" i="3"/>
  <c r="G106" i="3"/>
  <c r="H129" i="3"/>
  <c r="H121" i="3"/>
  <c r="C113" i="3"/>
  <c r="T130" i="3"/>
  <c r="C123" i="3"/>
  <c r="E115" i="3"/>
  <c r="G108" i="3"/>
  <c r="T133" i="3"/>
  <c r="D126" i="3"/>
  <c r="E118" i="3"/>
  <c r="H110" i="3"/>
  <c r="S104" i="3"/>
  <c r="P104" i="3" s="1"/>
  <c r="E129" i="3"/>
  <c r="E121" i="3"/>
  <c r="H113" i="3"/>
  <c r="S106" i="3"/>
  <c r="P106" i="3" s="1"/>
  <c r="G131" i="3"/>
  <c r="H123" i="3"/>
  <c r="T114" i="3"/>
  <c r="D108" i="3"/>
  <c r="D132" i="3"/>
  <c r="E124" i="3"/>
  <c r="G116" i="3"/>
  <c r="S108" i="3"/>
  <c r="P108" i="3" s="1"/>
  <c r="C103" i="3"/>
  <c r="H126" i="3"/>
  <c r="S117" i="3"/>
  <c r="P117" i="3" s="1"/>
  <c r="D110" i="3"/>
  <c r="E105" i="3"/>
  <c r="E127" i="3"/>
  <c r="E119" i="3"/>
  <c r="S110" i="3"/>
  <c r="P110" i="3" s="1"/>
  <c r="S105" i="3"/>
  <c r="P105" i="3" s="1"/>
  <c r="T127" i="3"/>
  <c r="T119" i="3"/>
  <c r="F112" i="3"/>
  <c r="F106" i="3"/>
  <c r="E130" i="3"/>
  <c r="E122" i="3"/>
  <c r="H114" i="3"/>
  <c r="D133" i="3"/>
  <c r="F125" i="3"/>
  <c r="G117" i="3"/>
  <c r="T109" i="3"/>
  <c r="C104" i="3"/>
  <c r="G128" i="3"/>
  <c r="G120" i="3"/>
  <c r="C112" i="3"/>
  <c r="C106" i="3"/>
  <c r="T129" i="3"/>
  <c r="T121" i="3"/>
  <c r="E114" i="3"/>
  <c r="F107" i="3"/>
  <c r="H104" i="3"/>
  <c r="F131" i="3"/>
  <c r="G123" i="3"/>
  <c r="S114" i="3"/>
  <c r="P114" i="3" s="1"/>
  <c r="C108" i="3"/>
  <c r="H133" i="3"/>
  <c r="T124" i="3"/>
  <c r="C117" i="3"/>
  <c r="G104" i="3"/>
  <c r="G126" i="3"/>
  <c r="H118" i="3"/>
  <c r="C110" i="3"/>
  <c r="D105" i="3"/>
  <c r="D127" i="3"/>
  <c r="D119" i="3"/>
  <c r="H111" i="3"/>
  <c r="G129" i="3"/>
  <c r="G121" i="3"/>
  <c r="T112" i="3"/>
  <c r="G132" i="3"/>
  <c r="H124" i="3"/>
  <c r="T115" i="3"/>
  <c r="D109" i="3"/>
  <c r="F103" i="3"/>
  <c r="S126" i="3"/>
  <c r="P126" i="3" s="1"/>
  <c r="S118" i="3"/>
  <c r="P118" i="3" s="1"/>
  <c r="E111" i="3"/>
  <c r="D129" i="3"/>
  <c r="D121" i="3"/>
  <c r="G113" i="3"/>
  <c r="S129" i="3"/>
  <c r="P129" i="3" s="1"/>
  <c r="S121" i="3"/>
  <c r="P121" i="3" s="1"/>
  <c r="D114" i="3"/>
  <c r="E107" i="3"/>
  <c r="C132" i="3"/>
  <c r="D124" i="3"/>
  <c r="F116" i="3"/>
  <c r="H109" i="3"/>
  <c r="G133" i="3"/>
  <c r="S124" i="3"/>
  <c r="P124" i="3" s="1"/>
  <c r="T116" i="3"/>
  <c r="F104" i="3"/>
  <c r="F126" i="3"/>
  <c r="G118" i="3"/>
  <c r="C105" i="3"/>
  <c r="S127" i="3"/>
  <c r="P127" i="3" s="1"/>
  <c r="S119" i="3"/>
  <c r="P119" i="3" s="1"/>
  <c r="E112" i="3"/>
  <c r="E106" i="3"/>
  <c r="S130" i="3"/>
  <c r="P130" i="3" s="1"/>
  <c r="T122" i="3"/>
  <c r="D115" i="3"/>
  <c r="F108" i="3"/>
  <c r="S133" i="3"/>
  <c r="P133" i="3" s="1"/>
  <c r="C126" i="3"/>
  <c r="D118" i="3"/>
  <c r="G110" i="3"/>
  <c r="H105" i="3"/>
  <c r="F128" i="3"/>
  <c r="F120" i="3"/>
  <c r="T111" i="3"/>
  <c r="F119" i="3"/>
  <c r="C129" i="3"/>
  <c r="C121" i="3"/>
  <c r="F113" i="3"/>
  <c r="E131" i="3"/>
  <c r="F123" i="3"/>
  <c r="H115" i="3"/>
  <c r="T107" i="3"/>
  <c r="T131" i="3"/>
  <c r="C124" i="3"/>
  <c r="E116" i="3"/>
  <c r="G109" i="3"/>
  <c r="F133" i="3"/>
  <c r="H125" i="3"/>
  <c r="S116" i="3"/>
  <c r="P116" i="3" s="1"/>
  <c r="E104" i="3"/>
  <c r="C127" i="3"/>
  <c r="C119" i="3"/>
  <c r="G111" i="3"/>
  <c r="D130" i="3"/>
  <c r="D122" i="3"/>
  <c r="G114" i="3"/>
  <c r="H107" i="3"/>
  <c r="C133" i="3"/>
  <c r="E125" i="3"/>
  <c r="F117" i="3"/>
  <c r="S109" i="3"/>
  <c r="P109" i="3" s="1"/>
  <c r="T103" i="3"/>
  <c r="H127" i="3"/>
  <c r="H119" i="3"/>
  <c r="D111" i="3"/>
  <c r="D117" i="3"/>
  <c r="E128" i="3"/>
  <c r="E120" i="3"/>
  <c r="S111" i="3"/>
  <c r="P111" i="3" s="1"/>
  <c r="H130" i="3"/>
  <c r="H122" i="3"/>
  <c r="C114" i="3"/>
  <c r="D107" i="3"/>
  <c r="D131" i="3"/>
  <c r="E123" i="3"/>
  <c r="G115" i="3"/>
  <c r="S107" i="3"/>
  <c r="P107" i="3" s="1"/>
  <c r="S131" i="3"/>
  <c r="P131" i="3" s="1"/>
  <c r="T123" i="3"/>
  <c r="D116" i="3"/>
  <c r="F109" i="3"/>
  <c r="H103" i="3"/>
  <c r="E126" i="3"/>
  <c r="F118" i="3"/>
  <c r="T104" i="3"/>
  <c r="F129" i="3"/>
  <c r="F121" i="3"/>
  <c r="S112" i="3"/>
  <c r="P112" i="3" s="1"/>
  <c r="T106" i="3"/>
  <c r="F132" i="3"/>
  <c r="G124" i="3"/>
  <c r="S115" i="3"/>
  <c r="P115" i="3" s="1"/>
  <c r="C109" i="3"/>
  <c r="E103" i="3"/>
  <c r="T125" i="3"/>
  <c r="C118" i="3"/>
  <c r="F110" i="3"/>
  <c r="G105" i="3"/>
  <c r="G127" i="3"/>
  <c r="G119" i="3"/>
  <c r="C111" i="3"/>
  <c r="T128" i="3"/>
  <c r="T120" i="3"/>
  <c r="E113" i="3"/>
  <c r="G130" i="3"/>
  <c r="G122" i="3"/>
  <c r="T113" i="3"/>
  <c r="C107" i="3"/>
  <c r="C131" i="3"/>
  <c r="D123" i="3"/>
  <c r="F115" i="3"/>
  <c r="H108" i="3"/>
  <c r="E133" i="3"/>
  <c r="G125" i="3"/>
  <c r="H117" i="3"/>
  <c r="D104" i="3"/>
  <c r="H128" i="3"/>
  <c r="H120" i="3"/>
  <c r="D112" i="3"/>
  <c r="D106" i="3"/>
  <c r="H131" i="3"/>
  <c r="S122" i="3"/>
  <c r="P122" i="3" s="1"/>
  <c r="C115" i="3"/>
  <c r="E108" i="3"/>
  <c r="T132" i="3"/>
  <c r="D125" i="3"/>
  <c r="E117" i="3"/>
  <c r="S103" i="3"/>
  <c r="P103" i="3" s="1"/>
  <c r="S125" i="3"/>
  <c r="P125" i="3" s="1"/>
  <c r="T117" i="3"/>
  <c r="E110" i="3"/>
  <c r="F105" i="3"/>
  <c r="D128" i="3"/>
  <c r="D120" i="3"/>
  <c r="H112" i="3"/>
  <c r="H106" i="3"/>
  <c r="S128" i="3"/>
  <c r="P128" i="3" s="1"/>
  <c r="S120" i="3"/>
  <c r="P120" i="3" s="1"/>
  <c r="D113" i="3"/>
  <c r="F130" i="3"/>
  <c r="F122" i="3"/>
  <c r="S113" i="3"/>
  <c r="P113" i="3" s="1"/>
  <c r="H132" i="3"/>
  <c r="S123" i="3"/>
  <c r="P123" i="3" s="1"/>
  <c r="C116" i="3"/>
  <c r="E109" i="3"/>
  <c r="G103" i="3"/>
  <c r="T126" i="3"/>
  <c r="T118" i="3"/>
  <c r="F111" i="3"/>
  <c r="C130" i="3"/>
  <c r="C122" i="3"/>
  <c r="F114" i="3"/>
  <c r="G107" i="3"/>
  <c r="E132" i="3"/>
  <c r="F124" i="3"/>
  <c r="H116" i="3"/>
  <c r="T108" i="3"/>
  <c r="D103" i="3"/>
  <c r="C93" i="3"/>
  <c r="F136" i="3"/>
  <c r="E92" i="3"/>
  <c r="E136" i="3"/>
  <c r="C92" i="3"/>
  <c r="T90" i="3"/>
  <c r="T91" i="3"/>
  <c r="S95" i="3"/>
  <c r="P95" i="3" s="1"/>
  <c r="H96" i="3"/>
  <c r="H88" i="3"/>
  <c r="D96" i="3"/>
  <c r="G102" i="3"/>
  <c r="G89" i="3"/>
  <c r="T134" i="3"/>
  <c r="F91" i="3"/>
  <c r="T87" i="3"/>
  <c r="S134" i="3"/>
  <c r="P134" i="3" s="1"/>
  <c r="E91" i="3"/>
  <c r="S92" i="3"/>
  <c r="P92" i="3" s="1"/>
  <c r="C137" i="3"/>
  <c r="H102" i="3"/>
  <c r="S91" i="3"/>
  <c r="P91" i="3" s="1"/>
  <c r="G135" i="3"/>
  <c r="C91" i="3"/>
  <c r="T136" i="3"/>
  <c r="S136" i="3"/>
  <c r="P136" i="3" s="1"/>
  <c r="T85" i="3"/>
  <c r="H95" i="3"/>
  <c r="H87" i="3"/>
  <c r="D92" i="3"/>
  <c r="G96" i="3"/>
  <c r="G88" i="3"/>
  <c r="D137" i="3"/>
  <c r="D134" i="3"/>
  <c r="F90" i="3"/>
  <c r="T137" i="3"/>
  <c r="C134" i="3"/>
  <c r="E90" i="3"/>
  <c r="T88" i="3"/>
  <c r="H89" i="3"/>
  <c r="S85" i="3"/>
  <c r="P85" i="3" s="1"/>
  <c r="S102" i="3"/>
  <c r="P102" i="3" s="1"/>
  <c r="C90" i="3"/>
  <c r="D136" i="3"/>
  <c r="C136" i="3"/>
  <c r="T92" i="3"/>
  <c r="H94" i="3"/>
  <c r="F86" i="3"/>
  <c r="D87" i="3"/>
  <c r="G95" i="3"/>
  <c r="G87" i="3"/>
  <c r="D95" i="3"/>
  <c r="F102" i="3"/>
  <c r="F89" i="3"/>
  <c r="T102" i="3"/>
  <c r="E102" i="3"/>
  <c r="E89" i="3"/>
  <c r="T95" i="3"/>
  <c r="S94" i="3"/>
  <c r="P94" i="3" s="1"/>
  <c r="G90" i="3"/>
  <c r="G136" i="3"/>
  <c r="C102" i="3"/>
  <c r="C89" i="3"/>
  <c r="F135" i="3"/>
  <c r="E135" i="3"/>
  <c r="H137" i="3"/>
  <c r="H93" i="3"/>
  <c r="F85" i="3"/>
  <c r="T96" i="3"/>
  <c r="G94" i="3"/>
  <c r="E86" i="3"/>
  <c r="D91" i="3"/>
  <c r="F96" i="3"/>
  <c r="F88" i="3"/>
  <c r="D93" i="3"/>
  <c r="E96" i="3"/>
  <c r="E88" i="3"/>
  <c r="H135" i="3"/>
  <c r="T94" i="3"/>
  <c r="C96" i="3"/>
  <c r="C88" i="3"/>
  <c r="H134" i="3"/>
  <c r="G134" i="3"/>
  <c r="T135" i="3"/>
  <c r="H92" i="3"/>
  <c r="S89" i="3"/>
  <c r="P89" i="3" s="1"/>
  <c r="G137" i="3"/>
  <c r="G93" i="3"/>
  <c r="E85" i="3"/>
  <c r="D88" i="3"/>
  <c r="F95" i="3"/>
  <c r="F87" i="3"/>
  <c r="D89" i="3"/>
  <c r="E95" i="3"/>
  <c r="E87" i="3"/>
  <c r="D102" i="3"/>
  <c r="S88" i="3"/>
  <c r="P88" i="3" s="1"/>
  <c r="F92" i="3"/>
  <c r="C95" i="3"/>
  <c r="C87" i="3"/>
  <c r="H86" i="3"/>
  <c r="G86" i="3"/>
  <c r="D135" i="3"/>
  <c r="H91" i="3"/>
  <c r="S96" i="3"/>
  <c r="P96" i="3" s="1"/>
  <c r="S135" i="3"/>
  <c r="P135" i="3" s="1"/>
  <c r="G92" i="3"/>
  <c r="S90" i="3"/>
  <c r="P90" i="3" s="1"/>
  <c r="S93" i="3"/>
  <c r="P93" i="3" s="1"/>
  <c r="F94" i="3"/>
  <c r="D86" i="3"/>
  <c r="T89" i="3"/>
  <c r="E94" i="3"/>
  <c r="C86" i="3"/>
  <c r="D94" i="3"/>
  <c r="S87" i="3"/>
  <c r="P87" i="3" s="1"/>
  <c r="E134" i="3"/>
  <c r="H136" i="3"/>
  <c r="S137" i="3"/>
  <c r="P137" i="3" s="1"/>
  <c r="C94" i="3"/>
  <c r="S86" i="3"/>
  <c r="P86" i="3" s="1"/>
  <c r="H85" i="3"/>
  <c r="G85" i="3"/>
  <c r="F134" i="3"/>
  <c r="H90" i="3"/>
  <c r="T93" i="3"/>
  <c r="C135" i="3"/>
  <c r="G91" i="3"/>
  <c r="T86" i="3"/>
  <c r="F137" i="3"/>
  <c r="F93" i="3"/>
  <c r="D85" i="3"/>
  <c r="E137" i="3"/>
  <c r="E93" i="3"/>
  <c r="C85" i="3"/>
  <c r="D90" i="3"/>
  <c r="D56" i="2"/>
  <c r="E54" i="2"/>
  <c r="H55" i="2"/>
  <c r="E57" i="2"/>
  <c r="I56" i="2"/>
  <c r="D55" i="2"/>
  <c r="C57" i="2"/>
  <c r="F54" i="2"/>
  <c r="F57" i="2"/>
  <c r="E55" i="2"/>
  <c r="I57" i="2"/>
  <c r="G57" i="2"/>
  <c r="I54" i="2"/>
  <c r="E56" i="2"/>
  <c r="D57" i="2"/>
  <c r="H56" i="2"/>
  <c r="F56" i="2"/>
  <c r="H57" i="2"/>
  <c r="G56" i="2"/>
  <c r="G55" i="2"/>
  <c r="C56" i="2"/>
  <c r="H54" i="2"/>
  <c r="G54" i="2"/>
  <c r="I55" i="2"/>
  <c r="C55" i="2"/>
  <c r="F55" i="2"/>
  <c r="D54" i="2"/>
  <c r="C54" i="2"/>
  <c r="I16" i="6"/>
  <c r="K16" i="6"/>
  <c r="C15" i="6"/>
  <c r="E16" i="6"/>
  <c r="S73" i="3"/>
  <c r="P73" i="3" s="1"/>
  <c r="R16" i="6"/>
  <c r="N15" i="6"/>
  <c r="L15" i="6"/>
  <c r="Q15" i="6"/>
  <c r="S79" i="3"/>
  <c r="P79" i="3" s="1"/>
  <c r="H15" i="6"/>
  <c r="H73" i="3"/>
  <c r="G73" i="3"/>
  <c r="G75" i="3"/>
  <c r="E77" i="3"/>
  <c r="G81" i="3"/>
  <c r="D73" i="3"/>
  <c r="C76" i="3"/>
  <c r="C79" i="3"/>
  <c r="T74" i="3"/>
  <c r="Q16" i="6"/>
  <c r="F15" i="6"/>
  <c r="D15" i="6"/>
  <c r="P15" i="6"/>
  <c r="T80" i="3"/>
  <c r="T83" i="3"/>
  <c r="C83" i="3"/>
  <c r="S74" i="3"/>
  <c r="P74" i="3" s="1"/>
  <c r="G74" i="3"/>
  <c r="E76" i="3"/>
  <c r="E80" i="3"/>
  <c r="G83" i="3"/>
  <c r="D75" i="3"/>
  <c r="C78" i="3"/>
  <c r="P16" i="6"/>
  <c r="N16" i="6"/>
  <c r="L16" i="6"/>
  <c r="I15" i="6"/>
  <c r="S80" i="3"/>
  <c r="P80" i="3" s="1"/>
  <c r="S83" i="3"/>
  <c r="P83" i="3" s="1"/>
  <c r="H79" i="3"/>
  <c r="F80" i="3"/>
  <c r="F73" i="3"/>
  <c r="F75" i="3"/>
  <c r="E79" i="3"/>
  <c r="G82" i="3"/>
  <c r="D74" i="3"/>
  <c r="T75" i="3"/>
  <c r="S75" i="3"/>
  <c r="P75" i="3" s="1"/>
  <c r="H16" i="6"/>
  <c r="F16" i="6"/>
  <c r="D16" i="6"/>
  <c r="T77" i="3"/>
  <c r="T81" i="3"/>
  <c r="R15" i="6"/>
  <c r="H78" i="3"/>
  <c r="H80" i="3"/>
  <c r="F81" i="3"/>
  <c r="F74" i="3"/>
  <c r="E78" i="3"/>
  <c r="E81" i="3"/>
  <c r="C73" i="3"/>
  <c r="C75" i="3"/>
  <c r="S76" i="3"/>
  <c r="P76" i="3" s="1"/>
  <c r="O15" i="6"/>
  <c r="M15" i="6"/>
  <c r="K15" i="6"/>
  <c r="S77" i="3"/>
  <c r="P77" i="3" s="1"/>
  <c r="S81" i="3"/>
  <c r="P81" i="3" s="1"/>
  <c r="D83" i="3"/>
  <c r="G77" i="3"/>
  <c r="G79" i="3"/>
  <c r="H81" i="3"/>
  <c r="E73" i="3"/>
  <c r="D77" i="3"/>
  <c r="D80" i="3"/>
  <c r="F83" i="3"/>
  <c r="C74" i="3"/>
  <c r="T76" i="3"/>
  <c r="G15" i="6"/>
  <c r="E15" i="6"/>
  <c r="C16" i="6"/>
  <c r="T78" i="3"/>
  <c r="T82" i="3"/>
  <c r="C82" i="3"/>
  <c r="G76" i="3"/>
  <c r="G78" i="3"/>
  <c r="G80" i="3"/>
  <c r="F82" i="3"/>
  <c r="D76" i="3"/>
  <c r="D79" i="3"/>
  <c r="E82" i="3"/>
  <c r="E83" i="3"/>
  <c r="J15" i="6"/>
  <c r="O16" i="6"/>
  <c r="M16" i="6"/>
  <c r="J16" i="6"/>
  <c r="S78" i="3"/>
  <c r="P78" i="3" s="1"/>
  <c r="S82" i="3"/>
  <c r="P82" i="3" s="1"/>
  <c r="H77" i="3"/>
  <c r="H75" i="3"/>
  <c r="F77" i="3"/>
  <c r="F79" i="3"/>
  <c r="H83" i="3"/>
  <c r="E75" i="3"/>
  <c r="D78" i="3"/>
  <c r="D81" i="3"/>
  <c r="D82" i="3"/>
  <c r="T73" i="3"/>
  <c r="G16" i="6"/>
  <c r="T79" i="3"/>
  <c r="H76" i="3"/>
  <c r="H74" i="3"/>
  <c r="F76" i="3"/>
  <c r="F78" i="3"/>
  <c r="H82" i="3"/>
  <c r="E74" i="3"/>
  <c r="C77" i="3"/>
  <c r="C80" i="3"/>
  <c r="C81" i="3"/>
  <c r="C100" i="3"/>
  <c r="C97" i="3"/>
  <c r="E72" i="3"/>
  <c r="F99" i="3"/>
  <c r="H84" i="3"/>
  <c r="S68" i="3"/>
  <c r="P68" i="3" s="1"/>
  <c r="H99" i="3"/>
  <c r="H71" i="3"/>
  <c r="G68" i="3"/>
  <c r="F84" i="3"/>
  <c r="S97" i="3"/>
  <c r="P97" i="3" s="1"/>
  <c r="F101" i="3"/>
  <c r="S84" i="3"/>
  <c r="P84" i="3" s="1"/>
  <c r="G70" i="3"/>
  <c r="E101" i="3"/>
  <c r="H97" i="3"/>
  <c r="C101" i="3"/>
  <c r="T72" i="3"/>
  <c r="C84" i="3"/>
  <c r="F71" i="3"/>
  <c r="T69" i="3"/>
  <c r="C98" i="3"/>
  <c r="C70" i="3"/>
  <c r="S100" i="3"/>
  <c r="P100" i="3" s="1"/>
  <c r="S72" i="3"/>
  <c r="P72" i="3" s="1"/>
  <c r="E69" i="3"/>
  <c r="D97" i="3"/>
  <c r="G98" i="3"/>
  <c r="D84" i="3"/>
  <c r="H100" i="3"/>
  <c r="H72" i="3"/>
  <c r="F100" i="3"/>
  <c r="F72" i="3"/>
  <c r="G69" i="3"/>
  <c r="D71" i="3"/>
  <c r="T101" i="3"/>
  <c r="E98" i="3"/>
  <c r="F97" i="3"/>
  <c r="D100" i="3"/>
  <c r="D72" i="3"/>
  <c r="F68" i="3"/>
  <c r="G101" i="3"/>
  <c r="C69" i="3"/>
  <c r="C99" i="3"/>
  <c r="C71" i="3"/>
  <c r="S98" i="3"/>
  <c r="P98" i="3" s="1"/>
  <c r="S70" i="3"/>
  <c r="P70" i="3" s="1"/>
  <c r="H68" i="3"/>
  <c r="T100" i="3"/>
  <c r="C72" i="3"/>
  <c r="T98" i="3"/>
  <c r="T70" i="3"/>
  <c r="E70" i="3"/>
  <c r="G99" i="3"/>
  <c r="G71" i="3"/>
  <c r="T84" i="3"/>
  <c r="S71" i="3"/>
  <c r="P71" i="3" s="1"/>
  <c r="T99" i="3"/>
  <c r="T71" i="3"/>
  <c r="D68" i="3"/>
  <c r="F98" i="3"/>
  <c r="F70" i="3"/>
  <c r="S101" i="3"/>
  <c r="P101" i="3" s="1"/>
  <c r="D98" i="3"/>
  <c r="D70" i="3"/>
  <c r="F69" i="3"/>
  <c r="T97" i="3"/>
  <c r="S99" i="3"/>
  <c r="P99" i="3" s="1"/>
  <c r="E84" i="3"/>
  <c r="D69" i="3"/>
  <c r="E99" i="3"/>
  <c r="E71" i="3"/>
  <c r="D101" i="3"/>
  <c r="G97" i="3"/>
  <c r="E100" i="3"/>
  <c r="S69" i="3"/>
  <c r="P69" i="3" s="1"/>
  <c r="G84" i="3"/>
  <c r="E97" i="3"/>
  <c r="H101" i="3"/>
  <c r="E68" i="3"/>
  <c r="H98" i="3"/>
  <c r="H70" i="3"/>
  <c r="D99" i="3"/>
  <c r="C68" i="3"/>
  <c r="G100" i="3"/>
  <c r="G72" i="3"/>
  <c r="H69" i="3"/>
  <c r="T68" i="3"/>
  <c r="T55" i="3"/>
  <c r="E56" i="3"/>
  <c r="H55" i="3"/>
  <c r="F67" i="3"/>
  <c r="S58" i="3"/>
  <c r="P58" i="3" s="1"/>
  <c r="G65" i="3"/>
  <c r="C60" i="3"/>
  <c r="D65" i="3"/>
  <c r="S61" i="3"/>
  <c r="P61" i="3" s="1"/>
  <c r="D66" i="3"/>
  <c r="F55" i="3"/>
  <c r="G60" i="3"/>
  <c r="D63" i="3"/>
  <c r="S56" i="3"/>
  <c r="P56" i="3" s="1"/>
  <c r="E64" i="3"/>
  <c r="T63" i="3"/>
  <c r="F57" i="3"/>
  <c r="G58" i="3"/>
  <c r="C66" i="3"/>
  <c r="H63" i="3"/>
  <c r="G59" i="3"/>
  <c r="E63" i="3"/>
  <c r="H64" i="3"/>
  <c r="T60" i="3"/>
  <c r="E59" i="3"/>
  <c r="H65" i="3"/>
  <c r="E61" i="3"/>
  <c r="E62" i="3"/>
  <c r="C61" i="3"/>
  <c r="S59" i="3"/>
  <c r="P59" i="3" s="1"/>
  <c r="T66" i="3"/>
  <c r="H61" i="3"/>
  <c r="C63" i="3"/>
  <c r="S65" i="3"/>
  <c r="P65" i="3" s="1"/>
  <c r="H66" i="3"/>
  <c r="D56" i="3"/>
  <c r="E57" i="3"/>
  <c r="F62" i="3"/>
  <c r="S60" i="3"/>
  <c r="P60" i="3" s="1"/>
  <c r="E58" i="3"/>
  <c r="S55" i="3"/>
  <c r="P55" i="3" s="1"/>
  <c r="F63" i="3"/>
  <c r="C58" i="3"/>
  <c r="S62" i="3"/>
  <c r="P62" i="3" s="1"/>
  <c r="F66" i="3"/>
  <c r="H56" i="3"/>
  <c r="C55" i="3"/>
  <c r="T57" i="3"/>
  <c r="T59" i="3"/>
  <c r="F60" i="3"/>
  <c r="G61" i="3"/>
  <c r="F65" i="3"/>
  <c r="T56" i="3"/>
  <c r="G66" i="3"/>
  <c r="C56" i="3"/>
  <c r="D61" i="3"/>
  <c r="G67" i="3"/>
  <c r="C57" i="3"/>
  <c r="D62" i="3"/>
  <c r="G56" i="3"/>
  <c r="D55" i="3"/>
  <c r="T65" i="3"/>
  <c r="S66" i="3"/>
  <c r="P66" i="3" s="1"/>
  <c r="F64" i="3"/>
  <c r="T67" i="3"/>
  <c r="D59" i="3"/>
  <c r="E60" i="3"/>
  <c r="D64" i="3"/>
  <c r="T64" i="3"/>
  <c r="E65" i="3"/>
  <c r="S57" i="3"/>
  <c r="P57" i="3" s="1"/>
  <c r="H59" i="3"/>
  <c r="T58" i="3"/>
  <c r="E66" i="3"/>
  <c r="G55" i="3"/>
  <c r="H60" i="3"/>
  <c r="E55" i="3"/>
  <c r="C67" i="3"/>
  <c r="S63" i="3"/>
  <c r="P63" i="3" s="1"/>
  <c r="H58" i="3"/>
  <c r="H57" i="3"/>
  <c r="C59" i="3"/>
  <c r="H62" i="3"/>
  <c r="E67" i="3"/>
  <c r="C64" i="3"/>
  <c r="F58" i="3"/>
  <c r="G64" i="3"/>
  <c r="C65" i="3"/>
  <c r="T62" i="3"/>
  <c r="F59" i="3"/>
  <c r="D60" i="3"/>
  <c r="C62" i="3"/>
  <c r="D67" i="3"/>
  <c r="F56" i="3"/>
  <c r="G57" i="3"/>
  <c r="F61" i="3"/>
  <c r="G62" i="3"/>
  <c r="S67" i="3"/>
  <c r="P67" i="3" s="1"/>
  <c r="H67" i="3"/>
  <c r="D57" i="3"/>
  <c r="T61" i="3"/>
  <c r="G63" i="3"/>
  <c r="S64" i="3"/>
  <c r="P64" i="3" s="1"/>
  <c r="D58" i="3"/>
  <c r="T41" i="3"/>
  <c r="H44" i="3"/>
  <c r="D53" i="3"/>
  <c r="F45" i="3"/>
  <c r="C48" i="3"/>
  <c r="T138" i="3"/>
  <c r="D49" i="3"/>
  <c r="S41" i="3"/>
  <c r="P41" i="3" s="1"/>
  <c r="T46" i="3"/>
  <c r="S49" i="3"/>
  <c r="P49" i="3" s="1"/>
  <c r="S53" i="3"/>
  <c r="P53" i="3" s="1"/>
  <c r="E41" i="3"/>
  <c r="C52" i="3"/>
  <c r="E138" i="3"/>
  <c r="H51" i="3"/>
  <c r="F42" i="3"/>
  <c r="G40" i="3"/>
  <c r="D42" i="3"/>
  <c r="G52" i="3"/>
  <c r="D44" i="3"/>
  <c r="G46" i="3"/>
  <c r="H47" i="3"/>
  <c r="E53" i="3"/>
  <c r="D138" i="3"/>
  <c r="S42" i="3"/>
  <c r="P42" i="3" s="1"/>
  <c r="T49" i="3"/>
  <c r="T53" i="3"/>
  <c r="E50" i="3"/>
  <c r="G39" i="3"/>
  <c r="G42" i="3"/>
  <c r="H40" i="3"/>
  <c r="H49" i="3"/>
  <c r="D39" i="3"/>
  <c r="G49" i="3"/>
  <c r="F40" i="3"/>
  <c r="E51" i="3"/>
  <c r="H53" i="3"/>
  <c r="E45" i="3"/>
  <c r="F46" i="3"/>
  <c r="G51" i="3"/>
  <c r="T42" i="3"/>
  <c r="S47" i="3"/>
  <c r="P47" i="3" s="1"/>
  <c r="S50" i="3"/>
  <c r="P50" i="3" s="1"/>
  <c r="T54" i="3"/>
  <c r="C49" i="3"/>
  <c r="C40" i="3"/>
  <c r="D41" i="3"/>
  <c r="C50" i="3"/>
  <c r="E39" i="3"/>
  <c r="F48" i="3"/>
  <c r="E48" i="3"/>
  <c r="C39" i="3"/>
  <c r="F43" i="3"/>
  <c r="F52" i="3"/>
  <c r="C44" i="3"/>
  <c r="G53" i="3"/>
  <c r="D45" i="3"/>
  <c r="T45" i="3"/>
  <c r="S54" i="3"/>
  <c r="P54" i="3" s="1"/>
  <c r="S39" i="3"/>
  <c r="P39" i="3" s="1"/>
  <c r="T43" i="3"/>
  <c r="T47" i="3"/>
  <c r="G47" i="3"/>
  <c r="C42" i="3"/>
  <c r="D50" i="3"/>
  <c r="F39" i="3"/>
  <c r="G48" i="3"/>
  <c r="S46" i="3"/>
  <c r="P46" i="3" s="1"/>
  <c r="D47" i="3"/>
  <c r="C47" i="3"/>
  <c r="C41" i="3"/>
  <c r="H50" i="3"/>
  <c r="H41" i="3"/>
  <c r="D51" i="3"/>
  <c r="H138" i="3"/>
  <c r="E52" i="3"/>
  <c r="G138" i="3"/>
  <c r="E42" i="3"/>
  <c r="T39" i="3"/>
  <c r="S44" i="3"/>
  <c r="P44" i="3" s="1"/>
  <c r="S48" i="3"/>
  <c r="P48" i="3" s="1"/>
  <c r="S51" i="3"/>
  <c r="P51" i="3" s="1"/>
  <c r="H54" i="3"/>
  <c r="E46" i="3"/>
  <c r="S43" i="3"/>
  <c r="P43" i="3" s="1"/>
  <c r="H48" i="3"/>
  <c r="C138" i="3"/>
  <c r="E47" i="3"/>
  <c r="H45" i="3"/>
  <c r="D54" i="3"/>
  <c r="G45" i="3"/>
  <c r="C43" i="3"/>
  <c r="F49" i="3"/>
  <c r="E40" i="3"/>
  <c r="E43" i="3"/>
  <c r="C51" i="3"/>
  <c r="D43" i="3"/>
  <c r="S52" i="3"/>
  <c r="P52" i="3" s="1"/>
  <c r="G43" i="3"/>
  <c r="T40" i="3"/>
  <c r="T44" i="3"/>
  <c r="T48" i="3"/>
  <c r="T51" i="3"/>
  <c r="F53" i="3"/>
  <c r="C45" i="3"/>
  <c r="F47" i="3"/>
  <c r="C46" i="3"/>
  <c r="E54" i="3"/>
  <c r="F44" i="3"/>
  <c r="H52" i="3"/>
  <c r="E44" i="3"/>
  <c r="D48" i="3"/>
  <c r="S138" i="3"/>
  <c r="P138" i="3" s="1"/>
  <c r="G50" i="3"/>
  <c r="G41" i="3"/>
  <c r="F41" i="3"/>
  <c r="H42" i="3"/>
  <c r="C54" i="3"/>
  <c r="S40" i="3"/>
  <c r="P40" i="3" s="1"/>
  <c r="S45" i="3"/>
  <c r="P45" i="3" s="1"/>
  <c r="T52" i="3"/>
  <c r="D52" i="3"/>
  <c r="F138" i="3"/>
  <c r="G54" i="3"/>
  <c r="D46" i="3"/>
  <c r="F54" i="3"/>
  <c r="G44" i="3"/>
  <c r="C53" i="3"/>
  <c r="H43" i="3"/>
  <c r="F51" i="3"/>
  <c r="H46" i="3"/>
  <c r="T50" i="3"/>
  <c r="E49" i="3"/>
  <c r="D40" i="3"/>
  <c r="F50" i="3"/>
  <c r="H39" i="3"/>
  <c r="T8" i="3"/>
  <c r="C35" i="3"/>
  <c r="G22" i="3"/>
  <c r="H9" i="3"/>
  <c r="D30" i="3"/>
  <c r="S14" i="3"/>
  <c r="P14" i="3" s="1"/>
  <c r="E27" i="3"/>
  <c r="F14" i="3"/>
  <c r="G34" i="3"/>
  <c r="T26" i="3"/>
  <c r="C20" i="3"/>
  <c r="D19" i="3"/>
  <c r="E6" i="3"/>
  <c r="T4" i="3"/>
  <c r="S24" i="3"/>
  <c r="P24" i="3" s="1"/>
  <c r="E25" i="3"/>
  <c r="F12" i="3"/>
  <c r="G32" i="3"/>
  <c r="S34" i="3"/>
  <c r="P34" i="3" s="1"/>
  <c r="H29" i="3"/>
  <c r="D17" i="3"/>
  <c r="E37" i="3"/>
  <c r="T13" i="3"/>
  <c r="C7" i="3"/>
  <c r="G21" i="3"/>
  <c r="H8" i="3"/>
  <c r="D5" i="3"/>
  <c r="S19" i="3"/>
  <c r="P19" i="3" s="1"/>
  <c r="E26" i="3"/>
  <c r="F13" i="3"/>
  <c r="G33" i="3"/>
  <c r="C17" i="3"/>
  <c r="F16" i="3"/>
  <c r="F8" i="3"/>
  <c r="G36" i="3"/>
  <c r="T16" i="3"/>
  <c r="C10" i="3"/>
  <c r="D21" i="3"/>
  <c r="E8" i="3"/>
  <c r="F4" i="3"/>
  <c r="S22" i="3"/>
  <c r="P22" i="3" s="1"/>
  <c r="G25" i="3"/>
  <c r="H12" i="3"/>
  <c r="D33" i="3"/>
  <c r="S32" i="3"/>
  <c r="P32" i="3" s="1"/>
  <c r="C28" i="3"/>
  <c r="F17" i="3"/>
  <c r="G37" i="3"/>
  <c r="T36" i="3"/>
  <c r="C30" i="3"/>
  <c r="G23" i="3"/>
  <c r="H10" i="3"/>
  <c r="D31" i="3"/>
  <c r="S9" i="3"/>
  <c r="P9" i="3" s="1"/>
  <c r="E28" i="3"/>
  <c r="F15" i="3"/>
  <c r="G35" i="3"/>
  <c r="T21" i="3"/>
  <c r="C15" i="3"/>
  <c r="D20" i="3"/>
  <c r="E7" i="3"/>
  <c r="T31" i="3"/>
  <c r="S27" i="3"/>
  <c r="P27" i="3" s="1"/>
  <c r="G24" i="3"/>
  <c r="H11" i="3"/>
  <c r="D32" i="3"/>
  <c r="S5" i="3"/>
  <c r="P5" i="3" s="1"/>
  <c r="E29" i="3"/>
  <c r="G19" i="3"/>
  <c r="H14" i="3"/>
  <c r="T24" i="3"/>
  <c r="C18" i="3"/>
  <c r="F19" i="3"/>
  <c r="G6" i="3"/>
  <c r="T34" i="3"/>
  <c r="C4" i="3"/>
  <c r="D24" i="3"/>
  <c r="E11" i="3"/>
  <c r="F31" i="3"/>
  <c r="S7" i="3"/>
  <c r="P7" i="3" s="1"/>
  <c r="G28" i="3"/>
  <c r="H15" i="3"/>
  <c r="D36" i="3"/>
  <c r="T11" i="3"/>
  <c r="C38" i="3"/>
  <c r="D22" i="3"/>
  <c r="E9" i="3"/>
  <c r="F5" i="3"/>
  <c r="S17" i="3"/>
  <c r="P17" i="3" s="1"/>
  <c r="G26" i="3"/>
  <c r="H13" i="3"/>
  <c r="D34" i="3"/>
  <c r="T29" i="3"/>
  <c r="C23" i="3"/>
  <c r="F18" i="3"/>
  <c r="G38" i="3"/>
  <c r="T6" i="3"/>
  <c r="C33" i="3"/>
  <c r="D23" i="3"/>
  <c r="E10" i="3"/>
  <c r="F30" i="3"/>
  <c r="T23" i="3"/>
  <c r="S12" i="3"/>
  <c r="P12" i="3" s="1"/>
  <c r="S28" i="3"/>
  <c r="P28" i="3" s="1"/>
  <c r="G27" i="3"/>
  <c r="S30" i="3"/>
  <c r="P30" i="3" s="1"/>
  <c r="C26" i="3"/>
  <c r="H17" i="3"/>
  <c r="D38" i="3"/>
  <c r="T9" i="3"/>
  <c r="C36" i="3"/>
  <c r="F22" i="3"/>
  <c r="G9" i="3"/>
  <c r="H5" i="3"/>
  <c r="S15" i="3"/>
  <c r="P15" i="3" s="1"/>
  <c r="D27" i="3"/>
  <c r="E14" i="3"/>
  <c r="F34" i="3"/>
  <c r="T19" i="3"/>
  <c r="C13" i="3"/>
  <c r="F20" i="3"/>
  <c r="G7" i="3"/>
  <c r="T5" i="3"/>
  <c r="S25" i="3"/>
  <c r="P25" i="3" s="1"/>
  <c r="D25" i="3"/>
  <c r="E12" i="3"/>
  <c r="F32" i="3"/>
  <c r="S35" i="3"/>
  <c r="P35" i="3" s="1"/>
  <c r="G29" i="3"/>
  <c r="H16" i="3"/>
  <c r="D37" i="3"/>
  <c r="T14" i="3"/>
  <c r="C8" i="3"/>
  <c r="F21" i="3"/>
  <c r="G8" i="3"/>
  <c r="H4" i="3"/>
  <c r="T15" i="3"/>
  <c r="D35" i="3"/>
  <c r="C34" i="3"/>
  <c r="S38" i="3"/>
  <c r="P38" i="3" s="1"/>
  <c r="D29" i="3"/>
  <c r="E16" i="3"/>
  <c r="F36" i="3"/>
  <c r="T17" i="3"/>
  <c r="C11" i="3"/>
  <c r="H20" i="3"/>
  <c r="D8" i="3"/>
  <c r="E4" i="3"/>
  <c r="S23" i="3"/>
  <c r="P23" i="3" s="1"/>
  <c r="F25" i="3"/>
  <c r="G12" i="3"/>
  <c r="H32" i="3"/>
  <c r="T27" i="3"/>
  <c r="C21" i="3"/>
  <c r="H18" i="3"/>
  <c r="D6" i="3"/>
  <c r="T37" i="3"/>
  <c r="C31" i="3"/>
  <c r="F23" i="3"/>
  <c r="G10" i="3"/>
  <c r="H30" i="3"/>
  <c r="S10" i="3"/>
  <c r="P10" i="3" s="1"/>
  <c r="D28" i="3"/>
  <c r="E15" i="3"/>
  <c r="F35" i="3"/>
  <c r="T22" i="3"/>
  <c r="C16" i="3"/>
  <c r="H19" i="3"/>
  <c r="D7" i="3"/>
  <c r="H6" i="3"/>
  <c r="T7" i="3"/>
  <c r="E13" i="3"/>
  <c r="F33" i="3"/>
  <c r="H31" i="3"/>
  <c r="S13" i="3"/>
  <c r="P13" i="3" s="1"/>
  <c r="F27" i="3"/>
  <c r="G14" i="3"/>
  <c r="H34" i="3"/>
  <c r="T25" i="3"/>
  <c r="C19" i="3"/>
  <c r="E19" i="3"/>
  <c r="F6" i="3"/>
  <c r="T35" i="3"/>
  <c r="C5" i="3"/>
  <c r="H23" i="3"/>
  <c r="D11" i="3"/>
  <c r="E31" i="3"/>
  <c r="S33" i="3"/>
  <c r="P33" i="3" s="1"/>
  <c r="C29" i="3"/>
  <c r="E17" i="3"/>
  <c r="F37" i="3"/>
  <c r="T12" i="3"/>
  <c r="C6" i="3"/>
  <c r="H21" i="3"/>
  <c r="D9" i="3"/>
  <c r="E5" i="3"/>
  <c r="S18" i="3"/>
  <c r="P18" i="3" s="1"/>
  <c r="F26" i="3"/>
  <c r="G13" i="3"/>
  <c r="H33" i="3"/>
  <c r="S4" i="3"/>
  <c r="P4" i="3" s="1"/>
  <c r="C24" i="3"/>
  <c r="E18" i="3"/>
  <c r="F38" i="3"/>
  <c r="D18" i="3"/>
  <c r="T32" i="3"/>
  <c r="F24" i="3"/>
  <c r="G11" i="3"/>
  <c r="D10" i="3"/>
  <c r="S21" i="3"/>
  <c r="P21" i="3" s="1"/>
  <c r="H25" i="3"/>
  <c r="D13" i="3"/>
  <c r="E33" i="3"/>
  <c r="S31" i="3"/>
  <c r="P31" i="3" s="1"/>
  <c r="C27" i="3"/>
  <c r="G17" i="3"/>
  <c r="H37" i="3"/>
  <c r="T10" i="3"/>
  <c r="C37" i="3"/>
  <c r="E22" i="3"/>
  <c r="F9" i="3"/>
  <c r="G5" i="3"/>
  <c r="S8" i="3"/>
  <c r="P8" i="3" s="1"/>
  <c r="F28" i="3"/>
  <c r="G15" i="3"/>
  <c r="H35" i="3"/>
  <c r="T20" i="3"/>
  <c r="C14" i="3"/>
  <c r="E20" i="3"/>
  <c r="F7" i="3"/>
  <c r="T30" i="3"/>
  <c r="S26" i="3"/>
  <c r="P26" i="3" s="1"/>
  <c r="H24" i="3"/>
  <c r="D12" i="3"/>
  <c r="E32" i="3"/>
  <c r="S36" i="3"/>
  <c r="P36" i="3" s="1"/>
  <c r="F29" i="3"/>
  <c r="G16" i="3"/>
  <c r="H36" i="3"/>
  <c r="D26" i="3"/>
  <c r="G4" i="3"/>
  <c r="S37" i="3"/>
  <c r="P37" i="3" s="1"/>
  <c r="E21" i="3"/>
  <c r="H22" i="3"/>
  <c r="T33" i="3"/>
  <c r="S29" i="3"/>
  <c r="P29" i="3" s="1"/>
  <c r="E24" i="3"/>
  <c r="F11" i="3"/>
  <c r="G31" i="3"/>
  <c r="S6" i="3"/>
  <c r="P6" i="3" s="1"/>
  <c r="H28" i="3"/>
  <c r="D16" i="3"/>
  <c r="E36" i="3"/>
  <c r="T18" i="3"/>
  <c r="C12" i="3"/>
  <c r="G20" i="3"/>
  <c r="H7" i="3"/>
  <c r="D4" i="3"/>
  <c r="S16" i="3"/>
  <c r="P16" i="3" s="1"/>
  <c r="H26" i="3"/>
  <c r="D14" i="3"/>
  <c r="E34" i="3"/>
  <c r="T28" i="3"/>
  <c r="C22" i="3"/>
  <c r="G18" i="3"/>
  <c r="H38" i="3"/>
  <c r="T38" i="3"/>
  <c r="C32" i="3"/>
  <c r="E23" i="3"/>
  <c r="F10" i="3"/>
  <c r="G30" i="3"/>
  <c r="S11" i="3"/>
  <c r="P11" i="3" s="1"/>
  <c r="H27" i="3"/>
  <c r="D15" i="3"/>
  <c r="E35" i="3"/>
  <c r="C25" i="3"/>
  <c r="E38" i="3"/>
  <c r="E30" i="3"/>
  <c r="S20" i="3"/>
  <c r="P20" i="3" s="1"/>
  <c r="C9" i="3"/>
  <c r="D49" i="2"/>
  <c r="D50" i="2"/>
  <c r="E50" i="2"/>
  <c r="E49" i="2"/>
  <c r="R75" i="2"/>
  <c r="Q75" i="2"/>
  <c r="M75" i="2"/>
  <c r="I75" i="2"/>
  <c r="E75" i="2"/>
  <c r="N75" i="2"/>
  <c r="P75" i="2"/>
  <c r="L75" i="2"/>
  <c r="H75" i="2"/>
  <c r="D75" i="2"/>
  <c r="J75" i="2"/>
  <c r="F75" i="2"/>
  <c r="O75" i="2"/>
  <c r="K75" i="2"/>
  <c r="G75" i="2"/>
  <c r="C75" i="2"/>
  <c r="R76" i="2"/>
  <c r="N76" i="2"/>
  <c r="J76" i="2"/>
  <c r="F76" i="2"/>
  <c r="C76" i="2"/>
  <c r="Q76" i="2"/>
  <c r="M76" i="2"/>
  <c r="I76" i="2"/>
  <c r="E76" i="2"/>
  <c r="P76" i="2"/>
  <c r="L76" i="2"/>
  <c r="H76" i="2"/>
  <c r="D76" i="2"/>
  <c r="G76" i="2"/>
  <c r="K76" i="2"/>
  <c r="O76" i="2"/>
  <c r="Q65" i="2"/>
  <c r="M65" i="2"/>
  <c r="I65" i="2"/>
  <c r="E65" i="2"/>
  <c r="R65" i="2"/>
  <c r="N65" i="2"/>
  <c r="P65" i="2"/>
  <c r="L65" i="2"/>
  <c r="H65" i="2"/>
  <c r="D65" i="2"/>
  <c r="J65" i="2"/>
  <c r="O65" i="2"/>
  <c r="K65" i="2"/>
  <c r="G65" i="2"/>
  <c r="C65" i="2"/>
  <c r="F65" i="2"/>
  <c r="R66" i="2"/>
  <c r="N66" i="2"/>
  <c r="K66" i="2"/>
  <c r="J66" i="2"/>
  <c r="Q66" i="2"/>
  <c r="M66" i="2"/>
  <c r="I66" i="2"/>
  <c r="E66" i="2"/>
  <c r="O66" i="2"/>
  <c r="G66" i="2"/>
  <c r="P66" i="2"/>
  <c r="L66" i="2"/>
  <c r="H66" i="2"/>
  <c r="D66" i="2"/>
  <c r="C66" i="2"/>
  <c r="F66" i="2"/>
  <c r="Q70" i="2"/>
  <c r="M70" i="2"/>
  <c r="I70" i="2"/>
  <c r="E70" i="2"/>
  <c r="R70" i="2"/>
  <c r="P70" i="2"/>
  <c r="L70" i="2"/>
  <c r="H70" i="2"/>
  <c r="D70" i="2"/>
  <c r="F70" i="2"/>
  <c r="O70" i="2"/>
  <c r="K70" i="2"/>
  <c r="G70" i="2"/>
  <c r="C70" i="2"/>
  <c r="N70" i="2"/>
  <c r="J70" i="2"/>
  <c r="R71" i="2"/>
  <c r="N71" i="2"/>
  <c r="J71" i="2"/>
  <c r="F71" i="2"/>
  <c r="Q71" i="2"/>
  <c r="M71" i="2"/>
  <c r="I71" i="2"/>
  <c r="E71" i="2"/>
  <c r="K71" i="2"/>
  <c r="O71" i="2"/>
  <c r="P71" i="2"/>
  <c r="L71" i="2"/>
  <c r="H71" i="2"/>
  <c r="D71" i="2"/>
  <c r="G71" i="2"/>
  <c r="C71" i="2"/>
  <c r="D44" i="2"/>
  <c r="C44" i="2"/>
  <c r="C45" i="2"/>
  <c r="E2" i="8" l="1"/>
  <c r="C2" i="8"/>
  <c r="C4" i="8"/>
  <c r="C22" i="8"/>
  <c r="E4" i="8"/>
  <c r="B19" i="8"/>
  <c r="C28" i="8"/>
  <c r="B22" i="8"/>
  <c r="B16" i="8"/>
  <c r="C29" i="8"/>
  <c r="C18" i="8"/>
  <c r="C19" i="8"/>
  <c r="B28" i="8"/>
  <c r="B24" i="8"/>
  <c r="B29" i="8"/>
  <c r="B25" i="8"/>
  <c r="C24" i="8"/>
  <c r="B18" i="8"/>
  <c r="C25" i="8"/>
  <c r="D4" i="8"/>
  <c r="B31" i="8"/>
  <c r="B21" i="8"/>
  <c r="C26" i="8"/>
  <c r="C31" i="8"/>
  <c r="F4" i="8"/>
  <c r="B27" i="8"/>
  <c r="C30" i="8"/>
  <c r="C27" i="8"/>
  <c r="B20" i="8"/>
  <c r="C23" i="8"/>
  <c r="B17" i="8"/>
  <c r="C20" i="8"/>
  <c r="B26" i="8"/>
  <c r="B30" i="8"/>
  <c r="B23" i="8"/>
  <c r="C21" i="8"/>
  <c r="G2" i="8"/>
  <c r="C33" i="8"/>
  <c r="C34" i="8"/>
  <c r="C35" i="8"/>
  <c r="C32" i="8"/>
  <c r="B32" i="8"/>
  <c r="B33" i="8"/>
  <c r="B35" i="8"/>
  <c r="B34" i="8"/>
  <c r="G59" i="2"/>
  <c r="G61" i="2" s="1"/>
  <c r="R116" i="3"/>
  <c r="R113" i="3"/>
  <c r="R131" i="3"/>
  <c r="R126" i="3"/>
  <c r="R117" i="3"/>
  <c r="R118" i="3"/>
  <c r="R129" i="3"/>
  <c r="R130" i="3"/>
  <c r="R107" i="3"/>
  <c r="R120" i="3"/>
  <c r="R111" i="3"/>
  <c r="R105" i="3"/>
  <c r="R125" i="3"/>
  <c r="R124" i="3"/>
  <c r="R121" i="3"/>
  <c r="R110" i="3"/>
  <c r="R127" i="3"/>
  <c r="R132" i="3"/>
  <c r="R122" i="3"/>
  <c r="R112" i="3"/>
  <c r="R106" i="3"/>
  <c r="R133" i="3"/>
  <c r="R103" i="3"/>
  <c r="R128" i="3"/>
  <c r="R108" i="3"/>
  <c r="R109" i="3"/>
  <c r="R123" i="3"/>
  <c r="R119" i="3"/>
  <c r="R104" i="3"/>
  <c r="R115" i="3"/>
  <c r="R114" i="3"/>
  <c r="I58" i="2"/>
  <c r="I60" i="2" s="1"/>
  <c r="D58" i="2"/>
  <c r="D60" i="2" s="1"/>
  <c r="F59" i="2"/>
  <c r="F61" i="2" s="1"/>
  <c r="R136" i="3"/>
  <c r="R102" i="3"/>
  <c r="R134" i="3"/>
  <c r="R137" i="3"/>
  <c r="R135" i="3"/>
  <c r="R89" i="3"/>
  <c r="R88" i="3"/>
  <c r="R95" i="3"/>
  <c r="R91" i="3"/>
  <c r="R85" i="3"/>
  <c r="R92" i="3"/>
  <c r="R96" i="3"/>
  <c r="R90" i="3"/>
  <c r="R93" i="3"/>
  <c r="R87" i="3"/>
  <c r="R94" i="3"/>
  <c r="R86" i="3"/>
  <c r="I59" i="2"/>
  <c r="I61" i="2" s="1"/>
  <c r="F58" i="2"/>
  <c r="F60" i="2" s="1"/>
  <c r="G58" i="2"/>
  <c r="G60" i="2" s="1"/>
  <c r="C58" i="2"/>
  <c r="C60" i="2" s="1"/>
  <c r="E59" i="2"/>
  <c r="E61" i="2" s="1"/>
  <c r="H58" i="2"/>
  <c r="H60" i="2" s="1"/>
  <c r="D59" i="2"/>
  <c r="D61" i="2" s="1"/>
  <c r="H59" i="2"/>
  <c r="H61" i="2" s="1"/>
  <c r="E58" i="2"/>
  <c r="E60" i="2" s="1"/>
  <c r="C59" i="2"/>
  <c r="C61" i="2" s="1"/>
  <c r="K17" i="6"/>
  <c r="K19" i="6" s="1"/>
  <c r="M17" i="6"/>
  <c r="M19" i="6" s="1"/>
  <c r="P17" i="6"/>
  <c r="P19" i="6" s="1"/>
  <c r="I17" i="6"/>
  <c r="I18" i="6" s="1"/>
  <c r="C17" i="6"/>
  <c r="C18" i="6" s="1"/>
  <c r="H17" i="6"/>
  <c r="H18" i="6" s="1"/>
  <c r="F17" i="6"/>
  <c r="F19" i="6" s="1"/>
  <c r="N17" i="6"/>
  <c r="N19" i="6" s="1"/>
  <c r="Q17" i="6"/>
  <c r="Q19" i="6" s="1"/>
  <c r="E17" i="6"/>
  <c r="E19" i="6" s="1"/>
  <c r="G17" i="6"/>
  <c r="G19" i="6" s="1"/>
  <c r="L17" i="6"/>
  <c r="L18" i="6" s="1"/>
  <c r="D17" i="6"/>
  <c r="D19" i="6" s="1"/>
  <c r="O17" i="6"/>
  <c r="O18" i="6" s="1"/>
  <c r="J17" i="6"/>
  <c r="R17" i="6"/>
  <c r="R76" i="3"/>
  <c r="R78" i="3"/>
  <c r="R80" i="3"/>
  <c r="R75" i="3"/>
  <c r="R74" i="3"/>
  <c r="R73" i="3"/>
  <c r="R82" i="3"/>
  <c r="R81" i="3"/>
  <c r="R83" i="3"/>
  <c r="R79" i="3"/>
  <c r="R77" i="3"/>
  <c r="R100" i="3"/>
  <c r="R72" i="3"/>
  <c r="R69" i="3"/>
  <c r="R97" i="3"/>
  <c r="R99" i="3"/>
  <c r="R84" i="3"/>
  <c r="R68" i="3"/>
  <c r="R71" i="3"/>
  <c r="R70" i="3"/>
  <c r="R101" i="3"/>
  <c r="R98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51" i="3"/>
  <c r="R52" i="3"/>
  <c r="R53" i="3"/>
  <c r="R54" i="3"/>
  <c r="R44" i="3"/>
  <c r="R45" i="3"/>
  <c r="R46" i="3"/>
  <c r="R47" i="3"/>
  <c r="R48" i="3"/>
  <c r="R49" i="3"/>
  <c r="R50" i="3"/>
  <c r="R39" i="3"/>
  <c r="R40" i="3"/>
  <c r="R41" i="3"/>
  <c r="R42" i="3"/>
  <c r="R43" i="3"/>
  <c r="R138" i="3"/>
  <c r="R25" i="3"/>
  <c r="R9" i="3"/>
  <c r="R22" i="3"/>
  <c r="R5" i="3"/>
  <c r="R13" i="3"/>
  <c r="R18" i="3"/>
  <c r="R17" i="3"/>
  <c r="R7" i="3"/>
  <c r="R12" i="3"/>
  <c r="R27" i="3"/>
  <c r="R16" i="3"/>
  <c r="R36" i="3"/>
  <c r="R31" i="3"/>
  <c r="R23" i="3"/>
  <c r="R28" i="3"/>
  <c r="R29" i="3"/>
  <c r="R8" i="3"/>
  <c r="R38" i="3"/>
  <c r="R10" i="3"/>
  <c r="R32" i="3"/>
  <c r="R14" i="3"/>
  <c r="R19" i="3"/>
  <c r="R4" i="3"/>
  <c r="R37" i="3"/>
  <c r="R34" i="3"/>
  <c r="R26" i="3"/>
  <c r="R15" i="3"/>
  <c r="R20" i="3"/>
  <c r="R24" i="3"/>
  <c r="R21" i="3"/>
  <c r="R33" i="3"/>
  <c r="R30" i="3"/>
  <c r="R35" i="3"/>
  <c r="R6" i="3"/>
  <c r="R11" i="3"/>
  <c r="C49" i="2"/>
  <c r="C50" i="2"/>
  <c r="D6" i="8" l="1"/>
  <c r="D8" i="8"/>
  <c r="C5" i="8"/>
  <c r="D5" i="8"/>
  <c r="C7" i="8"/>
  <c r="C9" i="8"/>
  <c r="C8" i="8"/>
  <c r="D7" i="8"/>
  <c r="D9" i="8"/>
  <c r="C6" i="8"/>
  <c r="K18" i="6"/>
  <c r="M18" i="6"/>
  <c r="P18" i="6"/>
  <c r="H19" i="6"/>
  <c r="N18" i="6"/>
  <c r="F18" i="6"/>
  <c r="C19" i="6"/>
  <c r="I19" i="6"/>
  <c r="E18" i="6"/>
  <c r="Q18" i="6"/>
  <c r="L19" i="6"/>
  <c r="G18" i="6"/>
  <c r="D18" i="6"/>
  <c r="O19" i="6"/>
  <c r="R19" i="6"/>
  <c r="R18" i="6"/>
  <c r="J19" i="6"/>
  <c r="J18" i="6"/>
  <c r="E6" i="8" l="1"/>
  <c r="F5" i="8"/>
  <c r="F9" i="8"/>
  <c r="F7" i="8"/>
  <c r="E7" i="8"/>
  <c r="F8" i="8"/>
  <c r="E8" i="8"/>
  <c r="E9" i="8"/>
  <c r="E5" i="8"/>
  <c r="F6" i="8"/>
  <c r="G6" i="8" l="1"/>
  <c r="G9" i="8"/>
  <c r="G7" i="8"/>
  <c r="G8" i="8"/>
  <c r="G5" i="8"/>
  <c r="G10" i="8"/>
  <c r="G11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FF568A-C1EE-447D-AF7F-D6CFD66BFAFC}" keepAlive="1" name="Query - qHighestScore" description="Connection to the 'qHighestScore' query in the workbook." type="5" refreshedVersion="6" background="1" saveData="1">
    <dbPr connection="Provider=Microsoft.Mashup.OleDb.1;Data Source=$Workbook$;Location=qHighestScore;Extended Properties=&quot;&quot;" command="SELECT * FROM [qHighestScore]"/>
  </connection>
  <connection id="2" xr16:uid="{5971DDD2-56A4-404E-A6B4-3F675E6081AD}" keepAlive="1" name="Query - qHighestScoringMatches" description="Connection to the 'qHighestScoringMatches' query in the workbook." type="5" refreshedVersion="6" background="1" saveData="1">
    <dbPr connection="Provider=Microsoft.Mashup.OleDb.1;Data Source=$Workbook$;Location=qHighestScoringMatches;Extended Properties=&quot;&quot;" command="SELECT * FROM [qHighestScoringMatches]"/>
  </connection>
  <connection id="3" xr16:uid="{0D58D778-4F93-4856-B4DD-D8600235F9B2}" keepAlive="1" name="Query - qHighestScoringMatches (2)" description="Connection to the 'qHighestScoringMatches (2)' query in the workbook." type="5" refreshedVersion="6" background="1" saveData="1">
    <dbPr connection="Provider=Microsoft.Mashup.OleDb.1;Data Source=$Workbook$;Location=qHighestScoringMatches (2);Extended Properties=&quot;&quot;" command="SELECT * FROM [qHighestScoringMatches (2)]"/>
  </connection>
  <connection id="4" xr16:uid="{F846411C-43A1-43CE-9E4F-F7E8E95EB11C}" keepAlive="1" name="Query - qLowestScore" description="Connection to the 'qLowestScore' query in the workbook." type="5" refreshedVersion="6" background="1" saveData="1">
    <dbPr connection="Provider=Microsoft.Mashup.OleDb.1;Data Source=$Workbook$;Location=qLowestScore;Extended Properties=&quot;&quot;" command="SELECT * FROM [qLowestScore]"/>
  </connection>
</connections>
</file>

<file path=xl/sharedStrings.xml><?xml version="1.0" encoding="utf-8"?>
<sst xmlns="http://schemas.openxmlformats.org/spreadsheetml/2006/main" count="5234" uniqueCount="387">
  <si>
    <t>Opening Balance</t>
  </si>
  <si>
    <t>Player1</t>
  </si>
  <si>
    <t>Player2</t>
  </si>
  <si>
    <t>Player1 %</t>
  </si>
  <si>
    <t>Player 2%</t>
  </si>
  <si>
    <t>dooi</t>
  </si>
  <si>
    <t>Effortless</t>
  </si>
  <si>
    <t>Payout</t>
  </si>
  <si>
    <t>Map</t>
  </si>
  <si>
    <t>Player1 Pick</t>
  </si>
  <si>
    <t>Player2 Pick</t>
  </si>
  <si>
    <t>Nosfa</t>
  </si>
  <si>
    <t>Dramis</t>
  </si>
  <si>
    <t>Vengeurr</t>
  </si>
  <si>
    <t>Cypher</t>
  </si>
  <si>
    <t>My pick</t>
  </si>
  <si>
    <t>Player1 Score</t>
  </si>
  <si>
    <t>Player2 Score</t>
  </si>
  <si>
    <t>Win?</t>
  </si>
  <si>
    <t>Awoken</t>
  </si>
  <si>
    <t>My bet</t>
  </si>
  <si>
    <t>Ranger</t>
  </si>
  <si>
    <t>Strogg</t>
  </si>
  <si>
    <t>Molten Falls</t>
  </si>
  <si>
    <t>Slash</t>
  </si>
  <si>
    <t>Sorlag</t>
  </si>
  <si>
    <t>Ruins of Sarnath</t>
  </si>
  <si>
    <t>Keel</t>
  </si>
  <si>
    <t>BJ Blazkowicz</t>
  </si>
  <si>
    <t>Zenaku</t>
  </si>
  <si>
    <t>Psygib</t>
  </si>
  <si>
    <t>k1llsen</t>
  </si>
  <si>
    <t>Corrupted Keep</t>
  </si>
  <si>
    <t>Exile</t>
  </si>
  <si>
    <t>Galena</t>
  </si>
  <si>
    <t>Doom</t>
  </si>
  <si>
    <t>Visor</t>
  </si>
  <si>
    <t>Eisen</t>
  </si>
  <si>
    <t>Nyx</t>
  </si>
  <si>
    <t>Anarki</t>
  </si>
  <si>
    <t>Deep Embrace</t>
  </si>
  <si>
    <t>maxter</t>
  </si>
  <si>
    <t>DaHanG</t>
  </si>
  <si>
    <t>Vale of P'nath</t>
  </si>
  <si>
    <t>Scalebearer</t>
  </si>
  <si>
    <t>Winner</t>
  </si>
  <si>
    <t>Loser</t>
  </si>
  <si>
    <t>Rapha</t>
  </si>
  <si>
    <t>coollerz</t>
  </si>
  <si>
    <t>Raisy</t>
  </si>
  <si>
    <t>spart1e</t>
  </si>
  <si>
    <t>Base</t>
  </si>
  <si>
    <t>Av3k</t>
  </si>
  <si>
    <t>cha1n</t>
  </si>
  <si>
    <t>cnz</t>
  </si>
  <si>
    <t>Athena</t>
  </si>
  <si>
    <t>Season</t>
  </si>
  <si>
    <t>Stage</t>
  </si>
  <si>
    <t>Week</t>
  </si>
  <si>
    <t>Match</t>
  </si>
  <si>
    <t>Stage Title</t>
  </si>
  <si>
    <t>Week Title</t>
  </si>
  <si>
    <t>Series Title</t>
  </si>
  <si>
    <t>Game</t>
  </si>
  <si>
    <t>2.2.05.02.3</t>
  </si>
  <si>
    <t>2.2.05.03.1</t>
  </si>
  <si>
    <t>2.2.05.03.2</t>
  </si>
  <si>
    <t>2.2.05.03.3</t>
  </si>
  <si>
    <t>2.2.05.04.1</t>
  </si>
  <si>
    <t>2.2.05.04.2</t>
  </si>
  <si>
    <t>2.2.05.04.3</t>
  </si>
  <si>
    <t>2.2.05.05.1</t>
  </si>
  <si>
    <t>2.2.05.05.2</t>
  </si>
  <si>
    <t>2.2.05.05.3</t>
  </si>
  <si>
    <t>2.2.05.06.2</t>
  </si>
  <si>
    <t>2.2.05.06.3</t>
  </si>
  <si>
    <t>OT?</t>
  </si>
  <si>
    <t>Champ Ban</t>
  </si>
  <si>
    <t>Map Ban</t>
  </si>
  <si>
    <t>Game Title</t>
  </si>
  <si>
    <t>2.2.04.01</t>
  </si>
  <si>
    <t>No</t>
  </si>
  <si>
    <t>Yes</t>
  </si>
  <si>
    <t>2.2.04.02</t>
  </si>
  <si>
    <t>Player Banned</t>
  </si>
  <si>
    <t>2.2.04.03</t>
  </si>
  <si>
    <t>Maxter</t>
  </si>
  <si>
    <t>Game title</t>
  </si>
  <si>
    <t>Player Banning</t>
  </si>
  <si>
    <t>2.2.04.04</t>
  </si>
  <si>
    <t>Vale of P'Nath</t>
  </si>
  <si>
    <t>2.2.04.05</t>
  </si>
  <si>
    <t>Clutch</t>
  </si>
  <si>
    <t>2.2.04.07</t>
  </si>
  <si>
    <t>2.2.04.06</t>
  </si>
  <si>
    <t>2.2.05.01</t>
  </si>
  <si>
    <t>2.2.05.02</t>
  </si>
  <si>
    <t>2.2.05.03</t>
  </si>
  <si>
    <t>2.2.05.04</t>
  </si>
  <si>
    <t>2.2.05.05</t>
  </si>
  <si>
    <t>2.2.05.06</t>
  </si>
  <si>
    <t>Garpy</t>
  </si>
  <si>
    <t>2.2.03.01</t>
  </si>
  <si>
    <t>2.2.03.02</t>
  </si>
  <si>
    <t>2.2.03.03</t>
  </si>
  <si>
    <t>2.2.03.04</t>
  </si>
  <si>
    <t>2.2.03.05</t>
  </si>
  <si>
    <t>2.2.03.06</t>
  </si>
  <si>
    <t>2.2.03.07</t>
  </si>
  <si>
    <t>2.2.02.01</t>
  </si>
  <si>
    <t>2.2.02.02</t>
  </si>
  <si>
    <t>2.2.02.03</t>
  </si>
  <si>
    <t>2.2.02.04</t>
  </si>
  <si>
    <t>2.2.02.05</t>
  </si>
  <si>
    <t>2.2.02.06</t>
  </si>
  <si>
    <t>2.2.02.07</t>
  </si>
  <si>
    <t>2.2.01.01</t>
  </si>
  <si>
    <t>2.2.01.02</t>
  </si>
  <si>
    <t>2.2.01.03</t>
  </si>
  <si>
    <t>2.2.01.04</t>
  </si>
  <si>
    <t>2.2.01.05</t>
  </si>
  <si>
    <t>2.2.01.06</t>
  </si>
  <si>
    <t>2.2.01.07</t>
  </si>
  <si>
    <t>Wins</t>
  </si>
  <si>
    <t>Losses</t>
  </si>
  <si>
    <t>Player</t>
  </si>
  <si>
    <t>vs.</t>
  </si>
  <si>
    <t>Player vs. Player</t>
  </si>
  <si>
    <t>Maps</t>
  </si>
  <si>
    <t>Name</t>
  </si>
  <si>
    <t>Players</t>
  </si>
  <si>
    <t>Champions</t>
  </si>
  <si>
    <t>2.2.06.01</t>
  </si>
  <si>
    <t>2.2.06.02</t>
  </si>
  <si>
    <t>2.2.06.03</t>
  </si>
  <si>
    <t>2.2.06.04</t>
  </si>
  <si>
    <t>2.2.06.05</t>
  </si>
  <si>
    <t>2.2.06.01.2</t>
  </si>
  <si>
    <t>2.2.06.01.3</t>
  </si>
  <si>
    <t>2.2.06.02.1</t>
  </si>
  <si>
    <t>2.2.06.02.2</t>
  </si>
  <si>
    <t>2.2.06.02.3</t>
  </si>
  <si>
    <t>2.2.06.03.1</t>
  </si>
  <si>
    <t>2.2.06.03.2</t>
  </si>
  <si>
    <t>2.2.06.03.3</t>
  </si>
  <si>
    <t>2.2.06.04.1</t>
  </si>
  <si>
    <t>2.2.06.04.2</t>
  </si>
  <si>
    <t>2.2.06.04.3</t>
  </si>
  <si>
    <t>2.2.06.05.1</t>
  </si>
  <si>
    <t>2.2.06.05.2</t>
  </si>
  <si>
    <t>2.2.06.05.3</t>
  </si>
  <si>
    <t>Low Bet</t>
  </si>
  <si>
    <t>Death Knight</t>
  </si>
  <si>
    <t>WinPct</t>
  </si>
  <si>
    <t>Overall Win %</t>
  </si>
  <si>
    <t>Winning Champ</t>
  </si>
  <si>
    <t>Losing Champ</t>
  </si>
  <si>
    <t>Total Score</t>
  </si>
  <si>
    <t>Score Spread</t>
  </si>
  <si>
    <t>Player Wins by Champ</t>
  </si>
  <si>
    <t>Player Losses by Champ</t>
  </si>
  <si>
    <t>Player Most Picked Champs</t>
  </si>
  <si>
    <t>Long Name</t>
  </si>
  <si>
    <t>Highest Scoring Matches</t>
  </si>
  <si>
    <t>2.2.06.04.3 Rapha vs dooi</t>
  </si>
  <si>
    <t>2.2.05.02.1 dooi vs Effortless</t>
  </si>
  <si>
    <t>2.2.04.05.2 Psygib vs dooi</t>
  </si>
  <si>
    <t>Highest Score Difference</t>
  </si>
  <si>
    <t>2.2.06.04.2 Rapha vs dooi</t>
  </si>
  <si>
    <t>2.2.04.02.1 Rapha vs Dramis</t>
  </si>
  <si>
    <t>2.1.13.01</t>
  </si>
  <si>
    <t>2.1.13.02</t>
  </si>
  <si>
    <t>2.1.13.03</t>
  </si>
  <si>
    <t>2.1.13.04</t>
  </si>
  <si>
    <t>2.1.13.05</t>
  </si>
  <si>
    <t>2.1.13.06</t>
  </si>
  <si>
    <t>2.1.13.07</t>
  </si>
  <si>
    <t>Tower of Koth</t>
  </si>
  <si>
    <t>Blood Covenant</t>
  </si>
  <si>
    <t>2.2.07.03.1</t>
  </si>
  <si>
    <t>2.2.07.03.2</t>
  </si>
  <si>
    <t>2.2.07.03.3</t>
  </si>
  <si>
    <t>2.2.07.04.1</t>
  </si>
  <si>
    <t>2.2.07.04.2</t>
  </si>
  <si>
    <t>2.2.07.04.3</t>
  </si>
  <si>
    <t>2.2.07.05.1</t>
  </si>
  <si>
    <t>2.2.07.05.2</t>
  </si>
  <si>
    <t>2.2.07.05.3</t>
  </si>
  <si>
    <t>dramis</t>
  </si>
  <si>
    <t>2.2.07.02</t>
  </si>
  <si>
    <t>2.2.07.01</t>
  </si>
  <si>
    <t>2.2.07.03</t>
  </si>
  <si>
    <t>2.2.07.04</t>
  </si>
  <si>
    <t>2.2.07.05</t>
  </si>
  <si>
    <t>Bets</t>
  </si>
  <si>
    <t>Map Bans</t>
  </si>
  <si>
    <t>Weekly Winnings</t>
  </si>
  <si>
    <t>2.2.07.02.2 dooi vs DaHanG</t>
  </si>
  <si>
    <t>2.2.07.02.1 dooi vs DaHanG</t>
  </si>
  <si>
    <t>toxjq</t>
  </si>
  <si>
    <t>2.1.12.02</t>
  </si>
  <si>
    <t>2.1.12.01</t>
  </si>
  <si>
    <t>2.1.12.03</t>
  </si>
  <si>
    <t>2.1.12.04</t>
  </si>
  <si>
    <t>2.1.12.05</t>
  </si>
  <si>
    <t>2.1.12.06</t>
  </si>
  <si>
    <t>sib</t>
  </si>
  <si>
    <t>Xron</t>
  </si>
  <si>
    <t>br1ck</t>
  </si>
  <si>
    <t>psygib</t>
  </si>
  <si>
    <t>2.1.11.01</t>
  </si>
  <si>
    <t>2.1.11.02</t>
  </si>
  <si>
    <t>2.1.11.03</t>
  </si>
  <si>
    <t>2.1.11.04</t>
  </si>
  <si>
    <t>2.1.11.05</t>
  </si>
  <si>
    <t>2.1.11.06</t>
  </si>
  <si>
    <t>2.1.10.01</t>
  </si>
  <si>
    <t>2.1.10.02</t>
  </si>
  <si>
    <t>2.1.10.03</t>
  </si>
  <si>
    <t>2.1.10.04</t>
  </si>
  <si>
    <t>2.1.10.05</t>
  </si>
  <si>
    <t>2.1.10.06</t>
  </si>
  <si>
    <t>2.1.10.07</t>
  </si>
  <si>
    <t>Highest Score</t>
  </si>
  <si>
    <t>Lowest Score</t>
  </si>
  <si>
    <t>Top Score</t>
  </si>
  <si>
    <t>Bottom Score</t>
  </si>
  <si>
    <t>1.1.01.01.3 spart1e vs Garpy</t>
  </si>
  <si>
    <t>2.1.10.07.3 Cypher vs k1llsen</t>
  </si>
  <si>
    <t>2.2.07.03.2 Nosfa vs Psygib</t>
  </si>
  <si>
    <t>2.2.08.01</t>
  </si>
  <si>
    <t>2.2.08.02</t>
  </si>
  <si>
    <t>2.2.08.03</t>
  </si>
  <si>
    <t>2.2.08.04</t>
  </si>
  <si>
    <t>2.2.08.05</t>
  </si>
  <si>
    <t>2.2.08.06</t>
  </si>
  <si>
    <t>2.2.08.07</t>
  </si>
  <si>
    <t>2.2.08.02.3</t>
  </si>
  <si>
    <t>2.2.08.03.1</t>
  </si>
  <si>
    <t>2.2.08.03.2</t>
  </si>
  <si>
    <t>2.2.08.03.3</t>
  </si>
  <si>
    <t>2.2.08.04.1</t>
  </si>
  <si>
    <t>2.2.08.04.2</t>
  </si>
  <si>
    <t>2.2.08.04.3</t>
  </si>
  <si>
    <t>2.2.08.05.1</t>
  </si>
  <si>
    <t>2.2.08.05.2</t>
  </si>
  <si>
    <t>2.2.08.05.3</t>
  </si>
  <si>
    <t>2.2.08.06.1</t>
  </si>
  <si>
    <t>2.2.08.06.2</t>
  </si>
  <si>
    <t>2.2.08.06.3</t>
  </si>
  <si>
    <t>2.2.08.07.1</t>
  </si>
  <si>
    <t>2.2.08.07.2</t>
  </si>
  <si>
    <t>2.2.08.07.3</t>
  </si>
  <si>
    <t>2.2.08.02.3 Nosfa vs DaHanG</t>
  </si>
  <si>
    <t>2.2.08.07.3 Raisy vs Vengeurr</t>
  </si>
  <si>
    <t>2.2.08.07.2 Raisy vs Vengeurr</t>
  </si>
  <si>
    <t>2.1.09.01</t>
  </si>
  <si>
    <t>2.1.09.02</t>
  </si>
  <si>
    <t>2.1.09.03</t>
  </si>
  <si>
    <t>2.1.09.04</t>
  </si>
  <si>
    <t>2.1.09.05</t>
  </si>
  <si>
    <t>2.1.09.06</t>
  </si>
  <si>
    <t>2.1.09.07</t>
  </si>
  <si>
    <t>2.1.08.01</t>
  </si>
  <si>
    <t>2.1.08.02</t>
  </si>
  <si>
    <t>2.1.08.03</t>
  </si>
  <si>
    <t>2.1.08.04</t>
  </si>
  <si>
    <t>2.1.08.05</t>
  </si>
  <si>
    <t>2.1.08.06</t>
  </si>
  <si>
    <t>2.1.08.07</t>
  </si>
  <si>
    <t>2.2.09.01</t>
  </si>
  <si>
    <t>2.2.09.02</t>
  </si>
  <si>
    <t>2.2.09.03</t>
  </si>
  <si>
    <t>2.2.09.04</t>
  </si>
  <si>
    <t>2.2.09.05</t>
  </si>
  <si>
    <t>2.2.09.06</t>
  </si>
  <si>
    <t>2.2.09.01.3</t>
  </si>
  <si>
    <t>2.2.09.02.1</t>
  </si>
  <si>
    <t>2.2.09.02.2</t>
  </si>
  <si>
    <t>2.2.09.02.3</t>
  </si>
  <si>
    <t>2.2.09.03.1</t>
  </si>
  <si>
    <t>2.2.09.03.2</t>
  </si>
  <si>
    <t>2.2.09.03.3</t>
  </si>
  <si>
    <t>2.2.09.04.1</t>
  </si>
  <si>
    <t>2.2.09.04.2</t>
  </si>
  <si>
    <t>2.2.09.04.3</t>
  </si>
  <si>
    <t>2.2.09.05.1</t>
  </si>
  <si>
    <t>2.2.09.05.2</t>
  </si>
  <si>
    <t>2.2.09.05.3</t>
  </si>
  <si>
    <t>High Bet</t>
  </si>
  <si>
    <t>2.3.10.01</t>
  </si>
  <si>
    <t>2.3.10.02</t>
  </si>
  <si>
    <t>2.3.10.03</t>
  </si>
  <si>
    <t>2.3.10.04</t>
  </si>
  <si>
    <t>2.3.10.05</t>
  </si>
  <si>
    <t>2.3.10.06</t>
  </si>
  <si>
    <t>2.3.10.07</t>
  </si>
  <si>
    <t>2.2.11.01.1</t>
  </si>
  <si>
    <t>2.2.11.01</t>
  </si>
  <si>
    <t>2.2.11.02</t>
  </si>
  <si>
    <t>2.2.11.03</t>
  </si>
  <si>
    <t>2.2.11.04</t>
  </si>
  <si>
    <t>2.2.11.05</t>
  </si>
  <si>
    <t>2.2.11.06</t>
  </si>
  <si>
    <t>2.2.10.01.2</t>
  </si>
  <si>
    <t>2.2.10.01.3</t>
  </si>
  <si>
    <t>2.2.11.01.2</t>
  </si>
  <si>
    <t>2.2.11.01.3</t>
  </si>
  <si>
    <t>2.2.11.02.2</t>
  </si>
  <si>
    <t>2.2.11.02.3</t>
  </si>
  <si>
    <t>2.2.11.03.1</t>
  </si>
  <si>
    <t>2.2.11.03.2</t>
  </si>
  <si>
    <t>2.2.11.03.3</t>
  </si>
  <si>
    <t>2.2.11.04.2</t>
  </si>
  <si>
    <t>2.2.11.04.3</t>
  </si>
  <si>
    <t>2.2.11.05.1</t>
  </si>
  <si>
    <t>2.2.11.05.2</t>
  </si>
  <si>
    <t>2.2.11.05.3</t>
  </si>
  <si>
    <t>2.2.11.06.2</t>
  </si>
  <si>
    <t>2.2.11.06.3</t>
  </si>
  <si>
    <t>Win rate</t>
  </si>
  <si>
    <t>Win Rate by Champ</t>
  </si>
  <si>
    <t>Total picks</t>
  </si>
  <si>
    <t>Pick Rate</t>
  </si>
  <si>
    <t>2.1.07.01</t>
  </si>
  <si>
    <t>2.1.07.02</t>
  </si>
  <si>
    <t>2.1.07.03</t>
  </si>
  <si>
    <t>2.1.07.04</t>
  </si>
  <si>
    <t>2.1.07.05</t>
  </si>
  <si>
    <t>2.1.07.06</t>
  </si>
  <si>
    <t>Win Rate by Map</t>
  </si>
  <si>
    <t>2.2.12.01</t>
  </si>
  <si>
    <t>2.2.12.02</t>
  </si>
  <si>
    <t>2.2.12.03</t>
  </si>
  <si>
    <t>2.2.12.04</t>
  </si>
  <si>
    <t>2.2.12.05</t>
  </si>
  <si>
    <t>2.2.12.06</t>
  </si>
  <si>
    <t>2.2.12.01.3</t>
  </si>
  <si>
    <t>2.2.12.02.2</t>
  </si>
  <si>
    <t>2.2.12.02.3</t>
  </si>
  <si>
    <t>2.2.12.03.1</t>
  </si>
  <si>
    <t>2.2.12.03.2</t>
  </si>
  <si>
    <t>2.2.12.03.3</t>
  </si>
  <si>
    <t>2.2.12.04.1</t>
  </si>
  <si>
    <t>2.2.12.04.2</t>
  </si>
  <si>
    <t>2.2.12.04.3</t>
  </si>
  <si>
    <t>2.2.12.05.1</t>
  </si>
  <si>
    <t>2.2.12.05.3</t>
  </si>
  <si>
    <t>2.2.12.06.1</t>
  </si>
  <si>
    <t>2.2.12.06.2</t>
  </si>
  <si>
    <t>2.2.12.06.3</t>
  </si>
  <si>
    <t>2.2.12.07.1</t>
  </si>
  <si>
    <t>2.2.12.07.2</t>
  </si>
  <si>
    <t>2.2.12.07.3</t>
  </si>
  <si>
    <t>2.2.13.01.1</t>
  </si>
  <si>
    <t>2.2.13.01.2</t>
  </si>
  <si>
    <t>2.2.13.01.3</t>
  </si>
  <si>
    <t>2.2.13.02.1</t>
  </si>
  <si>
    <t>2.2.13.02.3</t>
  </si>
  <si>
    <t>2.2.13.03.2</t>
  </si>
  <si>
    <t>2.2.13.03.3</t>
  </si>
  <si>
    <t>2.2.13.04.1</t>
  </si>
  <si>
    <t>2.2.13.04.3</t>
  </si>
  <si>
    <t>2.2.13.05.1</t>
  </si>
  <si>
    <t>2.2.13.05.2</t>
  </si>
  <si>
    <t>2.2.13.05.3</t>
  </si>
  <si>
    <t>2.2.13.06.1</t>
  </si>
  <si>
    <t>2.2.13.06.2</t>
  </si>
  <si>
    <t>2.2.13.06.3</t>
  </si>
  <si>
    <t>Win Rate vs Opponent</t>
  </si>
  <si>
    <t>Win Rate Overall</t>
  </si>
  <si>
    <t>Win Rate This Map</t>
  </si>
  <si>
    <t>Win Rate This Champ</t>
  </si>
  <si>
    <t>vs</t>
  </si>
  <si>
    <t>on</t>
  </si>
  <si>
    <t>Predicted winner</t>
  </si>
  <si>
    <t>Confidence</t>
  </si>
  <si>
    <t>Leader</t>
  </si>
  <si>
    <t>Champ Win Rate this Map</t>
  </si>
  <si>
    <t>2.3.01.01</t>
  </si>
  <si>
    <t>2.3.01.02</t>
  </si>
  <si>
    <t>2.3.01.03</t>
  </si>
  <si>
    <t>2.3.01.04</t>
  </si>
  <si>
    <t>2.3.01.06</t>
  </si>
  <si>
    <t>2.3.01.07</t>
  </si>
  <si>
    <t>2.2.12.07</t>
  </si>
  <si>
    <t>2.3.01.04.1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</si>
</sst>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/yy;@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Segoe UI Light"/>
      <family val="2"/>
    </font>
    <font>
      <sz val="10"/>
      <color theme="1"/>
      <name val="Segoe UI Light"/>
      <family val="2"/>
    </font>
    <font>
      <sz val="10"/>
      <color theme="1"/>
      <name val="Segoe UI Light"/>
      <family val="2"/>
    </font>
    <font>
      <sz val="10"/>
      <color theme="1"/>
      <name val="Segoe UI Light"/>
      <family val="2"/>
    </font>
    <font>
      <sz val="10"/>
      <color theme="1"/>
      <name val="Segoe UI Light"/>
      <family val="2"/>
    </font>
    <font>
      <sz val="10"/>
      <color theme="1"/>
      <name val="Segoe UI Light"/>
      <family val="2"/>
    </font>
    <font>
      <sz val="10"/>
      <color theme="1"/>
      <name val="Segoe UI Light"/>
      <family val="2"/>
    </font>
    <font>
      <sz val="10"/>
      <color theme="1"/>
      <name val="Segoe UI Light"/>
      <family val="2"/>
    </font>
    <font>
      <sz val="8"/>
      <name val="Calibri"/>
      <family val="2"/>
      <scheme val="minor"/>
    </font>
    <font>
      <sz val="10"/>
      <color theme="1"/>
      <name val="Segoe UI Light"/>
      <family val="2"/>
    </font>
    <font>
      <sz val="16"/>
      <name val="Segoe UI Light"/>
      <family val="2"/>
    </font>
    <font>
      <sz val="11"/>
      <color theme="1"/>
      <name val="Segoe UI Light"/>
      <family val="2"/>
    </font>
    <font>
      <sz val="16"/>
      <color theme="1"/>
      <name val="Segoe UI Light"/>
      <family val="2"/>
    </font>
    <font>
      <sz val="16"/>
      <color theme="0"/>
      <name val="Segoe UI Light"/>
      <family val="2"/>
    </font>
    <font>
      <sz val="11"/>
      <color theme="1"/>
      <name val="Calibri"/>
      <family val="2"/>
      <scheme val="minor"/>
    </font>
    <font>
      <sz val="10"/>
      <color rgb="FFFF0000"/>
      <name val="Segoe UI Light"/>
      <family val="2"/>
    </font>
    <font>
      <sz val="10"/>
      <color rgb="FF00B050"/>
      <name val="Segoe UI Light"/>
      <family val="2"/>
    </font>
    <font>
      <b/>
      <sz val="10"/>
      <color theme="1"/>
      <name val="Segoe UI Light"/>
      <family val="2"/>
    </font>
    <font>
      <sz val="10"/>
      <name val="Segoe UI Light"/>
      <family val="2"/>
    </font>
    <font>
      <b/>
      <sz val="16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1" fillId="0" borderId="0" applyNumberFormat="0" applyFill="0" applyAlignment="0" applyProtection="0"/>
    <xf numFmtId="9" fontId="15" fillId="0" borderId="0" applyFont="0" applyFill="0" applyBorder="0" applyAlignment="0" applyProtection="0"/>
  </cellStyleXfs>
  <cellXfs count="134">
    <xf numFmtId="0" fontId="0" fillId="0" borderId="0" xfId="0"/>
    <xf numFmtId="16" fontId="10" fillId="0" borderId="0" xfId="0" applyNumberFormat="1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3" fontId="10" fillId="0" borderId="0" xfId="0" applyNumberFormat="1" applyFont="1" applyAlignment="1">
      <alignment horizontal="center" vertical="center" wrapText="1"/>
    </xf>
    <xf numFmtId="38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9" fontId="10" fillId="0" borderId="0" xfId="0" applyNumberFormat="1" applyFont="1" applyAlignment="1">
      <alignment vertical="center"/>
    </xf>
    <xf numFmtId="3" fontId="10" fillId="0" borderId="0" xfId="0" applyNumberFormat="1" applyFont="1" applyAlignment="1">
      <alignment horizontal="center" vertical="center"/>
    </xf>
    <xf numFmtId="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vertical="center"/>
    </xf>
    <xf numFmtId="9" fontId="10" fillId="2" borderId="0" xfId="0" applyNumberFormat="1" applyFont="1" applyFill="1" applyAlignment="1">
      <alignment horizontal="center" vertical="center"/>
    </xf>
    <xf numFmtId="38" fontId="10" fillId="2" borderId="0" xfId="0" applyNumberFormat="1" applyFont="1" applyFill="1" applyAlignment="1">
      <alignment horizontal="center" vertical="center"/>
    </xf>
    <xf numFmtId="164" fontId="10" fillId="0" borderId="0" xfId="0" applyNumberFormat="1" applyFont="1" applyAlignment="1">
      <alignment horizontal="center" vertical="center" wrapText="1"/>
    </xf>
    <xf numFmtId="1" fontId="10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left" vertical="center"/>
    </xf>
    <xf numFmtId="3" fontId="10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1" fontId="10" fillId="2" borderId="0" xfId="0" applyNumberFormat="1" applyFont="1" applyFill="1" applyAlignment="1">
      <alignment horizontal="center" vertical="center"/>
    </xf>
    <xf numFmtId="164" fontId="10" fillId="2" borderId="0" xfId="0" applyNumberFormat="1" applyFont="1" applyFill="1" applyAlignment="1">
      <alignment horizontal="center" vertical="center" wrapText="1"/>
    </xf>
    <xf numFmtId="0" fontId="11" fillId="0" borderId="0" xfId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1" applyFont="1" applyAlignment="1">
      <alignment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38" fontId="10" fillId="0" borderId="0" xfId="0" applyNumberFormat="1" applyFont="1" applyAlignment="1">
      <alignment vertical="center"/>
    </xf>
    <xf numFmtId="9" fontId="10" fillId="0" borderId="0" xfId="2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0" borderId="0" xfId="0" applyFont="1"/>
    <xf numFmtId="0" fontId="10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2" borderId="0" xfId="0" applyNumberFormat="1" applyFont="1" applyFill="1" applyAlignment="1">
      <alignment horizontal="center" vertical="center"/>
    </xf>
    <xf numFmtId="3" fontId="10" fillId="0" borderId="0" xfId="0" applyNumberFormat="1" applyFont="1" applyAlignment="1">
      <alignment vertical="center"/>
    </xf>
    <xf numFmtId="0" fontId="10" fillId="2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3" fontId="8" fillId="0" borderId="0" xfId="0" applyNumberFormat="1" applyFont="1" applyAlignment="1">
      <alignment vertical="center"/>
    </xf>
    <xf numFmtId="9" fontId="8" fillId="0" borderId="0" xfId="0" applyNumberFormat="1" applyFont="1" applyAlignment="1">
      <alignment vertical="center"/>
    </xf>
    <xf numFmtId="3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7" fillId="2" borderId="0" xfId="0" applyNumberFormat="1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3" fontId="7" fillId="0" borderId="0" xfId="0" applyNumberFormat="1" applyFont="1" applyAlignment="1">
      <alignment vertical="center"/>
    </xf>
    <xf numFmtId="3" fontId="7" fillId="0" borderId="0" xfId="0" applyNumberFormat="1" applyFont="1" applyAlignment="1">
      <alignment horizontal="left" vertical="center"/>
    </xf>
    <xf numFmtId="164" fontId="7" fillId="2" borderId="0" xfId="0" applyNumberFormat="1" applyFont="1" applyFill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7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horizontal="center" vertical="center"/>
    </xf>
    <xf numFmtId="9" fontId="7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vertical="center"/>
    </xf>
    <xf numFmtId="3" fontId="6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left" vertical="center"/>
    </xf>
    <xf numFmtId="164" fontId="6" fillId="2" borderId="0" xfId="0" applyNumberFormat="1" applyFont="1" applyFill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/>
    </xf>
    <xf numFmtId="1" fontId="6" fillId="2" borderId="0" xfId="0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vertical="center"/>
    </xf>
    <xf numFmtId="0" fontId="6" fillId="2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8" fontId="6" fillId="0" borderId="0" xfId="0" applyNumberFormat="1" applyFont="1" applyAlignment="1">
      <alignment horizontal="center" vertical="center"/>
    </xf>
    <xf numFmtId="9" fontId="6" fillId="0" borderId="0" xfId="0" applyNumberFormat="1" applyFont="1" applyAlignment="1">
      <alignment vertical="center"/>
    </xf>
    <xf numFmtId="9" fontId="6" fillId="0" borderId="0" xfId="2" applyFont="1" applyAlignment="1">
      <alignment horizontal="center" vertical="center"/>
    </xf>
    <xf numFmtId="0" fontId="5" fillId="0" borderId="0" xfId="0" applyFont="1" applyAlignment="1">
      <alignment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NumberFormat="1" applyFont="1" applyBorder="1" applyAlignment="1">
      <alignment horizontal="center" vertical="center"/>
    </xf>
    <xf numFmtId="9" fontId="5" fillId="0" borderId="0" xfId="2" applyFont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  <xf numFmtId="3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4" fillId="2" borderId="0" xfId="0" applyNumberFormat="1" applyFont="1" applyFill="1" applyAlignment="1">
      <alignment vertical="center"/>
    </xf>
    <xf numFmtId="0" fontId="4" fillId="2" borderId="0" xfId="0" applyNumberFormat="1" applyFont="1" applyFill="1" applyAlignment="1">
      <alignment horizontal="center" vertical="center"/>
    </xf>
    <xf numFmtId="9" fontId="4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4" fontId="3" fillId="2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19" fillId="0" borderId="0" xfId="1" applyFont="1" applyAlignment="1">
      <alignment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left" vertical="center"/>
    </xf>
    <xf numFmtId="9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38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20" fillId="2" borderId="0" xfId="1" applyFont="1" applyFill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9" fontId="18" fillId="0" borderId="0" xfId="2" applyFont="1" applyAlignment="1">
      <alignment horizontal="center" vertical="center"/>
    </xf>
    <xf numFmtId="9" fontId="18" fillId="0" borderId="0" xfId="2" applyFont="1" applyAlignment="1">
      <alignment horizontal="lef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vertical="center"/>
    </xf>
    <xf numFmtId="164" fontId="1" fillId="2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left"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NumberFormat="1" applyFont="1" applyFill="1" applyAlignment="1">
      <alignment horizontal="center" vertical="center"/>
    </xf>
    <xf numFmtId="0" fontId="11" fillId="0" borderId="0" xfId="1" applyFont="1" applyAlignment="1">
      <alignment horizontal="center" vertical="center" wrapText="1"/>
    </xf>
  </cellXfs>
  <cellStyles count="3">
    <cellStyle name="Heading 1" xfId="1" builtinId="16" customBuiltin="1"/>
    <cellStyle name="Normal" xfId="0" builtinId="0"/>
    <cellStyle name="Percent" xfId="2" builtinId="5"/>
  </cellStyles>
  <dxfs count="2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6" formatCode="#,##0_);[Red]\(#,##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6" formatCode="#,##0_);[Red]\(#,##0\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6" formatCode="#,##0_);[Red]\(#,##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6" formatCode="#,##0_);[Red]\(#,##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3" formatCode="0%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3" formatCode="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6" formatCode="#,##0_);[Red]\(#,##0\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6" formatCode="#,##0_);[Red]\(#,##0\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6" formatCode="#,##0_);[Red]\(#,##0\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fill>
        <patternFill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64" formatCode="[$-409]d/mmm/yy;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FF0000"/>
        <name val="Segoe UI Light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rgb="FF00B050"/>
        <name val="Segoe UI Light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64" formatCode="[$-409]d/mmm/yy;@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64" formatCode="[$-409]d/mmm/yy;@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</font>
      <border diagonalUp="1">
        <top style="thin">
          <color auto="1"/>
        </top>
        <bottom/>
        <diagonal style="thin">
          <color auto="1"/>
        </diagonal>
      </border>
    </dxf>
    <dxf>
      <font>
        <b/>
        <i val="0"/>
      </font>
      <border>
        <bottom style="thin">
          <color auto="1"/>
        </bottom>
      </border>
    </dxf>
    <dxf>
      <border>
        <bottom/>
        <horizontal style="thin">
          <color theme="0" tint="-0.14996795556505021"/>
        </horizontal>
      </border>
    </dxf>
  </dxfs>
  <tableStyles count="1" defaultTableStyle="TableStyleMedium2" defaultPivotStyle="PivotStyleLight16">
    <tableStyle name="Simple" pivot="0" count="3" xr9:uid="{19A79ECA-0082-4325-9948-9B0DE2F315F6}">
      <tableStyleElement type="wholeTable" dxfId="229"/>
      <tableStyleElement type="headerRow" dxfId="228"/>
      <tableStyleElement type="totalRow" dxfId="2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PvP!$C$43</c:f>
              <c:strCache>
                <c:ptCount val="1"/>
                <c:pt idx="0">
                  <c:v>Wins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453-46F6-9EB1-ACBA710225B3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53-46F6-9EB1-ACBA710225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PvP!$B$44:$B$45</c:f>
              <c:strCache>
                <c:ptCount val="2"/>
                <c:pt idx="0">
                  <c:v>Vengeurr</c:v>
                </c:pt>
                <c:pt idx="1">
                  <c:v>Garpy</c:v>
                </c:pt>
              </c:strCache>
            </c:strRef>
          </c:cat>
          <c:val>
            <c:numRef>
              <c:f>PvP!$C$44:$C$45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3-46F6-9EB1-ACBA71022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Stats'!$D$29</c:f>
              <c:strCache>
                <c:ptCount val="1"/>
                <c:pt idx="0">
                  <c:v>Top Score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'General Stats'!$B$30:$C$34</c:f>
              <c:multiLvlStrCache>
                <c:ptCount val="5"/>
                <c:lvl>
                  <c:pt idx="0">
                    <c:v>DaHanG</c:v>
                  </c:pt>
                  <c:pt idx="1">
                    <c:v>Garpy</c:v>
                  </c:pt>
                  <c:pt idx="2">
                    <c:v>DaHanG</c:v>
                  </c:pt>
                  <c:pt idx="3">
                    <c:v>DaHanG</c:v>
                  </c:pt>
                  <c:pt idx="4">
                    <c:v>Rapha</c:v>
                  </c:pt>
                </c:lvl>
                <c:lvl>
                  <c:pt idx="0">
                    <c:v>2.2.08.02.3 Nosfa vs DaHanG</c:v>
                  </c:pt>
                  <c:pt idx="1">
                    <c:v>1.1.01.01.3 spart1e vs Garpy</c:v>
                  </c:pt>
                  <c:pt idx="2">
                    <c:v>2.2.07.02.2 dooi vs DaHanG</c:v>
                  </c:pt>
                  <c:pt idx="3">
                    <c:v>2.2.07.02.1 dooi vs DaHanG</c:v>
                  </c:pt>
                  <c:pt idx="4">
                    <c:v>2.2.06.04.3 Rapha vs dooi</c:v>
                  </c:pt>
                </c:lvl>
              </c:multiLvlStrCache>
            </c:multiLvlStrRef>
          </c:cat>
          <c:val>
            <c:numRef>
              <c:f>'General Stats'!$D$30:$D$34</c:f>
              <c:numCache>
                <c:formatCode>General</c:formatCode>
                <c:ptCount val="5"/>
                <c:pt idx="0">
                  <c:v>34</c:v>
                </c:pt>
                <c:pt idx="1">
                  <c:v>31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8-4EC8-941C-A699F28BC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001088"/>
        <c:axId val="613006008"/>
      </c:barChart>
      <c:catAx>
        <c:axId val="613001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06008"/>
        <c:crosses val="autoZero"/>
        <c:auto val="1"/>
        <c:lblAlgn val="ctr"/>
        <c:lblOffset val="100"/>
        <c:noMultiLvlLbl val="0"/>
      </c:catAx>
      <c:valAx>
        <c:axId val="613006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300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Stats'!$J$29</c:f>
              <c:strCache>
                <c:ptCount val="1"/>
                <c:pt idx="0">
                  <c:v>Bottom Score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'General Stats'!$H$30:$I$34</c:f>
              <c:multiLvlStrCache>
                <c:ptCount val="5"/>
                <c:lvl>
                  <c:pt idx="0">
                    <c:v>k1llsen</c:v>
                  </c:pt>
                  <c:pt idx="1">
                    <c:v>Psygib</c:v>
                  </c:pt>
                  <c:pt idx="2">
                    <c:v>dooi</c:v>
                  </c:pt>
                  <c:pt idx="3">
                    <c:v>Raisy</c:v>
                  </c:pt>
                  <c:pt idx="4">
                    <c:v>Raisy</c:v>
                  </c:pt>
                </c:lvl>
                <c:lvl>
                  <c:pt idx="0">
                    <c:v>2.1.10.07.3 Cypher vs k1llsen</c:v>
                  </c:pt>
                  <c:pt idx="1">
                    <c:v>2.2.07.03.2 Nosfa vs Psygib</c:v>
                  </c:pt>
                  <c:pt idx="2">
                    <c:v>2.2.06.04.2 Rapha vs dooi</c:v>
                  </c:pt>
                  <c:pt idx="3">
                    <c:v>2.2.08.07.3 Raisy vs Vengeurr</c:v>
                  </c:pt>
                  <c:pt idx="4">
                    <c:v>2.2.08.07.2 Raisy vs Vengeurr</c:v>
                  </c:pt>
                </c:lvl>
              </c:multiLvlStrCache>
            </c:multiLvlStrRef>
          </c:cat>
          <c:val>
            <c:numRef>
              <c:f>'General Stats'!$J$30:$J$34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C-4340-BE35-2E391A2BC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001088"/>
        <c:axId val="613006008"/>
      </c:barChart>
      <c:catAx>
        <c:axId val="613001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06008"/>
        <c:crosses val="autoZero"/>
        <c:auto val="1"/>
        <c:lblAlgn val="ctr"/>
        <c:lblOffset val="100"/>
        <c:noMultiLvlLbl val="0"/>
      </c:catAx>
      <c:valAx>
        <c:axId val="613006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300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PvP!$B$60</c:f>
              <c:strCache>
                <c:ptCount val="1"/>
                <c:pt idx="0">
                  <c:v>Vengeurr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PvP!$C$53:$I$53</c:f>
              <c:strCache>
                <c:ptCount val="7"/>
                <c:pt idx="0">
                  <c:v>Awoken</c:v>
                </c:pt>
                <c:pt idx="1">
                  <c:v>Corrupted Keep</c:v>
                </c:pt>
                <c:pt idx="2">
                  <c:v>Deep Embrace</c:v>
                </c:pt>
                <c:pt idx="3">
                  <c:v>Exile</c:v>
                </c:pt>
                <c:pt idx="4">
                  <c:v>Molten Falls</c:v>
                </c:pt>
                <c:pt idx="5">
                  <c:v>Ruins of Sarnath</c:v>
                </c:pt>
                <c:pt idx="6">
                  <c:v>Vale of P'nath</c:v>
                </c:pt>
              </c:strCache>
            </c:strRef>
          </c:cat>
          <c:val>
            <c:numRef>
              <c:f>PvP!$C$60:$I$60</c:f>
              <c:numCache>
                <c:formatCode>0%</c:formatCode>
                <c:ptCount val="7"/>
                <c:pt idx="0">
                  <c:v>0.55555555555555558</c:v>
                </c:pt>
                <c:pt idx="1">
                  <c:v>0.75</c:v>
                </c:pt>
                <c:pt idx="2">
                  <c:v>0.6</c:v>
                </c:pt>
                <c:pt idx="3">
                  <c:v>0.33333333333333331</c:v>
                </c:pt>
                <c:pt idx="4">
                  <c:v>0.5</c:v>
                </c:pt>
                <c:pt idx="5">
                  <c:v>0.9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D-4720-B411-DFE5D4F92CE0}"/>
            </c:ext>
          </c:extLst>
        </c:ser>
        <c:ser>
          <c:idx val="7"/>
          <c:order val="7"/>
          <c:tx>
            <c:strRef>
              <c:f>PvP!$B$61</c:f>
              <c:strCache>
                <c:ptCount val="1"/>
                <c:pt idx="0">
                  <c:v>Garpy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PvP!$C$53:$I$53</c:f>
              <c:strCache>
                <c:ptCount val="7"/>
                <c:pt idx="0">
                  <c:v>Awoken</c:v>
                </c:pt>
                <c:pt idx="1">
                  <c:v>Corrupted Keep</c:v>
                </c:pt>
                <c:pt idx="2">
                  <c:v>Deep Embrace</c:v>
                </c:pt>
                <c:pt idx="3">
                  <c:v>Exile</c:v>
                </c:pt>
                <c:pt idx="4">
                  <c:v>Molten Falls</c:v>
                </c:pt>
                <c:pt idx="5">
                  <c:v>Ruins of Sarnath</c:v>
                </c:pt>
                <c:pt idx="6">
                  <c:v>Vale of P'nath</c:v>
                </c:pt>
              </c:strCache>
            </c:strRef>
          </c:cat>
          <c:val>
            <c:numRef>
              <c:f>PvP!$C$61:$I$61</c:f>
              <c:numCache>
                <c:formatCode>0%</c:formatCode>
                <c:ptCount val="7"/>
                <c:pt idx="0">
                  <c:v>0</c:v>
                </c:pt>
                <c:pt idx="1">
                  <c:v>0.2857142857142857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0.125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D-4720-B411-DFE5D4F92C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8"/>
        <c:overlap val="-62"/>
        <c:axId val="613001088"/>
        <c:axId val="6130060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PvP!$B$54</c15:sqref>
                        </c15:formulaRef>
                      </c:ext>
                    </c:extLst>
                    <c:strCache>
                      <c:ptCount val="1"/>
                      <c:pt idx="0">
                        <c:v>Vengeurr Wins</c:v>
                      </c:pt>
                    </c:strCache>
                  </c:strRef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PvP!$C$53:$I$53</c15:sqref>
                        </c15:formulaRef>
                      </c:ext>
                    </c:extLst>
                    <c:strCache>
                      <c:ptCount val="7"/>
                      <c:pt idx="0">
                        <c:v>Awoken</c:v>
                      </c:pt>
                      <c:pt idx="1">
                        <c:v>Corrupted Keep</c:v>
                      </c:pt>
                      <c:pt idx="2">
                        <c:v>Deep Embrace</c:v>
                      </c:pt>
                      <c:pt idx="3">
                        <c:v>Exile</c:v>
                      </c:pt>
                      <c:pt idx="4">
                        <c:v>Molten Falls</c:v>
                      </c:pt>
                      <c:pt idx="5">
                        <c:v>Ruins of Sarnath</c:v>
                      </c:pt>
                      <c:pt idx="6">
                        <c:v>Vale of P'nath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PvP!$C$54:$I$54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</c:v>
                      </c:pt>
                      <c:pt idx="1">
                        <c:v>6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9</c:v>
                      </c:pt>
                      <c:pt idx="6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742-4917-A001-2B618D2FAC6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PvP!$B$55</c15:sqref>
                        </c15:formulaRef>
                      </c:ext>
                    </c:extLst>
                    <c:strCache>
                      <c:ptCount val="1"/>
                      <c:pt idx="0">
                        <c:v>Garpy Wins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PvP!$C$53:$I$53</c15:sqref>
                        </c15:formulaRef>
                      </c:ext>
                    </c:extLst>
                    <c:strCache>
                      <c:ptCount val="7"/>
                      <c:pt idx="0">
                        <c:v>Awoken</c:v>
                      </c:pt>
                      <c:pt idx="1">
                        <c:v>Corrupted Keep</c:v>
                      </c:pt>
                      <c:pt idx="2">
                        <c:v>Deep Embrace</c:v>
                      </c:pt>
                      <c:pt idx="3">
                        <c:v>Exile</c:v>
                      </c:pt>
                      <c:pt idx="4">
                        <c:v>Molten Falls</c:v>
                      </c:pt>
                      <c:pt idx="5">
                        <c:v>Ruins of Sarnath</c:v>
                      </c:pt>
                      <c:pt idx="6">
                        <c:v>Vale of P'nath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PvP!$C$55:$I$55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742-4917-A001-2B618D2FAC6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PvP!$B$56</c15:sqref>
                        </c15:formulaRef>
                      </c:ext>
                    </c:extLst>
                    <c:strCache>
                      <c:ptCount val="1"/>
                      <c:pt idx="0">
                        <c:v>Vengeurr Losses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PvP!$C$53:$I$53</c15:sqref>
                        </c15:formulaRef>
                      </c:ext>
                    </c:extLst>
                    <c:strCache>
                      <c:ptCount val="7"/>
                      <c:pt idx="0">
                        <c:v>Awoken</c:v>
                      </c:pt>
                      <c:pt idx="1">
                        <c:v>Corrupted Keep</c:v>
                      </c:pt>
                      <c:pt idx="2">
                        <c:v>Deep Embrace</c:v>
                      </c:pt>
                      <c:pt idx="3">
                        <c:v>Exile</c:v>
                      </c:pt>
                      <c:pt idx="4">
                        <c:v>Molten Falls</c:v>
                      </c:pt>
                      <c:pt idx="5">
                        <c:v>Ruins of Sarnath</c:v>
                      </c:pt>
                      <c:pt idx="6">
                        <c:v>Vale of P'nath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PvP!$C$56:$I$56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31D-4720-B411-DFE5D4F92CE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PvP!$B$57</c15:sqref>
                        </c15:formulaRef>
                      </c:ext>
                    </c:extLst>
                    <c:strCache>
                      <c:ptCount val="1"/>
                      <c:pt idx="0">
                        <c:v>Garpy Losses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PvP!$C$53:$I$53</c15:sqref>
                        </c15:formulaRef>
                      </c:ext>
                    </c:extLst>
                    <c:strCache>
                      <c:ptCount val="7"/>
                      <c:pt idx="0">
                        <c:v>Awoken</c:v>
                      </c:pt>
                      <c:pt idx="1">
                        <c:v>Corrupted Keep</c:v>
                      </c:pt>
                      <c:pt idx="2">
                        <c:v>Deep Embrace</c:v>
                      </c:pt>
                      <c:pt idx="3">
                        <c:v>Exile</c:v>
                      </c:pt>
                      <c:pt idx="4">
                        <c:v>Molten Falls</c:v>
                      </c:pt>
                      <c:pt idx="5">
                        <c:v>Ruins of Sarnath</c:v>
                      </c:pt>
                      <c:pt idx="6">
                        <c:v>Vale of P'nath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PvP!$C$57:$I$57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7</c:v>
                      </c:pt>
                      <c:pt idx="6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31D-4720-B411-DFE5D4F92CE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PvP!$B$58</c15:sqref>
                        </c15:formulaRef>
                      </c:ext>
                    </c:extLst>
                    <c:strCache>
                      <c:ptCount val="1"/>
                      <c:pt idx="0">
                        <c:v>Vengeurr Total Games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PvP!$C$53:$I$53</c15:sqref>
                        </c15:formulaRef>
                      </c:ext>
                    </c:extLst>
                    <c:strCache>
                      <c:ptCount val="7"/>
                      <c:pt idx="0">
                        <c:v>Awoken</c:v>
                      </c:pt>
                      <c:pt idx="1">
                        <c:v>Corrupted Keep</c:v>
                      </c:pt>
                      <c:pt idx="2">
                        <c:v>Deep Embrace</c:v>
                      </c:pt>
                      <c:pt idx="3">
                        <c:v>Exile</c:v>
                      </c:pt>
                      <c:pt idx="4">
                        <c:v>Molten Falls</c:v>
                      </c:pt>
                      <c:pt idx="5">
                        <c:v>Ruins of Sarnath</c:v>
                      </c:pt>
                      <c:pt idx="6">
                        <c:v>Vale of P'nath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PvP!$C$58:$I$58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</c:v>
                      </c:pt>
                      <c:pt idx="1">
                        <c:v>8</c:v>
                      </c:pt>
                      <c:pt idx="2">
                        <c:v>5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10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1D-4720-B411-DFE5D4F92CE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PvP!$B$59</c15:sqref>
                        </c15:formulaRef>
                      </c:ext>
                    </c:extLst>
                    <c:strCache>
                      <c:ptCount val="1"/>
                      <c:pt idx="0">
                        <c:v>Garpy Total Games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PvP!$C$53:$I$53</c15:sqref>
                        </c15:formulaRef>
                      </c:ext>
                    </c:extLst>
                    <c:strCache>
                      <c:ptCount val="7"/>
                      <c:pt idx="0">
                        <c:v>Awoken</c:v>
                      </c:pt>
                      <c:pt idx="1">
                        <c:v>Corrupted Keep</c:v>
                      </c:pt>
                      <c:pt idx="2">
                        <c:v>Deep Embrace</c:v>
                      </c:pt>
                      <c:pt idx="3">
                        <c:v>Exile</c:v>
                      </c:pt>
                      <c:pt idx="4">
                        <c:v>Molten Falls</c:v>
                      </c:pt>
                      <c:pt idx="5">
                        <c:v>Ruins of Sarnath</c:v>
                      </c:pt>
                      <c:pt idx="6">
                        <c:v>Vale of P'nath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PvP!$C$59:$I$59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7</c:v>
                      </c:pt>
                      <c:pt idx="2">
                        <c:v>5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8</c:v>
                      </c:pt>
                      <c:pt idx="6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1D-4720-B411-DFE5D4F92CE0}"/>
                  </c:ext>
                </c:extLst>
              </c15:ser>
            </c15:filteredBarSeries>
          </c:ext>
        </c:extLst>
      </c:barChart>
      <c:catAx>
        <c:axId val="613001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06008"/>
        <c:crosses val="autoZero"/>
        <c:auto val="1"/>
        <c:lblAlgn val="ctr"/>
        <c:lblOffset val="100"/>
        <c:noMultiLvlLbl val="0"/>
      </c:catAx>
      <c:valAx>
        <c:axId val="61300600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1300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PvP!$B$65</c:f>
              <c:strCache>
                <c:ptCount val="1"/>
                <c:pt idx="0">
                  <c:v>Vengeurr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PvP!$C$64:$R$64</c:f>
              <c:strCache>
                <c:ptCount val="16"/>
                <c:pt idx="0">
                  <c:v>Anarki</c:v>
                </c:pt>
                <c:pt idx="1">
                  <c:v>Athena</c:v>
                </c:pt>
                <c:pt idx="2">
                  <c:v>BJ Blazkowicz</c:v>
                </c:pt>
                <c:pt idx="3">
                  <c:v>Clutch</c:v>
                </c:pt>
                <c:pt idx="4">
                  <c:v>Death Knight</c:v>
                </c:pt>
                <c:pt idx="5">
                  <c:v>Doom</c:v>
                </c:pt>
                <c:pt idx="6">
                  <c:v>Eisen</c:v>
                </c:pt>
                <c:pt idx="7">
                  <c:v>Galena</c:v>
                </c:pt>
                <c:pt idx="8">
                  <c:v>Keel</c:v>
                </c:pt>
                <c:pt idx="9">
                  <c:v>Nyx</c:v>
                </c:pt>
                <c:pt idx="10">
                  <c:v>Ranger</c:v>
                </c:pt>
                <c:pt idx="11">
                  <c:v>Scalebearer</c:v>
                </c:pt>
                <c:pt idx="12">
                  <c:v>Slash</c:v>
                </c:pt>
                <c:pt idx="13">
                  <c:v>Sorlag</c:v>
                </c:pt>
                <c:pt idx="14">
                  <c:v>Strogg</c:v>
                </c:pt>
                <c:pt idx="15">
                  <c:v>Visor</c:v>
                </c:pt>
              </c:strCache>
            </c:strRef>
          </c:cat>
          <c:val>
            <c:numRef>
              <c:f>PvP!$C$65:$R$65</c:f>
              <c:numCache>
                <c:formatCode>General</c:formatCode>
                <c:ptCount val="1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B-4B85-B8FB-2A062BA30E9F}"/>
            </c:ext>
          </c:extLst>
        </c:ser>
        <c:ser>
          <c:idx val="1"/>
          <c:order val="1"/>
          <c:tx>
            <c:strRef>
              <c:f>PvP!$B$66</c:f>
              <c:strCache>
                <c:ptCount val="1"/>
                <c:pt idx="0">
                  <c:v>Garpy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PvP!$C$64:$R$64</c:f>
              <c:strCache>
                <c:ptCount val="16"/>
                <c:pt idx="0">
                  <c:v>Anarki</c:v>
                </c:pt>
                <c:pt idx="1">
                  <c:v>Athena</c:v>
                </c:pt>
                <c:pt idx="2">
                  <c:v>BJ Blazkowicz</c:v>
                </c:pt>
                <c:pt idx="3">
                  <c:v>Clutch</c:v>
                </c:pt>
                <c:pt idx="4">
                  <c:v>Death Knight</c:v>
                </c:pt>
                <c:pt idx="5">
                  <c:v>Doom</c:v>
                </c:pt>
                <c:pt idx="6">
                  <c:v>Eisen</c:v>
                </c:pt>
                <c:pt idx="7">
                  <c:v>Galena</c:v>
                </c:pt>
                <c:pt idx="8">
                  <c:v>Keel</c:v>
                </c:pt>
                <c:pt idx="9">
                  <c:v>Nyx</c:v>
                </c:pt>
                <c:pt idx="10">
                  <c:v>Ranger</c:v>
                </c:pt>
                <c:pt idx="11">
                  <c:v>Scalebearer</c:v>
                </c:pt>
                <c:pt idx="12">
                  <c:v>Slash</c:v>
                </c:pt>
                <c:pt idx="13">
                  <c:v>Sorlag</c:v>
                </c:pt>
                <c:pt idx="14">
                  <c:v>Strogg</c:v>
                </c:pt>
                <c:pt idx="15">
                  <c:v>Visor</c:v>
                </c:pt>
              </c:strCache>
            </c:strRef>
          </c:cat>
          <c:val>
            <c:numRef>
              <c:f>PvP!$C$66:$R$66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B-4B85-B8FB-2A062BA30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001744"/>
        <c:axId val="613006992"/>
      </c:barChart>
      <c:catAx>
        <c:axId val="613001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06992"/>
        <c:crosses val="autoZero"/>
        <c:auto val="1"/>
        <c:lblAlgn val="ctr"/>
        <c:lblOffset val="100"/>
        <c:noMultiLvlLbl val="0"/>
      </c:catAx>
      <c:valAx>
        <c:axId val="613006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0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PvP!$B$70</c:f>
              <c:strCache>
                <c:ptCount val="1"/>
                <c:pt idx="0">
                  <c:v>Vengeurr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PvP!$C$69:$R$69</c:f>
              <c:strCache>
                <c:ptCount val="16"/>
                <c:pt idx="0">
                  <c:v>Anarki</c:v>
                </c:pt>
                <c:pt idx="1">
                  <c:v>Athena</c:v>
                </c:pt>
                <c:pt idx="2">
                  <c:v>BJ Blazkowicz</c:v>
                </c:pt>
                <c:pt idx="3">
                  <c:v>Clutch</c:v>
                </c:pt>
                <c:pt idx="4">
                  <c:v>Death Knight</c:v>
                </c:pt>
                <c:pt idx="5">
                  <c:v>Doom</c:v>
                </c:pt>
                <c:pt idx="6">
                  <c:v>Eisen</c:v>
                </c:pt>
                <c:pt idx="7">
                  <c:v>Galena</c:v>
                </c:pt>
                <c:pt idx="8">
                  <c:v>Keel</c:v>
                </c:pt>
                <c:pt idx="9">
                  <c:v>Nyx</c:v>
                </c:pt>
                <c:pt idx="10">
                  <c:v>Ranger</c:v>
                </c:pt>
                <c:pt idx="11">
                  <c:v>Scalebearer</c:v>
                </c:pt>
                <c:pt idx="12">
                  <c:v>Slash</c:v>
                </c:pt>
                <c:pt idx="13">
                  <c:v>Sorlag</c:v>
                </c:pt>
                <c:pt idx="14">
                  <c:v>Strogg</c:v>
                </c:pt>
                <c:pt idx="15">
                  <c:v>Visor</c:v>
                </c:pt>
              </c:strCache>
            </c:strRef>
          </c:cat>
          <c:val>
            <c:numRef>
              <c:f>PvP!$C$70:$R$70</c:f>
              <c:numCache>
                <c:formatCode>General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F-4B9C-9089-1C28519A8BA7}"/>
            </c:ext>
          </c:extLst>
        </c:ser>
        <c:ser>
          <c:idx val="1"/>
          <c:order val="1"/>
          <c:tx>
            <c:strRef>
              <c:f>PvP!$B$71</c:f>
              <c:strCache>
                <c:ptCount val="1"/>
                <c:pt idx="0">
                  <c:v>Garpy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PvP!$C$69:$R$69</c:f>
              <c:strCache>
                <c:ptCount val="16"/>
                <c:pt idx="0">
                  <c:v>Anarki</c:v>
                </c:pt>
                <c:pt idx="1">
                  <c:v>Athena</c:v>
                </c:pt>
                <c:pt idx="2">
                  <c:v>BJ Blazkowicz</c:v>
                </c:pt>
                <c:pt idx="3">
                  <c:v>Clutch</c:v>
                </c:pt>
                <c:pt idx="4">
                  <c:v>Death Knight</c:v>
                </c:pt>
                <c:pt idx="5">
                  <c:v>Doom</c:v>
                </c:pt>
                <c:pt idx="6">
                  <c:v>Eisen</c:v>
                </c:pt>
                <c:pt idx="7">
                  <c:v>Galena</c:v>
                </c:pt>
                <c:pt idx="8">
                  <c:v>Keel</c:v>
                </c:pt>
                <c:pt idx="9">
                  <c:v>Nyx</c:v>
                </c:pt>
                <c:pt idx="10">
                  <c:v>Ranger</c:v>
                </c:pt>
                <c:pt idx="11">
                  <c:v>Scalebearer</c:v>
                </c:pt>
                <c:pt idx="12">
                  <c:v>Slash</c:v>
                </c:pt>
                <c:pt idx="13">
                  <c:v>Sorlag</c:v>
                </c:pt>
                <c:pt idx="14">
                  <c:v>Strogg</c:v>
                </c:pt>
                <c:pt idx="15">
                  <c:v>Visor</c:v>
                </c:pt>
              </c:strCache>
            </c:strRef>
          </c:cat>
          <c:val>
            <c:numRef>
              <c:f>PvP!$C$71:$R$71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5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F-4B9C-9089-1C28519A8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001744"/>
        <c:axId val="613006992"/>
      </c:barChart>
      <c:catAx>
        <c:axId val="613001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06992"/>
        <c:crosses val="autoZero"/>
        <c:auto val="1"/>
        <c:lblAlgn val="ctr"/>
        <c:lblOffset val="100"/>
        <c:noMultiLvlLbl val="0"/>
      </c:catAx>
      <c:valAx>
        <c:axId val="613006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0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PvP!$B$75</c:f>
              <c:strCache>
                <c:ptCount val="1"/>
                <c:pt idx="0">
                  <c:v>Vengeurr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PvP!$C$74:$R$74</c:f>
              <c:strCache>
                <c:ptCount val="16"/>
                <c:pt idx="0">
                  <c:v>Anarki</c:v>
                </c:pt>
                <c:pt idx="1">
                  <c:v>Athena</c:v>
                </c:pt>
                <c:pt idx="2">
                  <c:v>BJ Blazkowicz</c:v>
                </c:pt>
                <c:pt idx="3">
                  <c:v>Clutch</c:v>
                </c:pt>
                <c:pt idx="4">
                  <c:v>Death Knight</c:v>
                </c:pt>
                <c:pt idx="5">
                  <c:v>Doom</c:v>
                </c:pt>
                <c:pt idx="6">
                  <c:v>Eisen</c:v>
                </c:pt>
                <c:pt idx="7">
                  <c:v>Galena</c:v>
                </c:pt>
                <c:pt idx="8">
                  <c:v>Keel</c:v>
                </c:pt>
                <c:pt idx="9">
                  <c:v>Nyx</c:v>
                </c:pt>
                <c:pt idx="10">
                  <c:v>Ranger</c:v>
                </c:pt>
                <c:pt idx="11">
                  <c:v>Scalebearer</c:v>
                </c:pt>
                <c:pt idx="12">
                  <c:v>Slash</c:v>
                </c:pt>
                <c:pt idx="13">
                  <c:v>Sorlag</c:v>
                </c:pt>
                <c:pt idx="14">
                  <c:v>Strogg</c:v>
                </c:pt>
                <c:pt idx="15">
                  <c:v>Visor</c:v>
                </c:pt>
              </c:strCache>
            </c:strRef>
          </c:cat>
          <c:val>
            <c:numRef>
              <c:f>PvP!$C$75:$R$75</c:f>
              <c:numCache>
                <c:formatCode>General</c:formatCode>
                <c:ptCount val="16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B-408B-8021-FE9984F3467E}"/>
            </c:ext>
          </c:extLst>
        </c:ser>
        <c:ser>
          <c:idx val="1"/>
          <c:order val="1"/>
          <c:tx>
            <c:strRef>
              <c:f>PvP!$B$76</c:f>
              <c:strCache>
                <c:ptCount val="1"/>
                <c:pt idx="0">
                  <c:v>Garpy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PvP!$C$74:$R$74</c:f>
              <c:strCache>
                <c:ptCount val="16"/>
                <c:pt idx="0">
                  <c:v>Anarki</c:v>
                </c:pt>
                <c:pt idx="1">
                  <c:v>Athena</c:v>
                </c:pt>
                <c:pt idx="2">
                  <c:v>BJ Blazkowicz</c:v>
                </c:pt>
                <c:pt idx="3">
                  <c:v>Clutch</c:v>
                </c:pt>
                <c:pt idx="4">
                  <c:v>Death Knight</c:v>
                </c:pt>
                <c:pt idx="5">
                  <c:v>Doom</c:v>
                </c:pt>
                <c:pt idx="6">
                  <c:v>Eisen</c:v>
                </c:pt>
                <c:pt idx="7">
                  <c:v>Galena</c:v>
                </c:pt>
                <c:pt idx="8">
                  <c:v>Keel</c:v>
                </c:pt>
                <c:pt idx="9">
                  <c:v>Nyx</c:v>
                </c:pt>
                <c:pt idx="10">
                  <c:v>Ranger</c:v>
                </c:pt>
                <c:pt idx="11">
                  <c:v>Scalebearer</c:v>
                </c:pt>
                <c:pt idx="12">
                  <c:v>Slash</c:v>
                </c:pt>
                <c:pt idx="13">
                  <c:v>Sorlag</c:v>
                </c:pt>
                <c:pt idx="14">
                  <c:v>Strogg</c:v>
                </c:pt>
                <c:pt idx="15">
                  <c:v>Visor</c:v>
                </c:pt>
              </c:strCache>
            </c:strRef>
          </c:cat>
          <c:val>
            <c:numRef>
              <c:f>PvP!$C$76:$R$76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6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B-408B-8021-FE9984F3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001744"/>
        <c:axId val="613006992"/>
      </c:barChart>
      <c:catAx>
        <c:axId val="613001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06992"/>
        <c:crosses val="autoZero"/>
        <c:auto val="1"/>
        <c:lblAlgn val="ctr"/>
        <c:lblOffset val="100"/>
        <c:noMultiLvlLbl val="0"/>
      </c:catAx>
      <c:valAx>
        <c:axId val="613006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0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PvP!$B$49</c:f>
              <c:strCache>
                <c:ptCount val="1"/>
                <c:pt idx="0">
                  <c:v>Vengeurr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PvP!$C$48</c:f>
              <c:strCache>
                <c:ptCount val="1"/>
                <c:pt idx="0">
                  <c:v>WinPct</c:v>
                </c:pt>
              </c:strCache>
            </c:strRef>
          </c:cat>
          <c:val>
            <c:numRef>
              <c:f>PvP!$C$49</c:f>
              <c:numCache>
                <c:formatCode>0%</c:formatCode>
                <c:ptCount val="1"/>
                <c:pt idx="0">
                  <c:v>0.68888888888888888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5-4B3D-BBEA-7A9BF3AC9D82}"/>
            </c:ext>
          </c:extLst>
        </c:ser>
        <c:ser>
          <c:idx val="1"/>
          <c:order val="1"/>
          <c:tx>
            <c:strRef>
              <c:f>PvP!$B$50</c:f>
              <c:strCache>
                <c:ptCount val="1"/>
                <c:pt idx="0">
                  <c:v>Garpy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PvP!$C$48</c:f>
              <c:strCache>
                <c:ptCount val="1"/>
                <c:pt idx="0">
                  <c:v>WinPct</c:v>
                </c:pt>
              </c:strCache>
            </c:strRef>
          </c:cat>
          <c:val>
            <c:numRef>
              <c:f>PvP!$C$50</c:f>
              <c:numCache>
                <c:formatCode>0%</c:formatCode>
                <c:ptCount val="1"/>
                <c:pt idx="0">
                  <c:v>0.18518518518518517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5-4B3D-BBEA-7A9BF3AC9D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3001088"/>
        <c:axId val="613006008"/>
      </c:barChart>
      <c:catAx>
        <c:axId val="613001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3006008"/>
        <c:crosses val="autoZero"/>
        <c:auto val="1"/>
        <c:lblAlgn val="ctr"/>
        <c:lblOffset val="100"/>
        <c:noMultiLvlLbl val="0"/>
      </c:catAx>
      <c:valAx>
        <c:axId val="61300600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1300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'Map Stats'!$B$19</c:f>
              <c:strCache>
                <c:ptCount val="1"/>
                <c:pt idx="0">
                  <c:v>Win rate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'Map Stats'!$C$14:$R$14</c:f>
              <c:strCache>
                <c:ptCount val="16"/>
                <c:pt idx="0">
                  <c:v>Anarki</c:v>
                </c:pt>
                <c:pt idx="1">
                  <c:v>Athena</c:v>
                </c:pt>
                <c:pt idx="2">
                  <c:v>BJ Blazkowicz</c:v>
                </c:pt>
                <c:pt idx="3">
                  <c:v>Clutch</c:v>
                </c:pt>
                <c:pt idx="4">
                  <c:v>Death Knight</c:v>
                </c:pt>
                <c:pt idx="5">
                  <c:v>Doom</c:v>
                </c:pt>
                <c:pt idx="6">
                  <c:v>Eisen</c:v>
                </c:pt>
                <c:pt idx="7">
                  <c:v>Galena</c:v>
                </c:pt>
                <c:pt idx="8">
                  <c:v>Keel</c:v>
                </c:pt>
                <c:pt idx="9">
                  <c:v>Nyx</c:v>
                </c:pt>
                <c:pt idx="10">
                  <c:v>Ranger</c:v>
                </c:pt>
                <c:pt idx="11">
                  <c:v>Scalebearer</c:v>
                </c:pt>
                <c:pt idx="12">
                  <c:v>Slash</c:v>
                </c:pt>
                <c:pt idx="13">
                  <c:v>Sorlag</c:v>
                </c:pt>
                <c:pt idx="14">
                  <c:v>Strogg</c:v>
                </c:pt>
                <c:pt idx="15">
                  <c:v>Visor</c:v>
                </c:pt>
              </c:strCache>
            </c:strRef>
          </c:cat>
          <c:val>
            <c:numRef>
              <c:f>'Map Stats'!$C$19:$R$19</c:f>
              <c:numCache>
                <c:formatCode>0%</c:formatCode>
                <c:ptCount val="16"/>
                <c:pt idx="0">
                  <c:v>0.5625</c:v>
                </c:pt>
                <c:pt idx="1">
                  <c:v>0</c:v>
                </c:pt>
                <c:pt idx="2">
                  <c:v>0.8</c:v>
                </c:pt>
                <c:pt idx="3">
                  <c:v>0.5</c:v>
                </c:pt>
                <c:pt idx="4">
                  <c:v>0</c:v>
                </c:pt>
                <c:pt idx="5">
                  <c:v>1</c:v>
                </c:pt>
                <c:pt idx="6">
                  <c:v>0.44444444444444442</c:v>
                </c:pt>
                <c:pt idx="7">
                  <c:v>0.33333333333333331</c:v>
                </c:pt>
                <c:pt idx="8">
                  <c:v>0.53846153846153844</c:v>
                </c:pt>
                <c:pt idx="9">
                  <c:v>0.42857142857142855</c:v>
                </c:pt>
                <c:pt idx="10">
                  <c:v>0.375</c:v>
                </c:pt>
                <c:pt idx="11">
                  <c:v>0.5714285714285714</c:v>
                </c:pt>
                <c:pt idx="12">
                  <c:v>0.66666666666666663</c:v>
                </c:pt>
                <c:pt idx="13">
                  <c:v>0.55555555555555558</c:v>
                </c:pt>
                <c:pt idx="14">
                  <c:v>0.6428571428571429</c:v>
                </c:pt>
                <c:pt idx="1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3B-439E-B900-D7D7DDD54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3001744"/>
        <c:axId val="613006992"/>
      </c:barChart>
      <c:lineChart>
        <c:grouping val="standard"/>
        <c:varyColors val="0"/>
        <c:ser>
          <c:idx val="3"/>
          <c:order val="3"/>
          <c:tx>
            <c:strRef>
              <c:f>'Map Stats'!$B$18</c:f>
              <c:strCache>
                <c:ptCount val="1"/>
                <c:pt idx="0">
                  <c:v>Pick Rate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'Map Stats'!$C$14:$R$14</c:f>
              <c:strCache>
                <c:ptCount val="16"/>
                <c:pt idx="0">
                  <c:v>Anarki</c:v>
                </c:pt>
                <c:pt idx="1">
                  <c:v>Athena</c:v>
                </c:pt>
                <c:pt idx="2">
                  <c:v>BJ Blazkowicz</c:v>
                </c:pt>
                <c:pt idx="3">
                  <c:v>Clutch</c:v>
                </c:pt>
                <c:pt idx="4">
                  <c:v>Death Knight</c:v>
                </c:pt>
                <c:pt idx="5">
                  <c:v>Doom</c:v>
                </c:pt>
                <c:pt idx="6">
                  <c:v>Eisen</c:v>
                </c:pt>
                <c:pt idx="7">
                  <c:v>Galena</c:v>
                </c:pt>
                <c:pt idx="8">
                  <c:v>Keel</c:v>
                </c:pt>
                <c:pt idx="9">
                  <c:v>Nyx</c:v>
                </c:pt>
                <c:pt idx="10">
                  <c:v>Ranger</c:v>
                </c:pt>
                <c:pt idx="11">
                  <c:v>Scalebearer</c:v>
                </c:pt>
                <c:pt idx="12">
                  <c:v>Slash</c:v>
                </c:pt>
                <c:pt idx="13">
                  <c:v>Sorlag</c:v>
                </c:pt>
                <c:pt idx="14">
                  <c:v>Strogg</c:v>
                </c:pt>
                <c:pt idx="15">
                  <c:v>Visor</c:v>
                </c:pt>
              </c:strCache>
            </c:strRef>
          </c:cat>
          <c:val>
            <c:numRef>
              <c:f>'Map Stats'!$C$18:$R$18</c:f>
              <c:numCache>
                <c:formatCode>General</c:formatCode>
                <c:ptCount val="16"/>
                <c:pt idx="0">
                  <c:v>1.6</c:v>
                </c:pt>
                <c:pt idx="1">
                  <c:v>0.2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1.8</c:v>
                </c:pt>
                <c:pt idx="7">
                  <c:v>1.2</c:v>
                </c:pt>
                <c:pt idx="8">
                  <c:v>1.3</c:v>
                </c:pt>
                <c:pt idx="9">
                  <c:v>0.7</c:v>
                </c:pt>
                <c:pt idx="10">
                  <c:v>1.6</c:v>
                </c:pt>
                <c:pt idx="11">
                  <c:v>1.4</c:v>
                </c:pt>
                <c:pt idx="12">
                  <c:v>0.3</c:v>
                </c:pt>
                <c:pt idx="13">
                  <c:v>1.8</c:v>
                </c:pt>
                <c:pt idx="14">
                  <c:v>1.4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B-439E-B900-D7D7DDD54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01744"/>
        <c:axId val="613006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'Map Stats'!$B$15</c15:sqref>
                        </c15:formulaRef>
                      </c:ext>
                    </c:extLst>
                    <c:strCache>
                      <c:ptCount val="1"/>
                      <c:pt idx="0">
                        <c:v>Wins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'Map Stats'!$C$14:$R$14</c15:sqref>
                        </c15:formulaRef>
                      </c:ext>
                    </c:extLst>
                    <c:strCache>
                      <c:ptCount val="16"/>
                      <c:pt idx="0">
                        <c:v>Anarki</c:v>
                      </c:pt>
                      <c:pt idx="1">
                        <c:v>Athena</c:v>
                      </c:pt>
                      <c:pt idx="2">
                        <c:v>BJ Blazkowicz</c:v>
                      </c:pt>
                      <c:pt idx="3">
                        <c:v>Clutch</c:v>
                      </c:pt>
                      <c:pt idx="4">
                        <c:v>Death Knight</c:v>
                      </c:pt>
                      <c:pt idx="5">
                        <c:v>Doom</c:v>
                      </c:pt>
                      <c:pt idx="6">
                        <c:v>Eisen</c:v>
                      </c:pt>
                      <c:pt idx="7">
                        <c:v>Galena</c:v>
                      </c:pt>
                      <c:pt idx="8">
                        <c:v>Keel</c:v>
                      </c:pt>
                      <c:pt idx="9">
                        <c:v>Nyx</c:v>
                      </c:pt>
                      <c:pt idx="10">
                        <c:v>Ranger</c:v>
                      </c:pt>
                      <c:pt idx="11">
                        <c:v>Scalebearer</c:v>
                      </c:pt>
                      <c:pt idx="12">
                        <c:v>Slash</c:v>
                      </c:pt>
                      <c:pt idx="13">
                        <c:v>Sorlag</c:v>
                      </c:pt>
                      <c:pt idx="14">
                        <c:v>Strogg</c:v>
                      </c:pt>
                      <c:pt idx="15">
                        <c:v>Visor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'Map Stats'!$C$15:$R$15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</c:v>
                      </c:pt>
                      <c:pt idx="1">
                        <c:v>0</c:v>
                      </c:pt>
                      <c:pt idx="2">
                        <c:v>4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8</c:v>
                      </c:pt>
                      <c:pt idx="7">
                        <c:v>4</c:v>
                      </c:pt>
                      <c:pt idx="8">
                        <c:v>7</c:v>
                      </c:pt>
                      <c:pt idx="9">
                        <c:v>3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2</c:v>
                      </c:pt>
                      <c:pt idx="13">
                        <c:v>10</c:v>
                      </c:pt>
                      <c:pt idx="14">
                        <c:v>9</c:v>
                      </c:pt>
                      <c:pt idx="15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96A-4045-B17A-2A3C5E4348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'Map Stats'!$B$16</c15:sqref>
                        </c15:formulaRef>
                      </c:ext>
                    </c:extLst>
                    <c:strCache>
                      <c:ptCount val="1"/>
                      <c:pt idx="0">
                        <c:v>Losses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'Map Stats'!$C$14:$R$14</c15:sqref>
                        </c15:formulaRef>
                      </c:ext>
                    </c:extLst>
                    <c:strCache>
                      <c:ptCount val="16"/>
                      <c:pt idx="0">
                        <c:v>Anarki</c:v>
                      </c:pt>
                      <c:pt idx="1">
                        <c:v>Athena</c:v>
                      </c:pt>
                      <c:pt idx="2">
                        <c:v>BJ Blazkowicz</c:v>
                      </c:pt>
                      <c:pt idx="3">
                        <c:v>Clutch</c:v>
                      </c:pt>
                      <c:pt idx="4">
                        <c:v>Death Knight</c:v>
                      </c:pt>
                      <c:pt idx="5">
                        <c:v>Doom</c:v>
                      </c:pt>
                      <c:pt idx="6">
                        <c:v>Eisen</c:v>
                      </c:pt>
                      <c:pt idx="7">
                        <c:v>Galena</c:v>
                      </c:pt>
                      <c:pt idx="8">
                        <c:v>Keel</c:v>
                      </c:pt>
                      <c:pt idx="9">
                        <c:v>Nyx</c:v>
                      </c:pt>
                      <c:pt idx="10">
                        <c:v>Ranger</c:v>
                      </c:pt>
                      <c:pt idx="11">
                        <c:v>Scalebearer</c:v>
                      </c:pt>
                      <c:pt idx="12">
                        <c:v>Slash</c:v>
                      </c:pt>
                      <c:pt idx="13">
                        <c:v>Sorlag</c:v>
                      </c:pt>
                      <c:pt idx="14">
                        <c:v>Strogg</c:v>
                      </c:pt>
                      <c:pt idx="15">
                        <c:v>Visor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'Map Stats'!$C$16:$R$16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10</c:v>
                      </c:pt>
                      <c:pt idx="7">
                        <c:v>8</c:v>
                      </c:pt>
                      <c:pt idx="8">
                        <c:v>6</c:v>
                      </c:pt>
                      <c:pt idx="9">
                        <c:v>4</c:v>
                      </c:pt>
                      <c:pt idx="10">
                        <c:v>10</c:v>
                      </c:pt>
                      <c:pt idx="11">
                        <c:v>6</c:v>
                      </c:pt>
                      <c:pt idx="12">
                        <c:v>1</c:v>
                      </c:pt>
                      <c:pt idx="13">
                        <c:v>8</c:v>
                      </c:pt>
                      <c:pt idx="14">
                        <c:v>5</c:v>
                      </c:pt>
                      <c:pt idx="15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93B-439E-B900-D7D7DDD5481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'Map Stats'!$B$17</c15:sqref>
                        </c15:formulaRef>
                      </c:ext>
                    </c:extLst>
                    <c:strCache>
                      <c:ptCount val="1"/>
                      <c:pt idx="0">
                        <c:v>Total picks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'Map Stats'!$C$14:$R$14</c15:sqref>
                        </c15:formulaRef>
                      </c:ext>
                    </c:extLst>
                    <c:strCache>
                      <c:ptCount val="16"/>
                      <c:pt idx="0">
                        <c:v>Anarki</c:v>
                      </c:pt>
                      <c:pt idx="1">
                        <c:v>Athena</c:v>
                      </c:pt>
                      <c:pt idx="2">
                        <c:v>BJ Blazkowicz</c:v>
                      </c:pt>
                      <c:pt idx="3">
                        <c:v>Clutch</c:v>
                      </c:pt>
                      <c:pt idx="4">
                        <c:v>Death Knight</c:v>
                      </c:pt>
                      <c:pt idx="5">
                        <c:v>Doom</c:v>
                      </c:pt>
                      <c:pt idx="6">
                        <c:v>Eisen</c:v>
                      </c:pt>
                      <c:pt idx="7">
                        <c:v>Galena</c:v>
                      </c:pt>
                      <c:pt idx="8">
                        <c:v>Keel</c:v>
                      </c:pt>
                      <c:pt idx="9">
                        <c:v>Nyx</c:v>
                      </c:pt>
                      <c:pt idx="10">
                        <c:v>Ranger</c:v>
                      </c:pt>
                      <c:pt idx="11">
                        <c:v>Scalebearer</c:v>
                      </c:pt>
                      <c:pt idx="12">
                        <c:v>Slash</c:v>
                      </c:pt>
                      <c:pt idx="13">
                        <c:v>Sorlag</c:v>
                      </c:pt>
                      <c:pt idx="14">
                        <c:v>Strogg</c:v>
                      </c:pt>
                      <c:pt idx="15">
                        <c:v>Visor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'Map Stats'!$C$17:$R$17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16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18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7</c:v>
                      </c:pt>
                      <c:pt idx="10">
                        <c:v>16</c:v>
                      </c:pt>
                      <c:pt idx="11">
                        <c:v>14</c:v>
                      </c:pt>
                      <c:pt idx="12">
                        <c:v>3</c:v>
                      </c:pt>
                      <c:pt idx="13">
                        <c:v>18</c:v>
                      </c:pt>
                      <c:pt idx="14">
                        <c:v>14</c:v>
                      </c:pt>
                      <c:pt idx="15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93B-439E-B900-D7D7DDD5481B}"/>
                  </c:ext>
                </c:extLst>
              </c15:ser>
            </c15:filteredLineSeries>
          </c:ext>
        </c:extLst>
      </c:lineChart>
      <c:catAx>
        <c:axId val="613001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06992"/>
        <c:crosses val="autoZero"/>
        <c:auto val="1"/>
        <c:lblAlgn val="ctr"/>
        <c:lblOffset val="100"/>
        <c:noMultiLvlLbl val="0"/>
      </c:catAx>
      <c:valAx>
        <c:axId val="6130069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1300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Stats'!$C$21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Stats'!$B$22:$B$26</c:f>
              <c:strCache>
                <c:ptCount val="5"/>
                <c:pt idx="0">
                  <c:v>2.2.06.04.3 Rapha vs dooi</c:v>
                </c:pt>
                <c:pt idx="1">
                  <c:v>2.2.08.02.3 Nosfa vs DaHanG</c:v>
                </c:pt>
                <c:pt idx="2">
                  <c:v>2.2.05.02.1 dooi vs Effortless</c:v>
                </c:pt>
                <c:pt idx="3">
                  <c:v>2.2.07.02.2 dooi vs DaHanG</c:v>
                </c:pt>
                <c:pt idx="4">
                  <c:v>2.2.04.05.2 Psygib vs dooi</c:v>
                </c:pt>
              </c:strCache>
            </c:strRef>
          </c:cat>
          <c:val>
            <c:numRef>
              <c:f>'General Stats'!$C$22:$C$26</c:f>
              <c:numCache>
                <c:formatCode>General</c:formatCode>
                <c:ptCount val="5"/>
                <c:pt idx="0">
                  <c:v>41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3-4C3D-8AA1-66AD75AE3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001088"/>
        <c:axId val="613006008"/>
      </c:barChart>
      <c:catAx>
        <c:axId val="613001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06008"/>
        <c:crosses val="autoZero"/>
        <c:auto val="1"/>
        <c:lblAlgn val="ctr"/>
        <c:lblOffset val="100"/>
        <c:noMultiLvlLbl val="0"/>
      </c:catAx>
      <c:valAx>
        <c:axId val="613006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300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Stats'!$I$21</c:f>
              <c:strCache>
                <c:ptCount val="1"/>
                <c:pt idx="0">
                  <c:v>Score Spread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Stats'!$H$22:$H$26</c:f>
              <c:strCache>
                <c:ptCount val="5"/>
                <c:pt idx="0">
                  <c:v>1.1.01.01.3 spart1e vs Garpy</c:v>
                </c:pt>
                <c:pt idx="1">
                  <c:v>2.2.08.02.3 Nosfa vs DaHanG</c:v>
                </c:pt>
                <c:pt idx="2">
                  <c:v>2.2.06.04.2 Rapha vs dooi</c:v>
                </c:pt>
                <c:pt idx="3">
                  <c:v>2.2.07.02.1 dooi vs DaHanG</c:v>
                </c:pt>
                <c:pt idx="4">
                  <c:v>2.2.04.02.1 Rapha vs Dramis</c:v>
                </c:pt>
              </c:strCache>
            </c:strRef>
          </c:cat>
          <c:val>
            <c:numRef>
              <c:f>'General Stats'!$I$22:$I$26</c:f>
              <c:numCache>
                <c:formatCode>General</c:formatCode>
                <c:ptCount val="5"/>
                <c:pt idx="0">
                  <c:v>30</c:v>
                </c:pt>
                <c:pt idx="1">
                  <c:v>29</c:v>
                </c:pt>
                <c:pt idx="2">
                  <c:v>26</c:v>
                </c:pt>
                <c:pt idx="3">
                  <c:v>23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E-49FF-94E9-227133FFB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001088"/>
        <c:axId val="613006008"/>
      </c:barChart>
      <c:catAx>
        <c:axId val="613001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06008"/>
        <c:crosses val="autoZero"/>
        <c:auto val="1"/>
        <c:lblAlgn val="ctr"/>
        <c:lblOffset val="100"/>
        <c:noMultiLvlLbl val="0"/>
      </c:catAx>
      <c:valAx>
        <c:axId val="613006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300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357187</xdr:colOff>
      <xdr:row>4</xdr:row>
      <xdr:rowOff>304800</xdr:rowOff>
    </xdr:from>
    <xdr:to>
      <xdr:col>3</xdr:col>
      <xdr:colOff>428625</xdr:colOff>
      <xdr:row>9</xdr:row>
      <xdr:rowOff>285749</xdr:rowOff>
    </xdr:to>
    <xdr:graphicFrame macro="">
      <xdr:nvGraphicFramePr>
        <xdr:cNvPr id="2" name="chPvP">
          <a:extLst>
            <a:ext uri="{FF2B5EF4-FFF2-40B4-BE49-F238E27FC236}">
              <a16:creationId xmlns:a16="http://schemas.microsoft.com/office/drawing/2014/main" id="{F5B09918-5CA7-4F60-9880-B7D778882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71436</xdr:colOff>
      <xdr:row>13</xdr:row>
      <xdr:rowOff>376237</xdr:rowOff>
    </xdr:from>
    <xdr:to>
      <xdr:col>6</xdr:col>
      <xdr:colOff>338136</xdr:colOff>
      <xdr:row>21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71463-12FD-438B-A585-9FA0E671E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71436</xdr:colOff>
      <xdr:row>23</xdr:row>
      <xdr:rowOff>63362</xdr:rowOff>
    </xdr:from>
    <xdr:to>
      <xdr:col>6</xdr:col>
      <xdr:colOff>338136</xdr:colOff>
      <xdr:row>30</xdr:row>
      <xdr:rowOff>139562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41225A-1BC7-4B2B-87D6-CD0E7A2BE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6</xdr:col>
      <xdr:colOff>538162</xdr:colOff>
      <xdr:row>23</xdr:row>
      <xdr:rowOff>63362</xdr:rowOff>
    </xdr:from>
    <xdr:to>
      <xdr:col>11</xdr:col>
      <xdr:colOff>823912</xdr:colOff>
      <xdr:row>30</xdr:row>
      <xdr:rowOff>139562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BD3CF5-E7A2-4241-A7DD-5AD6393E7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71436</xdr:colOff>
      <xdr:row>33</xdr:row>
      <xdr:rowOff>114300</xdr:rowOff>
    </xdr:from>
    <xdr:to>
      <xdr:col>6</xdr:col>
      <xdr:colOff>338136</xdr:colOff>
      <xdr:row>41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46D8B3-17FE-4C8E-8DAF-945A9BC93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6</xdr:col>
      <xdr:colOff>538162</xdr:colOff>
      <xdr:row>4</xdr:row>
      <xdr:rowOff>161925</xdr:rowOff>
    </xdr:from>
    <xdr:to>
      <xdr:col>9</xdr:col>
      <xdr:colOff>447675</xdr:colOff>
      <xdr:row>9</xdr:row>
      <xdr:rowOff>323850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0D7641-9AF8-4B38-A1A7-BA9853492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</xdr:row>
      <xdr:rowOff>352425</xdr:rowOff>
    </xdr:from>
    <xdr:to>
      <xdr:col>6</xdr:col>
      <xdr:colOff>266700</xdr:colOff>
      <xdr:row>11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BDA9A-4A42-4A11-8B74-312CBD258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</xdr:row>
      <xdr:rowOff>0</xdr:rowOff>
    </xdr:from>
    <xdr:to>
      <xdr:col>6</xdr:col>
      <xdr:colOff>333375</xdr:colOff>
      <xdr:row>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C0E5C-7E99-4983-9C54-07C619BC0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0</xdr:colOff>
      <xdr:row>2</xdr:row>
      <xdr:rowOff>0</xdr:rowOff>
    </xdr:from>
    <xdr:to>
      <xdr:col>12</xdr:col>
      <xdr:colOff>333375</xdr:colOff>
      <xdr:row>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49E29D-5E75-472A-AD00-7ED5ACDE3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11</xdr:row>
      <xdr:rowOff>0</xdr:rowOff>
    </xdr:from>
    <xdr:to>
      <xdr:col>6</xdr:col>
      <xdr:colOff>333375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7E7CAC-548B-432C-A866-1D1ABC40D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7</xdr:col>
      <xdr:colOff>0</xdr:colOff>
      <xdr:row>11</xdr:row>
      <xdr:rowOff>0</xdr:rowOff>
    </xdr:from>
    <xdr:to>
      <xdr:col>12</xdr:col>
      <xdr:colOff>333375</xdr:colOff>
      <xdr:row>18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BBDBFF-D274-4DCD-9BC8-2F2CDC215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2" xr16:uid="{94339241-05A0-4499-A78C-E3C789403564}" autoFormatId="16" applyNumberFormats="0" applyBorderFormats="0" applyFontFormats="0" applyPatternFormats="0" applyAlignmentFormats="0" applyWidthHeightFormats="0">
  <queryTableRefresh nextId="3">
    <queryTableFields count="2">
      <queryTableField id="1" name="Long Name" tableColumnId="1"/>
      <queryTableField id="2" name="Total Scor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3" xr16:uid="{C4AAB0A0-2D77-4151-BD73-F248664F13CE}" autoFormatId="16" applyNumberFormats="0" applyBorderFormats="0" applyFontFormats="0" applyPatternFormats="0" applyAlignmentFormats="0" applyWidthHeightFormats="0">
  <queryTableRefresh nextId="3">
    <queryTableFields count="2">
      <queryTableField id="1" name="Long Name" tableColumnId="1"/>
      <queryTableField id="2" name="Score Spread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adjustColumnWidth="0" connectionId="1" xr16:uid="{DBD26D79-C20C-49A8-8C6B-C9568D17A495}" autoFormatId="16" applyNumberFormats="0" applyBorderFormats="0" applyFontFormats="0" applyPatternFormats="0" applyAlignmentFormats="0" applyWidthHeightFormats="0">
  <queryTableRefresh nextId="4">
    <queryTableFields count="3">
      <queryTableField id="1" name="Long Name" tableColumnId="1"/>
      <queryTableField id="2" name="Winner" tableColumnId="2"/>
      <queryTableField id="3" name="Top Scor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4" xr16:uid="{5B218C03-73AC-462F-87D9-504A9322B221}" autoFormatId="16" applyNumberFormats="0" applyBorderFormats="0" applyFontFormats="0" applyPatternFormats="0" applyAlignmentFormats="0" applyWidthHeightFormats="0">
  <queryTableRefresh nextId="4">
    <queryTableFields count="3">
      <queryTableField id="1" name="Long Name" tableColumnId="1"/>
      <queryTableField id="2" name="Loser" tableColumnId="2"/>
      <queryTableField id="3" name="Bottom Score" tableColumnId="3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C634A4-EFE9-4941-A97E-1F197F2D22C6}" name="tbResults" displayName="tbResults" ref="B2:AC414" headerRowDxfId="226" dataDxfId="225">
  <autoFilter ref="B2:AC414" xr:uid="{2CAD2018-4744-40E7-B8B4-712F5587FF6A}"/>
  <sortState xmlns:xlrd2="http://schemas.microsoft.com/office/spreadsheetml/2017/richdata2" ref="B3:AC393">
    <sortCondition ref="B2:B393"/>
  </sortState>
  <tableColumns count="28">
    <tableColumn id="22" xr3:uid="{682CD793-D42A-435D-818E-306FF467D350}" name="Game Title" dataDxfId="224" totalsRowDxfId="223">
      <calculatedColumnFormula>_xlfn.CONCAT(tbResults[[#This Row],[Series Title]],".",tbResults[[#This Row],[Game]])</calculatedColumnFormula>
    </tableColumn>
    <tableColumn id="1" xr3:uid="{0CD82C4A-7F68-44E7-A0F7-7AD7122966EF}" name="Season" totalsRowLabel="Total" dataDxfId="222" totalsRowDxfId="221"/>
    <tableColumn id="7" xr3:uid="{1D4864B4-7DB1-41CA-9B91-2B880C93CC97}" name="Stage" dataDxfId="220" totalsRowDxfId="219"/>
    <tableColumn id="6" xr3:uid="{C2614B21-E179-4415-BA5B-631D6F1B0DBA}" name="Week" dataDxfId="218" totalsRowDxfId="217"/>
    <tableColumn id="5" xr3:uid="{32B22A9C-DD04-444F-85F3-46684CAEDAF9}" name="Match" dataDxfId="216" totalsRowDxfId="215"/>
    <tableColumn id="10" xr3:uid="{E3FD5710-B878-4775-9C04-4F61FBAD806D}" name="Game" dataDxfId="214" totalsRowDxfId="213"/>
    <tableColumn id="27" xr3:uid="{D16FD2FC-7A36-4AC3-9EDB-3B6E875C686B}" name="Stage Title" dataDxfId="212" totalsRowDxfId="211">
      <calculatedColumnFormula>_xlfn.CONCAT(tbResults[[#This Row],[Season]],".",tbResults[[#This Row],[Stage]])</calculatedColumnFormula>
    </tableColumn>
    <tableColumn id="26" xr3:uid="{2AB0D418-3B81-462C-BAD2-9DF492ACB3F9}" name="Week Title" dataDxfId="210" totalsRowDxfId="209">
      <calculatedColumnFormula>_xlfn.CONCAT(tbResults[[#This Row],[Season]],".",tbResults[[#This Row],[Stage]],".",TEXT(tbResults[[#This Row],[Week]],"00"))</calculatedColumnFormula>
    </tableColumn>
    <tableColumn id="12" xr3:uid="{236F7AE1-077C-4AB5-8B2B-C8793599E881}" name="Series Title" dataDxfId="208" totalsRowDxfId="207">
      <calculatedColumnFormula>_xlfn.CONCAT(tbResults[[#This Row],[Week Title]],".",TEXT(tbResults[[#This Row],[Match]],"00"))</calculatedColumnFormula>
    </tableColumn>
    <tableColumn id="13" xr3:uid="{EB608304-EE04-4968-A02D-D4DE25E8A94B}" name="Long Name" dataDxfId="206" totalsRowDxfId="205">
      <calculatedColumnFormula>_xlfn.CONCAT(tbResults[[#This Row],[Game Title]], " ", tbResults[[#This Row],[Player1]], " vs ", tbResults[[#This Row],[Player2]] )</calculatedColumnFormula>
    </tableColumn>
    <tableColumn id="4" xr3:uid="{CFE9D10A-A4C2-4359-90B7-FDAE6E8C40ED}" name="Player1" dataDxfId="204" totalsRowDxfId="203"/>
    <tableColumn id="18" xr3:uid="{9AB7C72A-9EAE-4C42-AB7A-744CB8490DE2}" name="Player2" dataDxfId="202" totalsRowDxfId="201"/>
    <tableColumn id="19" xr3:uid="{FEBEF8A4-25F0-469C-9CD9-40A1DD4E4F52}" name="Map" dataDxfId="200" totalsRowDxfId="199"/>
    <tableColumn id="21" xr3:uid="{086CD8C8-05F3-428A-BD5E-14AE624BF36C}" name="Player1 Pick" dataDxfId="198" totalsRowDxfId="197"/>
    <tableColumn id="20" xr3:uid="{ABA8E676-820C-4366-B72F-594EC7A5999C}" name="Player2 Pick" dataDxfId="196" totalsRowDxfId="195"/>
    <tableColumn id="16" xr3:uid="{7FAA8692-EB1D-4898-AB7D-E917A45BCB5A}" name="Player1 Score" dataDxfId="194" totalsRowDxfId="193"/>
    <tableColumn id="15" xr3:uid="{0FDE794D-FD1C-4541-9B72-FC2A28E369C8}" name="Player2 Score" dataDxfId="192" totalsRowDxfId="191"/>
    <tableColumn id="28" xr3:uid="{02A58EE6-16DA-4B35-A971-3399D8F82A37}" name="OT?" dataDxfId="190" totalsRowDxfId="189"/>
    <tableColumn id="29" xr3:uid="{2F1467E4-0005-4443-824B-9AA3DD3EF870}" name="Player Banned" dataDxfId="188" totalsRowDxfId="187"/>
    <tableColumn id="30" xr3:uid="{A2735288-5047-4EA3-94D3-27BB8798ECE9}" name="Champ Ban" dataDxfId="186" totalsRowDxfId="185"/>
    <tableColumn id="24" xr3:uid="{18DC38D7-9260-48C6-BBEE-E51BD633A9A3}" name="Winner" dataDxfId="184" totalsRowDxfId="183">
      <calculatedColumnFormula>IF(tbResults[[#This Row],[Player1 Score]]&gt;tbResults[[#This Row],[Player2 Score]],tbResults[[#This Row],[Player1]],tbResults[[#This Row],[Player2]])</calculatedColumnFormula>
    </tableColumn>
    <tableColumn id="25" xr3:uid="{ECAF7E3C-0B78-4DB4-9FB0-2574954C1E52}" name="Loser" dataDxfId="182" totalsRowDxfId="181">
      <calculatedColumnFormula>IF(tbResults[[#This Row],[Player1 Score]]&gt;tbResults[[#This Row],[Player2 Score]],tbResults[[#This Row],[Player2]],tbResults[[#This Row],[Player1]])</calculatedColumnFormula>
    </tableColumn>
    <tableColumn id="2" xr3:uid="{5C83E6E5-29CB-49EE-890C-76639FA821F7}" name="Winning Champ" dataDxfId="180" totalsRowDxfId="179">
      <calculatedColumnFormula>IF(tbResults[[#This Row],[Winner]]=tbResults[[#This Row],[Player1]],tbResults[[#This Row],[Player1 Pick]],tbResults[[#This Row],[Player2 Pick]])</calculatedColumnFormula>
    </tableColumn>
    <tableColumn id="8" xr3:uid="{DB8366E2-ED3F-4583-8EE9-6F7E194F94B0}" name="Losing Champ" dataDxfId="178" totalsRowDxfId="177">
      <calculatedColumnFormula>IF(tbResults[[#This Row],[Loser]]=tbResults[[#This Row],[Player1]],tbResults[[#This Row],[Player1 Pick]],tbResults[[#This Row],[Player2 Pick]])</calculatedColumnFormula>
    </tableColumn>
    <tableColumn id="9" xr3:uid="{74115DE2-D516-4378-BC52-E0B6BE003813}" name="Total Score" dataDxfId="176" totalsRowDxfId="175">
      <calculatedColumnFormula>SUM(tbResults[[#This Row],[Player1 Score]],tbResults[[#This Row],[Player2 Score]])</calculatedColumnFormula>
    </tableColumn>
    <tableColumn id="11" xr3:uid="{BA99479A-C01A-4018-B460-B6D276135B78}" name="Score Spread" dataDxfId="174" totalsRowDxfId="173">
      <calculatedColumnFormula>ABS(tbResults[[#This Row],[Player1 Score]]-tbResults[[#This Row],[Player2 Score]])</calculatedColumnFormula>
    </tableColumn>
    <tableColumn id="14" xr3:uid="{CB9999B6-E58C-4E10-871F-3F41E44D1BB9}" name="Top Score" dataDxfId="172" totalsRowDxfId="171">
      <calculatedColumnFormula>IF(tbResults[[#This Row],[Player1 Score]]&gt;tbResults[[#This Row],[Player2 Score]],tbResults[[#This Row],[Player1 Score]],tbResults[[#This Row],[Player2 Score]])</calculatedColumnFormula>
    </tableColumn>
    <tableColumn id="17" xr3:uid="{7FD34A0E-324F-498E-ACCD-2C23F7A16D45}" name="Bottom Score" dataDxfId="170" totalsRowDxfId="169">
      <calculatedColumnFormula>IF(tbResults[[#This Row],[Player1 Score]]&lt;tbResults[[#This Row],[Player2 Score]],tbResults[[#This Row],[Player1 Score]],tbResults[[#This Row],[Player2 Score]])</calculatedColumnFormula>
    </tableColumn>
  </tableColumns>
  <tableStyleInfo name="Simp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D9E95DD-A780-4E0F-99B7-3752BF372458}" name="tbMapWinsbyChamp" displayName="tbMapWinsbyChamp" ref="B14:R19" totalsRowShown="0" headerRowDxfId="50" dataDxfId="49">
  <autoFilter ref="B14:R19" xr:uid="{BF2B6263-006E-42B8-9F7C-D31A415924CB}"/>
  <tableColumns count="17">
    <tableColumn id="1" xr3:uid="{67888E4F-50E2-474E-9351-CB66450E83F0}" name="Map" dataDxfId="48"/>
    <tableColumn id="2" xr3:uid="{B636E905-D068-4B17-B52D-A35EA943588C}" name="Anarki" dataDxfId="47">
      <calculatedColumnFormula>COUNTIFS(tbResults[Map],tbMapWinsbyChamp[[#This Row],[Map]],tbResults[Winning Champ],OFFSET(tbMapWinsbyChamp[#Headers],0,1))</calculatedColumnFormula>
    </tableColumn>
    <tableColumn id="3" xr3:uid="{2FA568D1-C5AE-4645-AE85-457BABFBF564}" name="Athena" dataDxfId="46">
      <calculatedColumnFormula>COUNTIFS(tbResults[Map],tbMapWinsbyChamp[[#This Row],[Map]],tbResults[Winning Champ],OFFSET(tbMapWinsbyChamp[#Headers],0,1))</calculatedColumnFormula>
    </tableColumn>
    <tableColumn id="4" xr3:uid="{CF7511FB-49FE-4A21-918C-A8F7ADD689EF}" name="BJ Blazkowicz" dataDxfId="45">
      <calculatedColumnFormula>COUNTIFS(tbResults[Map],tbMapWinsbyChamp[[#This Row],[Map]],tbResults[Winning Champ],OFFSET(tbMapWinsbyChamp[#Headers],0,1))</calculatedColumnFormula>
    </tableColumn>
    <tableColumn id="5" xr3:uid="{38937D28-9032-4973-ABA5-6DA9C318782E}" name="Clutch" dataDxfId="44">
      <calculatedColumnFormula>COUNTIFS(tbResults[Map],tbMapWinsbyChamp[[#This Row],[Map]],tbResults[Winning Champ],OFFSET(tbMapWinsbyChamp[#Headers],0,1))</calculatedColumnFormula>
    </tableColumn>
    <tableColumn id="6" xr3:uid="{0BD12EA2-45BA-4D1E-8F24-622C49900B38}" name="Death Knight" dataDxfId="43">
      <calculatedColumnFormula>COUNTIFS(tbResults[Map],tbMapWinsbyChamp[[#This Row],[Map]],tbResults[Winning Champ],OFFSET(tbMapWinsbyChamp[#Headers],0,1))</calculatedColumnFormula>
    </tableColumn>
    <tableColumn id="7" xr3:uid="{D650C8B6-2254-4EEF-9485-88A95E848F14}" name="Doom" dataDxfId="42">
      <calculatedColumnFormula>COUNTIFS(tbResults[Map],tbMapWinsbyChamp[[#This Row],[Map]],tbResults[Winning Champ],OFFSET(tbMapWinsbyChamp[#Headers],0,1))</calculatedColumnFormula>
    </tableColumn>
    <tableColumn id="8" xr3:uid="{3D5AB5CA-A7C5-402E-A87E-579EC03EF014}" name="Eisen" dataDxfId="41">
      <calculatedColumnFormula>COUNTIFS(tbResults[Map],tbMapWinsbyChamp[[#This Row],[Map]],tbResults[Winning Champ],OFFSET(tbMapWinsbyChamp[#Headers],0,1))</calculatedColumnFormula>
    </tableColumn>
    <tableColumn id="9" xr3:uid="{34874BB0-F18D-4D8C-AC99-3CA701052F11}" name="Galena" dataDxfId="40">
      <calculatedColumnFormula>COUNTIFS(tbResults[Map],tbMapWinsbyChamp[[#This Row],[Map]],tbResults[Winning Champ],OFFSET(tbMapWinsbyChamp[#Headers],0,1))</calculatedColumnFormula>
    </tableColumn>
    <tableColumn id="10" xr3:uid="{176E76FB-85AA-41ED-AD3C-1044CA8FFE0F}" name="Keel" dataDxfId="39">
      <calculatedColumnFormula>COUNTIFS(tbResults[Map],tbMapWinsbyChamp[[#This Row],[Map]],tbResults[Winning Champ],OFFSET(tbMapWinsbyChamp[#Headers],0,1))</calculatedColumnFormula>
    </tableColumn>
    <tableColumn id="11" xr3:uid="{9FC589AA-B425-4B28-9A8F-952D6BA8B8DC}" name="Nyx" dataDxfId="38">
      <calculatedColumnFormula>COUNTIFS(tbResults[Map],tbMapWinsbyChamp[[#This Row],[Map]],tbResults[Winning Champ],OFFSET(tbMapWinsbyChamp[#Headers],0,1))</calculatedColumnFormula>
    </tableColumn>
    <tableColumn id="12" xr3:uid="{22198DDE-58A6-44AE-B71B-86D70FF3923B}" name="Ranger" dataDxfId="37">
      <calculatedColumnFormula>COUNTIFS(tbResults[Map],tbMapWinsbyChamp[[#This Row],[Map]],tbResults[Winning Champ],OFFSET(tbMapWinsbyChamp[#Headers],0,1))</calculatedColumnFormula>
    </tableColumn>
    <tableColumn id="13" xr3:uid="{92A2553B-D4E7-4908-8AD5-C5F4BF921AA4}" name="Scalebearer" dataDxfId="36">
      <calculatedColumnFormula>COUNTIFS(tbResults[Map],tbMapWinsbyChamp[[#This Row],[Map]],tbResults[Winning Champ],OFFSET(tbMapWinsbyChamp[#Headers],0,1))</calculatedColumnFormula>
    </tableColumn>
    <tableColumn id="14" xr3:uid="{334D0D33-D412-4721-8E46-24E0DA58B7B6}" name="Slash" dataDxfId="35">
      <calculatedColumnFormula>COUNTIFS(tbResults[Map],tbMapWinsbyChamp[[#This Row],[Map]],tbResults[Winning Champ],OFFSET(tbMapWinsbyChamp[#Headers],0,1))</calculatedColumnFormula>
    </tableColumn>
    <tableColumn id="15" xr3:uid="{7F94AAE6-A0AF-4725-9112-60E88C6B4ACB}" name="Sorlag" dataDxfId="34">
      <calculatedColumnFormula>COUNTIFS(tbResults[Map],tbMapWinsbyChamp[[#This Row],[Map]],tbResults[Winning Champ],OFFSET(tbMapWinsbyChamp[#Headers],0,1))</calculatedColumnFormula>
    </tableColumn>
    <tableColumn id="16" xr3:uid="{EE2F4A5D-493D-431A-92FE-42558F85F926}" name="Strogg" dataDxfId="33">
      <calculatedColumnFormula>COUNTIFS(tbResults[Map],tbMapWinsbyChamp[[#This Row],[Map]],tbResults[Winning Champ],OFFSET(tbMapWinsbyChamp[#Headers],0,1))</calculatedColumnFormula>
    </tableColumn>
    <tableColumn id="17" xr3:uid="{DEF5B2C0-A632-4932-B757-A39011F7CAA3}" name="Visor" dataDxfId="32">
      <calculatedColumnFormula>COUNTIFS(tbResults[Map],tbMapWinsbyChamp[[#This Row],[Map]],tbResults[Winning Champ],OFFSET(tbMapWinsbyChamp[#Headers],0,1))</calculatedColumnFormula>
    </tableColumn>
  </tableColumns>
  <tableStyleInfo name="Simp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B61FD02-E562-434B-9037-16210BF1EAFD}" name="qHighestScoringMatches" displayName="qHighestScoringMatches" ref="B21:C26" tableType="queryTable" totalsRowShown="0" headerRowDxfId="31" dataDxfId="30">
  <autoFilter ref="B21:C26" xr:uid="{2928942A-85E6-412F-83C8-0049B94D23FA}"/>
  <tableColumns count="2">
    <tableColumn id="1" xr3:uid="{85300DA7-ABE1-4A35-94A5-12F38CE5BD21}" uniqueName="1" name="Long Name" queryTableFieldId="1" dataDxfId="29"/>
    <tableColumn id="2" xr3:uid="{BF7A0480-40A4-422A-B46A-45C639A86ACA}" uniqueName="2" name="Total Score" queryTableFieldId="2" dataDxfId="28"/>
  </tableColumns>
  <tableStyleInfo name="Simp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B3D0B1-A253-4386-84EC-5F3E54212AAD}" name="qHighestScoringMatches__2" displayName="qHighestScoringMatches__2" ref="H21:I26" tableType="queryTable" totalsRowShown="0" headerRowDxfId="27" dataDxfId="26">
  <autoFilter ref="H21:I26" xr:uid="{971A1CC4-9E5F-4EBD-8F04-8DAAEED6573B}"/>
  <tableColumns count="2">
    <tableColumn id="1" xr3:uid="{C62896CA-EF2A-4610-837B-4C7D1F4EE2A9}" uniqueName="1" name="Long Name" queryTableFieldId="1" dataDxfId="25"/>
    <tableColumn id="2" xr3:uid="{E388A54C-A2DC-48A6-930C-2EE210AB9C74}" uniqueName="2" name="Score Spread" queryTableFieldId="2" dataDxfId="24"/>
  </tableColumns>
  <tableStyleInfo name="Simp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DA470BA-89F9-4BA5-B465-9A5E4FAA5A73}" name="qHighestScore" displayName="qHighestScore" ref="B29:D34" tableType="queryTable" totalsRowShown="0" headerRowDxfId="23" dataDxfId="22">
  <autoFilter ref="B29:D34" xr:uid="{B4EE7F0A-3FBF-4EB5-91D0-AA738488BFAA}"/>
  <tableColumns count="3">
    <tableColumn id="1" xr3:uid="{C0532683-86A1-475B-B313-99BA2124A30D}" uniqueName="1" name="Long Name" queryTableFieldId="1" dataDxfId="21"/>
    <tableColumn id="2" xr3:uid="{D9B59534-E358-4EE4-85A3-B2EB623E781B}" uniqueName="2" name="Winner" queryTableFieldId="2" dataDxfId="20"/>
    <tableColumn id="3" xr3:uid="{C564DE8C-3ED6-45F3-B2BE-60A5826934B7}" uniqueName="3" name="Top Score" queryTableFieldId="3" dataDxfId="19"/>
  </tableColumns>
  <tableStyleInfo name="Simpl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3664AF2-A179-4230-9B93-A4456CC93C50}" name="qLowestScore" displayName="qLowestScore" ref="H29:J34" tableType="queryTable" totalsRowShown="0" headerRowDxfId="18" dataDxfId="17">
  <autoFilter ref="H29:J34" xr:uid="{B1509796-4924-4E05-8F38-7235AFC7F20A}"/>
  <tableColumns count="3">
    <tableColumn id="1" xr3:uid="{561E4564-7A52-49F2-9F00-5EB452B62F7C}" uniqueName="1" name="Long Name" queryTableFieldId="1" dataDxfId="16"/>
    <tableColumn id="2" xr3:uid="{04D6B88D-553E-4597-92C8-B46C4351001A}" uniqueName="2" name="Loser" queryTableFieldId="2" dataDxfId="15"/>
    <tableColumn id="3" xr3:uid="{FF407C09-AC47-468D-867B-C0CEBCE29107}" uniqueName="3" name="Bottom Score" queryTableFieldId="3" dataDxfId="14"/>
  </tableColumns>
  <tableStyleInfo name="Simpl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50BFBA-28AF-422F-BCC3-D83B159AFA12}" name="tbMaps" displayName="tbMaps" ref="B3:B12" totalsRowShown="0" headerRowDxfId="13" dataDxfId="12">
  <autoFilter ref="B3:B12" xr:uid="{2327ACD8-C728-4E11-A880-459A90BE0524}"/>
  <sortState xmlns:xlrd2="http://schemas.microsoft.com/office/spreadsheetml/2017/richdata2" ref="B4:B12">
    <sortCondition ref="B3:B12"/>
  </sortState>
  <tableColumns count="1">
    <tableColumn id="1" xr3:uid="{70DA3760-786F-4298-A462-294A8A8CA8CC}" name="Name" dataDxfId="11"/>
  </tableColumns>
  <tableStyleInfo name="Simple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74744F-D3D5-41D7-86E7-E6A29292F32A}" name="tbPlayers" displayName="tbPlayers" ref="B15:B39" totalsRowShown="0" headerRowDxfId="10" dataDxfId="9">
  <autoFilter ref="B15:B39" xr:uid="{B4B5E194-5012-42DE-A1A4-6A8EBEF3D4DA}"/>
  <tableColumns count="1">
    <tableColumn id="1" xr3:uid="{36C4D3F5-67AE-4069-880E-F67646D7F95A}" name="Name" dataDxfId="8"/>
  </tableColumns>
  <tableStyleInfo name="Simple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97F9758-58E6-46F0-BCF3-E7C547F707CE}" name="tbChamps" displayName="tbChamps" ref="B42:B58" totalsRowShown="0" headerRowDxfId="7" dataDxfId="6">
  <autoFilter ref="B42:B58" xr:uid="{1AD9750C-5C8D-4AF0-AE31-D522BA767620}"/>
  <tableColumns count="1">
    <tableColumn id="1" xr3:uid="{BD83553C-3AB8-47B4-848A-676ED51E4D8F}" name="Name" dataDxfId="5"/>
  </tableColumns>
  <tableStyleInfo name="Simp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61FDE7B-E996-4247-AA65-8E5208E29FD1}" name="tbMapBans22" displayName="tbMapBans22" ref="B3:D519" totalsRowShown="0" headerRowDxfId="4" dataDxfId="3">
  <autoFilter ref="B3:D519" xr:uid="{588B8DAB-813D-4716-B48A-E84D333538F8}"/>
  <tableColumns count="3">
    <tableColumn id="1" xr3:uid="{C994A4B5-AE5E-4E7B-AD3B-AF49CC96A0AE}" name="Series Title" dataDxfId="2"/>
    <tableColumn id="2" xr3:uid="{1763CCB2-FD84-4BF9-A709-56FE035DF942}" name="Player Banning" dataDxfId="1"/>
    <tableColumn id="3" xr3:uid="{77825D3C-6501-44E9-9728-1419447927BA}" name="Map Ban" dataDxfId="0"/>
  </tableColumns>
  <tableStyleInfo name="Simp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299F99-F887-4B69-AA5E-D26EAA1DBB15}" name="tbBets" displayName="tbBets" ref="B3:T139" totalsRowCount="1" headerRowDxfId="168" dataDxfId="167">
  <autoFilter ref="B3:T138" xr:uid="{F7335544-0610-42B6-8FCD-3EF63D76B2E3}"/>
  <sortState xmlns:xlrd2="http://schemas.microsoft.com/office/spreadsheetml/2017/richdata2" ref="B4:T38">
    <sortCondition ref="C3:C38"/>
  </sortState>
  <tableColumns count="19">
    <tableColumn id="3" xr3:uid="{8A9CCB00-9206-4A6A-B5B9-BEAEE9933BC4}" name="Game title" dataDxfId="166" totalsRowDxfId="165"/>
    <tableColumn id="5" xr3:uid="{AA0F9C94-4203-4E67-97B9-CFBD3DCD6BD1}" name="Week Title" dataDxfId="164" totalsRowDxfId="163">
      <calculatedColumnFormula>VLOOKUP(tbBets[[#This Row],[Game title]],tbResults[],(MATCH(OFFSET(tbBets[#Headers],0,1),tbResults[#Headers],0)),0)</calculatedColumnFormula>
    </tableColumn>
    <tableColumn id="4" xr3:uid="{9F738658-B0E4-4A52-B582-EC921AB8DE16}" name="Player1" dataDxfId="162" totalsRowDxfId="161"/>
    <tableColumn id="18" xr3:uid="{CA3677A4-4371-485D-9A6E-9D6799A1CBA7}" name="Player2" dataDxfId="160" totalsRowDxfId="159"/>
    <tableColumn id="19" xr3:uid="{34B07FA6-CA18-4E9C-97D0-07B60C778689}" name="Map" dataDxfId="158" totalsRowDxfId="157"/>
    <tableColumn id="21" xr3:uid="{5D6F0C84-5ECE-4914-93BA-C03C84173E4D}" name="Player1 Pick" dataDxfId="156" totalsRowDxfId="155"/>
    <tableColumn id="20" xr3:uid="{3F0B9786-5D5B-4A36-85BD-4FA820837EFD}" name="Player2 Pick" dataDxfId="154" totalsRowDxfId="153"/>
    <tableColumn id="28" xr3:uid="{C78A48BA-9552-492C-A326-884FE9440CFE}" name="Opening Balance" dataDxfId="152" totalsRowDxfId="151"/>
    <tableColumn id="1" xr3:uid="{E3E4E8D4-64F3-473A-8067-BBBAB783A0B1}" name="Low Bet" dataDxfId="150" totalsRowDxfId="149">
      <calculatedColumnFormula>tbBets[[#This Row],[Opening Balance]]*(1/25)</calculatedColumnFormula>
    </tableColumn>
    <tableColumn id="2" xr3:uid="{B0DFA029-FCF8-4373-9611-EF3AECBDC9D2}" name="High Bet" dataDxfId="148" totalsRowDxfId="147">
      <calculatedColumnFormula>tbBets[[#This Row],[Opening Balance]]*(1/15)</calculatedColumnFormula>
    </tableColumn>
    <tableColumn id="13" xr3:uid="{9EC03186-DE4B-49DE-A998-BE29B5D6EFED}" name="My pick" dataDxfId="146" totalsRowDxfId="145"/>
    <tableColumn id="17" xr3:uid="{271CC279-3F2A-4206-8450-3ED222B1B064}" name="My bet" dataDxfId="144" totalsRowDxfId="143"/>
    <tableColumn id="23" xr3:uid="{8DEEF583-CF76-4475-98C4-BAE6E79C8D6C}" name="Player1 %" dataDxfId="142" totalsRowDxfId="141"/>
    <tableColumn id="22" xr3:uid="{D90CDAF3-BBDA-4909-997B-5D29CF29C04D}" name="Player 2%" dataDxfId="140" totalsRowDxfId="139"/>
    <tableColumn id="14" xr3:uid="{AD90B9D7-780E-488E-B535-54CD35C03327}" name="Win?" dataDxfId="138" totalsRowDxfId="137">
      <calculatedColumnFormula>IF(tbBets[[#This Row],[Winner]]=tbBets[[#This Row],[My pick]],"Yes","No")</calculatedColumnFormula>
    </tableColumn>
    <tableColumn id="8" xr3:uid="{DE4B2436-B026-4482-9BA6-06175F5E62D8}" name="Payout" totalsRowFunction="average" dataDxfId="136" totalsRowDxfId="135"/>
    <tableColumn id="6" xr3:uid="{7F8FCE7B-CFDC-4DC1-A9A0-C209FB352F15}" name="Weekly Winnings" dataDxfId="134" totalsRowDxfId="133">
      <calculatedColumnFormula>SUMIF(tbBets[Week Title],tbBets[[#This Row],[Week Title]],tbBets[Payout])-SUMIF(tbBets[Week Title],tbBets[[#This Row],[Week Title]],tbBets[My bet])</calculatedColumnFormula>
    </tableColumn>
    <tableColumn id="29" xr3:uid="{E491E0F7-EE1F-48BB-94A0-EC5C356156C8}" name="Winner" dataDxfId="132" totalsRowDxfId="131">
      <calculatedColumnFormula>VLOOKUP(tbBets[[#This Row],[Game title]],tbResults[],(MATCH(OFFSET(tbBets[#Headers],0,1),tbResults[#Headers],0)),0)</calculatedColumnFormula>
    </tableColumn>
    <tableColumn id="30" xr3:uid="{45DD86CF-B0BA-426E-8D20-4734AB1261F6}" name="Loser" dataDxfId="130" totalsRowDxfId="129">
      <calculatedColumnFormula>VLOOKUP(tbBets[[#This Row],[Game title]],tbResults[],(MATCH(OFFSET(tbBets[#Headers],0,1),tbResults[#Headers],0)),0)</calculatedColumnFormula>
    </tableColumn>
  </tableColumns>
  <tableStyleInfo name="Simp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0E601A-D425-4AE5-80C4-FD3537E6B468}" name="tbPvP" displayName="tbPvP" ref="B43:D45" totalsRowShown="0" headerRowDxfId="128" dataDxfId="127">
  <autoFilter ref="B43:D45" xr:uid="{63A64C76-1C1C-42B8-8CA9-90DC4428698F}"/>
  <tableColumns count="3">
    <tableColumn id="1" xr3:uid="{4088A2BE-2579-439D-89C6-D58D8B910992}" name="Player" dataDxfId="126">
      <calculatedColumnFormula>C42</calculatedColumnFormula>
    </tableColumn>
    <tableColumn id="2" xr3:uid="{05CFF3B2-5F0C-46F4-BCD4-B017FFC16343}" name="Wins" dataDxfId="125">
      <calculatedColumnFormula xml:space="preserve">
COUNTIFS(tbResults[Player1],AT1_Player1,tbResults[Player2],sPlayer2,tbResults[Winner],AT1_Player1) +
COUNTIFS(tbResults[Player1],sPlayer2,tbResults[Player2],AT1_Player1,tbResults[Winner],AT1_Player1)</calculatedColumnFormula>
    </tableColumn>
    <tableColumn id="3" xr3:uid="{1E89950B-F4E8-459E-A0EA-97ED5149A737}" name="Losses" dataDxfId="124">
      <calculatedColumnFormula xml:space="preserve">
COUNTIFS(tbResults[Player1],AT1_Player1,tbResults[Player2],sPlayer2,tbResults[Loser],AT1_Player1) +
COUNTIFS(tbResults[Player1],sPlayer2,tbResults[Player2],AT1_Player1,tbResults[Loser],AT1_Player1)</calculatedColumnFormula>
    </tableColumn>
  </tableColumns>
  <tableStyleInfo name="Simp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5C9816-C275-4D44-A2B8-D0A8F49B3D27}" name="tbMostWinningMap" displayName="tbMostWinningMap" ref="B53:I61" totalsRowShown="0" headerRowDxfId="123" dataDxfId="122">
  <autoFilter ref="B53:I61" xr:uid="{F6B767C9-FCDF-4498-B50B-D802A90C51EE}"/>
  <tableColumns count="8">
    <tableColumn id="1" xr3:uid="{EB8AA1B5-2012-4842-B565-6C8782E90634}" name="Player" dataDxfId="121"/>
    <tableColumn id="2" xr3:uid="{D6FE55D5-6A5D-410A-AD46-E6577244697F}" name="Awoken" dataDxfId="120">
      <calculatedColumnFormula>COUNTIFS(tbResults[Winner],sPlayer1,tbResults[Map],OFFSET(tbMostWinningMap[#Headers],0,1))</calculatedColumnFormula>
    </tableColumn>
    <tableColumn id="3" xr3:uid="{8BFCE2BB-41B8-40DE-8147-1ED9458498C7}" name="Corrupted Keep" dataDxfId="119">
      <calculatedColumnFormula>COUNTIFS(tbResults[Winner],sPlayer1,tbResults[Map],OFFSET(tbMostWinningMap[#Headers],0,1))</calculatedColumnFormula>
    </tableColumn>
    <tableColumn id="4" xr3:uid="{772EB856-5332-478C-9D14-C63CEE567644}" name="Deep Embrace" dataDxfId="118">
      <calculatedColumnFormula>COUNTIFS(tbResults[Winner],sPlayer1,tbResults[Map],OFFSET(tbMostWinningMap[#Headers],0,1))</calculatedColumnFormula>
    </tableColumn>
    <tableColumn id="5" xr3:uid="{0B24637C-3479-416C-B268-44FC5A8F1D58}" name="Exile" dataDxfId="117">
      <calculatedColumnFormula>COUNTIFS(tbResults[Winner],sPlayer1,tbResults[Map],OFFSET(tbMostWinningMap[#Headers],0,1))</calculatedColumnFormula>
    </tableColumn>
    <tableColumn id="6" xr3:uid="{4A523C32-4376-43C6-A305-9A87352B10C0}" name="Molten Falls" dataDxfId="116">
      <calculatedColumnFormula>COUNTIFS(tbResults[Winner],sPlayer1,tbResults[Map],OFFSET(tbMostWinningMap[#Headers],0,1))</calculatedColumnFormula>
    </tableColumn>
    <tableColumn id="7" xr3:uid="{50A95CB9-F3C0-4733-A6B6-45E02BCECCDD}" name="Ruins of Sarnath" dataDxfId="115">
      <calculatedColumnFormula>COUNTIFS(tbResults[Winner],sPlayer1,tbResults[Map],OFFSET(tbMostWinningMap[#Headers],0,1))</calculatedColumnFormula>
    </tableColumn>
    <tableColumn id="8" xr3:uid="{AC30E41D-61C7-47AE-B10B-5E96D249E390}" name="Vale of P'nath" dataDxfId="114">
      <calculatedColumnFormula>COUNTIFS(tbResults[Winner],sPlayer1,tbResults[Map],OFFSET(tbMostWinningMap[#Headers],0,1))</calculatedColumnFormula>
    </tableColumn>
  </tableColumns>
  <tableStyleInfo name="Simp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8BE598-5F7D-4674-B9A0-EB7C773D5281}" name="tbBestChamp" displayName="tbBestChamp" ref="B64:R66" totalsRowShown="0" headerRowDxfId="113" dataDxfId="112">
  <autoFilter ref="B64:R66" xr:uid="{92BAD4BA-0CF5-458E-BF0F-4E43644D8DC0}"/>
  <tableColumns count="17">
    <tableColumn id="1" xr3:uid="{AD894FB7-3A6C-4F44-80C9-319F937BDEBD}" name="Player" dataDxfId="111"/>
    <tableColumn id="2" xr3:uid="{E8D4BA44-3445-413A-BD38-6FB194ABC09B}" name="Anarki" dataDxfId="110">
      <calculatedColumnFormula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calculatedColumnFormula>
    </tableColumn>
    <tableColumn id="3" xr3:uid="{C7497AC6-063F-412D-B375-2B53B4AE9AD5}" name="Athena" dataDxfId="109">
      <calculatedColumnFormula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calculatedColumnFormula>
    </tableColumn>
    <tableColumn id="4" xr3:uid="{96B309CD-41AE-4DFB-8A11-13474B841C01}" name="BJ Blazkowicz" dataDxfId="108">
      <calculatedColumnFormula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calculatedColumnFormula>
    </tableColumn>
    <tableColumn id="5" xr3:uid="{80BC5F07-41F0-4A76-A593-FF5FB5372860}" name="Clutch" dataDxfId="107">
      <calculatedColumnFormula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calculatedColumnFormula>
    </tableColumn>
    <tableColumn id="17" xr3:uid="{F99BF6F9-FE5D-4D74-BE5A-DB9C59E3E172}" name="Death Knight" dataDxfId="106">
      <calculatedColumnFormula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calculatedColumnFormula>
    </tableColumn>
    <tableColumn id="6" xr3:uid="{E9F90660-F37A-455F-AB36-B0FA42F65446}" name="Doom" dataDxfId="105">
      <calculatedColumnFormula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calculatedColumnFormula>
    </tableColumn>
    <tableColumn id="7" xr3:uid="{75CAD29D-FAC6-4DD3-8B80-0F58E15C8F3E}" name="Eisen" dataDxfId="104">
      <calculatedColumnFormula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calculatedColumnFormula>
    </tableColumn>
    <tableColumn id="8" xr3:uid="{C66E5F9D-0AE8-4330-96C5-3F14FD9D3A3C}" name="Galena" dataDxfId="103">
      <calculatedColumnFormula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calculatedColumnFormula>
    </tableColumn>
    <tableColumn id="9" xr3:uid="{1E557AEF-9379-4CCA-AE80-4640164E9686}" name="Keel" dataDxfId="102">
      <calculatedColumnFormula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calculatedColumnFormula>
    </tableColumn>
    <tableColumn id="10" xr3:uid="{93D9BA8F-6F36-42AD-9A2A-178B3710FB31}" name="Nyx" dataDxfId="101">
      <calculatedColumnFormula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calculatedColumnFormula>
    </tableColumn>
    <tableColumn id="11" xr3:uid="{FEB2EF9F-B01E-4B15-8807-B45D3A14E821}" name="Ranger" dataDxfId="100">
      <calculatedColumnFormula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calculatedColumnFormula>
    </tableColumn>
    <tableColumn id="12" xr3:uid="{1B81FF8B-A36D-4D74-B2EB-014A7369623E}" name="Scalebearer" dataDxfId="99">
      <calculatedColumnFormula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calculatedColumnFormula>
    </tableColumn>
    <tableColumn id="13" xr3:uid="{7FBFED2C-5548-47EA-95AB-6795BC5D26B2}" name="Slash" dataDxfId="98">
      <calculatedColumnFormula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calculatedColumnFormula>
    </tableColumn>
    <tableColumn id="14" xr3:uid="{AEBE568A-F441-42B2-8E69-03C258D3EE99}" name="Sorlag" dataDxfId="97">
      <calculatedColumnFormula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calculatedColumnFormula>
    </tableColumn>
    <tableColumn id="15" xr3:uid="{2CB0FEC1-C7CF-49B8-9FA7-F836EC8F58C6}" name="Strogg" dataDxfId="96">
      <calculatedColumnFormula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calculatedColumnFormula>
    </tableColumn>
    <tableColumn id="16" xr3:uid="{C0812557-12FB-4144-A47D-093DDAAEF497}" name="Visor" dataDxfId="95">
      <calculatedColumnFormula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calculatedColumnFormula>
    </tableColumn>
  </tableColumns>
  <tableStyleInfo name="Simp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D262A6-AE58-4B1F-866D-0E2C661C7B6C}" name="tbWorstChamp" displayName="tbWorstChamp" ref="B69:R71" totalsRowShown="0" headerRowDxfId="94" dataDxfId="93">
  <autoFilter ref="B69:R71" xr:uid="{1373380E-52EF-4DD9-BA7A-A8BFC5109A48}"/>
  <tableColumns count="17">
    <tableColumn id="1" xr3:uid="{6077AFC9-0BCA-4206-A7A2-370480ACE496}" name="Player" dataDxfId="92"/>
    <tableColumn id="2" xr3:uid="{92E46ED4-38FA-4085-A43A-04F2DD434C58}" name="Anarki" dataDxfId="91">
      <calculatedColumnFormula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calculatedColumnFormula>
    </tableColumn>
    <tableColumn id="3" xr3:uid="{0D07ABB4-1E69-4524-A67B-6AAF4821C347}" name="Athena" dataDxfId="90">
      <calculatedColumnFormula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calculatedColumnFormula>
    </tableColumn>
    <tableColumn id="4" xr3:uid="{15B47267-68A4-4E33-A7C7-3F54B32F5A55}" name="BJ Blazkowicz" dataDxfId="89">
      <calculatedColumnFormula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calculatedColumnFormula>
    </tableColumn>
    <tableColumn id="5" xr3:uid="{3E162348-6F19-4151-A0DE-5159E0176522}" name="Clutch" dataDxfId="88">
      <calculatedColumnFormula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calculatedColumnFormula>
    </tableColumn>
    <tableColumn id="17" xr3:uid="{EBD20C61-4E3F-49A5-9CFE-01599664A69C}" name="Death Knight" dataDxfId="87">
      <calculatedColumnFormula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calculatedColumnFormula>
    </tableColumn>
    <tableColumn id="6" xr3:uid="{1A5AE54F-59F8-4C66-ACB1-D07C869845C4}" name="Doom" dataDxfId="86">
      <calculatedColumnFormula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calculatedColumnFormula>
    </tableColumn>
    <tableColumn id="7" xr3:uid="{F14A51AF-8749-4822-A892-D004BF731B0B}" name="Eisen" dataDxfId="85">
      <calculatedColumnFormula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calculatedColumnFormula>
    </tableColumn>
    <tableColumn id="8" xr3:uid="{A0001B2E-11BB-4CFE-8A25-E70E960EAA0F}" name="Galena" dataDxfId="84">
      <calculatedColumnFormula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calculatedColumnFormula>
    </tableColumn>
    <tableColumn id="9" xr3:uid="{F1ADFF2C-F4FF-43B0-AAC1-85C0F8593242}" name="Keel" dataDxfId="83">
      <calculatedColumnFormula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calculatedColumnFormula>
    </tableColumn>
    <tableColumn id="10" xr3:uid="{C5EB612E-172B-4F44-A7EC-28CD19F938C4}" name="Nyx" dataDxfId="82">
      <calculatedColumnFormula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calculatedColumnFormula>
    </tableColumn>
    <tableColumn id="11" xr3:uid="{805A7860-64DC-4B83-905E-8E5FBE54DF92}" name="Ranger" dataDxfId="81">
      <calculatedColumnFormula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calculatedColumnFormula>
    </tableColumn>
    <tableColumn id="12" xr3:uid="{B0A6C8A9-C1EC-401D-B192-FE9E52DA3DA4}" name="Scalebearer" dataDxfId="80">
      <calculatedColumnFormula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calculatedColumnFormula>
    </tableColumn>
    <tableColumn id="13" xr3:uid="{61B69DD0-4475-40ED-AE01-B582712E5D8D}" name="Slash" dataDxfId="79">
      <calculatedColumnFormula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calculatedColumnFormula>
    </tableColumn>
    <tableColumn id="14" xr3:uid="{8EAB0194-2DFC-4482-BDC6-F1319205AF6B}" name="Sorlag" dataDxfId="78">
      <calculatedColumnFormula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calculatedColumnFormula>
    </tableColumn>
    <tableColumn id="15" xr3:uid="{CC7DB6FB-0E0E-460B-A668-2FC00BEDF153}" name="Strogg" dataDxfId="77">
      <calculatedColumnFormula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calculatedColumnFormula>
    </tableColumn>
    <tableColumn id="16" xr3:uid="{CB0B056E-6AEA-4A9D-AE94-70833F545047}" name="Visor" dataDxfId="76">
      <calculatedColumnFormula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calculatedColumnFormula>
    </tableColumn>
  </tableColumns>
  <tableStyleInfo name="Simp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D182B02-EE5F-45FC-B44B-07C580F646FA}" name="tbMostPicked" displayName="tbMostPicked" ref="B74:R76" totalsRowShown="0" headerRowDxfId="75" dataDxfId="74">
  <autoFilter ref="B74:R76" xr:uid="{CB385D1C-EDED-47D8-8200-9D1F62C27003}"/>
  <tableColumns count="17">
    <tableColumn id="1" xr3:uid="{BFCA6197-D605-4948-92D0-AB4BF92326C7}" name="Player" dataDxfId="73">
      <calculatedColumnFormula>sPlayer2</calculatedColumnFormula>
    </tableColumn>
    <tableColumn id="2" xr3:uid="{27366C08-581A-40A9-B901-F16712EBEDC8}" name="Anarki" dataDxfId="72">
      <calculatedColumnFormula xml:space="preserve">
COUNTIFS(tbResults[Player1],tbMostPicked[[#This Row],[Player]],tbResults[Player1 Pick],OFFSET(tbMostPicked[#Headers],0,1)) +
COUNTIFS(tbResults[Player2],tbMostPicked[[#This Row],[Player]],tbResults[Player2 Pick],OFFSET(tbMostPicked[#Headers],0,1))</calculatedColumnFormula>
    </tableColumn>
    <tableColumn id="3" xr3:uid="{EF8F8361-8979-41F6-BA8E-275DA9E8D1BF}" name="Athena" dataDxfId="71">
      <calculatedColumnFormula xml:space="preserve">
COUNTIFS(tbResults[Player1],tbMostPicked[[#This Row],[Player]],tbResults[Player1 Pick],OFFSET(tbMostPicked[#Headers],0,1)) +
COUNTIFS(tbResults[Player2],tbMostPicked[[#This Row],[Player]],tbResults[Player2 Pick],OFFSET(tbMostPicked[#Headers],0,1))</calculatedColumnFormula>
    </tableColumn>
    <tableColumn id="4" xr3:uid="{6A347969-3326-4CFF-B313-441213C43B49}" name="BJ Blazkowicz" dataDxfId="70">
      <calculatedColumnFormula xml:space="preserve">
COUNTIFS(tbResults[Player1],tbMostPicked[[#This Row],[Player]],tbResults[Player1 Pick],OFFSET(tbMostPicked[#Headers],0,1)) +
COUNTIFS(tbResults[Player2],tbMostPicked[[#This Row],[Player]],tbResults[Player2 Pick],OFFSET(tbMostPicked[#Headers],0,1))</calculatedColumnFormula>
    </tableColumn>
    <tableColumn id="5" xr3:uid="{E715C280-6EA4-4B57-BA9B-F226008678D7}" name="Clutch" dataDxfId="69">
      <calculatedColumnFormula xml:space="preserve">
COUNTIFS(tbResults[Player1],tbMostPicked[[#This Row],[Player]],tbResults[Player1 Pick],OFFSET(tbMostPicked[#Headers],0,1)) +
COUNTIFS(tbResults[Player2],tbMostPicked[[#This Row],[Player]],tbResults[Player2 Pick],OFFSET(tbMostPicked[#Headers],0,1))</calculatedColumnFormula>
    </tableColumn>
    <tableColumn id="6" xr3:uid="{DD3FC63F-F51F-47DC-B82C-7AE37B889D82}" name="Death Knight" dataDxfId="68">
      <calculatedColumnFormula xml:space="preserve">
COUNTIFS(tbResults[Player1],tbMostPicked[[#This Row],[Player]],tbResults[Player1 Pick],OFFSET(tbMostPicked[#Headers],0,1)) +
COUNTIFS(tbResults[Player2],tbMostPicked[[#This Row],[Player]],tbResults[Player2 Pick],OFFSET(tbMostPicked[#Headers],0,1))</calculatedColumnFormula>
    </tableColumn>
    <tableColumn id="7" xr3:uid="{FF7E3E96-B4DB-405A-B862-C4F75405BDD2}" name="Doom" dataDxfId="67">
      <calculatedColumnFormula xml:space="preserve">
COUNTIFS(tbResults[Player1],tbMostPicked[[#This Row],[Player]],tbResults[Player1 Pick],OFFSET(tbMostPicked[#Headers],0,1)) +
COUNTIFS(tbResults[Player2],tbMostPicked[[#This Row],[Player]],tbResults[Player2 Pick],OFFSET(tbMostPicked[#Headers],0,1))</calculatedColumnFormula>
    </tableColumn>
    <tableColumn id="8" xr3:uid="{97570203-B978-41F5-B607-0995AD5304A4}" name="Eisen" dataDxfId="66">
      <calculatedColumnFormula xml:space="preserve">
COUNTIFS(tbResults[Player1],tbMostPicked[[#This Row],[Player]],tbResults[Player1 Pick],OFFSET(tbMostPicked[#Headers],0,1)) +
COUNTIFS(tbResults[Player2],tbMostPicked[[#This Row],[Player]],tbResults[Player2 Pick],OFFSET(tbMostPicked[#Headers],0,1))</calculatedColumnFormula>
    </tableColumn>
    <tableColumn id="9" xr3:uid="{7864C4A7-2D8F-4AC0-89E9-6D3111AC4971}" name="Galena" dataDxfId="65">
      <calculatedColumnFormula xml:space="preserve">
COUNTIFS(tbResults[Player1],tbMostPicked[[#This Row],[Player]],tbResults[Player1 Pick],OFFSET(tbMostPicked[#Headers],0,1)) +
COUNTIFS(tbResults[Player2],tbMostPicked[[#This Row],[Player]],tbResults[Player2 Pick],OFFSET(tbMostPicked[#Headers],0,1))</calculatedColumnFormula>
    </tableColumn>
    <tableColumn id="10" xr3:uid="{E4180BBB-140B-4FF0-BBA0-D9163157957F}" name="Keel" dataDxfId="64">
      <calculatedColumnFormula xml:space="preserve">
COUNTIFS(tbResults[Player1],tbMostPicked[[#This Row],[Player]],tbResults[Player1 Pick],OFFSET(tbMostPicked[#Headers],0,1)) +
COUNTIFS(tbResults[Player2],tbMostPicked[[#This Row],[Player]],tbResults[Player2 Pick],OFFSET(tbMostPicked[#Headers],0,1))</calculatedColumnFormula>
    </tableColumn>
    <tableColumn id="11" xr3:uid="{7F242E0F-259F-488B-837C-135FDB2E638B}" name="Nyx" dataDxfId="63">
      <calculatedColumnFormula xml:space="preserve">
COUNTIFS(tbResults[Player1],tbMostPicked[[#This Row],[Player]],tbResults[Player1 Pick],OFFSET(tbMostPicked[#Headers],0,1)) +
COUNTIFS(tbResults[Player2],tbMostPicked[[#This Row],[Player]],tbResults[Player2 Pick],OFFSET(tbMostPicked[#Headers],0,1))</calculatedColumnFormula>
    </tableColumn>
    <tableColumn id="12" xr3:uid="{CC6F9116-775E-423B-9EEA-F26633C096C6}" name="Ranger" dataDxfId="62">
      <calculatedColumnFormula xml:space="preserve">
COUNTIFS(tbResults[Player1],tbMostPicked[[#This Row],[Player]],tbResults[Player1 Pick],OFFSET(tbMostPicked[#Headers],0,1)) +
COUNTIFS(tbResults[Player2],tbMostPicked[[#This Row],[Player]],tbResults[Player2 Pick],OFFSET(tbMostPicked[#Headers],0,1))</calculatedColumnFormula>
    </tableColumn>
    <tableColumn id="13" xr3:uid="{739E8711-2B0F-4854-B13B-BC45D3070944}" name="Scalebearer" dataDxfId="61">
      <calculatedColumnFormula xml:space="preserve">
COUNTIFS(tbResults[Player1],tbMostPicked[[#This Row],[Player]],tbResults[Player1 Pick],OFFSET(tbMostPicked[#Headers],0,1)) +
COUNTIFS(tbResults[Player2],tbMostPicked[[#This Row],[Player]],tbResults[Player2 Pick],OFFSET(tbMostPicked[#Headers],0,1))</calculatedColumnFormula>
    </tableColumn>
    <tableColumn id="14" xr3:uid="{223C57A5-DEBE-4CD4-B8B9-07670591468F}" name="Slash" dataDxfId="60">
      <calculatedColumnFormula xml:space="preserve">
COUNTIFS(tbResults[Player1],tbMostPicked[[#This Row],[Player]],tbResults[Player1 Pick],OFFSET(tbMostPicked[#Headers],0,1)) +
COUNTIFS(tbResults[Player2],tbMostPicked[[#This Row],[Player]],tbResults[Player2 Pick],OFFSET(tbMostPicked[#Headers],0,1))</calculatedColumnFormula>
    </tableColumn>
    <tableColumn id="15" xr3:uid="{3142C790-5C17-47E7-A9E0-45EAF2A8FCAB}" name="Sorlag" dataDxfId="59">
      <calculatedColumnFormula xml:space="preserve">
COUNTIFS(tbResults[Player1],tbMostPicked[[#This Row],[Player]],tbResults[Player1 Pick],OFFSET(tbMostPicked[#Headers],0,1)) +
COUNTIFS(tbResults[Player2],tbMostPicked[[#This Row],[Player]],tbResults[Player2 Pick],OFFSET(tbMostPicked[#Headers],0,1))</calculatedColumnFormula>
    </tableColumn>
    <tableColumn id="16" xr3:uid="{43AF12E0-B38D-441F-A187-DF6D4D85732E}" name="Strogg" dataDxfId="58">
      <calculatedColumnFormula xml:space="preserve">
COUNTIFS(tbResults[Player1],tbMostPicked[[#This Row],[Player]],tbResults[Player1 Pick],OFFSET(tbMostPicked[#Headers],0,1)) +
COUNTIFS(tbResults[Player2],tbMostPicked[[#This Row],[Player]],tbResults[Player2 Pick],OFFSET(tbMostPicked[#Headers],0,1))</calculatedColumnFormula>
    </tableColumn>
    <tableColumn id="17" xr3:uid="{D5CA98B2-EA8B-4A53-BE03-AEB38896FC9E}" name="Visor" dataDxfId="57">
      <calculatedColumnFormula xml:space="preserve">
COUNTIFS(tbResults[Player1],tbMostPicked[[#This Row],[Player]],tbResults[Player1 Pick],OFFSET(tbMostPicked[#Headers],0,1)) +
COUNTIFS(tbResults[Player2],tbMostPicked[[#This Row],[Player]],tbResults[Player2 Pick],OFFSET(tbMostPicked[#Headers],0,1))</calculatedColumnFormula>
    </tableColumn>
  </tableColumns>
  <tableStyleInfo name="Simp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2E7F7C9-7CA1-4F3F-B445-C28A28FA6276}" name="tbWinPct" displayName="tbWinPct" ref="B48:E50" totalsRowShown="0" headerRowDxfId="56" dataDxfId="55">
  <autoFilter ref="B48:E50" xr:uid="{4C62B516-2AB4-4B7E-8FDC-7DB1AFDD096F}"/>
  <tableColumns count="4">
    <tableColumn id="1" xr3:uid="{D7D290E6-CC75-413B-8356-DEB86B75A390}" name="Player" dataDxfId="54">
      <calculatedColumnFormula>sPlayer2</calculatedColumnFormula>
    </tableColumn>
    <tableColumn id="2" xr3:uid="{CABFB415-2252-4878-8D57-F688EFD0D46B}" name="WinPct" dataDxfId="53" dataCellStyle="Percent">
      <calculatedColumnFormula>tbWinPct[[#This Row],[Wins]]/(tbWinPct[[#This Row],[Wins]]+tbWinPct[[#This Row],[Losses]])</calculatedColumnFormula>
    </tableColumn>
    <tableColumn id="3" xr3:uid="{E193EC95-9990-483F-89EF-6D193DC513B3}" name="Wins" dataDxfId="52">
      <calculatedColumnFormula>COUNTIF(tbResults[Winner],tbWinPct[[#This Row],[Player]])</calculatedColumnFormula>
    </tableColumn>
    <tableColumn id="4" xr3:uid="{4051CA3D-289A-4A85-B3D9-1EEEE7B973F7}" name="Losses" dataDxfId="51">
      <calculatedColumnFormula>COUNTIF(tbResults[Loser],tbWinPct[[#This Row],[Player]])</calculatedColumnFormula>
    </tableColumn>
  </tableColumns>
  <tableStyleInfo name="Simp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B2B0-C12F-4579-AC58-CCC99368E9D4}">
  <dimension ref="B1:AC414"/>
  <sheetViews>
    <sheetView showGridLines="0" tabSelected="1" topLeftCell="A384" zoomScale="85" zoomScaleNormal="85" workbookViewId="0">
      <selection activeCell="B404" sqref="B404"/>
    </sheetView>
  </sheetViews>
  <sheetFormatPr defaultColWidth="8.6640625" defaultRowHeight="30" customHeight="1" outlineLevelCol="1" x14ac:dyDescent="0.3"/>
  <cols>
    <col min="1" max="1" width="0.88671875" style="6" customWidth="1"/>
    <col min="2" max="2" width="12.5546875" style="6" customWidth="1"/>
    <col min="3" max="8" width="6.6640625" style="10" hidden="1" customWidth="1" outlineLevel="1"/>
    <col min="9" max="9" width="12.6640625" style="10" hidden="1" customWidth="1" outlineLevel="1"/>
    <col min="10" max="11" width="12.5546875" style="6" hidden="1" customWidth="1" outlineLevel="1"/>
    <col min="12" max="12" width="12.5546875" style="6" customWidth="1" collapsed="1"/>
    <col min="13" max="13" width="13.5546875" style="6" customWidth="1"/>
    <col min="14" max="15" width="12.5546875" style="6" customWidth="1"/>
    <col min="16" max="18" width="12.5546875" style="8" customWidth="1"/>
    <col min="19" max="20" width="12.5546875" style="16" customWidth="1"/>
    <col min="21" max="24" width="12.5546875" style="6" customWidth="1"/>
    <col min="25" max="26" width="12.5546875" style="10" customWidth="1"/>
    <col min="27" max="27" width="12.5546875" style="6" customWidth="1"/>
    <col min="28" max="29" width="12.5546875" style="10" customWidth="1"/>
    <col min="30" max="33" width="12.5546875" style="6" customWidth="1"/>
    <col min="34" max="16384" width="8.6640625" style="6"/>
  </cols>
  <sheetData>
    <row r="1" spans="2:29" ht="4.5" customHeight="1" x14ac:dyDescent="0.3"/>
    <row r="2" spans="2:29" s="3" customFormat="1" ht="30" customHeight="1" x14ac:dyDescent="0.3">
      <c r="B2" s="1" t="s">
        <v>79</v>
      </c>
      <c r="C2" s="2" t="s">
        <v>56</v>
      </c>
      <c r="D2" s="2" t="s">
        <v>57</v>
      </c>
      <c r="E2" s="2" t="s">
        <v>58</v>
      </c>
      <c r="F2" s="2" t="s">
        <v>59</v>
      </c>
      <c r="G2" s="2" t="s">
        <v>63</v>
      </c>
      <c r="H2" s="2" t="s">
        <v>60</v>
      </c>
      <c r="I2" s="2" t="s">
        <v>61</v>
      </c>
      <c r="J2" s="2" t="s">
        <v>62</v>
      </c>
      <c r="K2" s="1" t="s">
        <v>162</v>
      </c>
      <c r="L2" s="3" t="s">
        <v>1</v>
      </c>
      <c r="M2" s="3" t="s">
        <v>2</v>
      </c>
      <c r="N2" s="3" t="s">
        <v>8</v>
      </c>
      <c r="O2" s="3" t="s">
        <v>9</v>
      </c>
      <c r="P2" s="3" t="s">
        <v>10</v>
      </c>
      <c r="Q2" s="4" t="s">
        <v>16</v>
      </c>
      <c r="R2" s="4" t="s">
        <v>17</v>
      </c>
      <c r="S2" s="4" t="s">
        <v>76</v>
      </c>
      <c r="T2" s="17" t="s">
        <v>84</v>
      </c>
      <c r="U2" s="17" t="s">
        <v>77</v>
      </c>
      <c r="V2" s="3" t="s">
        <v>45</v>
      </c>
      <c r="W2" s="3" t="s">
        <v>46</v>
      </c>
      <c r="X2" s="3" t="s">
        <v>155</v>
      </c>
      <c r="Y2" s="3" t="s">
        <v>156</v>
      </c>
      <c r="Z2" s="2" t="s">
        <v>157</v>
      </c>
      <c r="AA2" s="2" t="s">
        <v>158</v>
      </c>
      <c r="AB2" s="2" t="s">
        <v>225</v>
      </c>
      <c r="AC2" s="2" t="s">
        <v>226</v>
      </c>
    </row>
    <row r="3" spans="2:29" s="3" customFormat="1" ht="30" customHeight="1" x14ac:dyDescent="0.3">
      <c r="B3" s="20" t="str">
        <f>_xlfn.CONCAT(tbResults[[#This Row],[Series Title]],".",tbResults[[#This Row],[Game]])</f>
        <v>1.1.01.08.3</v>
      </c>
      <c r="C3" s="15">
        <v>1</v>
      </c>
      <c r="D3" s="15">
        <v>1</v>
      </c>
      <c r="E3" s="15">
        <v>1</v>
      </c>
      <c r="F3" s="15">
        <v>8</v>
      </c>
      <c r="G3" s="15">
        <v>3</v>
      </c>
      <c r="H3" s="19" t="str">
        <f>_xlfn.CONCAT(tbResults[[#This Row],[Season]],".",tbResults[[#This Row],[Stage]])</f>
        <v>1.1</v>
      </c>
      <c r="I3" s="19" t="str">
        <f>_xlfn.CONCAT(tbResults[[#This Row],[Season]],".",tbResults[[#This Row],[Stage]],".",TEXT(tbResults[[#This Row],[Week]],"00"))</f>
        <v>1.1.01</v>
      </c>
      <c r="J3" s="19" t="str">
        <f>_xlfn.CONCAT(tbResults[[#This Row],[Week Title]],".",TEXT(tbResults[[#This Row],[Match]],"00"))</f>
        <v>1.1.01.08</v>
      </c>
      <c r="K3" s="20" t="str">
        <f>_xlfn.CONCAT(tbResults[[#This Row],[Game Title]], " ", tbResults[[#This Row],[Player1]], " vs ", tbResults[[#This Row],[Player2]] )</f>
        <v>1.1.01.08.3 Rapha vs DaHanG</v>
      </c>
      <c r="L3" s="6" t="s">
        <v>47</v>
      </c>
      <c r="M3" s="6" t="s">
        <v>42</v>
      </c>
      <c r="N3" s="6" t="s">
        <v>90</v>
      </c>
      <c r="O3" s="6" t="s">
        <v>37</v>
      </c>
      <c r="P3" s="6" t="s">
        <v>28</v>
      </c>
      <c r="Q3" s="8">
        <v>11</v>
      </c>
      <c r="R3" s="8">
        <v>4</v>
      </c>
      <c r="S3" s="8" t="s">
        <v>81</v>
      </c>
      <c r="T3" s="16"/>
      <c r="U3" s="16"/>
      <c r="V3" s="46" t="str">
        <f>IF(tbResults[[#This Row],[Player1 Score]]&gt;tbResults[[#This Row],[Player2 Score]],tbResults[[#This Row],[Player1]],tbResults[[#This Row],[Player2]])</f>
        <v>Rapha</v>
      </c>
      <c r="W3" s="48" t="str">
        <f>IF(tbResults[[#This Row],[Player1 Score]]&gt;tbResults[[#This Row],[Player2 Score]],tbResults[[#This Row],[Player2]],tbResults[[#This Row],[Player1]])</f>
        <v>DaHanG</v>
      </c>
      <c r="X3" s="11" t="str">
        <f>IF(tbResults[[#This Row],[Winner]]=tbResults[[#This Row],[Player1]],tbResults[[#This Row],[Player1 Pick]],tbResults[[#This Row],[Player2 Pick]])</f>
        <v>Eisen</v>
      </c>
      <c r="Y3" s="11" t="str">
        <f>IF(tbResults[[#This Row],[Loser]]=tbResults[[#This Row],[Player1]],tbResults[[#This Row],[Player1 Pick]],tbResults[[#This Row],[Player2 Pick]])</f>
        <v>BJ Blazkowicz</v>
      </c>
      <c r="Z3" s="32">
        <f>SUM(tbResults[[#This Row],[Player1 Score]],tbResults[[#This Row],[Player2 Score]])</f>
        <v>15</v>
      </c>
      <c r="AA3" s="32">
        <f>ABS(tbResults[[#This Row],[Player1 Score]]-tbResults[[#This Row],[Player2 Score]])</f>
        <v>7</v>
      </c>
      <c r="AB3" s="37">
        <f>IF(tbResults[[#This Row],[Player1 Score]]&gt;tbResults[[#This Row],[Player2 Score]],tbResults[[#This Row],[Player1 Score]],tbResults[[#This Row],[Player2 Score]])</f>
        <v>11</v>
      </c>
      <c r="AC3" s="37">
        <f>IF(tbResults[[#This Row],[Player1 Score]]&lt;tbResults[[#This Row],[Player2 Score]],tbResults[[#This Row],[Player1 Score]],tbResults[[#This Row],[Player2 Score]])</f>
        <v>4</v>
      </c>
    </row>
    <row r="4" spans="2:29" s="3" customFormat="1" ht="30" customHeight="1" x14ac:dyDescent="0.3">
      <c r="B4" s="20" t="str">
        <f>_xlfn.CONCAT(tbResults[[#This Row],[Series Title]],".",tbResults[[#This Row],[Game]])</f>
        <v>2.1.07.01.1</v>
      </c>
      <c r="C4" s="15">
        <v>2</v>
      </c>
      <c r="D4" s="15">
        <v>1</v>
      </c>
      <c r="E4" s="15">
        <v>7</v>
      </c>
      <c r="F4" s="15">
        <v>1</v>
      </c>
      <c r="G4" s="15">
        <v>1</v>
      </c>
      <c r="H4" s="19" t="str">
        <f>_xlfn.CONCAT(tbResults[[#This Row],[Season]],".",tbResults[[#This Row],[Stage]])</f>
        <v>2.1</v>
      </c>
      <c r="I4" s="19" t="str">
        <f>_xlfn.CONCAT(tbResults[[#This Row],[Season]],".",tbResults[[#This Row],[Stage]],".",TEXT(tbResults[[#This Row],[Week]],"00"))</f>
        <v>2.1.07</v>
      </c>
      <c r="J4" s="19" t="str">
        <f>_xlfn.CONCAT(tbResults[[#This Row],[Week Title]],".",TEXT(tbResults[[#This Row],[Match]],"00"))</f>
        <v>2.1.07.01</v>
      </c>
      <c r="K4" s="20" t="str">
        <f>_xlfn.CONCAT(tbResults[[#This Row],[Game Title]], " ", tbResults[[#This Row],[Player1]], " vs ", tbResults[[#This Row],[Player2]] )</f>
        <v>2.1.07.01.1 maxter vs DaHanG</v>
      </c>
      <c r="L4" s="74" t="s">
        <v>41</v>
      </c>
      <c r="M4" s="6" t="s">
        <v>42</v>
      </c>
      <c r="N4" s="74" t="s">
        <v>40</v>
      </c>
      <c r="O4" s="74" t="s">
        <v>55</v>
      </c>
      <c r="P4" s="74" t="s">
        <v>21</v>
      </c>
      <c r="Q4" s="8">
        <v>8</v>
      </c>
      <c r="R4" s="8">
        <v>19</v>
      </c>
      <c r="S4" s="8" t="s">
        <v>81</v>
      </c>
      <c r="T4" s="75" t="s">
        <v>42</v>
      </c>
      <c r="U4" s="75" t="s">
        <v>35</v>
      </c>
      <c r="V4" s="46" t="str">
        <f>IF(tbResults[[#This Row],[Player1 Score]]&gt;tbResults[[#This Row],[Player2 Score]],tbResults[[#This Row],[Player1]],tbResults[[#This Row],[Player2]])</f>
        <v>DaHanG</v>
      </c>
      <c r="W4" s="48" t="str">
        <f>IF(tbResults[[#This Row],[Player1 Score]]&gt;tbResults[[#This Row],[Player2 Score]],tbResults[[#This Row],[Player2]],tbResults[[#This Row],[Player1]])</f>
        <v>maxter</v>
      </c>
      <c r="X4" s="11" t="str">
        <f>IF(tbResults[[#This Row],[Winner]]=tbResults[[#This Row],[Player1]],tbResults[[#This Row],[Player1 Pick]],tbResults[[#This Row],[Player2 Pick]])</f>
        <v>Ranger</v>
      </c>
      <c r="Y4" s="11" t="str">
        <f>IF(tbResults[[#This Row],[Loser]]=tbResults[[#This Row],[Player1]],tbResults[[#This Row],[Player1 Pick]],tbResults[[#This Row],[Player2 Pick]])</f>
        <v>Athena</v>
      </c>
      <c r="Z4" s="32">
        <f>SUM(tbResults[[#This Row],[Player1 Score]],tbResults[[#This Row],[Player2 Score]])</f>
        <v>27</v>
      </c>
      <c r="AA4" s="32">
        <f>ABS(tbResults[[#This Row],[Player1 Score]]-tbResults[[#This Row],[Player2 Score]])</f>
        <v>11</v>
      </c>
      <c r="AB4" s="37">
        <f>IF(tbResults[[#This Row],[Player1 Score]]&gt;tbResults[[#This Row],[Player2 Score]],tbResults[[#This Row],[Player1 Score]],tbResults[[#This Row],[Player2 Score]])</f>
        <v>19</v>
      </c>
      <c r="AC4" s="37">
        <f>IF(tbResults[[#This Row],[Player1 Score]]&lt;tbResults[[#This Row],[Player2 Score]],tbResults[[#This Row],[Player1 Score]],tbResults[[#This Row],[Player2 Score]])</f>
        <v>8</v>
      </c>
    </row>
    <row r="5" spans="2:29" s="3" customFormat="1" ht="30" customHeight="1" x14ac:dyDescent="0.3">
      <c r="B5" s="20" t="str">
        <f>_xlfn.CONCAT(tbResults[[#This Row],[Series Title]],".",tbResults[[#This Row],[Game]])</f>
        <v>2.1.07.01.2</v>
      </c>
      <c r="C5" s="15">
        <v>2</v>
      </c>
      <c r="D5" s="15">
        <v>1</v>
      </c>
      <c r="E5" s="15">
        <v>7</v>
      </c>
      <c r="F5" s="15">
        <v>1</v>
      </c>
      <c r="G5" s="15">
        <v>2</v>
      </c>
      <c r="H5" s="19" t="str">
        <f>_xlfn.CONCAT(tbResults[[#This Row],[Season]],".",tbResults[[#This Row],[Stage]])</f>
        <v>2.1</v>
      </c>
      <c r="I5" s="19" t="str">
        <f>_xlfn.CONCAT(tbResults[[#This Row],[Season]],".",tbResults[[#This Row],[Stage]],".",TEXT(tbResults[[#This Row],[Week]],"00"))</f>
        <v>2.1.07</v>
      </c>
      <c r="J5" s="19" t="str">
        <f>_xlfn.CONCAT(tbResults[[#This Row],[Week Title]],".",TEXT(tbResults[[#This Row],[Match]],"00"))</f>
        <v>2.1.07.01</v>
      </c>
      <c r="K5" s="20" t="str">
        <f>_xlfn.CONCAT(tbResults[[#This Row],[Game Title]], " ", tbResults[[#This Row],[Player1]], " vs ", tbResults[[#This Row],[Player2]] )</f>
        <v>2.1.07.01.2 maxter vs DaHanG</v>
      </c>
      <c r="L5" s="74" t="s">
        <v>41</v>
      </c>
      <c r="M5" s="6" t="s">
        <v>42</v>
      </c>
      <c r="N5" s="74" t="s">
        <v>19</v>
      </c>
      <c r="O5" s="74" t="s">
        <v>37</v>
      </c>
      <c r="P5" s="74" t="s">
        <v>22</v>
      </c>
      <c r="Q5" s="8">
        <v>7</v>
      </c>
      <c r="R5" s="8">
        <v>9</v>
      </c>
      <c r="S5" s="8" t="s">
        <v>81</v>
      </c>
      <c r="T5" s="75" t="s">
        <v>41</v>
      </c>
      <c r="U5" s="75" t="s">
        <v>25</v>
      </c>
      <c r="V5" s="46" t="str">
        <f>IF(tbResults[[#This Row],[Player1 Score]]&gt;tbResults[[#This Row],[Player2 Score]],tbResults[[#This Row],[Player1]],tbResults[[#This Row],[Player2]])</f>
        <v>DaHanG</v>
      </c>
      <c r="W5" s="48" t="str">
        <f>IF(tbResults[[#This Row],[Player1 Score]]&gt;tbResults[[#This Row],[Player2 Score]],tbResults[[#This Row],[Player2]],tbResults[[#This Row],[Player1]])</f>
        <v>maxter</v>
      </c>
      <c r="X5" s="11" t="str">
        <f>IF(tbResults[[#This Row],[Winner]]=tbResults[[#This Row],[Player1]],tbResults[[#This Row],[Player1 Pick]],tbResults[[#This Row],[Player2 Pick]])</f>
        <v>Strogg</v>
      </c>
      <c r="Y5" s="11" t="str">
        <f>IF(tbResults[[#This Row],[Loser]]=tbResults[[#This Row],[Player1]],tbResults[[#This Row],[Player1 Pick]],tbResults[[#This Row],[Player2 Pick]])</f>
        <v>Eisen</v>
      </c>
      <c r="Z5" s="32">
        <f>SUM(tbResults[[#This Row],[Player1 Score]],tbResults[[#This Row],[Player2 Score]])</f>
        <v>16</v>
      </c>
      <c r="AA5" s="32">
        <f>ABS(tbResults[[#This Row],[Player1 Score]]-tbResults[[#This Row],[Player2 Score]])</f>
        <v>2</v>
      </c>
      <c r="AB5" s="37">
        <f>IF(tbResults[[#This Row],[Player1 Score]]&gt;tbResults[[#This Row],[Player2 Score]],tbResults[[#This Row],[Player1 Score]],tbResults[[#This Row],[Player2 Score]])</f>
        <v>9</v>
      </c>
      <c r="AC5" s="37">
        <f>IF(tbResults[[#This Row],[Player1 Score]]&lt;tbResults[[#This Row],[Player2 Score]],tbResults[[#This Row],[Player1 Score]],tbResults[[#This Row],[Player2 Score]])</f>
        <v>7</v>
      </c>
    </row>
    <row r="6" spans="2:29" s="3" customFormat="1" ht="30" customHeight="1" x14ac:dyDescent="0.3">
      <c r="B6" s="20" t="str">
        <f>_xlfn.CONCAT(tbResults[[#This Row],[Series Title]],".",tbResults[[#This Row],[Game]])</f>
        <v>2.1.07.01.3</v>
      </c>
      <c r="C6" s="15">
        <v>2</v>
      </c>
      <c r="D6" s="15">
        <v>1</v>
      </c>
      <c r="E6" s="15">
        <v>7</v>
      </c>
      <c r="F6" s="15">
        <v>1</v>
      </c>
      <c r="G6" s="15">
        <v>3</v>
      </c>
      <c r="H6" s="19" t="str">
        <f>_xlfn.CONCAT(tbResults[[#This Row],[Season]],".",tbResults[[#This Row],[Stage]])</f>
        <v>2.1</v>
      </c>
      <c r="I6" s="19" t="str">
        <f>_xlfn.CONCAT(tbResults[[#This Row],[Season]],".",tbResults[[#This Row],[Stage]],".",TEXT(tbResults[[#This Row],[Week]],"00"))</f>
        <v>2.1.07</v>
      </c>
      <c r="J6" s="19" t="str">
        <f>_xlfn.CONCAT(tbResults[[#This Row],[Week Title]],".",TEXT(tbResults[[#This Row],[Match]],"00"))</f>
        <v>2.1.07.01</v>
      </c>
      <c r="K6" s="20" t="str">
        <f>_xlfn.CONCAT(tbResults[[#This Row],[Game Title]], " ", tbResults[[#This Row],[Player1]], " vs ", tbResults[[#This Row],[Player2]] )</f>
        <v>2.1.07.01.3 maxter vs DaHanG</v>
      </c>
      <c r="L6" s="74" t="s">
        <v>41</v>
      </c>
      <c r="M6" s="6" t="s">
        <v>42</v>
      </c>
      <c r="N6" s="74" t="s">
        <v>26</v>
      </c>
      <c r="O6" s="74" t="s">
        <v>39</v>
      </c>
      <c r="P6" s="74" t="s">
        <v>36</v>
      </c>
      <c r="Q6" s="8">
        <v>8</v>
      </c>
      <c r="R6" s="8">
        <v>9</v>
      </c>
      <c r="S6" s="76" t="s">
        <v>82</v>
      </c>
      <c r="T6" s="75" t="s">
        <v>42</v>
      </c>
      <c r="U6" s="75" t="s">
        <v>34</v>
      </c>
      <c r="V6" s="46" t="str">
        <f>IF(tbResults[[#This Row],[Player1 Score]]&gt;tbResults[[#This Row],[Player2 Score]],tbResults[[#This Row],[Player1]],tbResults[[#This Row],[Player2]])</f>
        <v>DaHanG</v>
      </c>
      <c r="W6" s="48" t="str">
        <f>IF(tbResults[[#This Row],[Player1 Score]]&gt;tbResults[[#This Row],[Player2 Score]],tbResults[[#This Row],[Player2]],tbResults[[#This Row],[Player1]])</f>
        <v>maxter</v>
      </c>
      <c r="X6" s="11" t="str">
        <f>IF(tbResults[[#This Row],[Winner]]=tbResults[[#This Row],[Player1]],tbResults[[#This Row],[Player1 Pick]],tbResults[[#This Row],[Player2 Pick]])</f>
        <v>Visor</v>
      </c>
      <c r="Y6" s="11" t="str">
        <f>IF(tbResults[[#This Row],[Loser]]=tbResults[[#This Row],[Player1]],tbResults[[#This Row],[Player1 Pick]],tbResults[[#This Row],[Player2 Pick]])</f>
        <v>Anarki</v>
      </c>
      <c r="Z6" s="32">
        <f>SUM(tbResults[[#This Row],[Player1 Score]],tbResults[[#This Row],[Player2 Score]])</f>
        <v>17</v>
      </c>
      <c r="AA6" s="32">
        <f>ABS(tbResults[[#This Row],[Player1 Score]]-tbResults[[#This Row],[Player2 Score]])</f>
        <v>1</v>
      </c>
      <c r="AB6" s="37">
        <f>IF(tbResults[[#This Row],[Player1 Score]]&gt;tbResults[[#This Row],[Player2 Score]],tbResults[[#This Row],[Player1 Score]],tbResults[[#This Row],[Player2 Score]])</f>
        <v>9</v>
      </c>
      <c r="AC6" s="37">
        <f>IF(tbResults[[#This Row],[Player1 Score]]&lt;tbResults[[#This Row],[Player2 Score]],tbResults[[#This Row],[Player1 Score]],tbResults[[#This Row],[Player2 Score]])</f>
        <v>8</v>
      </c>
    </row>
    <row r="7" spans="2:29" s="3" customFormat="1" ht="30" customHeight="1" x14ac:dyDescent="0.3">
      <c r="B7" s="20" t="str">
        <f>_xlfn.CONCAT(tbResults[[#This Row],[Series Title]],".",tbResults[[#This Row],[Game]])</f>
        <v>2.1.07.02.1</v>
      </c>
      <c r="C7" s="15">
        <v>2</v>
      </c>
      <c r="D7" s="15">
        <v>1</v>
      </c>
      <c r="E7" s="15">
        <v>7</v>
      </c>
      <c r="F7" s="15">
        <v>2</v>
      </c>
      <c r="G7" s="15">
        <v>1</v>
      </c>
      <c r="H7" s="19" t="str">
        <f>_xlfn.CONCAT(tbResults[[#This Row],[Season]],".",tbResults[[#This Row],[Stage]])</f>
        <v>2.1</v>
      </c>
      <c r="I7" s="19" t="str">
        <f>_xlfn.CONCAT(tbResults[[#This Row],[Season]],".",tbResults[[#This Row],[Stage]],".",TEXT(tbResults[[#This Row],[Week]],"00"))</f>
        <v>2.1.07</v>
      </c>
      <c r="J7" s="19" t="str">
        <f>_xlfn.CONCAT(tbResults[[#This Row],[Week Title]],".",TEXT(tbResults[[#This Row],[Match]],"00"))</f>
        <v>2.1.07.02</v>
      </c>
      <c r="K7" s="20" t="str">
        <f>_xlfn.CONCAT(tbResults[[#This Row],[Game Title]], " ", tbResults[[#This Row],[Player1]], " vs ", tbResults[[#This Row],[Player2]] )</f>
        <v>2.1.07.02.1 Vengeurr vs toxjq</v>
      </c>
      <c r="L7" s="74" t="s">
        <v>13</v>
      </c>
      <c r="M7" s="74" t="s">
        <v>199</v>
      </c>
      <c r="N7" s="74" t="s">
        <v>178</v>
      </c>
      <c r="O7" s="74" t="s">
        <v>39</v>
      </c>
      <c r="P7" s="74" t="s">
        <v>35</v>
      </c>
      <c r="Q7" s="8">
        <v>5</v>
      </c>
      <c r="R7" s="8">
        <v>4</v>
      </c>
      <c r="S7" s="76" t="s">
        <v>82</v>
      </c>
      <c r="T7" s="75" t="s">
        <v>13</v>
      </c>
      <c r="U7" s="75" t="s">
        <v>55</v>
      </c>
      <c r="V7" s="46" t="str">
        <f>IF(tbResults[[#This Row],[Player1 Score]]&gt;tbResults[[#This Row],[Player2 Score]],tbResults[[#This Row],[Player1]],tbResults[[#This Row],[Player2]])</f>
        <v>Vengeurr</v>
      </c>
      <c r="W7" s="48" t="str">
        <f>IF(tbResults[[#This Row],[Player1 Score]]&gt;tbResults[[#This Row],[Player2 Score]],tbResults[[#This Row],[Player2]],tbResults[[#This Row],[Player1]])</f>
        <v>toxjq</v>
      </c>
      <c r="X7" s="11" t="str">
        <f>IF(tbResults[[#This Row],[Winner]]=tbResults[[#This Row],[Player1]],tbResults[[#This Row],[Player1 Pick]],tbResults[[#This Row],[Player2 Pick]])</f>
        <v>Anarki</v>
      </c>
      <c r="Y7" s="11" t="str">
        <f>IF(tbResults[[#This Row],[Loser]]=tbResults[[#This Row],[Player1]],tbResults[[#This Row],[Player1 Pick]],tbResults[[#This Row],[Player2 Pick]])</f>
        <v>Doom</v>
      </c>
      <c r="Z7" s="32">
        <f>SUM(tbResults[[#This Row],[Player1 Score]],tbResults[[#This Row],[Player2 Score]])</f>
        <v>9</v>
      </c>
      <c r="AA7" s="32">
        <f>ABS(tbResults[[#This Row],[Player1 Score]]-tbResults[[#This Row],[Player2 Score]])</f>
        <v>1</v>
      </c>
      <c r="AB7" s="37">
        <f>IF(tbResults[[#This Row],[Player1 Score]]&gt;tbResults[[#This Row],[Player2 Score]],tbResults[[#This Row],[Player1 Score]],tbResults[[#This Row],[Player2 Score]])</f>
        <v>5</v>
      </c>
      <c r="AC7" s="37">
        <f>IF(tbResults[[#This Row],[Player1 Score]]&lt;tbResults[[#This Row],[Player2 Score]],tbResults[[#This Row],[Player1 Score]],tbResults[[#This Row],[Player2 Score]])</f>
        <v>4</v>
      </c>
    </row>
    <row r="8" spans="2:29" s="3" customFormat="1" ht="30" customHeight="1" x14ac:dyDescent="0.3">
      <c r="B8" s="20" t="str">
        <f>_xlfn.CONCAT(tbResults[[#This Row],[Series Title]],".",tbResults[[#This Row],[Game]])</f>
        <v>2.1.07.02.2</v>
      </c>
      <c r="C8" s="15">
        <v>2</v>
      </c>
      <c r="D8" s="15">
        <v>1</v>
      </c>
      <c r="E8" s="15">
        <v>7</v>
      </c>
      <c r="F8" s="15">
        <v>2</v>
      </c>
      <c r="G8" s="15">
        <v>2</v>
      </c>
      <c r="H8" s="19" t="str">
        <f>_xlfn.CONCAT(tbResults[[#This Row],[Season]],".",tbResults[[#This Row],[Stage]])</f>
        <v>2.1</v>
      </c>
      <c r="I8" s="19" t="str">
        <f>_xlfn.CONCAT(tbResults[[#This Row],[Season]],".",tbResults[[#This Row],[Stage]],".",TEXT(tbResults[[#This Row],[Week]],"00"))</f>
        <v>2.1.07</v>
      </c>
      <c r="J8" s="19" t="str">
        <f>_xlfn.CONCAT(tbResults[[#This Row],[Week Title]],".",TEXT(tbResults[[#This Row],[Match]],"00"))</f>
        <v>2.1.07.02</v>
      </c>
      <c r="K8" s="20" t="str">
        <f>_xlfn.CONCAT(tbResults[[#This Row],[Game Title]], " ", tbResults[[#This Row],[Player1]], " vs ", tbResults[[#This Row],[Player2]] )</f>
        <v>2.1.07.02.2 Vengeurr vs toxjq</v>
      </c>
      <c r="L8" s="74" t="s">
        <v>13</v>
      </c>
      <c r="M8" s="74" t="s">
        <v>199</v>
      </c>
      <c r="N8" s="74" t="s">
        <v>40</v>
      </c>
      <c r="O8" s="74" t="s">
        <v>21</v>
      </c>
      <c r="P8" s="74" t="s">
        <v>25</v>
      </c>
      <c r="Q8" s="8">
        <v>4</v>
      </c>
      <c r="R8" s="8">
        <v>3</v>
      </c>
      <c r="S8" s="76" t="s">
        <v>82</v>
      </c>
      <c r="T8" s="75" t="s">
        <v>199</v>
      </c>
      <c r="U8" s="75" t="s">
        <v>34</v>
      </c>
      <c r="V8" s="46" t="str">
        <f>IF(tbResults[[#This Row],[Player1 Score]]&gt;tbResults[[#This Row],[Player2 Score]],tbResults[[#This Row],[Player1]],tbResults[[#This Row],[Player2]])</f>
        <v>Vengeurr</v>
      </c>
      <c r="W8" s="48" t="str">
        <f>IF(tbResults[[#This Row],[Player1 Score]]&gt;tbResults[[#This Row],[Player2 Score]],tbResults[[#This Row],[Player2]],tbResults[[#This Row],[Player1]])</f>
        <v>toxjq</v>
      </c>
      <c r="X8" s="11" t="str">
        <f>IF(tbResults[[#This Row],[Winner]]=tbResults[[#This Row],[Player1]],tbResults[[#This Row],[Player1 Pick]],tbResults[[#This Row],[Player2 Pick]])</f>
        <v>Ranger</v>
      </c>
      <c r="Y8" s="11" t="str">
        <f>IF(tbResults[[#This Row],[Loser]]=tbResults[[#This Row],[Player1]],tbResults[[#This Row],[Player1 Pick]],tbResults[[#This Row],[Player2 Pick]])</f>
        <v>Sorlag</v>
      </c>
      <c r="Z8" s="32">
        <f>SUM(tbResults[[#This Row],[Player1 Score]],tbResults[[#This Row],[Player2 Score]])</f>
        <v>7</v>
      </c>
      <c r="AA8" s="32">
        <f>ABS(tbResults[[#This Row],[Player1 Score]]-tbResults[[#This Row],[Player2 Score]])</f>
        <v>1</v>
      </c>
      <c r="AB8" s="37">
        <f>IF(tbResults[[#This Row],[Player1 Score]]&gt;tbResults[[#This Row],[Player2 Score]],tbResults[[#This Row],[Player1 Score]],tbResults[[#This Row],[Player2 Score]])</f>
        <v>4</v>
      </c>
      <c r="AC8" s="37">
        <f>IF(tbResults[[#This Row],[Player1 Score]]&lt;tbResults[[#This Row],[Player2 Score]],tbResults[[#This Row],[Player1 Score]],tbResults[[#This Row],[Player2 Score]])</f>
        <v>3</v>
      </c>
    </row>
    <row r="9" spans="2:29" s="3" customFormat="1" ht="30" customHeight="1" x14ac:dyDescent="0.3">
      <c r="B9" s="20" t="str">
        <f>_xlfn.CONCAT(tbResults[[#This Row],[Series Title]],".",tbResults[[#This Row],[Game]])</f>
        <v>2.1.07.02.3</v>
      </c>
      <c r="C9" s="15">
        <v>2</v>
      </c>
      <c r="D9" s="15">
        <v>1</v>
      </c>
      <c r="E9" s="15">
        <v>7</v>
      </c>
      <c r="F9" s="15">
        <v>2</v>
      </c>
      <c r="G9" s="15">
        <v>3</v>
      </c>
      <c r="H9" s="19" t="str">
        <f>_xlfn.CONCAT(tbResults[[#This Row],[Season]],".",tbResults[[#This Row],[Stage]])</f>
        <v>2.1</v>
      </c>
      <c r="I9" s="19" t="str">
        <f>_xlfn.CONCAT(tbResults[[#This Row],[Season]],".",tbResults[[#This Row],[Stage]],".",TEXT(tbResults[[#This Row],[Week]],"00"))</f>
        <v>2.1.07</v>
      </c>
      <c r="J9" s="19" t="str">
        <f>_xlfn.CONCAT(tbResults[[#This Row],[Week Title]],".",TEXT(tbResults[[#This Row],[Match]],"00"))</f>
        <v>2.1.07.02</v>
      </c>
      <c r="K9" s="20" t="str">
        <f>_xlfn.CONCAT(tbResults[[#This Row],[Game Title]], " ", tbResults[[#This Row],[Player1]], " vs ", tbResults[[#This Row],[Player2]] )</f>
        <v>2.1.07.02.3 Vengeurr vs toxjq</v>
      </c>
      <c r="L9" s="74" t="s">
        <v>13</v>
      </c>
      <c r="M9" s="74" t="s">
        <v>199</v>
      </c>
      <c r="N9" s="74" t="s">
        <v>19</v>
      </c>
      <c r="O9" s="74" t="s">
        <v>38</v>
      </c>
      <c r="P9" s="74" t="s">
        <v>36</v>
      </c>
      <c r="Q9" s="8">
        <v>8</v>
      </c>
      <c r="R9" s="8">
        <v>5</v>
      </c>
      <c r="S9" s="8" t="s">
        <v>81</v>
      </c>
      <c r="T9" s="75" t="s">
        <v>13</v>
      </c>
      <c r="U9" s="75" t="s">
        <v>22</v>
      </c>
      <c r="V9" s="46" t="str">
        <f>IF(tbResults[[#This Row],[Player1 Score]]&gt;tbResults[[#This Row],[Player2 Score]],tbResults[[#This Row],[Player1]],tbResults[[#This Row],[Player2]])</f>
        <v>Vengeurr</v>
      </c>
      <c r="W9" s="48" t="str">
        <f>IF(tbResults[[#This Row],[Player1 Score]]&gt;tbResults[[#This Row],[Player2 Score]],tbResults[[#This Row],[Player2]],tbResults[[#This Row],[Player1]])</f>
        <v>toxjq</v>
      </c>
      <c r="X9" s="11" t="str">
        <f>IF(tbResults[[#This Row],[Winner]]=tbResults[[#This Row],[Player1]],tbResults[[#This Row],[Player1 Pick]],tbResults[[#This Row],[Player2 Pick]])</f>
        <v>Nyx</v>
      </c>
      <c r="Y9" s="11" t="str">
        <f>IF(tbResults[[#This Row],[Loser]]=tbResults[[#This Row],[Player1]],tbResults[[#This Row],[Player1 Pick]],tbResults[[#This Row],[Player2 Pick]])</f>
        <v>Visor</v>
      </c>
      <c r="Z9" s="32">
        <f>SUM(tbResults[[#This Row],[Player1 Score]],tbResults[[#This Row],[Player2 Score]])</f>
        <v>13</v>
      </c>
      <c r="AA9" s="32">
        <f>ABS(tbResults[[#This Row],[Player1 Score]]-tbResults[[#This Row],[Player2 Score]])</f>
        <v>3</v>
      </c>
      <c r="AB9" s="37">
        <f>IF(tbResults[[#This Row],[Player1 Score]]&gt;tbResults[[#This Row],[Player2 Score]],tbResults[[#This Row],[Player1 Score]],tbResults[[#This Row],[Player2 Score]])</f>
        <v>8</v>
      </c>
      <c r="AC9" s="37">
        <f>IF(tbResults[[#This Row],[Player1 Score]]&lt;tbResults[[#This Row],[Player2 Score]],tbResults[[#This Row],[Player1 Score]],tbResults[[#This Row],[Player2 Score]])</f>
        <v>5</v>
      </c>
    </row>
    <row r="10" spans="2:29" s="3" customFormat="1" ht="30" customHeight="1" x14ac:dyDescent="0.3">
      <c r="B10" s="20" t="str">
        <f>_xlfn.CONCAT(tbResults[[#This Row],[Series Title]],".",tbResults[[#This Row],[Game]])</f>
        <v>2.1.07.03.1</v>
      </c>
      <c r="C10" s="15">
        <v>2</v>
      </c>
      <c r="D10" s="15">
        <v>1</v>
      </c>
      <c r="E10" s="15">
        <v>7</v>
      </c>
      <c r="F10" s="15">
        <v>3</v>
      </c>
      <c r="G10" s="15">
        <v>1</v>
      </c>
      <c r="H10" s="19" t="str">
        <f>_xlfn.CONCAT(tbResults[[#This Row],[Season]],".",tbResults[[#This Row],[Stage]])</f>
        <v>2.1</v>
      </c>
      <c r="I10" s="19" t="str">
        <f>_xlfn.CONCAT(tbResults[[#This Row],[Season]],".",tbResults[[#This Row],[Stage]],".",TEXT(tbResults[[#This Row],[Week]],"00"))</f>
        <v>2.1.07</v>
      </c>
      <c r="J10" s="19" t="str">
        <f>_xlfn.CONCAT(tbResults[[#This Row],[Week Title]],".",TEXT(tbResults[[#This Row],[Match]],"00"))</f>
        <v>2.1.07.03</v>
      </c>
      <c r="K10" s="20" t="str">
        <f>_xlfn.CONCAT(tbResults[[#This Row],[Game Title]], " ", tbResults[[#This Row],[Player1]], " vs ", tbResults[[#This Row],[Player2]] )</f>
        <v>2.1.07.03.1 Rapha vs Effortless</v>
      </c>
      <c r="L10" s="74" t="s">
        <v>47</v>
      </c>
      <c r="M10" s="74" t="s">
        <v>6</v>
      </c>
      <c r="N10" s="74" t="s">
        <v>178</v>
      </c>
      <c r="O10" s="74" t="s">
        <v>24</v>
      </c>
      <c r="P10" s="74" t="s">
        <v>55</v>
      </c>
      <c r="Q10" s="8">
        <v>17</v>
      </c>
      <c r="R10" s="8">
        <v>1</v>
      </c>
      <c r="S10" s="8" t="s">
        <v>81</v>
      </c>
      <c r="T10" s="75" t="s">
        <v>47</v>
      </c>
      <c r="U10" s="75" t="s">
        <v>39</v>
      </c>
      <c r="V10" s="46" t="str">
        <f>IF(tbResults[[#This Row],[Player1 Score]]&gt;tbResults[[#This Row],[Player2 Score]],tbResults[[#This Row],[Player1]],tbResults[[#This Row],[Player2]])</f>
        <v>Rapha</v>
      </c>
      <c r="W10" s="48" t="str">
        <f>IF(tbResults[[#This Row],[Player1 Score]]&gt;tbResults[[#This Row],[Player2 Score]],tbResults[[#This Row],[Player2]],tbResults[[#This Row],[Player1]])</f>
        <v>Effortless</v>
      </c>
      <c r="X10" s="11" t="str">
        <f>IF(tbResults[[#This Row],[Winner]]=tbResults[[#This Row],[Player1]],tbResults[[#This Row],[Player1 Pick]],tbResults[[#This Row],[Player2 Pick]])</f>
        <v>Slash</v>
      </c>
      <c r="Y10" s="11" t="str">
        <f>IF(tbResults[[#This Row],[Loser]]=tbResults[[#This Row],[Player1]],tbResults[[#This Row],[Player1 Pick]],tbResults[[#This Row],[Player2 Pick]])</f>
        <v>Athena</v>
      </c>
      <c r="Z10" s="32">
        <f>SUM(tbResults[[#This Row],[Player1 Score]],tbResults[[#This Row],[Player2 Score]])</f>
        <v>18</v>
      </c>
      <c r="AA10" s="32">
        <f>ABS(tbResults[[#This Row],[Player1 Score]]-tbResults[[#This Row],[Player2 Score]])</f>
        <v>16</v>
      </c>
      <c r="AB10" s="37">
        <f>IF(tbResults[[#This Row],[Player1 Score]]&gt;tbResults[[#This Row],[Player2 Score]],tbResults[[#This Row],[Player1 Score]],tbResults[[#This Row],[Player2 Score]])</f>
        <v>17</v>
      </c>
      <c r="AC10" s="37">
        <f>IF(tbResults[[#This Row],[Player1 Score]]&lt;tbResults[[#This Row],[Player2 Score]],tbResults[[#This Row],[Player1 Score]],tbResults[[#This Row],[Player2 Score]])</f>
        <v>1</v>
      </c>
    </row>
    <row r="11" spans="2:29" s="3" customFormat="1" ht="30" customHeight="1" x14ac:dyDescent="0.3">
      <c r="B11" s="20" t="str">
        <f>_xlfn.CONCAT(tbResults[[#This Row],[Series Title]],".",tbResults[[#This Row],[Game]])</f>
        <v>2.1.07.03.2</v>
      </c>
      <c r="C11" s="15">
        <v>2</v>
      </c>
      <c r="D11" s="15">
        <v>1</v>
      </c>
      <c r="E11" s="15">
        <v>7</v>
      </c>
      <c r="F11" s="15">
        <v>3</v>
      </c>
      <c r="G11" s="15">
        <v>2</v>
      </c>
      <c r="H11" s="19" t="str">
        <f>_xlfn.CONCAT(tbResults[[#This Row],[Season]],".",tbResults[[#This Row],[Stage]])</f>
        <v>2.1</v>
      </c>
      <c r="I11" s="19" t="str">
        <f>_xlfn.CONCAT(tbResults[[#This Row],[Season]],".",tbResults[[#This Row],[Stage]],".",TEXT(tbResults[[#This Row],[Week]],"00"))</f>
        <v>2.1.07</v>
      </c>
      <c r="J11" s="19" t="str">
        <f>_xlfn.CONCAT(tbResults[[#This Row],[Week Title]],".",TEXT(tbResults[[#This Row],[Match]],"00"))</f>
        <v>2.1.07.03</v>
      </c>
      <c r="K11" s="20" t="str">
        <f>_xlfn.CONCAT(tbResults[[#This Row],[Game Title]], " ", tbResults[[#This Row],[Player1]], " vs ", tbResults[[#This Row],[Player2]] )</f>
        <v>2.1.07.03.2 Rapha vs Effortless</v>
      </c>
      <c r="L11" s="74" t="s">
        <v>47</v>
      </c>
      <c r="M11" s="74" t="s">
        <v>6</v>
      </c>
      <c r="N11" s="74" t="s">
        <v>32</v>
      </c>
      <c r="O11" s="74" t="s">
        <v>25</v>
      </c>
      <c r="P11" s="74" t="s">
        <v>21</v>
      </c>
      <c r="Q11" s="8">
        <v>20</v>
      </c>
      <c r="R11" s="8">
        <v>5</v>
      </c>
      <c r="S11" s="8" t="s">
        <v>81</v>
      </c>
      <c r="T11" s="75" t="s">
        <v>6</v>
      </c>
      <c r="U11" s="75" t="s">
        <v>38</v>
      </c>
      <c r="V11" s="46" t="str">
        <f>IF(tbResults[[#This Row],[Player1 Score]]&gt;tbResults[[#This Row],[Player2 Score]],tbResults[[#This Row],[Player1]],tbResults[[#This Row],[Player2]])</f>
        <v>Rapha</v>
      </c>
      <c r="W11" s="48" t="str">
        <f>IF(tbResults[[#This Row],[Player1 Score]]&gt;tbResults[[#This Row],[Player2 Score]],tbResults[[#This Row],[Player2]],tbResults[[#This Row],[Player1]])</f>
        <v>Effortless</v>
      </c>
      <c r="X11" s="11" t="str">
        <f>IF(tbResults[[#This Row],[Winner]]=tbResults[[#This Row],[Player1]],tbResults[[#This Row],[Player1 Pick]],tbResults[[#This Row],[Player2 Pick]])</f>
        <v>Sorlag</v>
      </c>
      <c r="Y11" s="11" t="str">
        <f>IF(tbResults[[#This Row],[Loser]]=tbResults[[#This Row],[Player1]],tbResults[[#This Row],[Player1 Pick]],tbResults[[#This Row],[Player2 Pick]])</f>
        <v>Ranger</v>
      </c>
      <c r="Z11" s="32">
        <f>SUM(tbResults[[#This Row],[Player1 Score]],tbResults[[#This Row],[Player2 Score]])</f>
        <v>25</v>
      </c>
      <c r="AA11" s="32">
        <f>ABS(tbResults[[#This Row],[Player1 Score]]-tbResults[[#This Row],[Player2 Score]])</f>
        <v>15</v>
      </c>
      <c r="AB11" s="37">
        <f>IF(tbResults[[#This Row],[Player1 Score]]&gt;tbResults[[#This Row],[Player2 Score]],tbResults[[#This Row],[Player1 Score]],tbResults[[#This Row],[Player2 Score]])</f>
        <v>20</v>
      </c>
      <c r="AC11" s="37">
        <f>IF(tbResults[[#This Row],[Player1 Score]]&lt;tbResults[[#This Row],[Player2 Score]],tbResults[[#This Row],[Player1 Score]],tbResults[[#This Row],[Player2 Score]])</f>
        <v>5</v>
      </c>
    </row>
    <row r="12" spans="2:29" s="3" customFormat="1" ht="30" customHeight="1" x14ac:dyDescent="0.3">
      <c r="B12" s="20" t="str">
        <f>_xlfn.CONCAT(tbResults[[#This Row],[Series Title]],".",tbResults[[#This Row],[Game]])</f>
        <v>2.1.07.03.3</v>
      </c>
      <c r="C12" s="15">
        <v>2</v>
      </c>
      <c r="D12" s="15">
        <v>1</v>
      </c>
      <c r="E12" s="15">
        <v>7</v>
      </c>
      <c r="F12" s="15">
        <v>3</v>
      </c>
      <c r="G12" s="15">
        <v>3</v>
      </c>
      <c r="H12" s="19" t="str">
        <f>_xlfn.CONCAT(tbResults[[#This Row],[Season]],".",tbResults[[#This Row],[Stage]])</f>
        <v>2.1</v>
      </c>
      <c r="I12" s="19" t="str">
        <f>_xlfn.CONCAT(tbResults[[#This Row],[Season]],".",tbResults[[#This Row],[Stage]],".",TEXT(tbResults[[#This Row],[Week]],"00"))</f>
        <v>2.1.07</v>
      </c>
      <c r="J12" s="19" t="str">
        <f>_xlfn.CONCAT(tbResults[[#This Row],[Week Title]],".",TEXT(tbResults[[#This Row],[Match]],"00"))</f>
        <v>2.1.07.03</v>
      </c>
      <c r="K12" s="20" t="str">
        <f>_xlfn.CONCAT(tbResults[[#This Row],[Game Title]], " ", tbResults[[#This Row],[Player1]], " vs ", tbResults[[#This Row],[Player2]] )</f>
        <v>2.1.07.03.3 Rapha vs Effortless</v>
      </c>
      <c r="L12" s="74" t="s">
        <v>47</v>
      </c>
      <c r="M12" s="74" t="s">
        <v>6</v>
      </c>
      <c r="N12" s="74" t="s">
        <v>19</v>
      </c>
      <c r="O12" s="74" t="s">
        <v>22</v>
      </c>
      <c r="P12" s="74" t="s">
        <v>27</v>
      </c>
      <c r="Q12" s="8">
        <v>10</v>
      </c>
      <c r="R12" s="8">
        <v>7</v>
      </c>
      <c r="S12" s="8" t="s">
        <v>81</v>
      </c>
      <c r="T12" s="75" t="s">
        <v>47</v>
      </c>
      <c r="U12" s="75" t="s">
        <v>35</v>
      </c>
      <c r="V12" s="46" t="str">
        <f>IF(tbResults[[#This Row],[Player1 Score]]&gt;tbResults[[#This Row],[Player2 Score]],tbResults[[#This Row],[Player1]],tbResults[[#This Row],[Player2]])</f>
        <v>Rapha</v>
      </c>
      <c r="W12" s="48" t="str">
        <f>IF(tbResults[[#This Row],[Player1 Score]]&gt;tbResults[[#This Row],[Player2 Score]],tbResults[[#This Row],[Player2]],tbResults[[#This Row],[Player1]])</f>
        <v>Effortless</v>
      </c>
      <c r="X12" s="11" t="str">
        <f>IF(tbResults[[#This Row],[Winner]]=tbResults[[#This Row],[Player1]],tbResults[[#This Row],[Player1 Pick]],tbResults[[#This Row],[Player2 Pick]])</f>
        <v>Strogg</v>
      </c>
      <c r="Y12" s="11" t="str">
        <f>IF(tbResults[[#This Row],[Loser]]=tbResults[[#This Row],[Player1]],tbResults[[#This Row],[Player1 Pick]],tbResults[[#This Row],[Player2 Pick]])</f>
        <v>Keel</v>
      </c>
      <c r="Z12" s="32">
        <f>SUM(tbResults[[#This Row],[Player1 Score]],tbResults[[#This Row],[Player2 Score]])</f>
        <v>17</v>
      </c>
      <c r="AA12" s="32">
        <f>ABS(tbResults[[#This Row],[Player1 Score]]-tbResults[[#This Row],[Player2 Score]])</f>
        <v>3</v>
      </c>
      <c r="AB12" s="37">
        <f>IF(tbResults[[#This Row],[Player1 Score]]&gt;tbResults[[#This Row],[Player2 Score]],tbResults[[#This Row],[Player1 Score]],tbResults[[#This Row],[Player2 Score]])</f>
        <v>10</v>
      </c>
      <c r="AC12" s="37">
        <f>IF(tbResults[[#This Row],[Player1 Score]]&lt;tbResults[[#This Row],[Player2 Score]],tbResults[[#This Row],[Player1 Score]],tbResults[[#This Row],[Player2 Score]])</f>
        <v>7</v>
      </c>
    </row>
    <row r="13" spans="2:29" s="3" customFormat="1" ht="30" customHeight="1" x14ac:dyDescent="0.3">
      <c r="B13" s="20" t="str">
        <f>_xlfn.CONCAT(tbResults[[#This Row],[Series Title]],".",tbResults[[#This Row],[Game]])</f>
        <v>2.1.07.04.1</v>
      </c>
      <c r="C13" s="15">
        <v>2</v>
      </c>
      <c r="D13" s="15">
        <v>1</v>
      </c>
      <c r="E13" s="15">
        <v>7</v>
      </c>
      <c r="F13" s="15">
        <v>4</v>
      </c>
      <c r="G13" s="15">
        <v>1</v>
      </c>
      <c r="H13" s="19" t="str">
        <f>_xlfn.CONCAT(tbResults[[#This Row],[Season]],".",tbResults[[#This Row],[Stage]])</f>
        <v>2.1</v>
      </c>
      <c r="I13" s="19" t="str">
        <f>_xlfn.CONCAT(tbResults[[#This Row],[Season]],".",tbResults[[#This Row],[Stage]],".",TEXT(tbResults[[#This Row],[Week]],"00"))</f>
        <v>2.1.07</v>
      </c>
      <c r="J13" s="19" t="str">
        <f>_xlfn.CONCAT(tbResults[[#This Row],[Week Title]],".",TEXT(tbResults[[#This Row],[Match]],"00"))</f>
        <v>2.1.07.04</v>
      </c>
      <c r="K13" s="20" t="str">
        <f>_xlfn.CONCAT(tbResults[[#This Row],[Game Title]], " ", tbResults[[#This Row],[Player1]], " vs ", tbResults[[#This Row],[Player2]] )</f>
        <v>2.1.07.04.1 dooi vs Nosfa</v>
      </c>
      <c r="L13" s="74" t="s">
        <v>5</v>
      </c>
      <c r="M13" s="74" t="s">
        <v>11</v>
      </c>
      <c r="N13" s="74" t="s">
        <v>178</v>
      </c>
      <c r="O13" s="74" t="s">
        <v>24</v>
      </c>
      <c r="P13" s="74" t="s">
        <v>55</v>
      </c>
      <c r="Q13" s="8">
        <v>6</v>
      </c>
      <c r="R13" s="8">
        <v>5</v>
      </c>
      <c r="S13" s="8" t="s">
        <v>81</v>
      </c>
      <c r="T13" s="75" t="s">
        <v>5</v>
      </c>
      <c r="U13" s="75" t="s">
        <v>21</v>
      </c>
      <c r="V13" s="46" t="str">
        <f>IF(tbResults[[#This Row],[Player1 Score]]&gt;tbResults[[#This Row],[Player2 Score]],tbResults[[#This Row],[Player1]],tbResults[[#This Row],[Player2]])</f>
        <v>dooi</v>
      </c>
      <c r="W13" s="48" t="str">
        <f>IF(tbResults[[#This Row],[Player1 Score]]&gt;tbResults[[#This Row],[Player2 Score]],tbResults[[#This Row],[Player2]],tbResults[[#This Row],[Player1]])</f>
        <v>Nosfa</v>
      </c>
      <c r="X13" s="11" t="str">
        <f>IF(tbResults[[#This Row],[Winner]]=tbResults[[#This Row],[Player1]],tbResults[[#This Row],[Player1 Pick]],tbResults[[#This Row],[Player2 Pick]])</f>
        <v>Slash</v>
      </c>
      <c r="Y13" s="11" t="str">
        <f>IF(tbResults[[#This Row],[Loser]]=tbResults[[#This Row],[Player1]],tbResults[[#This Row],[Player1 Pick]],tbResults[[#This Row],[Player2 Pick]])</f>
        <v>Athena</v>
      </c>
      <c r="Z13" s="32">
        <f>SUM(tbResults[[#This Row],[Player1 Score]],tbResults[[#This Row],[Player2 Score]])</f>
        <v>11</v>
      </c>
      <c r="AA13" s="32">
        <f>ABS(tbResults[[#This Row],[Player1 Score]]-tbResults[[#This Row],[Player2 Score]])</f>
        <v>1</v>
      </c>
      <c r="AB13" s="37">
        <f>IF(tbResults[[#This Row],[Player1 Score]]&gt;tbResults[[#This Row],[Player2 Score]],tbResults[[#This Row],[Player1 Score]],tbResults[[#This Row],[Player2 Score]])</f>
        <v>6</v>
      </c>
      <c r="AC13" s="37">
        <f>IF(tbResults[[#This Row],[Player1 Score]]&lt;tbResults[[#This Row],[Player2 Score]],tbResults[[#This Row],[Player1 Score]],tbResults[[#This Row],[Player2 Score]])</f>
        <v>5</v>
      </c>
    </row>
    <row r="14" spans="2:29" s="3" customFormat="1" ht="30" customHeight="1" x14ac:dyDescent="0.3">
      <c r="B14" s="20" t="str">
        <f>_xlfn.CONCAT(tbResults[[#This Row],[Series Title]],".",tbResults[[#This Row],[Game]])</f>
        <v>2.1.07.04.2</v>
      </c>
      <c r="C14" s="15">
        <v>2</v>
      </c>
      <c r="D14" s="15">
        <v>1</v>
      </c>
      <c r="E14" s="15">
        <v>7</v>
      </c>
      <c r="F14" s="15">
        <v>4</v>
      </c>
      <c r="G14" s="15">
        <v>2</v>
      </c>
      <c r="H14" s="19" t="str">
        <f>_xlfn.CONCAT(tbResults[[#This Row],[Season]],".",tbResults[[#This Row],[Stage]])</f>
        <v>2.1</v>
      </c>
      <c r="I14" s="19" t="str">
        <f>_xlfn.CONCAT(tbResults[[#This Row],[Season]],".",tbResults[[#This Row],[Stage]],".",TEXT(tbResults[[#This Row],[Week]],"00"))</f>
        <v>2.1.07</v>
      </c>
      <c r="J14" s="19" t="str">
        <f>_xlfn.CONCAT(tbResults[[#This Row],[Week Title]],".",TEXT(tbResults[[#This Row],[Match]],"00"))</f>
        <v>2.1.07.04</v>
      </c>
      <c r="K14" s="20" t="str">
        <f>_xlfn.CONCAT(tbResults[[#This Row],[Game Title]], " ", tbResults[[#This Row],[Player1]], " vs ", tbResults[[#This Row],[Player2]] )</f>
        <v>2.1.07.04.2 dooi vs Nosfa</v>
      </c>
      <c r="L14" s="74" t="s">
        <v>5</v>
      </c>
      <c r="M14" s="74" t="s">
        <v>11</v>
      </c>
      <c r="N14" s="74" t="s">
        <v>32</v>
      </c>
      <c r="O14" s="74" t="s">
        <v>25</v>
      </c>
      <c r="P14" s="74" t="s">
        <v>22</v>
      </c>
      <c r="Q14" s="8">
        <v>10</v>
      </c>
      <c r="R14" s="8">
        <v>11</v>
      </c>
      <c r="S14" s="8" t="s">
        <v>81</v>
      </c>
      <c r="T14" s="75" t="s">
        <v>11</v>
      </c>
      <c r="U14" s="75" t="s">
        <v>28</v>
      </c>
      <c r="V14" s="46" t="str">
        <f>IF(tbResults[[#This Row],[Player1 Score]]&gt;tbResults[[#This Row],[Player2 Score]],tbResults[[#This Row],[Player1]],tbResults[[#This Row],[Player2]])</f>
        <v>Nosfa</v>
      </c>
      <c r="W14" s="48" t="str">
        <f>IF(tbResults[[#This Row],[Player1 Score]]&gt;tbResults[[#This Row],[Player2 Score]],tbResults[[#This Row],[Player2]],tbResults[[#This Row],[Player1]])</f>
        <v>dooi</v>
      </c>
      <c r="X14" s="11" t="str">
        <f>IF(tbResults[[#This Row],[Winner]]=tbResults[[#This Row],[Player1]],tbResults[[#This Row],[Player1 Pick]],tbResults[[#This Row],[Player2 Pick]])</f>
        <v>Strogg</v>
      </c>
      <c r="Y14" s="11" t="str">
        <f>IF(tbResults[[#This Row],[Loser]]=tbResults[[#This Row],[Player1]],tbResults[[#This Row],[Player1 Pick]],tbResults[[#This Row],[Player2 Pick]])</f>
        <v>Sorlag</v>
      </c>
      <c r="Z14" s="32">
        <f>SUM(tbResults[[#This Row],[Player1 Score]],tbResults[[#This Row],[Player2 Score]])</f>
        <v>21</v>
      </c>
      <c r="AA14" s="32">
        <f>ABS(tbResults[[#This Row],[Player1 Score]]-tbResults[[#This Row],[Player2 Score]])</f>
        <v>1</v>
      </c>
      <c r="AB14" s="37">
        <f>IF(tbResults[[#This Row],[Player1 Score]]&gt;tbResults[[#This Row],[Player2 Score]],tbResults[[#This Row],[Player1 Score]],tbResults[[#This Row],[Player2 Score]])</f>
        <v>11</v>
      </c>
      <c r="AC14" s="37">
        <f>IF(tbResults[[#This Row],[Player1 Score]]&lt;tbResults[[#This Row],[Player2 Score]],tbResults[[#This Row],[Player1 Score]],tbResults[[#This Row],[Player2 Score]])</f>
        <v>10</v>
      </c>
    </row>
    <row r="15" spans="2:29" s="3" customFormat="1" ht="30" customHeight="1" x14ac:dyDescent="0.3">
      <c r="B15" s="20" t="str">
        <f>_xlfn.CONCAT(tbResults[[#This Row],[Series Title]],".",tbResults[[#This Row],[Game]])</f>
        <v>2.1.07.04.3</v>
      </c>
      <c r="C15" s="15">
        <v>2</v>
      </c>
      <c r="D15" s="15">
        <v>1</v>
      </c>
      <c r="E15" s="15">
        <v>7</v>
      </c>
      <c r="F15" s="15">
        <v>4</v>
      </c>
      <c r="G15" s="15">
        <v>3</v>
      </c>
      <c r="H15" s="19" t="str">
        <f>_xlfn.CONCAT(tbResults[[#This Row],[Season]],".",tbResults[[#This Row],[Stage]])</f>
        <v>2.1</v>
      </c>
      <c r="I15" s="19" t="str">
        <f>_xlfn.CONCAT(tbResults[[#This Row],[Season]],".",tbResults[[#This Row],[Stage]],".",TEXT(tbResults[[#This Row],[Week]],"00"))</f>
        <v>2.1.07</v>
      </c>
      <c r="J15" s="19" t="str">
        <f>_xlfn.CONCAT(tbResults[[#This Row],[Week Title]],".",TEXT(tbResults[[#This Row],[Match]],"00"))</f>
        <v>2.1.07.04</v>
      </c>
      <c r="K15" s="20" t="str">
        <f>_xlfn.CONCAT(tbResults[[#This Row],[Game Title]], " ", tbResults[[#This Row],[Player1]], " vs ", tbResults[[#This Row],[Player2]] )</f>
        <v>2.1.07.04.3 dooi vs Nosfa</v>
      </c>
      <c r="L15" s="74" t="s">
        <v>5</v>
      </c>
      <c r="M15" s="74" t="s">
        <v>11</v>
      </c>
      <c r="N15" s="74" t="s">
        <v>19</v>
      </c>
      <c r="O15" s="74" t="s">
        <v>38</v>
      </c>
      <c r="P15" s="74" t="s">
        <v>39</v>
      </c>
      <c r="Q15" s="8">
        <v>14</v>
      </c>
      <c r="R15" s="8">
        <v>4</v>
      </c>
      <c r="S15" s="8" t="s">
        <v>81</v>
      </c>
      <c r="T15" s="75" t="s">
        <v>5</v>
      </c>
      <c r="U15" s="75" t="s">
        <v>35</v>
      </c>
      <c r="V15" s="46" t="str">
        <f>IF(tbResults[[#This Row],[Player1 Score]]&gt;tbResults[[#This Row],[Player2 Score]],tbResults[[#This Row],[Player1]],tbResults[[#This Row],[Player2]])</f>
        <v>dooi</v>
      </c>
      <c r="W15" s="48" t="str">
        <f>IF(tbResults[[#This Row],[Player1 Score]]&gt;tbResults[[#This Row],[Player2 Score]],tbResults[[#This Row],[Player2]],tbResults[[#This Row],[Player1]])</f>
        <v>Nosfa</v>
      </c>
      <c r="X15" s="11" t="str">
        <f>IF(tbResults[[#This Row],[Winner]]=tbResults[[#This Row],[Player1]],tbResults[[#This Row],[Player1 Pick]],tbResults[[#This Row],[Player2 Pick]])</f>
        <v>Nyx</v>
      </c>
      <c r="Y15" s="11" t="str">
        <f>IF(tbResults[[#This Row],[Loser]]=tbResults[[#This Row],[Player1]],tbResults[[#This Row],[Player1 Pick]],tbResults[[#This Row],[Player2 Pick]])</f>
        <v>Anarki</v>
      </c>
      <c r="Z15" s="32">
        <f>SUM(tbResults[[#This Row],[Player1 Score]],tbResults[[#This Row],[Player2 Score]])</f>
        <v>18</v>
      </c>
      <c r="AA15" s="32">
        <f>ABS(tbResults[[#This Row],[Player1 Score]]-tbResults[[#This Row],[Player2 Score]])</f>
        <v>10</v>
      </c>
      <c r="AB15" s="37">
        <f>IF(tbResults[[#This Row],[Player1 Score]]&gt;tbResults[[#This Row],[Player2 Score]],tbResults[[#This Row],[Player1 Score]],tbResults[[#This Row],[Player2 Score]])</f>
        <v>14</v>
      </c>
      <c r="AC15" s="37">
        <f>IF(tbResults[[#This Row],[Player1 Score]]&lt;tbResults[[#This Row],[Player2 Score]],tbResults[[#This Row],[Player1 Score]],tbResults[[#This Row],[Player2 Score]])</f>
        <v>4</v>
      </c>
    </row>
    <row r="16" spans="2:29" s="3" customFormat="1" ht="30" customHeight="1" x14ac:dyDescent="0.3">
      <c r="B16" s="20" t="str">
        <f>_xlfn.CONCAT(tbResults[[#This Row],[Series Title]],".",tbResults[[#This Row],[Game]])</f>
        <v>2.1.07.05.1</v>
      </c>
      <c r="C16" s="15">
        <v>2</v>
      </c>
      <c r="D16" s="15">
        <v>1</v>
      </c>
      <c r="E16" s="15">
        <v>7</v>
      </c>
      <c r="F16" s="15">
        <v>5</v>
      </c>
      <c r="G16" s="15">
        <v>1</v>
      </c>
      <c r="H16" s="19" t="str">
        <f>_xlfn.CONCAT(tbResults[[#This Row],[Season]],".",tbResults[[#This Row],[Stage]])</f>
        <v>2.1</v>
      </c>
      <c r="I16" s="19" t="str">
        <f>_xlfn.CONCAT(tbResults[[#This Row],[Season]],".",tbResults[[#This Row],[Stage]],".",TEXT(tbResults[[#This Row],[Week]],"00"))</f>
        <v>2.1.07</v>
      </c>
      <c r="J16" s="19" t="str">
        <f>_xlfn.CONCAT(tbResults[[#This Row],[Week Title]],".",TEXT(tbResults[[#This Row],[Match]],"00"))</f>
        <v>2.1.07.05</v>
      </c>
      <c r="K16" s="20" t="str">
        <f>_xlfn.CONCAT(tbResults[[#This Row],[Game Title]], " ", tbResults[[#This Row],[Player1]], " vs ", tbResults[[#This Row],[Player2]] )</f>
        <v>2.1.07.05.1 cha1n vs psygib</v>
      </c>
      <c r="L16" s="74" t="s">
        <v>53</v>
      </c>
      <c r="M16" s="74" t="s">
        <v>209</v>
      </c>
      <c r="N16" s="74" t="s">
        <v>26</v>
      </c>
      <c r="O16" s="74" t="s">
        <v>22</v>
      </c>
      <c r="P16" s="74" t="s">
        <v>39</v>
      </c>
      <c r="Q16" s="8">
        <v>11</v>
      </c>
      <c r="R16" s="8">
        <v>3</v>
      </c>
      <c r="S16" s="8" t="s">
        <v>81</v>
      </c>
      <c r="T16" s="75" t="s">
        <v>53</v>
      </c>
      <c r="U16" s="75" t="s">
        <v>34</v>
      </c>
      <c r="V16" s="46" t="str">
        <f>IF(tbResults[[#This Row],[Player1 Score]]&gt;tbResults[[#This Row],[Player2 Score]],tbResults[[#This Row],[Player1]],tbResults[[#This Row],[Player2]])</f>
        <v>cha1n</v>
      </c>
      <c r="W16" s="48" t="str">
        <f>IF(tbResults[[#This Row],[Player1 Score]]&gt;tbResults[[#This Row],[Player2 Score]],tbResults[[#This Row],[Player2]],tbResults[[#This Row],[Player1]])</f>
        <v>psygib</v>
      </c>
      <c r="X16" s="11" t="str">
        <f>IF(tbResults[[#This Row],[Winner]]=tbResults[[#This Row],[Player1]],tbResults[[#This Row],[Player1 Pick]],tbResults[[#This Row],[Player2 Pick]])</f>
        <v>Strogg</v>
      </c>
      <c r="Y16" s="11" t="str">
        <f>IF(tbResults[[#This Row],[Loser]]=tbResults[[#This Row],[Player1]],tbResults[[#This Row],[Player1 Pick]],tbResults[[#This Row],[Player2 Pick]])</f>
        <v>Anarki</v>
      </c>
      <c r="Z16" s="32">
        <f>SUM(tbResults[[#This Row],[Player1 Score]],tbResults[[#This Row],[Player2 Score]])</f>
        <v>14</v>
      </c>
      <c r="AA16" s="32">
        <f>ABS(tbResults[[#This Row],[Player1 Score]]-tbResults[[#This Row],[Player2 Score]])</f>
        <v>8</v>
      </c>
      <c r="AB16" s="37">
        <f>IF(tbResults[[#This Row],[Player1 Score]]&gt;tbResults[[#This Row],[Player2 Score]],tbResults[[#This Row],[Player1 Score]],tbResults[[#This Row],[Player2 Score]])</f>
        <v>11</v>
      </c>
      <c r="AC16" s="37">
        <f>IF(tbResults[[#This Row],[Player1 Score]]&lt;tbResults[[#This Row],[Player2 Score]],tbResults[[#This Row],[Player1 Score]],tbResults[[#This Row],[Player2 Score]])</f>
        <v>3</v>
      </c>
    </row>
    <row r="17" spans="2:29" s="3" customFormat="1" ht="30" customHeight="1" x14ac:dyDescent="0.3">
      <c r="B17" s="20" t="str">
        <f>_xlfn.CONCAT(tbResults[[#This Row],[Series Title]],".",tbResults[[#This Row],[Game]])</f>
        <v>2.1.07.05.2</v>
      </c>
      <c r="C17" s="15">
        <v>2</v>
      </c>
      <c r="D17" s="15">
        <v>1</v>
      </c>
      <c r="E17" s="15">
        <v>7</v>
      </c>
      <c r="F17" s="15">
        <v>5</v>
      </c>
      <c r="G17" s="15">
        <v>2</v>
      </c>
      <c r="H17" s="19" t="str">
        <f>_xlfn.CONCAT(tbResults[[#This Row],[Season]],".",tbResults[[#This Row],[Stage]])</f>
        <v>2.1</v>
      </c>
      <c r="I17" s="19" t="str">
        <f>_xlfn.CONCAT(tbResults[[#This Row],[Season]],".",tbResults[[#This Row],[Stage]],".",TEXT(tbResults[[#This Row],[Week]],"00"))</f>
        <v>2.1.07</v>
      </c>
      <c r="J17" s="19" t="str">
        <f>_xlfn.CONCAT(tbResults[[#This Row],[Week Title]],".",TEXT(tbResults[[#This Row],[Match]],"00"))</f>
        <v>2.1.07.05</v>
      </c>
      <c r="K17" s="20" t="str">
        <f>_xlfn.CONCAT(tbResults[[#This Row],[Game Title]], " ", tbResults[[#This Row],[Player1]], " vs ", tbResults[[#This Row],[Player2]] )</f>
        <v>2.1.07.05.2 cha1n vs psygib</v>
      </c>
      <c r="L17" s="74" t="s">
        <v>53</v>
      </c>
      <c r="M17" s="74" t="s">
        <v>209</v>
      </c>
      <c r="N17" s="74" t="s">
        <v>178</v>
      </c>
      <c r="O17" s="74" t="s">
        <v>55</v>
      </c>
      <c r="P17" s="74" t="s">
        <v>38</v>
      </c>
      <c r="Q17" s="8">
        <v>8</v>
      </c>
      <c r="R17" s="8">
        <v>1</v>
      </c>
      <c r="S17" s="8" t="s">
        <v>81</v>
      </c>
      <c r="T17" s="75" t="s">
        <v>30</v>
      </c>
      <c r="U17" s="75" t="s">
        <v>44</v>
      </c>
      <c r="V17" s="46" t="str">
        <f>IF(tbResults[[#This Row],[Player1 Score]]&gt;tbResults[[#This Row],[Player2 Score]],tbResults[[#This Row],[Player1]],tbResults[[#This Row],[Player2]])</f>
        <v>cha1n</v>
      </c>
      <c r="W17" s="48" t="str">
        <f>IF(tbResults[[#This Row],[Player1 Score]]&gt;tbResults[[#This Row],[Player2 Score]],tbResults[[#This Row],[Player2]],tbResults[[#This Row],[Player1]])</f>
        <v>psygib</v>
      </c>
      <c r="X17" s="11" t="str">
        <f>IF(tbResults[[#This Row],[Winner]]=tbResults[[#This Row],[Player1]],tbResults[[#This Row],[Player1 Pick]],tbResults[[#This Row],[Player2 Pick]])</f>
        <v>Athena</v>
      </c>
      <c r="Y17" s="11" t="str">
        <f>IF(tbResults[[#This Row],[Loser]]=tbResults[[#This Row],[Player1]],tbResults[[#This Row],[Player1 Pick]],tbResults[[#This Row],[Player2 Pick]])</f>
        <v>Nyx</v>
      </c>
      <c r="Z17" s="32">
        <f>SUM(tbResults[[#This Row],[Player1 Score]],tbResults[[#This Row],[Player2 Score]])</f>
        <v>9</v>
      </c>
      <c r="AA17" s="32">
        <f>ABS(tbResults[[#This Row],[Player1 Score]]-tbResults[[#This Row],[Player2 Score]])</f>
        <v>7</v>
      </c>
      <c r="AB17" s="37">
        <f>IF(tbResults[[#This Row],[Player1 Score]]&gt;tbResults[[#This Row],[Player2 Score]],tbResults[[#This Row],[Player1 Score]],tbResults[[#This Row],[Player2 Score]])</f>
        <v>8</v>
      </c>
      <c r="AC17" s="37">
        <f>IF(tbResults[[#This Row],[Player1 Score]]&lt;tbResults[[#This Row],[Player2 Score]],tbResults[[#This Row],[Player1 Score]],tbResults[[#This Row],[Player2 Score]])</f>
        <v>1</v>
      </c>
    </row>
    <row r="18" spans="2:29" s="3" customFormat="1" ht="30" customHeight="1" x14ac:dyDescent="0.3">
      <c r="B18" s="20" t="str">
        <f>_xlfn.CONCAT(tbResults[[#This Row],[Series Title]],".",tbResults[[#This Row],[Game]])</f>
        <v>2.1.07.05.3</v>
      </c>
      <c r="C18" s="15">
        <v>2</v>
      </c>
      <c r="D18" s="15">
        <v>1</v>
      </c>
      <c r="E18" s="15">
        <v>7</v>
      </c>
      <c r="F18" s="15">
        <v>5</v>
      </c>
      <c r="G18" s="15">
        <v>3</v>
      </c>
      <c r="H18" s="19" t="str">
        <f>_xlfn.CONCAT(tbResults[[#This Row],[Season]],".",tbResults[[#This Row],[Stage]])</f>
        <v>2.1</v>
      </c>
      <c r="I18" s="19" t="str">
        <f>_xlfn.CONCAT(tbResults[[#This Row],[Season]],".",tbResults[[#This Row],[Stage]],".",TEXT(tbResults[[#This Row],[Week]],"00"))</f>
        <v>2.1.07</v>
      </c>
      <c r="J18" s="19" t="str">
        <f>_xlfn.CONCAT(tbResults[[#This Row],[Week Title]],".",TEXT(tbResults[[#This Row],[Match]],"00"))</f>
        <v>2.1.07.05</v>
      </c>
      <c r="K18" s="20" t="str">
        <f>_xlfn.CONCAT(tbResults[[#This Row],[Game Title]], " ", tbResults[[#This Row],[Player1]], " vs ", tbResults[[#This Row],[Player2]] )</f>
        <v>2.1.07.05.3 cha1n vs psygib</v>
      </c>
      <c r="L18" s="74" t="s">
        <v>53</v>
      </c>
      <c r="M18" s="74" t="s">
        <v>209</v>
      </c>
      <c r="N18" s="74" t="s">
        <v>23</v>
      </c>
      <c r="O18" s="74" t="s">
        <v>21</v>
      </c>
      <c r="P18" s="74" t="s">
        <v>37</v>
      </c>
      <c r="Q18" s="8">
        <v>12</v>
      </c>
      <c r="R18" s="8">
        <v>3</v>
      </c>
      <c r="S18" s="8" t="s">
        <v>81</v>
      </c>
      <c r="T18" s="75" t="s">
        <v>53</v>
      </c>
      <c r="U18" s="75" t="s">
        <v>37</v>
      </c>
      <c r="V18" s="46" t="str">
        <f>IF(tbResults[[#This Row],[Player1 Score]]&gt;tbResults[[#This Row],[Player2 Score]],tbResults[[#This Row],[Player1]],tbResults[[#This Row],[Player2]])</f>
        <v>cha1n</v>
      </c>
      <c r="W18" s="48" t="str">
        <f>IF(tbResults[[#This Row],[Player1 Score]]&gt;tbResults[[#This Row],[Player2 Score]],tbResults[[#This Row],[Player2]],tbResults[[#This Row],[Player1]])</f>
        <v>psygib</v>
      </c>
      <c r="X18" s="11" t="str">
        <f>IF(tbResults[[#This Row],[Winner]]=tbResults[[#This Row],[Player1]],tbResults[[#This Row],[Player1 Pick]],tbResults[[#This Row],[Player2 Pick]])</f>
        <v>Ranger</v>
      </c>
      <c r="Y18" s="11" t="str">
        <f>IF(tbResults[[#This Row],[Loser]]=tbResults[[#This Row],[Player1]],tbResults[[#This Row],[Player1 Pick]],tbResults[[#This Row],[Player2 Pick]])</f>
        <v>Eisen</v>
      </c>
      <c r="Z18" s="32">
        <f>SUM(tbResults[[#This Row],[Player1 Score]],tbResults[[#This Row],[Player2 Score]])</f>
        <v>15</v>
      </c>
      <c r="AA18" s="32">
        <f>ABS(tbResults[[#This Row],[Player1 Score]]-tbResults[[#This Row],[Player2 Score]])</f>
        <v>9</v>
      </c>
      <c r="AB18" s="37">
        <f>IF(tbResults[[#This Row],[Player1 Score]]&gt;tbResults[[#This Row],[Player2 Score]],tbResults[[#This Row],[Player1 Score]],tbResults[[#This Row],[Player2 Score]])</f>
        <v>12</v>
      </c>
      <c r="AC18" s="37">
        <f>IF(tbResults[[#This Row],[Player1 Score]]&lt;tbResults[[#This Row],[Player2 Score]],tbResults[[#This Row],[Player1 Score]],tbResults[[#This Row],[Player2 Score]])</f>
        <v>3</v>
      </c>
    </row>
    <row r="19" spans="2:29" s="3" customFormat="1" ht="30" customHeight="1" x14ac:dyDescent="0.3">
      <c r="B19" s="20" t="str">
        <f>_xlfn.CONCAT(tbResults[[#This Row],[Series Title]],".",tbResults[[#This Row],[Game]])</f>
        <v>2.1.07.06.1</v>
      </c>
      <c r="C19" s="15">
        <v>2</v>
      </c>
      <c r="D19" s="15">
        <v>1</v>
      </c>
      <c r="E19" s="15">
        <v>7</v>
      </c>
      <c r="F19" s="15">
        <v>6</v>
      </c>
      <c r="G19" s="15">
        <v>1</v>
      </c>
      <c r="H19" s="19" t="str">
        <f>_xlfn.CONCAT(tbResults[[#This Row],[Season]],".",tbResults[[#This Row],[Stage]])</f>
        <v>2.1</v>
      </c>
      <c r="I19" s="19" t="str">
        <f>_xlfn.CONCAT(tbResults[[#This Row],[Season]],".",tbResults[[#This Row],[Stage]],".",TEXT(tbResults[[#This Row],[Week]],"00"))</f>
        <v>2.1.07</v>
      </c>
      <c r="J19" s="19" t="str">
        <f>_xlfn.CONCAT(tbResults[[#This Row],[Week Title]],".",TEXT(tbResults[[#This Row],[Match]],"00"))</f>
        <v>2.1.07.06</v>
      </c>
      <c r="K19" s="20" t="str">
        <f>_xlfn.CONCAT(tbResults[[#This Row],[Game Title]], " ", tbResults[[#This Row],[Player1]], " vs ", tbResults[[#This Row],[Player2]] )</f>
        <v>2.1.07.06.1 cnz vs Cypher</v>
      </c>
      <c r="L19" s="74" t="s">
        <v>54</v>
      </c>
      <c r="M19" s="74" t="s">
        <v>14</v>
      </c>
      <c r="N19" s="74" t="s">
        <v>23</v>
      </c>
      <c r="O19" s="74" t="s">
        <v>25</v>
      </c>
      <c r="P19" s="74" t="s">
        <v>39</v>
      </c>
      <c r="Q19" s="8">
        <v>4</v>
      </c>
      <c r="R19" s="8">
        <v>11</v>
      </c>
      <c r="S19" s="8" t="s">
        <v>81</v>
      </c>
      <c r="T19" s="75" t="s">
        <v>14</v>
      </c>
      <c r="U19" s="75" t="s">
        <v>24</v>
      </c>
      <c r="V19" s="46" t="str">
        <f>IF(tbResults[[#This Row],[Player1 Score]]&gt;tbResults[[#This Row],[Player2 Score]],tbResults[[#This Row],[Player1]],tbResults[[#This Row],[Player2]])</f>
        <v>Cypher</v>
      </c>
      <c r="W19" s="48" t="str">
        <f>IF(tbResults[[#This Row],[Player1 Score]]&gt;tbResults[[#This Row],[Player2 Score]],tbResults[[#This Row],[Player2]],tbResults[[#This Row],[Player1]])</f>
        <v>cnz</v>
      </c>
      <c r="X19" s="11" t="str">
        <f>IF(tbResults[[#This Row],[Winner]]=tbResults[[#This Row],[Player1]],tbResults[[#This Row],[Player1 Pick]],tbResults[[#This Row],[Player2 Pick]])</f>
        <v>Anarki</v>
      </c>
      <c r="Y19" s="11" t="str">
        <f>IF(tbResults[[#This Row],[Loser]]=tbResults[[#This Row],[Player1]],tbResults[[#This Row],[Player1 Pick]],tbResults[[#This Row],[Player2 Pick]])</f>
        <v>Sorlag</v>
      </c>
      <c r="Z19" s="32">
        <f>SUM(tbResults[[#This Row],[Player1 Score]],tbResults[[#This Row],[Player2 Score]])</f>
        <v>15</v>
      </c>
      <c r="AA19" s="32">
        <f>ABS(tbResults[[#This Row],[Player1 Score]]-tbResults[[#This Row],[Player2 Score]])</f>
        <v>7</v>
      </c>
      <c r="AB19" s="37">
        <f>IF(tbResults[[#This Row],[Player1 Score]]&gt;tbResults[[#This Row],[Player2 Score]],tbResults[[#This Row],[Player1 Score]],tbResults[[#This Row],[Player2 Score]])</f>
        <v>11</v>
      </c>
      <c r="AC19" s="37">
        <f>IF(tbResults[[#This Row],[Player1 Score]]&lt;tbResults[[#This Row],[Player2 Score]],tbResults[[#This Row],[Player1 Score]],tbResults[[#This Row],[Player2 Score]])</f>
        <v>4</v>
      </c>
    </row>
    <row r="20" spans="2:29" s="3" customFormat="1" ht="30" customHeight="1" x14ac:dyDescent="0.3">
      <c r="B20" s="20" t="str">
        <f>_xlfn.CONCAT(tbResults[[#This Row],[Series Title]],".",tbResults[[#This Row],[Game]])</f>
        <v>2.1.07.06.2</v>
      </c>
      <c r="C20" s="15">
        <v>2</v>
      </c>
      <c r="D20" s="15">
        <v>1</v>
      </c>
      <c r="E20" s="15">
        <v>7</v>
      </c>
      <c r="F20" s="15">
        <v>6</v>
      </c>
      <c r="G20" s="15">
        <v>2</v>
      </c>
      <c r="H20" s="19" t="str">
        <f>_xlfn.CONCAT(tbResults[[#This Row],[Season]],".",tbResults[[#This Row],[Stage]])</f>
        <v>2.1</v>
      </c>
      <c r="I20" s="19" t="str">
        <f>_xlfn.CONCAT(tbResults[[#This Row],[Season]],".",tbResults[[#This Row],[Stage]],".",TEXT(tbResults[[#This Row],[Week]],"00"))</f>
        <v>2.1.07</v>
      </c>
      <c r="J20" s="19" t="str">
        <f>_xlfn.CONCAT(tbResults[[#This Row],[Week Title]],".",TEXT(tbResults[[#This Row],[Match]],"00"))</f>
        <v>2.1.07.06</v>
      </c>
      <c r="K20" s="20" t="str">
        <f>_xlfn.CONCAT(tbResults[[#This Row],[Game Title]], " ", tbResults[[#This Row],[Player1]], " vs ", tbResults[[#This Row],[Player2]] )</f>
        <v>2.1.07.06.2 cnz vs Cypher</v>
      </c>
      <c r="L20" s="74" t="s">
        <v>54</v>
      </c>
      <c r="M20" s="74" t="s">
        <v>14</v>
      </c>
      <c r="N20" s="74" t="s">
        <v>178</v>
      </c>
      <c r="O20" s="74" t="s">
        <v>38</v>
      </c>
      <c r="P20" s="74" t="s">
        <v>35</v>
      </c>
      <c r="Q20" s="8">
        <v>4</v>
      </c>
      <c r="R20" s="8">
        <v>3</v>
      </c>
      <c r="S20" s="76" t="s">
        <v>82</v>
      </c>
      <c r="T20" s="75" t="s">
        <v>54</v>
      </c>
      <c r="U20" s="75" t="s">
        <v>55</v>
      </c>
      <c r="V20" s="46" t="str">
        <f>IF(tbResults[[#This Row],[Player1 Score]]&gt;tbResults[[#This Row],[Player2 Score]],tbResults[[#This Row],[Player1]],tbResults[[#This Row],[Player2]])</f>
        <v>cnz</v>
      </c>
      <c r="W20" s="48" t="str">
        <f>IF(tbResults[[#This Row],[Player1 Score]]&gt;tbResults[[#This Row],[Player2 Score]],tbResults[[#This Row],[Player2]],tbResults[[#This Row],[Player1]])</f>
        <v>Cypher</v>
      </c>
      <c r="X20" s="11" t="str">
        <f>IF(tbResults[[#This Row],[Winner]]=tbResults[[#This Row],[Player1]],tbResults[[#This Row],[Player1 Pick]],tbResults[[#This Row],[Player2 Pick]])</f>
        <v>Nyx</v>
      </c>
      <c r="Y20" s="11" t="str">
        <f>IF(tbResults[[#This Row],[Loser]]=tbResults[[#This Row],[Player1]],tbResults[[#This Row],[Player1 Pick]],tbResults[[#This Row],[Player2 Pick]])</f>
        <v>Doom</v>
      </c>
      <c r="Z20" s="32">
        <f>SUM(tbResults[[#This Row],[Player1 Score]],tbResults[[#This Row],[Player2 Score]])</f>
        <v>7</v>
      </c>
      <c r="AA20" s="32">
        <f>ABS(tbResults[[#This Row],[Player1 Score]]-tbResults[[#This Row],[Player2 Score]])</f>
        <v>1</v>
      </c>
      <c r="AB20" s="37">
        <f>IF(tbResults[[#This Row],[Player1 Score]]&gt;tbResults[[#This Row],[Player2 Score]],tbResults[[#This Row],[Player1 Score]],tbResults[[#This Row],[Player2 Score]])</f>
        <v>4</v>
      </c>
      <c r="AC20" s="37">
        <f>IF(tbResults[[#This Row],[Player1 Score]]&lt;tbResults[[#This Row],[Player2 Score]],tbResults[[#This Row],[Player1 Score]],tbResults[[#This Row],[Player2 Score]])</f>
        <v>3</v>
      </c>
    </row>
    <row r="21" spans="2:29" s="3" customFormat="1" ht="30" customHeight="1" x14ac:dyDescent="0.3">
      <c r="B21" s="20" t="str">
        <f>_xlfn.CONCAT(tbResults[[#This Row],[Series Title]],".",tbResults[[#This Row],[Game]])</f>
        <v>2.1.07.06.3</v>
      </c>
      <c r="C21" s="15">
        <v>2</v>
      </c>
      <c r="D21" s="15">
        <v>1</v>
      </c>
      <c r="E21" s="15">
        <v>7</v>
      </c>
      <c r="F21" s="15">
        <v>6</v>
      </c>
      <c r="G21" s="15">
        <v>3</v>
      </c>
      <c r="H21" s="19" t="str">
        <f>_xlfn.CONCAT(tbResults[[#This Row],[Season]],".",tbResults[[#This Row],[Stage]])</f>
        <v>2.1</v>
      </c>
      <c r="I21" s="19" t="str">
        <f>_xlfn.CONCAT(tbResults[[#This Row],[Season]],".",tbResults[[#This Row],[Stage]],".",TEXT(tbResults[[#This Row],[Week]],"00"))</f>
        <v>2.1.07</v>
      </c>
      <c r="J21" s="19" t="str">
        <f>_xlfn.CONCAT(tbResults[[#This Row],[Week Title]],".",TEXT(tbResults[[#This Row],[Match]],"00"))</f>
        <v>2.1.07.06</v>
      </c>
      <c r="K21" s="20" t="str">
        <f>_xlfn.CONCAT(tbResults[[#This Row],[Game Title]], " ", tbResults[[#This Row],[Player1]], " vs ", tbResults[[#This Row],[Player2]] )</f>
        <v>2.1.07.06.3 cnz vs Cypher</v>
      </c>
      <c r="L21" s="74" t="s">
        <v>54</v>
      </c>
      <c r="M21" s="74" t="s">
        <v>14</v>
      </c>
      <c r="N21" s="74" t="s">
        <v>40</v>
      </c>
      <c r="O21" s="74" t="s">
        <v>34</v>
      </c>
      <c r="P21" s="74" t="s">
        <v>37</v>
      </c>
      <c r="Q21" s="8">
        <v>5</v>
      </c>
      <c r="R21" s="8">
        <v>6</v>
      </c>
      <c r="S21" s="8" t="s">
        <v>81</v>
      </c>
      <c r="T21" s="75" t="s">
        <v>14</v>
      </c>
      <c r="U21" s="75" t="s">
        <v>21</v>
      </c>
      <c r="V21" s="46" t="str">
        <f>IF(tbResults[[#This Row],[Player1 Score]]&gt;tbResults[[#This Row],[Player2 Score]],tbResults[[#This Row],[Player1]],tbResults[[#This Row],[Player2]])</f>
        <v>Cypher</v>
      </c>
      <c r="W21" s="48" t="str">
        <f>IF(tbResults[[#This Row],[Player1 Score]]&gt;tbResults[[#This Row],[Player2 Score]],tbResults[[#This Row],[Player2]],tbResults[[#This Row],[Player1]])</f>
        <v>cnz</v>
      </c>
      <c r="X21" s="11" t="str">
        <f>IF(tbResults[[#This Row],[Winner]]=tbResults[[#This Row],[Player1]],tbResults[[#This Row],[Player1 Pick]],tbResults[[#This Row],[Player2 Pick]])</f>
        <v>Eisen</v>
      </c>
      <c r="Y21" s="11" t="str">
        <f>IF(tbResults[[#This Row],[Loser]]=tbResults[[#This Row],[Player1]],tbResults[[#This Row],[Player1 Pick]],tbResults[[#This Row],[Player2 Pick]])</f>
        <v>Galena</v>
      </c>
      <c r="Z21" s="32">
        <f>SUM(tbResults[[#This Row],[Player1 Score]],tbResults[[#This Row],[Player2 Score]])</f>
        <v>11</v>
      </c>
      <c r="AA21" s="32">
        <f>ABS(tbResults[[#This Row],[Player1 Score]]-tbResults[[#This Row],[Player2 Score]])</f>
        <v>1</v>
      </c>
      <c r="AB21" s="37">
        <f>IF(tbResults[[#This Row],[Player1 Score]]&gt;tbResults[[#This Row],[Player2 Score]],tbResults[[#This Row],[Player1 Score]],tbResults[[#This Row],[Player2 Score]])</f>
        <v>6</v>
      </c>
      <c r="AC21" s="37">
        <f>IF(tbResults[[#This Row],[Player1 Score]]&lt;tbResults[[#This Row],[Player2 Score]],tbResults[[#This Row],[Player1 Score]],tbResults[[#This Row],[Player2 Score]])</f>
        <v>5</v>
      </c>
    </row>
    <row r="22" spans="2:29" s="3" customFormat="1" ht="30" customHeight="1" x14ac:dyDescent="0.3">
      <c r="B22" s="20" t="str">
        <f>_xlfn.CONCAT(tbResults[[#This Row],[Series Title]],".",tbResults[[#This Row],[Game]])</f>
        <v>2.1.08.01.1</v>
      </c>
      <c r="C22" s="15">
        <v>2</v>
      </c>
      <c r="D22" s="15">
        <v>1</v>
      </c>
      <c r="E22" s="15">
        <v>8</v>
      </c>
      <c r="F22" s="15">
        <v>1</v>
      </c>
      <c r="G22" s="15">
        <v>1</v>
      </c>
      <c r="H22" s="19" t="str">
        <f>_xlfn.CONCAT(tbResults[[#This Row],[Season]],".",tbResults[[#This Row],[Stage]])</f>
        <v>2.1</v>
      </c>
      <c r="I22" s="19" t="str">
        <f>_xlfn.CONCAT(tbResults[[#This Row],[Season]],".",tbResults[[#This Row],[Stage]],".",TEXT(tbResults[[#This Row],[Week]],"00"))</f>
        <v>2.1.08</v>
      </c>
      <c r="J22" s="19" t="str">
        <f>_xlfn.CONCAT(tbResults[[#This Row],[Week Title]],".",TEXT(tbResults[[#This Row],[Match]],"00"))</f>
        <v>2.1.08.01</v>
      </c>
      <c r="K22" s="20" t="str">
        <f>_xlfn.CONCAT(tbResults[[#This Row],[Game Title]], " ", tbResults[[#This Row],[Player1]], " vs ", tbResults[[#This Row],[Player2]] )</f>
        <v>2.1.08.01.1 toxjq vs spart1e</v>
      </c>
      <c r="L22" s="6" t="s">
        <v>199</v>
      </c>
      <c r="M22" s="6" t="s">
        <v>50</v>
      </c>
      <c r="N22" s="6" t="s">
        <v>40</v>
      </c>
      <c r="O22" s="6" t="s">
        <v>35</v>
      </c>
      <c r="P22" s="6" t="s">
        <v>21</v>
      </c>
      <c r="Q22" s="8">
        <v>13</v>
      </c>
      <c r="R22" s="8">
        <v>14</v>
      </c>
      <c r="S22" s="8" t="s">
        <v>81</v>
      </c>
      <c r="T22" s="16" t="s">
        <v>199</v>
      </c>
      <c r="U22" s="16" t="s">
        <v>39</v>
      </c>
      <c r="V22" s="46" t="str">
        <f>IF(tbResults[[#This Row],[Player1 Score]]&gt;tbResults[[#This Row],[Player2 Score]],tbResults[[#This Row],[Player1]],tbResults[[#This Row],[Player2]])</f>
        <v>spart1e</v>
      </c>
      <c r="W22" s="48" t="str">
        <f>IF(tbResults[[#This Row],[Player1 Score]]&gt;tbResults[[#This Row],[Player2 Score]],tbResults[[#This Row],[Player2]],tbResults[[#This Row],[Player1]])</f>
        <v>toxjq</v>
      </c>
      <c r="X22" s="11" t="str">
        <f>IF(tbResults[[#This Row],[Winner]]=tbResults[[#This Row],[Player1]],tbResults[[#This Row],[Player1 Pick]],tbResults[[#This Row],[Player2 Pick]])</f>
        <v>Ranger</v>
      </c>
      <c r="Y22" s="11" t="str">
        <f>IF(tbResults[[#This Row],[Loser]]=tbResults[[#This Row],[Player1]],tbResults[[#This Row],[Player1 Pick]],tbResults[[#This Row],[Player2 Pick]])</f>
        <v>Doom</v>
      </c>
      <c r="Z22" s="32">
        <f>SUM(tbResults[[#This Row],[Player1 Score]],tbResults[[#This Row],[Player2 Score]])</f>
        <v>27</v>
      </c>
      <c r="AA22" s="32">
        <f>ABS(tbResults[[#This Row],[Player1 Score]]-tbResults[[#This Row],[Player2 Score]])</f>
        <v>1</v>
      </c>
      <c r="AB22" s="37">
        <f>IF(tbResults[[#This Row],[Player1 Score]]&gt;tbResults[[#This Row],[Player2 Score]],tbResults[[#This Row],[Player1 Score]],tbResults[[#This Row],[Player2 Score]])</f>
        <v>14</v>
      </c>
      <c r="AC22" s="37">
        <f>IF(tbResults[[#This Row],[Player1 Score]]&lt;tbResults[[#This Row],[Player2 Score]],tbResults[[#This Row],[Player1 Score]],tbResults[[#This Row],[Player2 Score]])</f>
        <v>13</v>
      </c>
    </row>
    <row r="23" spans="2:29" s="3" customFormat="1" ht="30" customHeight="1" x14ac:dyDescent="0.3">
      <c r="B23" s="20" t="str">
        <f>_xlfn.CONCAT(tbResults[[#This Row],[Series Title]],".",tbResults[[#This Row],[Game]])</f>
        <v>2.1.08.01.2</v>
      </c>
      <c r="C23" s="15">
        <v>2</v>
      </c>
      <c r="D23" s="15">
        <v>1</v>
      </c>
      <c r="E23" s="15">
        <v>8</v>
      </c>
      <c r="F23" s="15">
        <v>1</v>
      </c>
      <c r="G23" s="15">
        <v>2</v>
      </c>
      <c r="H23" s="19" t="str">
        <f>_xlfn.CONCAT(tbResults[[#This Row],[Season]],".",tbResults[[#This Row],[Stage]])</f>
        <v>2.1</v>
      </c>
      <c r="I23" s="19" t="str">
        <f>_xlfn.CONCAT(tbResults[[#This Row],[Season]],".",tbResults[[#This Row],[Stage]],".",TEXT(tbResults[[#This Row],[Week]],"00"))</f>
        <v>2.1.08</v>
      </c>
      <c r="J23" s="19" t="str">
        <f>_xlfn.CONCAT(tbResults[[#This Row],[Week Title]],".",TEXT(tbResults[[#This Row],[Match]],"00"))</f>
        <v>2.1.08.01</v>
      </c>
      <c r="K23" s="20" t="str">
        <f>_xlfn.CONCAT(tbResults[[#This Row],[Game Title]], " ", tbResults[[#This Row],[Player1]], " vs ", tbResults[[#This Row],[Player2]] )</f>
        <v>2.1.08.01.2 toxjq vs spart1e</v>
      </c>
      <c r="L23" s="6" t="s">
        <v>199</v>
      </c>
      <c r="M23" s="6" t="s">
        <v>50</v>
      </c>
      <c r="N23" s="6" t="s">
        <v>19</v>
      </c>
      <c r="O23" s="6" t="s">
        <v>34</v>
      </c>
      <c r="P23" s="6" t="s">
        <v>22</v>
      </c>
      <c r="Q23" s="8">
        <v>7</v>
      </c>
      <c r="R23" s="8">
        <v>8</v>
      </c>
      <c r="S23" s="8" t="s">
        <v>81</v>
      </c>
      <c r="T23" s="16" t="s">
        <v>50</v>
      </c>
      <c r="U23" s="16" t="s">
        <v>25</v>
      </c>
      <c r="V23" s="46" t="str">
        <f>IF(tbResults[[#This Row],[Player1 Score]]&gt;tbResults[[#This Row],[Player2 Score]],tbResults[[#This Row],[Player1]],tbResults[[#This Row],[Player2]])</f>
        <v>spart1e</v>
      </c>
      <c r="W23" s="48" t="str">
        <f>IF(tbResults[[#This Row],[Player1 Score]]&gt;tbResults[[#This Row],[Player2 Score]],tbResults[[#This Row],[Player2]],tbResults[[#This Row],[Player1]])</f>
        <v>toxjq</v>
      </c>
      <c r="X23" s="11" t="str">
        <f>IF(tbResults[[#This Row],[Winner]]=tbResults[[#This Row],[Player1]],tbResults[[#This Row],[Player1 Pick]],tbResults[[#This Row],[Player2 Pick]])</f>
        <v>Strogg</v>
      </c>
      <c r="Y23" s="11" t="str">
        <f>IF(tbResults[[#This Row],[Loser]]=tbResults[[#This Row],[Player1]],tbResults[[#This Row],[Player1 Pick]],tbResults[[#This Row],[Player2 Pick]])</f>
        <v>Galena</v>
      </c>
      <c r="Z23" s="32">
        <f>SUM(tbResults[[#This Row],[Player1 Score]],tbResults[[#This Row],[Player2 Score]])</f>
        <v>15</v>
      </c>
      <c r="AA23" s="32">
        <f>ABS(tbResults[[#This Row],[Player1 Score]]-tbResults[[#This Row],[Player2 Score]])</f>
        <v>1</v>
      </c>
      <c r="AB23" s="37">
        <f>IF(tbResults[[#This Row],[Player1 Score]]&gt;tbResults[[#This Row],[Player2 Score]],tbResults[[#This Row],[Player1 Score]],tbResults[[#This Row],[Player2 Score]])</f>
        <v>8</v>
      </c>
      <c r="AC23" s="37">
        <f>IF(tbResults[[#This Row],[Player1 Score]]&lt;tbResults[[#This Row],[Player2 Score]],tbResults[[#This Row],[Player1 Score]],tbResults[[#This Row],[Player2 Score]])</f>
        <v>7</v>
      </c>
    </row>
    <row r="24" spans="2:29" s="3" customFormat="1" ht="30" customHeight="1" x14ac:dyDescent="0.3">
      <c r="B24" s="20" t="str">
        <f>_xlfn.CONCAT(tbResults[[#This Row],[Series Title]],".",tbResults[[#This Row],[Game]])</f>
        <v>2.1.08.01.3</v>
      </c>
      <c r="C24" s="15">
        <v>2</v>
      </c>
      <c r="D24" s="15">
        <v>1</v>
      </c>
      <c r="E24" s="15">
        <v>8</v>
      </c>
      <c r="F24" s="15">
        <v>1</v>
      </c>
      <c r="G24" s="15">
        <v>3</v>
      </c>
      <c r="H24" s="19" t="str">
        <f>_xlfn.CONCAT(tbResults[[#This Row],[Season]],".",tbResults[[#This Row],[Stage]])</f>
        <v>2.1</v>
      </c>
      <c r="I24" s="19" t="str">
        <f>_xlfn.CONCAT(tbResults[[#This Row],[Season]],".",tbResults[[#This Row],[Stage]],".",TEXT(tbResults[[#This Row],[Week]],"00"))</f>
        <v>2.1.08</v>
      </c>
      <c r="J24" s="19" t="str">
        <f>_xlfn.CONCAT(tbResults[[#This Row],[Week Title]],".",TEXT(tbResults[[#This Row],[Match]],"00"))</f>
        <v>2.1.08.01</v>
      </c>
      <c r="K24" s="20" t="str">
        <f>_xlfn.CONCAT(tbResults[[#This Row],[Game Title]], " ", tbResults[[#This Row],[Player1]], " vs ", tbResults[[#This Row],[Player2]] )</f>
        <v>2.1.08.01.3 toxjq vs spart1e</v>
      </c>
      <c r="L24" s="6" t="s">
        <v>199</v>
      </c>
      <c r="M24" s="6" t="s">
        <v>50</v>
      </c>
      <c r="N24" s="6" t="s">
        <v>26</v>
      </c>
      <c r="O24" s="6" t="s">
        <v>36</v>
      </c>
      <c r="P24" s="6" t="s">
        <v>38</v>
      </c>
      <c r="Q24" s="8">
        <v>4</v>
      </c>
      <c r="R24" s="8">
        <v>10</v>
      </c>
      <c r="S24" s="8" t="s">
        <v>81</v>
      </c>
      <c r="T24" s="16" t="s">
        <v>199</v>
      </c>
      <c r="U24" s="16" t="s">
        <v>152</v>
      </c>
      <c r="V24" s="46" t="str">
        <f>IF(tbResults[[#This Row],[Player1 Score]]&gt;tbResults[[#This Row],[Player2 Score]],tbResults[[#This Row],[Player1]],tbResults[[#This Row],[Player2]])</f>
        <v>spart1e</v>
      </c>
      <c r="W24" s="48" t="str">
        <f>IF(tbResults[[#This Row],[Player1 Score]]&gt;tbResults[[#This Row],[Player2 Score]],tbResults[[#This Row],[Player2]],tbResults[[#This Row],[Player1]])</f>
        <v>toxjq</v>
      </c>
      <c r="X24" s="11" t="str">
        <f>IF(tbResults[[#This Row],[Winner]]=tbResults[[#This Row],[Player1]],tbResults[[#This Row],[Player1 Pick]],tbResults[[#This Row],[Player2 Pick]])</f>
        <v>Nyx</v>
      </c>
      <c r="Y24" s="11" t="str">
        <f>IF(tbResults[[#This Row],[Loser]]=tbResults[[#This Row],[Player1]],tbResults[[#This Row],[Player1 Pick]],tbResults[[#This Row],[Player2 Pick]])</f>
        <v>Visor</v>
      </c>
      <c r="Z24" s="32">
        <f>SUM(tbResults[[#This Row],[Player1 Score]],tbResults[[#This Row],[Player2 Score]])</f>
        <v>14</v>
      </c>
      <c r="AA24" s="32">
        <f>ABS(tbResults[[#This Row],[Player1 Score]]-tbResults[[#This Row],[Player2 Score]])</f>
        <v>6</v>
      </c>
      <c r="AB24" s="37">
        <f>IF(tbResults[[#This Row],[Player1 Score]]&gt;tbResults[[#This Row],[Player2 Score]],tbResults[[#This Row],[Player1 Score]],tbResults[[#This Row],[Player2 Score]])</f>
        <v>10</v>
      </c>
      <c r="AC24" s="37">
        <f>IF(tbResults[[#This Row],[Player1 Score]]&lt;tbResults[[#This Row],[Player2 Score]],tbResults[[#This Row],[Player1 Score]],tbResults[[#This Row],[Player2 Score]])</f>
        <v>4</v>
      </c>
    </row>
    <row r="25" spans="2:29" s="3" customFormat="1" ht="30" customHeight="1" x14ac:dyDescent="0.3">
      <c r="B25" s="20" t="str">
        <f>_xlfn.CONCAT(tbResults[[#This Row],[Series Title]],".",tbResults[[#This Row],[Game]])</f>
        <v>2.1.08.02.1</v>
      </c>
      <c r="C25" s="15">
        <v>2</v>
      </c>
      <c r="D25" s="15">
        <v>1</v>
      </c>
      <c r="E25" s="15">
        <v>8</v>
      </c>
      <c r="F25" s="15">
        <v>2</v>
      </c>
      <c r="G25" s="15">
        <v>1</v>
      </c>
      <c r="H25" s="19" t="str">
        <f>_xlfn.CONCAT(tbResults[[#This Row],[Season]],".",tbResults[[#This Row],[Stage]])</f>
        <v>2.1</v>
      </c>
      <c r="I25" s="19" t="str">
        <f>_xlfn.CONCAT(tbResults[[#This Row],[Season]],".",tbResults[[#This Row],[Stage]],".",TEXT(tbResults[[#This Row],[Week]],"00"))</f>
        <v>2.1.08</v>
      </c>
      <c r="J25" s="19" t="str">
        <f>_xlfn.CONCAT(tbResults[[#This Row],[Week Title]],".",TEXT(tbResults[[#This Row],[Match]],"00"))</f>
        <v>2.1.08.02</v>
      </c>
      <c r="K25" s="20" t="str">
        <f>_xlfn.CONCAT(tbResults[[#This Row],[Game Title]], " ", tbResults[[#This Row],[Player1]], " vs ", tbResults[[#This Row],[Player2]] )</f>
        <v>2.1.08.02.1 dooi vs Maxter</v>
      </c>
      <c r="L25" s="6" t="s">
        <v>5</v>
      </c>
      <c r="M25" s="6" t="s">
        <v>86</v>
      </c>
      <c r="N25" s="6" t="s">
        <v>40</v>
      </c>
      <c r="O25" s="6" t="s">
        <v>35</v>
      </c>
      <c r="P25" s="6" t="s">
        <v>55</v>
      </c>
      <c r="Q25" s="8">
        <v>8</v>
      </c>
      <c r="R25" s="8">
        <v>9</v>
      </c>
      <c r="S25" s="8" t="s">
        <v>81</v>
      </c>
      <c r="T25" s="16" t="s">
        <v>5</v>
      </c>
      <c r="U25" s="16" t="s">
        <v>21</v>
      </c>
      <c r="V25" s="46" t="str">
        <f>IF(tbResults[[#This Row],[Player1 Score]]&gt;tbResults[[#This Row],[Player2 Score]],tbResults[[#This Row],[Player1]],tbResults[[#This Row],[Player2]])</f>
        <v>Maxter</v>
      </c>
      <c r="W25" s="48" t="str">
        <f>IF(tbResults[[#This Row],[Player1 Score]]&gt;tbResults[[#This Row],[Player2 Score]],tbResults[[#This Row],[Player2]],tbResults[[#This Row],[Player1]])</f>
        <v>dooi</v>
      </c>
      <c r="X25" s="11" t="str">
        <f>IF(tbResults[[#This Row],[Winner]]=tbResults[[#This Row],[Player1]],tbResults[[#This Row],[Player1 Pick]],tbResults[[#This Row],[Player2 Pick]])</f>
        <v>Athena</v>
      </c>
      <c r="Y25" s="11" t="str">
        <f>IF(tbResults[[#This Row],[Loser]]=tbResults[[#This Row],[Player1]],tbResults[[#This Row],[Player1 Pick]],tbResults[[#This Row],[Player2 Pick]])</f>
        <v>Doom</v>
      </c>
      <c r="Z25" s="32">
        <f>SUM(tbResults[[#This Row],[Player1 Score]],tbResults[[#This Row],[Player2 Score]])</f>
        <v>17</v>
      </c>
      <c r="AA25" s="32">
        <f>ABS(tbResults[[#This Row],[Player1 Score]]-tbResults[[#This Row],[Player2 Score]])</f>
        <v>1</v>
      </c>
      <c r="AB25" s="37">
        <f>IF(tbResults[[#This Row],[Player1 Score]]&gt;tbResults[[#This Row],[Player2 Score]],tbResults[[#This Row],[Player1 Score]],tbResults[[#This Row],[Player2 Score]])</f>
        <v>9</v>
      </c>
      <c r="AC25" s="37">
        <f>IF(tbResults[[#This Row],[Player1 Score]]&lt;tbResults[[#This Row],[Player2 Score]],tbResults[[#This Row],[Player1 Score]],tbResults[[#This Row],[Player2 Score]])</f>
        <v>8</v>
      </c>
    </row>
    <row r="26" spans="2:29" s="3" customFormat="1" ht="30" customHeight="1" x14ac:dyDescent="0.3">
      <c r="B26" s="20" t="str">
        <f>_xlfn.CONCAT(tbResults[[#This Row],[Series Title]],".",tbResults[[#This Row],[Game]])</f>
        <v>2.1.08.02.2</v>
      </c>
      <c r="C26" s="15">
        <v>2</v>
      </c>
      <c r="D26" s="15">
        <v>1</v>
      </c>
      <c r="E26" s="15">
        <v>8</v>
      </c>
      <c r="F26" s="15">
        <v>2</v>
      </c>
      <c r="G26" s="15">
        <v>2</v>
      </c>
      <c r="H26" s="19" t="str">
        <f>_xlfn.CONCAT(tbResults[[#This Row],[Season]],".",tbResults[[#This Row],[Stage]])</f>
        <v>2.1</v>
      </c>
      <c r="I26" s="19" t="str">
        <f>_xlfn.CONCAT(tbResults[[#This Row],[Season]],".",tbResults[[#This Row],[Stage]],".",TEXT(tbResults[[#This Row],[Week]],"00"))</f>
        <v>2.1.08</v>
      </c>
      <c r="J26" s="19" t="str">
        <f>_xlfn.CONCAT(tbResults[[#This Row],[Week Title]],".",TEXT(tbResults[[#This Row],[Match]],"00"))</f>
        <v>2.1.08.02</v>
      </c>
      <c r="K26" s="20" t="str">
        <f>_xlfn.CONCAT(tbResults[[#This Row],[Game Title]], " ", tbResults[[#This Row],[Player1]], " vs ", tbResults[[#This Row],[Player2]] )</f>
        <v>2.1.08.02.2 dooi vs Maxter</v>
      </c>
      <c r="L26" s="6" t="s">
        <v>5</v>
      </c>
      <c r="M26" s="6" t="s">
        <v>86</v>
      </c>
      <c r="N26" s="6" t="s">
        <v>23</v>
      </c>
      <c r="O26" s="6" t="s">
        <v>25</v>
      </c>
      <c r="P26" s="6" t="s">
        <v>44</v>
      </c>
      <c r="Q26" s="8">
        <v>7</v>
      </c>
      <c r="R26" s="8">
        <v>5</v>
      </c>
      <c r="S26" s="8" t="s">
        <v>81</v>
      </c>
      <c r="T26" s="16" t="s">
        <v>41</v>
      </c>
      <c r="U26" s="16" t="s">
        <v>39</v>
      </c>
      <c r="V26" s="46" t="str">
        <f>IF(tbResults[[#This Row],[Player1 Score]]&gt;tbResults[[#This Row],[Player2 Score]],tbResults[[#This Row],[Player1]],tbResults[[#This Row],[Player2]])</f>
        <v>dooi</v>
      </c>
      <c r="W26" s="48" t="str">
        <f>IF(tbResults[[#This Row],[Player1 Score]]&gt;tbResults[[#This Row],[Player2 Score]],tbResults[[#This Row],[Player2]],tbResults[[#This Row],[Player1]])</f>
        <v>Maxter</v>
      </c>
      <c r="X26" s="11" t="str">
        <f>IF(tbResults[[#This Row],[Winner]]=tbResults[[#This Row],[Player1]],tbResults[[#This Row],[Player1 Pick]],tbResults[[#This Row],[Player2 Pick]])</f>
        <v>Sorlag</v>
      </c>
      <c r="Y26" s="11" t="str">
        <f>IF(tbResults[[#This Row],[Loser]]=tbResults[[#This Row],[Player1]],tbResults[[#This Row],[Player1 Pick]],tbResults[[#This Row],[Player2 Pick]])</f>
        <v>Scalebearer</v>
      </c>
      <c r="Z26" s="32">
        <f>SUM(tbResults[[#This Row],[Player1 Score]],tbResults[[#This Row],[Player2 Score]])</f>
        <v>12</v>
      </c>
      <c r="AA26" s="32">
        <f>ABS(tbResults[[#This Row],[Player1 Score]]-tbResults[[#This Row],[Player2 Score]])</f>
        <v>2</v>
      </c>
      <c r="AB26" s="37">
        <f>IF(tbResults[[#This Row],[Player1 Score]]&gt;tbResults[[#This Row],[Player2 Score]],tbResults[[#This Row],[Player1 Score]],tbResults[[#This Row],[Player2 Score]])</f>
        <v>7</v>
      </c>
      <c r="AC26" s="37">
        <f>IF(tbResults[[#This Row],[Player1 Score]]&lt;tbResults[[#This Row],[Player2 Score]],tbResults[[#This Row],[Player1 Score]],tbResults[[#This Row],[Player2 Score]])</f>
        <v>5</v>
      </c>
    </row>
    <row r="27" spans="2:29" s="3" customFormat="1" ht="30" customHeight="1" x14ac:dyDescent="0.3">
      <c r="B27" s="20" t="str">
        <f>_xlfn.CONCAT(tbResults[[#This Row],[Series Title]],".",tbResults[[#This Row],[Game]])</f>
        <v>2.1.08.02.3</v>
      </c>
      <c r="C27" s="15">
        <v>2</v>
      </c>
      <c r="D27" s="15">
        <v>1</v>
      </c>
      <c r="E27" s="15">
        <v>8</v>
      </c>
      <c r="F27" s="15">
        <v>2</v>
      </c>
      <c r="G27" s="15">
        <v>3</v>
      </c>
      <c r="H27" s="19" t="str">
        <f>_xlfn.CONCAT(tbResults[[#This Row],[Season]],".",tbResults[[#This Row],[Stage]])</f>
        <v>2.1</v>
      </c>
      <c r="I27" s="19" t="str">
        <f>_xlfn.CONCAT(tbResults[[#This Row],[Season]],".",tbResults[[#This Row],[Stage]],".",TEXT(tbResults[[#This Row],[Week]],"00"))</f>
        <v>2.1.08</v>
      </c>
      <c r="J27" s="19" t="str">
        <f>_xlfn.CONCAT(tbResults[[#This Row],[Week Title]],".",TEXT(tbResults[[#This Row],[Match]],"00"))</f>
        <v>2.1.08.02</v>
      </c>
      <c r="K27" s="20" t="str">
        <f>_xlfn.CONCAT(tbResults[[#This Row],[Game Title]], " ", tbResults[[#This Row],[Player1]], " vs ", tbResults[[#This Row],[Player2]] )</f>
        <v>2.1.08.02.3 dooi vs Maxter</v>
      </c>
      <c r="L27" s="6" t="s">
        <v>5</v>
      </c>
      <c r="M27" s="6" t="s">
        <v>86</v>
      </c>
      <c r="N27" s="6" t="s">
        <v>32</v>
      </c>
      <c r="O27" s="6" t="s">
        <v>28</v>
      </c>
      <c r="P27" s="6" t="s">
        <v>22</v>
      </c>
      <c r="Q27" s="8">
        <v>5</v>
      </c>
      <c r="R27" s="8">
        <v>6</v>
      </c>
      <c r="S27" s="8" t="s">
        <v>82</v>
      </c>
      <c r="T27" s="16" t="s">
        <v>5</v>
      </c>
      <c r="U27" s="16" t="s">
        <v>34</v>
      </c>
      <c r="V27" s="46" t="str">
        <f>IF(tbResults[[#This Row],[Player1 Score]]&gt;tbResults[[#This Row],[Player2 Score]],tbResults[[#This Row],[Player1]],tbResults[[#This Row],[Player2]])</f>
        <v>Maxter</v>
      </c>
      <c r="W27" s="48" t="str">
        <f>IF(tbResults[[#This Row],[Player1 Score]]&gt;tbResults[[#This Row],[Player2 Score]],tbResults[[#This Row],[Player2]],tbResults[[#This Row],[Player1]])</f>
        <v>dooi</v>
      </c>
      <c r="X27" s="11" t="str">
        <f>IF(tbResults[[#This Row],[Winner]]=tbResults[[#This Row],[Player1]],tbResults[[#This Row],[Player1 Pick]],tbResults[[#This Row],[Player2 Pick]])</f>
        <v>Strogg</v>
      </c>
      <c r="Y27" s="11" t="str">
        <f>IF(tbResults[[#This Row],[Loser]]=tbResults[[#This Row],[Player1]],tbResults[[#This Row],[Player1 Pick]],tbResults[[#This Row],[Player2 Pick]])</f>
        <v>BJ Blazkowicz</v>
      </c>
      <c r="Z27" s="32">
        <f>SUM(tbResults[[#This Row],[Player1 Score]],tbResults[[#This Row],[Player2 Score]])</f>
        <v>11</v>
      </c>
      <c r="AA27" s="32">
        <f>ABS(tbResults[[#This Row],[Player1 Score]]-tbResults[[#This Row],[Player2 Score]])</f>
        <v>1</v>
      </c>
      <c r="AB27" s="37">
        <f>IF(tbResults[[#This Row],[Player1 Score]]&gt;tbResults[[#This Row],[Player2 Score]],tbResults[[#This Row],[Player1 Score]],tbResults[[#This Row],[Player2 Score]])</f>
        <v>6</v>
      </c>
      <c r="AC27" s="37">
        <f>IF(tbResults[[#This Row],[Player1 Score]]&lt;tbResults[[#This Row],[Player2 Score]],tbResults[[#This Row],[Player1 Score]],tbResults[[#This Row],[Player2 Score]])</f>
        <v>5</v>
      </c>
    </row>
    <row r="28" spans="2:29" s="3" customFormat="1" ht="30" customHeight="1" x14ac:dyDescent="0.3">
      <c r="B28" s="20" t="str">
        <f>_xlfn.CONCAT(tbResults[[#This Row],[Series Title]],".",tbResults[[#This Row],[Game]])</f>
        <v>2.1.08.03.1</v>
      </c>
      <c r="C28" s="15">
        <v>2</v>
      </c>
      <c r="D28" s="15">
        <v>1</v>
      </c>
      <c r="E28" s="15">
        <v>8</v>
      </c>
      <c r="F28" s="15">
        <v>3</v>
      </c>
      <c r="G28" s="15">
        <v>1</v>
      </c>
      <c r="H28" s="19" t="str">
        <f>_xlfn.CONCAT(tbResults[[#This Row],[Season]],".",tbResults[[#This Row],[Stage]])</f>
        <v>2.1</v>
      </c>
      <c r="I28" s="19" t="str">
        <f>_xlfn.CONCAT(tbResults[[#This Row],[Season]],".",tbResults[[#This Row],[Stage]],".",TEXT(tbResults[[#This Row],[Week]],"00"))</f>
        <v>2.1.08</v>
      </c>
      <c r="J28" s="19" t="str">
        <f>_xlfn.CONCAT(tbResults[[#This Row],[Week Title]],".",TEXT(tbResults[[#This Row],[Match]],"00"))</f>
        <v>2.1.08.03</v>
      </c>
      <c r="K28" s="20" t="str">
        <f>_xlfn.CONCAT(tbResults[[#This Row],[Game Title]], " ", tbResults[[#This Row],[Player1]], " vs ", tbResults[[#This Row],[Player2]] )</f>
        <v>2.1.08.03.1 dramis vs psygib</v>
      </c>
      <c r="L28" s="6" t="s">
        <v>188</v>
      </c>
      <c r="M28" s="6" t="s">
        <v>209</v>
      </c>
      <c r="N28" s="6" t="s">
        <v>19</v>
      </c>
      <c r="O28" s="6" t="s">
        <v>22</v>
      </c>
      <c r="P28" s="6" t="s">
        <v>55</v>
      </c>
      <c r="Q28" s="8">
        <v>6</v>
      </c>
      <c r="R28" s="8">
        <v>7</v>
      </c>
      <c r="S28" s="8" t="s">
        <v>82</v>
      </c>
      <c r="T28" s="16" t="s">
        <v>12</v>
      </c>
      <c r="U28" s="16" t="s">
        <v>24</v>
      </c>
      <c r="V28" s="46" t="str">
        <f>IF(tbResults[[#This Row],[Player1 Score]]&gt;tbResults[[#This Row],[Player2 Score]],tbResults[[#This Row],[Player1]],tbResults[[#This Row],[Player2]])</f>
        <v>psygib</v>
      </c>
      <c r="W28" s="48" t="str">
        <f>IF(tbResults[[#This Row],[Player1 Score]]&gt;tbResults[[#This Row],[Player2 Score]],tbResults[[#This Row],[Player2]],tbResults[[#This Row],[Player1]])</f>
        <v>dramis</v>
      </c>
      <c r="X28" s="11" t="str">
        <f>IF(tbResults[[#This Row],[Winner]]=tbResults[[#This Row],[Player1]],tbResults[[#This Row],[Player1 Pick]],tbResults[[#This Row],[Player2 Pick]])</f>
        <v>Athena</v>
      </c>
      <c r="Y28" s="11" t="str">
        <f>IF(tbResults[[#This Row],[Loser]]=tbResults[[#This Row],[Player1]],tbResults[[#This Row],[Player1 Pick]],tbResults[[#This Row],[Player2 Pick]])</f>
        <v>Strogg</v>
      </c>
      <c r="Z28" s="32">
        <f>SUM(tbResults[[#This Row],[Player1 Score]],tbResults[[#This Row],[Player2 Score]])</f>
        <v>13</v>
      </c>
      <c r="AA28" s="32">
        <f>ABS(tbResults[[#This Row],[Player1 Score]]-tbResults[[#This Row],[Player2 Score]])</f>
        <v>1</v>
      </c>
      <c r="AB28" s="37">
        <f>IF(tbResults[[#This Row],[Player1 Score]]&gt;tbResults[[#This Row],[Player2 Score]],tbResults[[#This Row],[Player1 Score]],tbResults[[#This Row],[Player2 Score]])</f>
        <v>7</v>
      </c>
      <c r="AC28" s="37">
        <f>IF(tbResults[[#This Row],[Player1 Score]]&lt;tbResults[[#This Row],[Player2 Score]],tbResults[[#This Row],[Player1 Score]],tbResults[[#This Row],[Player2 Score]])</f>
        <v>6</v>
      </c>
    </row>
    <row r="29" spans="2:29" s="3" customFormat="1" ht="30" customHeight="1" x14ac:dyDescent="0.3">
      <c r="B29" s="20" t="str">
        <f>_xlfn.CONCAT(tbResults[[#This Row],[Series Title]],".",tbResults[[#This Row],[Game]])</f>
        <v>2.1.08.03.2</v>
      </c>
      <c r="C29" s="15">
        <v>2</v>
      </c>
      <c r="D29" s="15">
        <v>1</v>
      </c>
      <c r="E29" s="15">
        <v>8</v>
      </c>
      <c r="F29" s="15">
        <v>3</v>
      </c>
      <c r="G29" s="15">
        <v>2</v>
      </c>
      <c r="H29" s="19" t="str">
        <f>_xlfn.CONCAT(tbResults[[#This Row],[Season]],".",tbResults[[#This Row],[Stage]])</f>
        <v>2.1</v>
      </c>
      <c r="I29" s="19" t="str">
        <f>_xlfn.CONCAT(tbResults[[#This Row],[Season]],".",tbResults[[#This Row],[Stage]],".",TEXT(tbResults[[#This Row],[Week]],"00"))</f>
        <v>2.1.08</v>
      </c>
      <c r="J29" s="19" t="str">
        <f>_xlfn.CONCAT(tbResults[[#This Row],[Week Title]],".",TEXT(tbResults[[#This Row],[Match]],"00"))</f>
        <v>2.1.08.03</v>
      </c>
      <c r="K29" s="20" t="str">
        <f>_xlfn.CONCAT(tbResults[[#This Row],[Game Title]], " ", tbResults[[#This Row],[Player1]], " vs ", tbResults[[#This Row],[Player2]] )</f>
        <v>2.1.08.03.2 dramis vs psygib</v>
      </c>
      <c r="L29" s="6" t="s">
        <v>188</v>
      </c>
      <c r="M29" s="6" t="s">
        <v>209</v>
      </c>
      <c r="N29" s="6" t="s">
        <v>26</v>
      </c>
      <c r="O29" s="6" t="s">
        <v>25</v>
      </c>
      <c r="P29" s="6" t="s">
        <v>44</v>
      </c>
      <c r="Q29" s="8">
        <v>11</v>
      </c>
      <c r="R29" s="8">
        <v>12</v>
      </c>
      <c r="S29" s="8" t="s">
        <v>82</v>
      </c>
      <c r="T29" s="16" t="s">
        <v>30</v>
      </c>
      <c r="U29" s="16" t="s">
        <v>39</v>
      </c>
      <c r="V29" s="46" t="str">
        <f>IF(tbResults[[#This Row],[Player1 Score]]&gt;tbResults[[#This Row],[Player2 Score]],tbResults[[#This Row],[Player1]],tbResults[[#This Row],[Player2]])</f>
        <v>psygib</v>
      </c>
      <c r="W29" s="48" t="str">
        <f>IF(tbResults[[#This Row],[Player1 Score]]&gt;tbResults[[#This Row],[Player2 Score]],tbResults[[#This Row],[Player2]],tbResults[[#This Row],[Player1]])</f>
        <v>dramis</v>
      </c>
      <c r="X29" s="11" t="str">
        <f>IF(tbResults[[#This Row],[Winner]]=tbResults[[#This Row],[Player1]],tbResults[[#This Row],[Player1 Pick]],tbResults[[#This Row],[Player2 Pick]])</f>
        <v>Scalebearer</v>
      </c>
      <c r="Y29" s="11" t="str">
        <f>IF(tbResults[[#This Row],[Loser]]=tbResults[[#This Row],[Player1]],tbResults[[#This Row],[Player1 Pick]],tbResults[[#This Row],[Player2 Pick]])</f>
        <v>Sorlag</v>
      </c>
      <c r="Z29" s="32">
        <f>SUM(tbResults[[#This Row],[Player1 Score]],tbResults[[#This Row],[Player2 Score]])</f>
        <v>23</v>
      </c>
      <c r="AA29" s="32">
        <f>ABS(tbResults[[#This Row],[Player1 Score]]-tbResults[[#This Row],[Player2 Score]])</f>
        <v>1</v>
      </c>
      <c r="AB29" s="37">
        <f>IF(tbResults[[#This Row],[Player1 Score]]&gt;tbResults[[#This Row],[Player2 Score]],tbResults[[#This Row],[Player1 Score]],tbResults[[#This Row],[Player2 Score]])</f>
        <v>12</v>
      </c>
      <c r="AC29" s="37">
        <f>IF(tbResults[[#This Row],[Player1 Score]]&lt;tbResults[[#This Row],[Player2 Score]],tbResults[[#This Row],[Player1 Score]],tbResults[[#This Row],[Player2 Score]])</f>
        <v>11</v>
      </c>
    </row>
    <row r="30" spans="2:29" s="3" customFormat="1" ht="30" customHeight="1" x14ac:dyDescent="0.3">
      <c r="B30" s="20" t="str">
        <f>_xlfn.CONCAT(tbResults[[#This Row],[Series Title]],".",tbResults[[#This Row],[Game]])</f>
        <v>2.1.08.03.3</v>
      </c>
      <c r="C30" s="15">
        <v>2</v>
      </c>
      <c r="D30" s="15">
        <v>1</v>
      </c>
      <c r="E30" s="15">
        <v>8</v>
      </c>
      <c r="F30" s="15">
        <v>3</v>
      </c>
      <c r="G30" s="15">
        <v>3</v>
      </c>
      <c r="H30" s="19" t="str">
        <f>_xlfn.CONCAT(tbResults[[#This Row],[Season]],".",tbResults[[#This Row],[Stage]])</f>
        <v>2.1</v>
      </c>
      <c r="I30" s="19" t="str">
        <f>_xlfn.CONCAT(tbResults[[#This Row],[Season]],".",tbResults[[#This Row],[Stage]],".",TEXT(tbResults[[#This Row],[Week]],"00"))</f>
        <v>2.1.08</v>
      </c>
      <c r="J30" s="19" t="str">
        <f>_xlfn.CONCAT(tbResults[[#This Row],[Week Title]],".",TEXT(tbResults[[#This Row],[Match]],"00"))</f>
        <v>2.1.08.03</v>
      </c>
      <c r="K30" s="20" t="str">
        <f>_xlfn.CONCAT(tbResults[[#This Row],[Game Title]], " ", tbResults[[#This Row],[Player1]], " vs ", tbResults[[#This Row],[Player2]] )</f>
        <v>2.1.08.03.3 dramis vs psygib</v>
      </c>
      <c r="L30" s="6" t="s">
        <v>188</v>
      </c>
      <c r="M30" s="6" t="s">
        <v>209</v>
      </c>
      <c r="N30" s="6" t="s">
        <v>178</v>
      </c>
      <c r="O30" s="6" t="s">
        <v>38</v>
      </c>
      <c r="P30" s="6" t="s">
        <v>36</v>
      </c>
      <c r="Q30" s="8">
        <v>5</v>
      </c>
      <c r="R30" s="8">
        <v>10</v>
      </c>
      <c r="S30" s="8" t="s">
        <v>81</v>
      </c>
      <c r="T30" s="16" t="s">
        <v>12</v>
      </c>
      <c r="U30" s="16" t="s">
        <v>36</v>
      </c>
      <c r="V30" s="46" t="str">
        <f>IF(tbResults[[#This Row],[Player1 Score]]&gt;tbResults[[#This Row],[Player2 Score]],tbResults[[#This Row],[Player1]],tbResults[[#This Row],[Player2]])</f>
        <v>psygib</v>
      </c>
      <c r="W30" s="48" t="str">
        <f>IF(tbResults[[#This Row],[Player1 Score]]&gt;tbResults[[#This Row],[Player2 Score]],tbResults[[#This Row],[Player2]],tbResults[[#This Row],[Player1]])</f>
        <v>dramis</v>
      </c>
      <c r="X30" s="11" t="str">
        <f>IF(tbResults[[#This Row],[Winner]]=tbResults[[#This Row],[Player1]],tbResults[[#This Row],[Player1 Pick]],tbResults[[#This Row],[Player2 Pick]])</f>
        <v>Visor</v>
      </c>
      <c r="Y30" s="11" t="str">
        <f>IF(tbResults[[#This Row],[Loser]]=tbResults[[#This Row],[Player1]],tbResults[[#This Row],[Player1 Pick]],tbResults[[#This Row],[Player2 Pick]])</f>
        <v>Nyx</v>
      </c>
      <c r="Z30" s="32">
        <f>SUM(tbResults[[#This Row],[Player1 Score]],tbResults[[#This Row],[Player2 Score]])</f>
        <v>15</v>
      </c>
      <c r="AA30" s="32">
        <f>ABS(tbResults[[#This Row],[Player1 Score]]-tbResults[[#This Row],[Player2 Score]])</f>
        <v>5</v>
      </c>
      <c r="AB30" s="37">
        <f>IF(tbResults[[#This Row],[Player1 Score]]&gt;tbResults[[#This Row],[Player2 Score]],tbResults[[#This Row],[Player1 Score]],tbResults[[#This Row],[Player2 Score]])</f>
        <v>10</v>
      </c>
      <c r="AC30" s="37">
        <f>IF(tbResults[[#This Row],[Player1 Score]]&lt;tbResults[[#This Row],[Player2 Score]],tbResults[[#This Row],[Player1 Score]],tbResults[[#This Row],[Player2 Score]])</f>
        <v>5</v>
      </c>
    </row>
    <row r="31" spans="2:29" s="3" customFormat="1" ht="30" customHeight="1" x14ac:dyDescent="0.3">
      <c r="B31" s="20" t="str">
        <f>_xlfn.CONCAT(tbResults[[#This Row],[Series Title]],".",tbResults[[#This Row],[Game]])</f>
        <v>2.1.08.04.1</v>
      </c>
      <c r="C31" s="15">
        <v>2</v>
      </c>
      <c r="D31" s="15">
        <v>1</v>
      </c>
      <c r="E31" s="15">
        <v>8</v>
      </c>
      <c r="F31" s="15">
        <v>4</v>
      </c>
      <c r="G31" s="15">
        <v>1</v>
      </c>
      <c r="H31" s="19" t="str">
        <f>_xlfn.CONCAT(tbResults[[#This Row],[Season]],".",tbResults[[#This Row],[Stage]])</f>
        <v>2.1</v>
      </c>
      <c r="I31" s="19" t="str">
        <f>_xlfn.CONCAT(tbResults[[#This Row],[Season]],".",tbResults[[#This Row],[Stage]],".",TEXT(tbResults[[#This Row],[Week]],"00"))</f>
        <v>2.1.08</v>
      </c>
      <c r="J31" s="19" t="str">
        <f>_xlfn.CONCAT(tbResults[[#This Row],[Week Title]],".",TEXT(tbResults[[#This Row],[Match]],"00"))</f>
        <v>2.1.08.04</v>
      </c>
      <c r="K31" s="20" t="str">
        <f>_xlfn.CONCAT(tbResults[[#This Row],[Game Title]], " ", tbResults[[#This Row],[Player1]], " vs ", tbResults[[#This Row],[Player2]] )</f>
        <v>2.1.08.04.1 Raisy vs Base</v>
      </c>
      <c r="L31" s="6" t="s">
        <v>49</v>
      </c>
      <c r="M31" s="6" t="s">
        <v>51</v>
      </c>
      <c r="N31" s="6" t="s">
        <v>178</v>
      </c>
      <c r="O31" s="6" t="s">
        <v>24</v>
      </c>
      <c r="P31" s="6" t="s">
        <v>55</v>
      </c>
      <c r="Q31" s="8">
        <v>2</v>
      </c>
      <c r="R31" s="8">
        <v>13</v>
      </c>
      <c r="S31" s="8" t="s">
        <v>81</v>
      </c>
      <c r="T31" s="16" t="s">
        <v>51</v>
      </c>
      <c r="U31" s="16" t="s">
        <v>38</v>
      </c>
      <c r="V31" s="46" t="str">
        <f>IF(tbResults[[#This Row],[Player1 Score]]&gt;tbResults[[#This Row],[Player2 Score]],tbResults[[#This Row],[Player1]],tbResults[[#This Row],[Player2]])</f>
        <v>Base</v>
      </c>
      <c r="W31" s="48" t="str">
        <f>IF(tbResults[[#This Row],[Player1 Score]]&gt;tbResults[[#This Row],[Player2 Score]],tbResults[[#This Row],[Player2]],tbResults[[#This Row],[Player1]])</f>
        <v>Raisy</v>
      </c>
      <c r="X31" s="11" t="str">
        <f>IF(tbResults[[#This Row],[Winner]]=tbResults[[#This Row],[Player1]],tbResults[[#This Row],[Player1 Pick]],tbResults[[#This Row],[Player2 Pick]])</f>
        <v>Athena</v>
      </c>
      <c r="Y31" s="11" t="str">
        <f>IF(tbResults[[#This Row],[Loser]]=tbResults[[#This Row],[Player1]],tbResults[[#This Row],[Player1 Pick]],tbResults[[#This Row],[Player2 Pick]])</f>
        <v>Slash</v>
      </c>
      <c r="Z31" s="32">
        <f>SUM(tbResults[[#This Row],[Player1 Score]],tbResults[[#This Row],[Player2 Score]])</f>
        <v>15</v>
      </c>
      <c r="AA31" s="32">
        <f>ABS(tbResults[[#This Row],[Player1 Score]]-tbResults[[#This Row],[Player2 Score]])</f>
        <v>11</v>
      </c>
      <c r="AB31" s="37">
        <f>IF(tbResults[[#This Row],[Player1 Score]]&gt;tbResults[[#This Row],[Player2 Score]],tbResults[[#This Row],[Player1 Score]],tbResults[[#This Row],[Player2 Score]])</f>
        <v>13</v>
      </c>
      <c r="AC31" s="37">
        <f>IF(tbResults[[#This Row],[Player1 Score]]&lt;tbResults[[#This Row],[Player2 Score]],tbResults[[#This Row],[Player1 Score]],tbResults[[#This Row],[Player2 Score]])</f>
        <v>2</v>
      </c>
    </row>
    <row r="32" spans="2:29" s="3" customFormat="1" ht="30" customHeight="1" x14ac:dyDescent="0.3">
      <c r="B32" s="20" t="str">
        <f>_xlfn.CONCAT(tbResults[[#This Row],[Series Title]],".",tbResults[[#This Row],[Game]])</f>
        <v>2.1.08.04.2</v>
      </c>
      <c r="C32" s="15">
        <v>2</v>
      </c>
      <c r="D32" s="15">
        <v>1</v>
      </c>
      <c r="E32" s="15">
        <v>8</v>
      </c>
      <c r="F32" s="15">
        <v>4</v>
      </c>
      <c r="G32" s="15">
        <v>2</v>
      </c>
      <c r="H32" s="19" t="str">
        <f>_xlfn.CONCAT(tbResults[[#This Row],[Season]],".",tbResults[[#This Row],[Stage]])</f>
        <v>2.1</v>
      </c>
      <c r="I32" s="19" t="str">
        <f>_xlfn.CONCAT(tbResults[[#This Row],[Season]],".",tbResults[[#This Row],[Stage]],".",TEXT(tbResults[[#This Row],[Week]],"00"))</f>
        <v>2.1.08</v>
      </c>
      <c r="J32" s="19" t="str">
        <f>_xlfn.CONCAT(tbResults[[#This Row],[Week Title]],".",TEXT(tbResults[[#This Row],[Match]],"00"))</f>
        <v>2.1.08.04</v>
      </c>
      <c r="K32" s="20" t="str">
        <f>_xlfn.CONCAT(tbResults[[#This Row],[Game Title]], " ", tbResults[[#This Row],[Player1]], " vs ", tbResults[[#This Row],[Player2]] )</f>
        <v>2.1.08.04.2 Raisy vs Base</v>
      </c>
      <c r="L32" s="6" t="s">
        <v>49</v>
      </c>
      <c r="M32" s="6" t="s">
        <v>51</v>
      </c>
      <c r="N32" s="6" t="s">
        <v>26</v>
      </c>
      <c r="O32" s="6" t="s">
        <v>25</v>
      </c>
      <c r="P32" s="6" t="s">
        <v>34</v>
      </c>
      <c r="Q32" s="8">
        <v>9</v>
      </c>
      <c r="R32" s="8">
        <v>4</v>
      </c>
      <c r="S32" s="8" t="s">
        <v>81</v>
      </c>
      <c r="T32" s="16" t="s">
        <v>49</v>
      </c>
      <c r="U32" s="16" t="s">
        <v>92</v>
      </c>
      <c r="V32" s="46" t="str">
        <f>IF(tbResults[[#This Row],[Player1 Score]]&gt;tbResults[[#This Row],[Player2 Score]],tbResults[[#This Row],[Player1]],tbResults[[#This Row],[Player2]])</f>
        <v>Raisy</v>
      </c>
      <c r="W32" s="48" t="str">
        <f>IF(tbResults[[#This Row],[Player1 Score]]&gt;tbResults[[#This Row],[Player2 Score]],tbResults[[#This Row],[Player2]],tbResults[[#This Row],[Player1]])</f>
        <v>Base</v>
      </c>
      <c r="X32" s="11" t="str">
        <f>IF(tbResults[[#This Row],[Winner]]=tbResults[[#This Row],[Player1]],tbResults[[#This Row],[Player1 Pick]],tbResults[[#This Row],[Player2 Pick]])</f>
        <v>Sorlag</v>
      </c>
      <c r="Y32" s="11" t="str">
        <f>IF(tbResults[[#This Row],[Loser]]=tbResults[[#This Row],[Player1]],tbResults[[#This Row],[Player1 Pick]],tbResults[[#This Row],[Player2 Pick]])</f>
        <v>Galena</v>
      </c>
      <c r="Z32" s="32">
        <f>SUM(tbResults[[#This Row],[Player1 Score]],tbResults[[#This Row],[Player2 Score]])</f>
        <v>13</v>
      </c>
      <c r="AA32" s="32">
        <f>ABS(tbResults[[#This Row],[Player1 Score]]-tbResults[[#This Row],[Player2 Score]])</f>
        <v>5</v>
      </c>
      <c r="AB32" s="37">
        <f>IF(tbResults[[#This Row],[Player1 Score]]&gt;tbResults[[#This Row],[Player2 Score]],tbResults[[#This Row],[Player1 Score]],tbResults[[#This Row],[Player2 Score]])</f>
        <v>9</v>
      </c>
      <c r="AC32" s="37">
        <f>IF(tbResults[[#This Row],[Player1 Score]]&lt;tbResults[[#This Row],[Player2 Score]],tbResults[[#This Row],[Player1 Score]],tbResults[[#This Row],[Player2 Score]])</f>
        <v>4</v>
      </c>
    </row>
    <row r="33" spans="2:29" s="3" customFormat="1" ht="30" customHeight="1" x14ac:dyDescent="0.3">
      <c r="B33" s="20" t="str">
        <f>_xlfn.CONCAT(tbResults[[#This Row],[Series Title]],".",tbResults[[#This Row],[Game]])</f>
        <v>2.1.08.04.3</v>
      </c>
      <c r="C33" s="15">
        <v>2</v>
      </c>
      <c r="D33" s="15">
        <v>1</v>
      </c>
      <c r="E33" s="15">
        <v>8</v>
      </c>
      <c r="F33" s="15">
        <v>4</v>
      </c>
      <c r="G33" s="15">
        <v>3</v>
      </c>
      <c r="H33" s="19" t="str">
        <f>_xlfn.CONCAT(tbResults[[#This Row],[Season]],".",tbResults[[#This Row],[Stage]])</f>
        <v>2.1</v>
      </c>
      <c r="I33" s="19" t="str">
        <f>_xlfn.CONCAT(tbResults[[#This Row],[Season]],".",tbResults[[#This Row],[Stage]],".",TEXT(tbResults[[#This Row],[Week]],"00"))</f>
        <v>2.1.08</v>
      </c>
      <c r="J33" s="19" t="str">
        <f>_xlfn.CONCAT(tbResults[[#This Row],[Week Title]],".",TEXT(tbResults[[#This Row],[Match]],"00"))</f>
        <v>2.1.08.04</v>
      </c>
      <c r="K33" s="20" t="str">
        <f>_xlfn.CONCAT(tbResults[[#This Row],[Game Title]], " ", tbResults[[#This Row],[Player1]], " vs ", tbResults[[#This Row],[Player2]] )</f>
        <v>2.1.08.04.3 Raisy vs Base</v>
      </c>
      <c r="L33" s="6" t="s">
        <v>49</v>
      </c>
      <c r="M33" s="6" t="s">
        <v>51</v>
      </c>
      <c r="N33" s="6" t="s">
        <v>23</v>
      </c>
      <c r="O33" s="6" t="s">
        <v>21</v>
      </c>
      <c r="P33" s="6" t="s">
        <v>36</v>
      </c>
      <c r="Q33" s="8">
        <v>6</v>
      </c>
      <c r="R33" s="8">
        <v>5</v>
      </c>
      <c r="S33" s="8" t="s">
        <v>81</v>
      </c>
      <c r="T33" s="16" t="s">
        <v>51</v>
      </c>
      <c r="U33" s="16" t="s">
        <v>39</v>
      </c>
      <c r="V33" s="46" t="str">
        <f>IF(tbResults[[#This Row],[Player1 Score]]&gt;tbResults[[#This Row],[Player2 Score]],tbResults[[#This Row],[Player1]],tbResults[[#This Row],[Player2]])</f>
        <v>Raisy</v>
      </c>
      <c r="W33" s="48" t="str">
        <f>IF(tbResults[[#This Row],[Player1 Score]]&gt;tbResults[[#This Row],[Player2 Score]],tbResults[[#This Row],[Player2]],tbResults[[#This Row],[Player1]])</f>
        <v>Base</v>
      </c>
      <c r="X33" s="11" t="str">
        <f>IF(tbResults[[#This Row],[Winner]]=tbResults[[#This Row],[Player1]],tbResults[[#This Row],[Player1 Pick]],tbResults[[#This Row],[Player2 Pick]])</f>
        <v>Ranger</v>
      </c>
      <c r="Y33" s="11" t="str">
        <f>IF(tbResults[[#This Row],[Loser]]=tbResults[[#This Row],[Player1]],tbResults[[#This Row],[Player1 Pick]],tbResults[[#This Row],[Player2 Pick]])</f>
        <v>Visor</v>
      </c>
      <c r="Z33" s="32">
        <f>SUM(tbResults[[#This Row],[Player1 Score]],tbResults[[#This Row],[Player2 Score]])</f>
        <v>11</v>
      </c>
      <c r="AA33" s="32">
        <f>ABS(tbResults[[#This Row],[Player1 Score]]-tbResults[[#This Row],[Player2 Score]])</f>
        <v>1</v>
      </c>
      <c r="AB33" s="37">
        <f>IF(tbResults[[#This Row],[Player1 Score]]&gt;tbResults[[#This Row],[Player2 Score]],tbResults[[#This Row],[Player1 Score]],tbResults[[#This Row],[Player2 Score]])</f>
        <v>6</v>
      </c>
      <c r="AC33" s="37">
        <f>IF(tbResults[[#This Row],[Player1 Score]]&lt;tbResults[[#This Row],[Player2 Score]],tbResults[[#This Row],[Player1 Score]],tbResults[[#This Row],[Player2 Score]])</f>
        <v>5</v>
      </c>
    </row>
    <row r="34" spans="2:29" s="3" customFormat="1" ht="30" customHeight="1" x14ac:dyDescent="0.3">
      <c r="B34" s="20" t="str">
        <f>_xlfn.CONCAT(tbResults[[#This Row],[Series Title]],".",tbResults[[#This Row],[Game]])</f>
        <v>2.1.08.05.1</v>
      </c>
      <c r="C34" s="15">
        <v>2</v>
      </c>
      <c r="D34" s="15">
        <v>1</v>
      </c>
      <c r="E34" s="15">
        <v>8</v>
      </c>
      <c r="F34" s="15">
        <v>5</v>
      </c>
      <c r="G34" s="15">
        <v>1</v>
      </c>
      <c r="H34" s="19" t="str">
        <f>_xlfn.CONCAT(tbResults[[#This Row],[Season]],".",tbResults[[#This Row],[Stage]])</f>
        <v>2.1</v>
      </c>
      <c r="I34" s="19" t="str">
        <f>_xlfn.CONCAT(tbResults[[#This Row],[Season]],".",tbResults[[#This Row],[Stage]],".",TEXT(tbResults[[#This Row],[Week]],"00"))</f>
        <v>2.1.08</v>
      </c>
      <c r="J34" s="19" t="str">
        <f>_xlfn.CONCAT(tbResults[[#This Row],[Week Title]],".",TEXT(tbResults[[#This Row],[Match]],"00"))</f>
        <v>2.1.08.05</v>
      </c>
      <c r="K34" s="20" t="str">
        <f>_xlfn.CONCAT(tbResults[[#This Row],[Game Title]], " ", tbResults[[#This Row],[Player1]], " vs ", tbResults[[#This Row],[Player2]] )</f>
        <v>2.1.08.05.1 Zenaku vs Rapha</v>
      </c>
      <c r="L34" s="6" t="s">
        <v>29</v>
      </c>
      <c r="M34" s="6" t="s">
        <v>47</v>
      </c>
      <c r="N34" s="6" t="s">
        <v>40</v>
      </c>
      <c r="O34" s="6" t="s">
        <v>37</v>
      </c>
      <c r="P34" s="6" t="s">
        <v>25</v>
      </c>
      <c r="Q34" s="8">
        <v>8</v>
      </c>
      <c r="R34" s="8">
        <v>9</v>
      </c>
      <c r="S34" s="8" t="s">
        <v>81</v>
      </c>
      <c r="T34" s="16" t="s">
        <v>47</v>
      </c>
      <c r="U34" s="16" t="s">
        <v>35</v>
      </c>
      <c r="V34" s="46" t="str">
        <f>IF(tbResults[[#This Row],[Player1 Score]]&gt;tbResults[[#This Row],[Player2 Score]],tbResults[[#This Row],[Player1]],tbResults[[#This Row],[Player2]])</f>
        <v>Rapha</v>
      </c>
      <c r="W34" s="48" t="str">
        <f>IF(tbResults[[#This Row],[Player1 Score]]&gt;tbResults[[#This Row],[Player2 Score]],tbResults[[#This Row],[Player2]],tbResults[[#This Row],[Player1]])</f>
        <v>Zenaku</v>
      </c>
      <c r="X34" s="11" t="str">
        <f>IF(tbResults[[#This Row],[Winner]]=tbResults[[#This Row],[Player1]],tbResults[[#This Row],[Player1 Pick]],tbResults[[#This Row],[Player2 Pick]])</f>
        <v>Sorlag</v>
      </c>
      <c r="Y34" s="11" t="str">
        <f>IF(tbResults[[#This Row],[Loser]]=tbResults[[#This Row],[Player1]],tbResults[[#This Row],[Player1 Pick]],tbResults[[#This Row],[Player2 Pick]])</f>
        <v>Eisen</v>
      </c>
      <c r="Z34" s="32">
        <f>SUM(tbResults[[#This Row],[Player1 Score]],tbResults[[#This Row],[Player2 Score]])</f>
        <v>17</v>
      </c>
      <c r="AA34" s="32">
        <f>ABS(tbResults[[#This Row],[Player1 Score]]-tbResults[[#This Row],[Player2 Score]])</f>
        <v>1</v>
      </c>
      <c r="AB34" s="37">
        <f>IF(tbResults[[#This Row],[Player1 Score]]&gt;tbResults[[#This Row],[Player2 Score]],tbResults[[#This Row],[Player1 Score]],tbResults[[#This Row],[Player2 Score]])</f>
        <v>9</v>
      </c>
      <c r="AC34" s="37">
        <f>IF(tbResults[[#This Row],[Player1 Score]]&lt;tbResults[[#This Row],[Player2 Score]],tbResults[[#This Row],[Player1 Score]],tbResults[[#This Row],[Player2 Score]])</f>
        <v>8</v>
      </c>
    </row>
    <row r="35" spans="2:29" s="3" customFormat="1" ht="30" customHeight="1" x14ac:dyDescent="0.3">
      <c r="B35" s="20" t="str">
        <f>_xlfn.CONCAT(tbResults[[#This Row],[Series Title]],".",tbResults[[#This Row],[Game]])</f>
        <v>2.1.08.05.2</v>
      </c>
      <c r="C35" s="15">
        <v>2</v>
      </c>
      <c r="D35" s="15">
        <v>1</v>
      </c>
      <c r="E35" s="15">
        <v>8</v>
      </c>
      <c r="F35" s="15">
        <v>5</v>
      </c>
      <c r="G35" s="15">
        <v>2</v>
      </c>
      <c r="H35" s="19" t="str">
        <f>_xlfn.CONCAT(tbResults[[#This Row],[Season]],".",tbResults[[#This Row],[Stage]])</f>
        <v>2.1</v>
      </c>
      <c r="I35" s="19" t="str">
        <f>_xlfn.CONCAT(tbResults[[#This Row],[Season]],".",tbResults[[#This Row],[Stage]],".",TEXT(tbResults[[#This Row],[Week]],"00"))</f>
        <v>2.1.08</v>
      </c>
      <c r="J35" s="19" t="str">
        <f>_xlfn.CONCAT(tbResults[[#This Row],[Week Title]],".",TEXT(tbResults[[#This Row],[Match]],"00"))</f>
        <v>2.1.08.05</v>
      </c>
      <c r="K35" s="20" t="str">
        <f>_xlfn.CONCAT(tbResults[[#This Row],[Game Title]], " ", tbResults[[#This Row],[Player1]], " vs ", tbResults[[#This Row],[Player2]] )</f>
        <v>2.1.08.05.2 Zenaku vs Rapha</v>
      </c>
      <c r="L35" s="6" t="s">
        <v>29</v>
      </c>
      <c r="M35" s="6" t="s">
        <v>47</v>
      </c>
      <c r="N35" s="6" t="s">
        <v>178</v>
      </c>
      <c r="O35" s="6" t="s">
        <v>39</v>
      </c>
      <c r="P35" s="6" t="s">
        <v>38</v>
      </c>
      <c r="Q35" s="8">
        <v>4</v>
      </c>
      <c r="R35" s="8">
        <v>8</v>
      </c>
      <c r="S35" s="8" t="s">
        <v>81</v>
      </c>
      <c r="T35" s="16" t="s">
        <v>29</v>
      </c>
      <c r="U35" s="16" t="s">
        <v>24</v>
      </c>
      <c r="V35" s="46" t="str">
        <f>IF(tbResults[[#This Row],[Player1 Score]]&gt;tbResults[[#This Row],[Player2 Score]],tbResults[[#This Row],[Player1]],tbResults[[#This Row],[Player2]])</f>
        <v>Rapha</v>
      </c>
      <c r="W35" s="48" t="str">
        <f>IF(tbResults[[#This Row],[Player1 Score]]&gt;tbResults[[#This Row],[Player2 Score]],tbResults[[#This Row],[Player2]],tbResults[[#This Row],[Player1]])</f>
        <v>Zenaku</v>
      </c>
      <c r="X35" s="11" t="str">
        <f>IF(tbResults[[#This Row],[Winner]]=tbResults[[#This Row],[Player1]],tbResults[[#This Row],[Player1 Pick]],tbResults[[#This Row],[Player2 Pick]])</f>
        <v>Nyx</v>
      </c>
      <c r="Y35" s="11" t="str">
        <f>IF(tbResults[[#This Row],[Loser]]=tbResults[[#This Row],[Player1]],tbResults[[#This Row],[Player1 Pick]],tbResults[[#This Row],[Player2 Pick]])</f>
        <v>Anarki</v>
      </c>
      <c r="Z35" s="32">
        <f>SUM(tbResults[[#This Row],[Player1 Score]],tbResults[[#This Row],[Player2 Score]])</f>
        <v>12</v>
      </c>
      <c r="AA35" s="32">
        <f>ABS(tbResults[[#This Row],[Player1 Score]]-tbResults[[#This Row],[Player2 Score]])</f>
        <v>4</v>
      </c>
      <c r="AB35" s="37">
        <f>IF(tbResults[[#This Row],[Player1 Score]]&gt;tbResults[[#This Row],[Player2 Score]],tbResults[[#This Row],[Player1 Score]],tbResults[[#This Row],[Player2 Score]])</f>
        <v>8</v>
      </c>
      <c r="AC35" s="37">
        <f>IF(tbResults[[#This Row],[Player1 Score]]&lt;tbResults[[#This Row],[Player2 Score]],tbResults[[#This Row],[Player1 Score]],tbResults[[#This Row],[Player2 Score]])</f>
        <v>4</v>
      </c>
    </row>
    <row r="36" spans="2:29" s="3" customFormat="1" ht="30" customHeight="1" x14ac:dyDescent="0.3">
      <c r="B36" s="20" t="str">
        <f>_xlfn.CONCAT(tbResults[[#This Row],[Series Title]],".",tbResults[[#This Row],[Game]])</f>
        <v>2.1.08.05.3</v>
      </c>
      <c r="C36" s="15">
        <v>2</v>
      </c>
      <c r="D36" s="15">
        <v>1</v>
      </c>
      <c r="E36" s="15">
        <v>8</v>
      </c>
      <c r="F36" s="15">
        <v>5</v>
      </c>
      <c r="G36" s="15">
        <v>3</v>
      </c>
      <c r="H36" s="19" t="str">
        <f>_xlfn.CONCAT(tbResults[[#This Row],[Season]],".",tbResults[[#This Row],[Stage]])</f>
        <v>2.1</v>
      </c>
      <c r="I36" s="19" t="str">
        <f>_xlfn.CONCAT(tbResults[[#This Row],[Season]],".",tbResults[[#This Row],[Stage]],".",TEXT(tbResults[[#This Row],[Week]],"00"))</f>
        <v>2.1.08</v>
      </c>
      <c r="J36" s="19" t="str">
        <f>_xlfn.CONCAT(tbResults[[#This Row],[Week Title]],".",TEXT(tbResults[[#This Row],[Match]],"00"))</f>
        <v>2.1.08.05</v>
      </c>
      <c r="K36" s="20" t="str">
        <f>_xlfn.CONCAT(tbResults[[#This Row],[Game Title]], " ", tbResults[[#This Row],[Player1]], " vs ", tbResults[[#This Row],[Player2]] )</f>
        <v>2.1.08.05.3 Zenaku vs Rapha</v>
      </c>
      <c r="L36" s="6" t="s">
        <v>29</v>
      </c>
      <c r="M36" s="6" t="s">
        <v>47</v>
      </c>
      <c r="N36" s="6" t="s">
        <v>26</v>
      </c>
      <c r="O36" s="6" t="s">
        <v>36</v>
      </c>
      <c r="P36" s="6" t="s">
        <v>44</v>
      </c>
      <c r="Q36" s="8">
        <v>5</v>
      </c>
      <c r="R36" s="8">
        <v>13</v>
      </c>
      <c r="S36" s="8" t="s">
        <v>81</v>
      </c>
      <c r="T36" s="16" t="s">
        <v>47</v>
      </c>
      <c r="U36" s="16" t="s">
        <v>22</v>
      </c>
      <c r="V36" s="46" t="str">
        <f>IF(tbResults[[#This Row],[Player1 Score]]&gt;tbResults[[#This Row],[Player2 Score]],tbResults[[#This Row],[Player1]],tbResults[[#This Row],[Player2]])</f>
        <v>Rapha</v>
      </c>
      <c r="W36" s="48" t="str">
        <f>IF(tbResults[[#This Row],[Player1 Score]]&gt;tbResults[[#This Row],[Player2 Score]],tbResults[[#This Row],[Player2]],tbResults[[#This Row],[Player1]])</f>
        <v>Zenaku</v>
      </c>
      <c r="X36" s="11" t="str">
        <f>IF(tbResults[[#This Row],[Winner]]=tbResults[[#This Row],[Player1]],tbResults[[#This Row],[Player1 Pick]],tbResults[[#This Row],[Player2 Pick]])</f>
        <v>Scalebearer</v>
      </c>
      <c r="Y36" s="11" t="str">
        <f>IF(tbResults[[#This Row],[Loser]]=tbResults[[#This Row],[Player1]],tbResults[[#This Row],[Player1 Pick]],tbResults[[#This Row],[Player2 Pick]])</f>
        <v>Visor</v>
      </c>
      <c r="Z36" s="32">
        <f>SUM(tbResults[[#This Row],[Player1 Score]],tbResults[[#This Row],[Player2 Score]])</f>
        <v>18</v>
      </c>
      <c r="AA36" s="32">
        <f>ABS(tbResults[[#This Row],[Player1 Score]]-tbResults[[#This Row],[Player2 Score]])</f>
        <v>8</v>
      </c>
      <c r="AB36" s="37">
        <f>IF(tbResults[[#This Row],[Player1 Score]]&gt;tbResults[[#This Row],[Player2 Score]],tbResults[[#This Row],[Player1 Score]],tbResults[[#This Row],[Player2 Score]])</f>
        <v>13</v>
      </c>
      <c r="AC36" s="37">
        <f>IF(tbResults[[#This Row],[Player1 Score]]&lt;tbResults[[#This Row],[Player2 Score]],tbResults[[#This Row],[Player1 Score]],tbResults[[#This Row],[Player2 Score]])</f>
        <v>5</v>
      </c>
    </row>
    <row r="37" spans="2:29" s="3" customFormat="1" ht="30" customHeight="1" x14ac:dyDescent="0.3">
      <c r="B37" s="20" t="str">
        <f>_xlfn.CONCAT(tbResults[[#This Row],[Series Title]],".",tbResults[[#This Row],[Game]])</f>
        <v>2.1.08.06.1</v>
      </c>
      <c r="C37" s="15">
        <v>2</v>
      </c>
      <c r="D37" s="15">
        <v>1</v>
      </c>
      <c r="E37" s="15">
        <v>8</v>
      </c>
      <c r="F37" s="15">
        <v>6</v>
      </c>
      <c r="G37" s="15">
        <v>1</v>
      </c>
      <c r="H37" s="19" t="str">
        <f>_xlfn.CONCAT(tbResults[[#This Row],[Season]],".",tbResults[[#This Row],[Stage]])</f>
        <v>2.1</v>
      </c>
      <c r="I37" s="19" t="str">
        <f>_xlfn.CONCAT(tbResults[[#This Row],[Season]],".",tbResults[[#This Row],[Stage]],".",TEXT(tbResults[[#This Row],[Week]],"00"))</f>
        <v>2.1.08</v>
      </c>
      <c r="J37" s="19" t="str">
        <f>_xlfn.CONCAT(tbResults[[#This Row],[Week Title]],".",TEXT(tbResults[[#This Row],[Match]],"00"))</f>
        <v>2.1.08.06</v>
      </c>
      <c r="K37" s="20" t="str">
        <f>_xlfn.CONCAT(tbResults[[#This Row],[Game Title]], " ", tbResults[[#This Row],[Player1]], " vs ", tbResults[[#This Row],[Player2]] )</f>
        <v>2.1.08.06.1 coollerz vs k1llsen</v>
      </c>
      <c r="L37" s="6" t="s">
        <v>48</v>
      </c>
      <c r="M37" s="6" t="s">
        <v>31</v>
      </c>
      <c r="N37" s="6" t="s">
        <v>23</v>
      </c>
      <c r="O37" s="6" t="s">
        <v>25</v>
      </c>
      <c r="P37" s="6" t="s">
        <v>39</v>
      </c>
      <c r="Q37" s="8">
        <v>5</v>
      </c>
      <c r="R37" s="8">
        <v>4</v>
      </c>
      <c r="S37" s="8" t="s">
        <v>82</v>
      </c>
      <c r="T37" s="16" t="s">
        <v>31</v>
      </c>
      <c r="U37" s="16" t="s">
        <v>38</v>
      </c>
      <c r="V37" s="46" t="str">
        <f>IF(tbResults[[#This Row],[Player1 Score]]&gt;tbResults[[#This Row],[Player2 Score]],tbResults[[#This Row],[Player1]],tbResults[[#This Row],[Player2]])</f>
        <v>coollerz</v>
      </c>
      <c r="W37" s="48" t="str">
        <f>IF(tbResults[[#This Row],[Player1 Score]]&gt;tbResults[[#This Row],[Player2 Score]],tbResults[[#This Row],[Player2]],tbResults[[#This Row],[Player1]])</f>
        <v>k1llsen</v>
      </c>
      <c r="X37" s="11" t="str">
        <f>IF(tbResults[[#This Row],[Winner]]=tbResults[[#This Row],[Player1]],tbResults[[#This Row],[Player1 Pick]],tbResults[[#This Row],[Player2 Pick]])</f>
        <v>Sorlag</v>
      </c>
      <c r="Y37" s="11" t="str">
        <f>IF(tbResults[[#This Row],[Loser]]=tbResults[[#This Row],[Player1]],tbResults[[#This Row],[Player1 Pick]],tbResults[[#This Row],[Player2 Pick]])</f>
        <v>Anarki</v>
      </c>
      <c r="Z37" s="32">
        <f>SUM(tbResults[[#This Row],[Player1 Score]],tbResults[[#This Row],[Player2 Score]])</f>
        <v>9</v>
      </c>
      <c r="AA37" s="32">
        <f>ABS(tbResults[[#This Row],[Player1 Score]]-tbResults[[#This Row],[Player2 Score]])</f>
        <v>1</v>
      </c>
      <c r="AB37" s="37">
        <f>IF(tbResults[[#This Row],[Player1 Score]]&gt;tbResults[[#This Row],[Player2 Score]],tbResults[[#This Row],[Player1 Score]],tbResults[[#This Row],[Player2 Score]])</f>
        <v>5</v>
      </c>
      <c r="AC37" s="37">
        <f>IF(tbResults[[#This Row],[Player1 Score]]&lt;tbResults[[#This Row],[Player2 Score]],tbResults[[#This Row],[Player1 Score]],tbResults[[#This Row],[Player2 Score]])</f>
        <v>4</v>
      </c>
    </row>
    <row r="38" spans="2:29" s="3" customFormat="1" ht="30" customHeight="1" x14ac:dyDescent="0.3">
      <c r="B38" s="20" t="str">
        <f>_xlfn.CONCAT(tbResults[[#This Row],[Series Title]],".",tbResults[[#This Row],[Game]])</f>
        <v>2.1.08.06.2</v>
      </c>
      <c r="C38" s="15">
        <v>2</v>
      </c>
      <c r="D38" s="15">
        <v>1</v>
      </c>
      <c r="E38" s="15">
        <v>8</v>
      </c>
      <c r="F38" s="15">
        <v>6</v>
      </c>
      <c r="G38" s="15">
        <v>2</v>
      </c>
      <c r="H38" s="19" t="str">
        <f>_xlfn.CONCAT(tbResults[[#This Row],[Season]],".",tbResults[[#This Row],[Stage]])</f>
        <v>2.1</v>
      </c>
      <c r="I38" s="19" t="str">
        <f>_xlfn.CONCAT(tbResults[[#This Row],[Season]],".",tbResults[[#This Row],[Stage]],".",TEXT(tbResults[[#This Row],[Week]],"00"))</f>
        <v>2.1.08</v>
      </c>
      <c r="J38" s="19" t="str">
        <f>_xlfn.CONCAT(tbResults[[#This Row],[Week Title]],".",TEXT(tbResults[[#This Row],[Match]],"00"))</f>
        <v>2.1.08.06</v>
      </c>
      <c r="K38" s="20" t="str">
        <f>_xlfn.CONCAT(tbResults[[#This Row],[Game Title]], " ", tbResults[[#This Row],[Player1]], " vs ", tbResults[[#This Row],[Player2]] )</f>
        <v>2.1.08.06.2 coollerz vs k1llsen</v>
      </c>
      <c r="L38" s="6" t="s">
        <v>48</v>
      </c>
      <c r="M38" s="6" t="s">
        <v>31</v>
      </c>
      <c r="N38" s="6" t="s">
        <v>40</v>
      </c>
      <c r="O38" s="6" t="s">
        <v>34</v>
      </c>
      <c r="P38" s="6" t="s">
        <v>21</v>
      </c>
      <c r="Q38" s="8">
        <v>7</v>
      </c>
      <c r="R38" s="8">
        <v>10</v>
      </c>
      <c r="S38" s="8" t="s">
        <v>81</v>
      </c>
      <c r="T38" s="16" t="s">
        <v>48</v>
      </c>
      <c r="U38" s="16" t="s">
        <v>35</v>
      </c>
      <c r="V38" s="46" t="str">
        <f>IF(tbResults[[#This Row],[Player1 Score]]&gt;tbResults[[#This Row],[Player2 Score]],tbResults[[#This Row],[Player1]],tbResults[[#This Row],[Player2]])</f>
        <v>k1llsen</v>
      </c>
      <c r="W38" s="48" t="str">
        <f>IF(tbResults[[#This Row],[Player1 Score]]&gt;tbResults[[#This Row],[Player2 Score]],tbResults[[#This Row],[Player2]],tbResults[[#This Row],[Player1]])</f>
        <v>coollerz</v>
      </c>
      <c r="X38" s="11" t="str">
        <f>IF(tbResults[[#This Row],[Winner]]=tbResults[[#This Row],[Player1]],tbResults[[#This Row],[Player1 Pick]],tbResults[[#This Row],[Player2 Pick]])</f>
        <v>Ranger</v>
      </c>
      <c r="Y38" s="11" t="str">
        <f>IF(tbResults[[#This Row],[Loser]]=tbResults[[#This Row],[Player1]],tbResults[[#This Row],[Player1 Pick]],tbResults[[#This Row],[Player2 Pick]])</f>
        <v>Galena</v>
      </c>
      <c r="Z38" s="32">
        <f>SUM(tbResults[[#This Row],[Player1 Score]],tbResults[[#This Row],[Player2 Score]])</f>
        <v>17</v>
      </c>
      <c r="AA38" s="32">
        <f>ABS(tbResults[[#This Row],[Player1 Score]]-tbResults[[#This Row],[Player2 Score]])</f>
        <v>3</v>
      </c>
      <c r="AB38" s="37">
        <f>IF(tbResults[[#This Row],[Player1 Score]]&gt;tbResults[[#This Row],[Player2 Score]],tbResults[[#This Row],[Player1 Score]],tbResults[[#This Row],[Player2 Score]])</f>
        <v>10</v>
      </c>
      <c r="AC38" s="37">
        <f>IF(tbResults[[#This Row],[Player1 Score]]&lt;tbResults[[#This Row],[Player2 Score]],tbResults[[#This Row],[Player1 Score]],tbResults[[#This Row],[Player2 Score]])</f>
        <v>7</v>
      </c>
    </row>
    <row r="39" spans="2:29" s="3" customFormat="1" ht="30" customHeight="1" x14ac:dyDescent="0.3">
      <c r="B39" s="20" t="str">
        <f>_xlfn.CONCAT(tbResults[[#This Row],[Series Title]],".",tbResults[[#This Row],[Game]])</f>
        <v>2.1.08.06.3</v>
      </c>
      <c r="C39" s="15">
        <v>2</v>
      </c>
      <c r="D39" s="15">
        <v>1</v>
      </c>
      <c r="E39" s="15">
        <v>8</v>
      </c>
      <c r="F39" s="15">
        <v>6</v>
      </c>
      <c r="G39" s="15">
        <v>3</v>
      </c>
      <c r="H39" s="19" t="str">
        <f>_xlfn.CONCAT(tbResults[[#This Row],[Season]],".",tbResults[[#This Row],[Stage]])</f>
        <v>2.1</v>
      </c>
      <c r="I39" s="19" t="str">
        <f>_xlfn.CONCAT(tbResults[[#This Row],[Season]],".",tbResults[[#This Row],[Stage]],".",TEXT(tbResults[[#This Row],[Week]],"00"))</f>
        <v>2.1.08</v>
      </c>
      <c r="J39" s="19" t="str">
        <f>_xlfn.CONCAT(tbResults[[#This Row],[Week Title]],".",TEXT(tbResults[[#This Row],[Match]],"00"))</f>
        <v>2.1.08.06</v>
      </c>
      <c r="K39" s="20" t="str">
        <f>_xlfn.CONCAT(tbResults[[#This Row],[Game Title]], " ", tbResults[[#This Row],[Player1]], " vs ", tbResults[[#This Row],[Player2]] )</f>
        <v>2.1.08.06.3 coollerz vs k1llsen</v>
      </c>
      <c r="L39" s="6" t="s">
        <v>48</v>
      </c>
      <c r="M39" s="6" t="s">
        <v>31</v>
      </c>
      <c r="N39" s="6" t="s">
        <v>178</v>
      </c>
      <c r="O39" s="6" t="s">
        <v>22</v>
      </c>
      <c r="P39" s="6" t="s">
        <v>24</v>
      </c>
      <c r="Q39" s="8">
        <v>1</v>
      </c>
      <c r="R39" s="8">
        <v>9</v>
      </c>
      <c r="S39" s="8" t="s">
        <v>81</v>
      </c>
      <c r="T39" s="16" t="s">
        <v>31</v>
      </c>
      <c r="U39" s="16" t="s">
        <v>22</v>
      </c>
      <c r="V39" s="46" t="str">
        <f>IF(tbResults[[#This Row],[Player1 Score]]&gt;tbResults[[#This Row],[Player2 Score]],tbResults[[#This Row],[Player1]],tbResults[[#This Row],[Player2]])</f>
        <v>k1llsen</v>
      </c>
      <c r="W39" s="48" t="str">
        <f>IF(tbResults[[#This Row],[Player1 Score]]&gt;tbResults[[#This Row],[Player2 Score]],tbResults[[#This Row],[Player2]],tbResults[[#This Row],[Player1]])</f>
        <v>coollerz</v>
      </c>
      <c r="X39" s="11" t="str">
        <f>IF(tbResults[[#This Row],[Winner]]=tbResults[[#This Row],[Player1]],tbResults[[#This Row],[Player1 Pick]],tbResults[[#This Row],[Player2 Pick]])</f>
        <v>Slash</v>
      </c>
      <c r="Y39" s="11" t="str">
        <f>IF(tbResults[[#This Row],[Loser]]=tbResults[[#This Row],[Player1]],tbResults[[#This Row],[Player1 Pick]],tbResults[[#This Row],[Player2 Pick]])</f>
        <v>Strogg</v>
      </c>
      <c r="Z39" s="32">
        <f>SUM(tbResults[[#This Row],[Player1 Score]],tbResults[[#This Row],[Player2 Score]])</f>
        <v>10</v>
      </c>
      <c r="AA39" s="32">
        <f>ABS(tbResults[[#This Row],[Player1 Score]]-tbResults[[#This Row],[Player2 Score]])</f>
        <v>8</v>
      </c>
      <c r="AB39" s="37">
        <f>IF(tbResults[[#This Row],[Player1 Score]]&gt;tbResults[[#This Row],[Player2 Score]],tbResults[[#This Row],[Player1 Score]],tbResults[[#This Row],[Player2 Score]])</f>
        <v>9</v>
      </c>
      <c r="AC39" s="37">
        <f>IF(tbResults[[#This Row],[Player1 Score]]&lt;tbResults[[#This Row],[Player2 Score]],tbResults[[#This Row],[Player1 Score]],tbResults[[#This Row],[Player2 Score]])</f>
        <v>1</v>
      </c>
    </row>
    <row r="40" spans="2:29" s="3" customFormat="1" ht="30" customHeight="1" x14ac:dyDescent="0.3">
      <c r="B40" s="20" t="str">
        <f>_xlfn.CONCAT(tbResults[[#This Row],[Series Title]],".",tbResults[[#This Row],[Game]])</f>
        <v>2.1.08.07.1</v>
      </c>
      <c r="C40" s="15">
        <v>2</v>
      </c>
      <c r="D40" s="15">
        <v>1</v>
      </c>
      <c r="E40" s="15">
        <v>8</v>
      </c>
      <c r="F40" s="15">
        <v>7</v>
      </c>
      <c r="G40" s="15">
        <v>1</v>
      </c>
      <c r="H40" s="19" t="str">
        <f>_xlfn.CONCAT(tbResults[[#This Row],[Season]],".",tbResults[[#This Row],[Stage]])</f>
        <v>2.1</v>
      </c>
      <c r="I40" s="19" t="str">
        <f>_xlfn.CONCAT(tbResults[[#This Row],[Season]],".",tbResults[[#This Row],[Stage]],".",TEXT(tbResults[[#This Row],[Week]],"00"))</f>
        <v>2.1.08</v>
      </c>
      <c r="J40" s="19" t="str">
        <f>_xlfn.CONCAT(tbResults[[#This Row],[Week Title]],".",TEXT(tbResults[[#This Row],[Match]],"00"))</f>
        <v>2.1.08.07</v>
      </c>
      <c r="K40" s="20" t="str">
        <f>_xlfn.CONCAT(tbResults[[#This Row],[Game Title]], " ", tbResults[[#This Row],[Player1]], " vs ", tbResults[[#This Row],[Player2]] )</f>
        <v>2.1.08.07.1 Vengeurr vs cnz</v>
      </c>
      <c r="L40" s="6" t="s">
        <v>13</v>
      </c>
      <c r="M40" s="6" t="s">
        <v>54</v>
      </c>
      <c r="N40" s="6" t="s">
        <v>178</v>
      </c>
      <c r="O40" s="6" t="s">
        <v>55</v>
      </c>
      <c r="P40" s="6" t="s">
        <v>38</v>
      </c>
      <c r="Q40" s="8">
        <v>2</v>
      </c>
      <c r="R40" s="8">
        <v>1</v>
      </c>
      <c r="S40" s="8" t="s">
        <v>82</v>
      </c>
      <c r="T40" s="16" t="s">
        <v>54</v>
      </c>
      <c r="U40" s="16" t="s">
        <v>25</v>
      </c>
      <c r="V40" s="46" t="str">
        <f>IF(tbResults[[#This Row],[Player1 Score]]&gt;tbResults[[#This Row],[Player2 Score]],tbResults[[#This Row],[Player1]],tbResults[[#This Row],[Player2]])</f>
        <v>Vengeurr</v>
      </c>
      <c r="W40" s="48" t="str">
        <f>IF(tbResults[[#This Row],[Player1 Score]]&gt;tbResults[[#This Row],[Player2 Score]],tbResults[[#This Row],[Player2]],tbResults[[#This Row],[Player1]])</f>
        <v>cnz</v>
      </c>
      <c r="X40" s="11" t="str">
        <f>IF(tbResults[[#This Row],[Winner]]=tbResults[[#This Row],[Player1]],tbResults[[#This Row],[Player1 Pick]],tbResults[[#This Row],[Player2 Pick]])</f>
        <v>Athena</v>
      </c>
      <c r="Y40" s="11" t="str">
        <f>IF(tbResults[[#This Row],[Loser]]=tbResults[[#This Row],[Player1]],tbResults[[#This Row],[Player1 Pick]],tbResults[[#This Row],[Player2 Pick]])</f>
        <v>Nyx</v>
      </c>
      <c r="Z40" s="32">
        <f>SUM(tbResults[[#This Row],[Player1 Score]],tbResults[[#This Row],[Player2 Score]])</f>
        <v>3</v>
      </c>
      <c r="AA40" s="32">
        <f>ABS(tbResults[[#This Row],[Player1 Score]]-tbResults[[#This Row],[Player2 Score]])</f>
        <v>1</v>
      </c>
      <c r="AB40" s="37">
        <f>IF(tbResults[[#This Row],[Player1 Score]]&gt;tbResults[[#This Row],[Player2 Score]],tbResults[[#This Row],[Player1 Score]],tbResults[[#This Row],[Player2 Score]])</f>
        <v>2</v>
      </c>
      <c r="AC40" s="37">
        <f>IF(tbResults[[#This Row],[Player1 Score]]&lt;tbResults[[#This Row],[Player2 Score]],tbResults[[#This Row],[Player1 Score]],tbResults[[#This Row],[Player2 Score]])</f>
        <v>1</v>
      </c>
    </row>
    <row r="41" spans="2:29" s="3" customFormat="1" ht="30" customHeight="1" x14ac:dyDescent="0.3">
      <c r="B41" s="20" t="str">
        <f>_xlfn.CONCAT(tbResults[[#This Row],[Series Title]],".",tbResults[[#This Row],[Game]])</f>
        <v>2.1.08.07.2</v>
      </c>
      <c r="C41" s="15">
        <v>2</v>
      </c>
      <c r="D41" s="15">
        <v>1</v>
      </c>
      <c r="E41" s="15">
        <v>8</v>
      </c>
      <c r="F41" s="15">
        <v>7</v>
      </c>
      <c r="G41" s="15">
        <v>2</v>
      </c>
      <c r="H41" s="19" t="str">
        <f>_xlfn.CONCAT(tbResults[[#This Row],[Season]],".",tbResults[[#This Row],[Stage]])</f>
        <v>2.1</v>
      </c>
      <c r="I41" s="19" t="str">
        <f>_xlfn.CONCAT(tbResults[[#This Row],[Season]],".",tbResults[[#This Row],[Stage]],".",TEXT(tbResults[[#This Row],[Week]],"00"))</f>
        <v>2.1.08</v>
      </c>
      <c r="J41" s="19" t="str">
        <f>_xlfn.CONCAT(tbResults[[#This Row],[Week Title]],".",TEXT(tbResults[[#This Row],[Match]],"00"))</f>
        <v>2.1.08.07</v>
      </c>
      <c r="K41" s="20" t="str">
        <f>_xlfn.CONCAT(tbResults[[#This Row],[Game Title]], " ", tbResults[[#This Row],[Player1]], " vs ", tbResults[[#This Row],[Player2]] )</f>
        <v>2.1.08.07.2 Vengeurr vs cnz</v>
      </c>
      <c r="L41" s="6" t="s">
        <v>13</v>
      </c>
      <c r="M41" s="6" t="s">
        <v>54</v>
      </c>
      <c r="N41" s="6" t="s">
        <v>23</v>
      </c>
      <c r="O41" s="6" t="s">
        <v>22</v>
      </c>
      <c r="P41" s="6" t="s">
        <v>39</v>
      </c>
      <c r="Q41" s="8">
        <v>4</v>
      </c>
      <c r="R41" s="8">
        <v>3</v>
      </c>
      <c r="S41" s="8" t="s">
        <v>81</v>
      </c>
      <c r="T41" s="16" t="s">
        <v>13</v>
      </c>
      <c r="U41" s="16" t="s">
        <v>34</v>
      </c>
      <c r="V41" s="46" t="str">
        <f>IF(tbResults[[#This Row],[Player1 Score]]&gt;tbResults[[#This Row],[Player2 Score]],tbResults[[#This Row],[Player1]],tbResults[[#This Row],[Player2]])</f>
        <v>Vengeurr</v>
      </c>
      <c r="W41" s="48" t="str">
        <f>IF(tbResults[[#This Row],[Player1 Score]]&gt;tbResults[[#This Row],[Player2 Score]],tbResults[[#This Row],[Player2]],tbResults[[#This Row],[Player1]])</f>
        <v>cnz</v>
      </c>
      <c r="X41" s="11" t="str">
        <f>IF(tbResults[[#This Row],[Winner]]=tbResults[[#This Row],[Player1]],tbResults[[#This Row],[Player1 Pick]],tbResults[[#This Row],[Player2 Pick]])</f>
        <v>Strogg</v>
      </c>
      <c r="Y41" s="11" t="str">
        <f>IF(tbResults[[#This Row],[Loser]]=tbResults[[#This Row],[Player1]],tbResults[[#This Row],[Player1 Pick]],tbResults[[#This Row],[Player2 Pick]])</f>
        <v>Anarki</v>
      </c>
      <c r="Z41" s="32">
        <f>SUM(tbResults[[#This Row],[Player1 Score]],tbResults[[#This Row],[Player2 Score]])</f>
        <v>7</v>
      </c>
      <c r="AA41" s="32">
        <f>ABS(tbResults[[#This Row],[Player1 Score]]-tbResults[[#This Row],[Player2 Score]])</f>
        <v>1</v>
      </c>
      <c r="AB41" s="37">
        <f>IF(tbResults[[#This Row],[Player1 Score]]&gt;tbResults[[#This Row],[Player2 Score]],tbResults[[#This Row],[Player1 Score]],tbResults[[#This Row],[Player2 Score]])</f>
        <v>4</v>
      </c>
      <c r="AC41" s="37">
        <f>IF(tbResults[[#This Row],[Player1 Score]]&lt;tbResults[[#This Row],[Player2 Score]],tbResults[[#This Row],[Player1 Score]],tbResults[[#This Row],[Player2 Score]])</f>
        <v>3</v>
      </c>
    </row>
    <row r="42" spans="2:29" s="3" customFormat="1" ht="30" customHeight="1" x14ac:dyDescent="0.3">
      <c r="B42" s="20" t="str">
        <f>_xlfn.CONCAT(tbResults[[#This Row],[Series Title]],".",tbResults[[#This Row],[Game]])</f>
        <v>2.1.08.07.3</v>
      </c>
      <c r="C42" s="15">
        <v>2</v>
      </c>
      <c r="D42" s="15">
        <v>1</v>
      </c>
      <c r="E42" s="15">
        <v>8</v>
      </c>
      <c r="F42" s="15">
        <v>7</v>
      </c>
      <c r="G42" s="15">
        <v>3</v>
      </c>
      <c r="H42" s="19" t="str">
        <f>_xlfn.CONCAT(tbResults[[#This Row],[Season]],".",tbResults[[#This Row],[Stage]])</f>
        <v>2.1</v>
      </c>
      <c r="I42" s="19" t="str">
        <f>_xlfn.CONCAT(tbResults[[#This Row],[Season]],".",tbResults[[#This Row],[Stage]],".",TEXT(tbResults[[#This Row],[Week]],"00"))</f>
        <v>2.1.08</v>
      </c>
      <c r="J42" s="19" t="str">
        <f>_xlfn.CONCAT(tbResults[[#This Row],[Week Title]],".",TEXT(tbResults[[#This Row],[Match]],"00"))</f>
        <v>2.1.08.07</v>
      </c>
      <c r="K42" s="20" t="str">
        <f>_xlfn.CONCAT(tbResults[[#This Row],[Game Title]], " ", tbResults[[#This Row],[Player1]], " vs ", tbResults[[#This Row],[Player2]] )</f>
        <v>2.1.08.07.3 Vengeurr vs cnz</v>
      </c>
      <c r="L42" s="6" t="s">
        <v>13</v>
      </c>
      <c r="M42" s="6" t="s">
        <v>54</v>
      </c>
      <c r="N42" s="6" t="s">
        <v>40</v>
      </c>
      <c r="O42" s="6" t="s">
        <v>21</v>
      </c>
      <c r="P42" s="6" t="s">
        <v>35</v>
      </c>
      <c r="Q42" s="8">
        <v>8</v>
      </c>
      <c r="R42" s="8">
        <v>6</v>
      </c>
      <c r="S42" s="8" t="s">
        <v>81</v>
      </c>
      <c r="T42" s="16" t="s">
        <v>54</v>
      </c>
      <c r="U42" s="16" t="s">
        <v>37</v>
      </c>
      <c r="V42" s="46" t="str">
        <f>IF(tbResults[[#This Row],[Player1 Score]]&gt;tbResults[[#This Row],[Player2 Score]],tbResults[[#This Row],[Player1]],tbResults[[#This Row],[Player2]])</f>
        <v>Vengeurr</v>
      </c>
      <c r="W42" s="48" t="str">
        <f>IF(tbResults[[#This Row],[Player1 Score]]&gt;tbResults[[#This Row],[Player2 Score]],tbResults[[#This Row],[Player2]],tbResults[[#This Row],[Player1]])</f>
        <v>cnz</v>
      </c>
      <c r="X42" s="11" t="str">
        <f>IF(tbResults[[#This Row],[Winner]]=tbResults[[#This Row],[Player1]],tbResults[[#This Row],[Player1 Pick]],tbResults[[#This Row],[Player2 Pick]])</f>
        <v>Ranger</v>
      </c>
      <c r="Y42" s="11" t="str">
        <f>IF(tbResults[[#This Row],[Loser]]=tbResults[[#This Row],[Player1]],tbResults[[#This Row],[Player1 Pick]],tbResults[[#This Row],[Player2 Pick]])</f>
        <v>Doom</v>
      </c>
      <c r="Z42" s="32">
        <f>SUM(tbResults[[#This Row],[Player1 Score]],tbResults[[#This Row],[Player2 Score]])</f>
        <v>14</v>
      </c>
      <c r="AA42" s="32">
        <f>ABS(tbResults[[#This Row],[Player1 Score]]-tbResults[[#This Row],[Player2 Score]])</f>
        <v>2</v>
      </c>
      <c r="AB42" s="37">
        <f>IF(tbResults[[#This Row],[Player1 Score]]&gt;tbResults[[#This Row],[Player2 Score]],tbResults[[#This Row],[Player1 Score]],tbResults[[#This Row],[Player2 Score]])</f>
        <v>8</v>
      </c>
      <c r="AC42" s="37">
        <f>IF(tbResults[[#This Row],[Player1 Score]]&lt;tbResults[[#This Row],[Player2 Score]],tbResults[[#This Row],[Player1 Score]],tbResults[[#This Row],[Player2 Score]])</f>
        <v>6</v>
      </c>
    </row>
    <row r="43" spans="2:29" s="3" customFormat="1" ht="30" customHeight="1" x14ac:dyDescent="0.3">
      <c r="B43" s="20" t="str">
        <f>_xlfn.CONCAT(tbResults[[#This Row],[Series Title]],".",tbResults[[#This Row],[Game]])</f>
        <v>2.1.09.01.1</v>
      </c>
      <c r="C43" s="15">
        <v>2</v>
      </c>
      <c r="D43" s="15">
        <v>1</v>
      </c>
      <c r="E43" s="15">
        <v>9</v>
      </c>
      <c r="F43" s="15">
        <v>1</v>
      </c>
      <c r="G43" s="15">
        <v>1</v>
      </c>
      <c r="H43" s="19" t="str">
        <f>_xlfn.CONCAT(tbResults[[#This Row],[Season]],".",tbResults[[#This Row],[Stage]])</f>
        <v>2.1</v>
      </c>
      <c r="I43" s="19" t="str">
        <f>_xlfn.CONCAT(tbResults[[#This Row],[Season]],".",tbResults[[#This Row],[Stage]],".",TEXT(tbResults[[#This Row],[Week]],"00"))</f>
        <v>2.1.09</v>
      </c>
      <c r="J43" s="19" t="str">
        <f>_xlfn.CONCAT(tbResults[[#This Row],[Week Title]],".",TEXT(tbResults[[#This Row],[Match]],"00"))</f>
        <v>2.1.09.01</v>
      </c>
      <c r="K43" s="20" t="str">
        <f>_xlfn.CONCAT(tbResults[[#This Row],[Game Title]], " ", tbResults[[#This Row],[Player1]], " vs ", tbResults[[#This Row],[Player2]] )</f>
        <v>2.1.09.01.1 Base vs toxjq</v>
      </c>
      <c r="L43" s="6" t="s">
        <v>51</v>
      </c>
      <c r="M43" s="6" t="s">
        <v>199</v>
      </c>
      <c r="N43" s="6" t="s">
        <v>23</v>
      </c>
      <c r="O43" s="6" t="s">
        <v>38</v>
      </c>
      <c r="P43" s="38" t="s">
        <v>25</v>
      </c>
      <c r="Q43" s="8">
        <v>5</v>
      </c>
      <c r="R43" s="8">
        <v>2</v>
      </c>
      <c r="S43" s="8" t="s">
        <v>81</v>
      </c>
      <c r="T43" s="16" t="s">
        <v>199</v>
      </c>
      <c r="U43" s="16" t="s">
        <v>24</v>
      </c>
      <c r="V43" s="47" t="str">
        <f>IF(tbResults[[#This Row],[Player1 Score]]&gt;tbResults[[#This Row],[Player2 Score]],tbResults[[#This Row],[Player1]],tbResults[[#This Row],[Player2]])</f>
        <v>Base</v>
      </c>
      <c r="W43" s="49" t="str">
        <f>IF(tbResults[[#This Row],[Player1 Score]]&gt;tbResults[[#This Row],[Player2 Score]],tbResults[[#This Row],[Player2]],tbResults[[#This Row],[Player1]])</f>
        <v>toxjq</v>
      </c>
      <c r="X43" s="39" t="str">
        <f>IF(tbResults[[#This Row],[Winner]]=tbResults[[#This Row],[Player1]],tbResults[[#This Row],[Player1 Pick]],tbResults[[#This Row],[Player2 Pick]])</f>
        <v>Nyx</v>
      </c>
      <c r="Y43" s="39" t="str">
        <f>IF(tbResults[[#This Row],[Loser]]=tbResults[[#This Row],[Player1]],tbResults[[#This Row],[Player1 Pick]],tbResults[[#This Row],[Player2 Pick]])</f>
        <v>Sorlag</v>
      </c>
      <c r="Z43" s="37">
        <f>SUM(tbResults[[#This Row],[Player1 Score]],tbResults[[#This Row],[Player2 Score]])</f>
        <v>7</v>
      </c>
      <c r="AA43" s="37">
        <f>ABS(tbResults[[#This Row],[Player1 Score]]-tbResults[[#This Row],[Player2 Score]])</f>
        <v>3</v>
      </c>
      <c r="AB43" s="37">
        <f>IF(tbResults[[#This Row],[Player1 Score]]&gt;tbResults[[#This Row],[Player2 Score]],tbResults[[#This Row],[Player1 Score]],tbResults[[#This Row],[Player2 Score]])</f>
        <v>5</v>
      </c>
      <c r="AC43" s="37">
        <f>IF(tbResults[[#This Row],[Player1 Score]]&lt;tbResults[[#This Row],[Player2 Score]],tbResults[[#This Row],[Player1 Score]],tbResults[[#This Row],[Player2 Score]])</f>
        <v>2</v>
      </c>
    </row>
    <row r="44" spans="2:29" s="3" customFormat="1" ht="30" customHeight="1" x14ac:dyDescent="0.3">
      <c r="B44" s="20" t="str">
        <f>_xlfn.CONCAT(tbResults[[#This Row],[Series Title]],".",tbResults[[#This Row],[Game]])</f>
        <v>2.1.09.01.2</v>
      </c>
      <c r="C44" s="15">
        <v>2</v>
      </c>
      <c r="D44" s="15">
        <v>1</v>
      </c>
      <c r="E44" s="15">
        <v>9</v>
      </c>
      <c r="F44" s="15">
        <v>1</v>
      </c>
      <c r="G44" s="15">
        <v>2</v>
      </c>
      <c r="H44" s="19" t="str">
        <f>_xlfn.CONCAT(tbResults[[#This Row],[Season]],".",tbResults[[#This Row],[Stage]])</f>
        <v>2.1</v>
      </c>
      <c r="I44" s="19" t="str">
        <f>_xlfn.CONCAT(tbResults[[#This Row],[Season]],".",tbResults[[#This Row],[Stage]],".",TEXT(tbResults[[#This Row],[Week]],"00"))</f>
        <v>2.1.09</v>
      </c>
      <c r="J44" s="19" t="str">
        <f>_xlfn.CONCAT(tbResults[[#This Row],[Week Title]],".",TEXT(tbResults[[#This Row],[Match]],"00"))</f>
        <v>2.1.09.01</v>
      </c>
      <c r="K44" s="20" t="str">
        <f>_xlfn.CONCAT(tbResults[[#This Row],[Game Title]], " ", tbResults[[#This Row],[Player1]], " vs ", tbResults[[#This Row],[Player2]] )</f>
        <v>2.1.09.01.2 Base vs toxjq</v>
      </c>
      <c r="L44" s="6" t="s">
        <v>51</v>
      </c>
      <c r="M44" s="6" t="s">
        <v>199</v>
      </c>
      <c r="N44" s="6" t="s">
        <v>19</v>
      </c>
      <c r="O44" s="6" t="s">
        <v>34</v>
      </c>
      <c r="P44" s="38" t="s">
        <v>35</v>
      </c>
      <c r="Q44" s="8">
        <v>4</v>
      </c>
      <c r="R44" s="8">
        <v>10</v>
      </c>
      <c r="S44" s="8" t="s">
        <v>81</v>
      </c>
      <c r="T44" s="16" t="s">
        <v>51</v>
      </c>
      <c r="U44" s="16" t="s">
        <v>36</v>
      </c>
      <c r="V44" s="47" t="str">
        <f>IF(tbResults[[#This Row],[Player1 Score]]&gt;tbResults[[#This Row],[Player2 Score]],tbResults[[#This Row],[Player1]],tbResults[[#This Row],[Player2]])</f>
        <v>toxjq</v>
      </c>
      <c r="W44" s="49" t="str">
        <f>IF(tbResults[[#This Row],[Player1 Score]]&gt;tbResults[[#This Row],[Player2 Score]],tbResults[[#This Row],[Player2]],tbResults[[#This Row],[Player1]])</f>
        <v>Base</v>
      </c>
      <c r="X44" s="39" t="str">
        <f>IF(tbResults[[#This Row],[Winner]]=tbResults[[#This Row],[Player1]],tbResults[[#This Row],[Player1 Pick]],tbResults[[#This Row],[Player2 Pick]])</f>
        <v>Doom</v>
      </c>
      <c r="Y44" s="39" t="str">
        <f>IF(tbResults[[#This Row],[Loser]]=tbResults[[#This Row],[Player1]],tbResults[[#This Row],[Player1 Pick]],tbResults[[#This Row],[Player2 Pick]])</f>
        <v>Galena</v>
      </c>
      <c r="Z44" s="37">
        <f>SUM(tbResults[[#This Row],[Player1 Score]],tbResults[[#This Row],[Player2 Score]])</f>
        <v>14</v>
      </c>
      <c r="AA44" s="37">
        <f>ABS(tbResults[[#This Row],[Player1 Score]]-tbResults[[#This Row],[Player2 Score]])</f>
        <v>6</v>
      </c>
      <c r="AB44" s="37">
        <f>IF(tbResults[[#This Row],[Player1 Score]]&gt;tbResults[[#This Row],[Player2 Score]],tbResults[[#This Row],[Player1 Score]],tbResults[[#This Row],[Player2 Score]])</f>
        <v>10</v>
      </c>
      <c r="AC44" s="37">
        <f>IF(tbResults[[#This Row],[Player1 Score]]&lt;tbResults[[#This Row],[Player2 Score]],tbResults[[#This Row],[Player1 Score]],tbResults[[#This Row],[Player2 Score]])</f>
        <v>4</v>
      </c>
    </row>
    <row r="45" spans="2:29" s="3" customFormat="1" ht="30" customHeight="1" x14ac:dyDescent="0.3">
      <c r="B45" s="20" t="str">
        <f>_xlfn.CONCAT(tbResults[[#This Row],[Series Title]],".",tbResults[[#This Row],[Game]])</f>
        <v>2.1.09.01.3</v>
      </c>
      <c r="C45" s="15">
        <v>2</v>
      </c>
      <c r="D45" s="15">
        <v>1</v>
      </c>
      <c r="E45" s="15">
        <v>9</v>
      </c>
      <c r="F45" s="15">
        <v>1</v>
      </c>
      <c r="G45" s="15">
        <v>3</v>
      </c>
      <c r="H45" s="19" t="str">
        <f>_xlfn.CONCAT(tbResults[[#This Row],[Season]],".",tbResults[[#This Row],[Stage]])</f>
        <v>2.1</v>
      </c>
      <c r="I45" s="19" t="str">
        <f>_xlfn.CONCAT(tbResults[[#This Row],[Season]],".",tbResults[[#This Row],[Stage]],".",TEXT(tbResults[[#This Row],[Week]],"00"))</f>
        <v>2.1.09</v>
      </c>
      <c r="J45" s="19" t="str">
        <f>_xlfn.CONCAT(tbResults[[#This Row],[Week Title]],".",TEXT(tbResults[[#This Row],[Match]],"00"))</f>
        <v>2.1.09.01</v>
      </c>
      <c r="K45" s="20" t="str">
        <f>_xlfn.CONCAT(tbResults[[#This Row],[Game Title]], " ", tbResults[[#This Row],[Player1]], " vs ", tbResults[[#This Row],[Player2]] )</f>
        <v>2.1.09.01.3 Base vs toxjq</v>
      </c>
      <c r="L45" s="6" t="s">
        <v>51</v>
      </c>
      <c r="M45" s="6" t="s">
        <v>199</v>
      </c>
      <c r="N45" s="6" t="s">
        <v>26</v>
      </c>
      <c r="O45" s="6" t="s">
        <v>28</v>
      </c>
      <c r="P45" s="38" t="s">
        <v>37</v>
      </c>
      <c r="Q45" s="8">
        <v>6</v>
      </c>
      <c r="R45" s="8">
        <v>3</v>
      </c>
      <c r="S45" s="8" t="s">
        <v>81</v>
      </c>
      <c r="T45" s="16" t="s">
        <v>199</v>
      </c>
      <c r="U45" s="16" t="s">
        <v>39</v>
      </c>
      <c r="V45" s="47" t="str">
        <f>IF(tbResults[[#This Row],[Player1 Score]]&gt;tbResults[[#This Row],[Player2 Score]],tbResults[[#This Row],[Player1]],tbResults[[#This Row],[Player2]])</f>
        <v>Base</v>
      </c>
      <c r="W45" s="49" t="str">
        <f>IF(tbResults[[#This Row],[Player1 Score]]&gt;tbResults[[#This Row],[Player2 Score]],tbResults[[#This Row],[Player2]],tbResults[[#This Row],[Player1]])</f>
        <v>toxjq</v>
      </c>
      <c r="X45" s="39" t="str">
        <f>IF(tbResults[[#This Row],[Winner]]=tbResults[[#This Row],[Player1]],tbResults[[#This Row],[Player1 Pick]],tbResults[[#This Row],[Player2 Pick]])</f>
        <v>BJ Blazkowicz</v>
      </c>
      <c r="Y45" s="39" t="str">
        <f>IF(tbResults[[#This Row],[Loser]]=tbResults[[#This Row],[Player1]],tbResults[[#This Row],[Player1 Pick]],tbResults[[#This Row],[Player2 Pick]])</f>
        <v>Eisen</v>
      </c>
      <c r="Z45" s="37">
        <f>SUM(tbResults[[#This Row],[Player1 Score]],tbResults[[#This Row],[Player2 Score]])</f>
        <v>9</v>
      </c>
      <c r="AA45" s="37">
        <f>ABS(tbResults[[#This Row],[Player1 Score]]-tbResults[[#This Row],[Player2 Score]])</f>
        <v>3</v>
      </c>
      <c r="AB45" s="37">
        <f>IF(tbResults[[#This Row],[Player1 Score]]&gt;tbResults[[#This Row],[Player2 Score]],tbResults[[#This Row],[Player1 Score]],tbResults[[#This Row],[Player2 Score]])</f>
        <v>6</v>
      </c>
      <c r="AC45" s="37">
        <f>IF(tbResults[[#This Row],[Player1 Score]]&lt;tbResults[[#This Row],[Player2 Score]],tbResults[[#This Row],[Player1 Score]],tbResults[[#This Row],[Player2 Score]])</f>
        <v>3</v>
      </c>
    </row>
    <row r="46" spans="2:29" s="3" customFormat="1" ht="30" customHeight="1" x14ac:dyDescent="0.3">
      <c r="B46" s="20" t="str">
        <f>_xlfn.CONCAT(tbResults[[#This Row],[Series Title]],".",tbResults[[#This Row],[Game]])</f>
        <v>2.1.09.02.1</v>
      </c>
      <c r="C46" s="15">
        <v>2</v>
      </c>
      <c r="D46" s="15">
        <v>1</v>
      </c>
      <c r="E46" s="15">
        <v>9</v>
      </c>
      <c r="F46" s="15">
        <v>2</v>
      </c>
      <c r="G46" s="15">
        <v>1</v>
      </c>
      <c r="H46" s="19" t="str">
        <f>_xlfn.CONCAT(tbResults[[#This Row],[Season]],".",tbResults[[#This Row],[Stage]])</f>
        <v>2.1</v>
      </c>
      <c r="I46" s="19" t="str">
        <f>_xlfn.CONCAT(tbResults[[#This Row],[Season]],".",tbResults[[#This Row],[Stage]],".",TEXT(tbResults[[#This Row],[Week]],"00"))</f>
        <v>2.1.09</v>
      </c>
      <c r="J46" s="19" t="str">
        <f>_xlfn.CONCAT(tbResults[[#This Row],[Week Title]],".",TEXT(tbResults[[#This Row],[Match]],"00"))</f>
        <v>2.1.09.02</v>
      </c>
      <c r="K46" s="20" t="str">
        <f>_xlfn.CONCAT(tbResults[[#This Row],[Game Title]], " ", tbResults[[#This Row],[Player1]], " vs ", tbResults[[#This Row],[Player2]] )</f>
        <v>2.1.09.02.1 dramis vs Maxter</v>
      </c>
      <c r="L46" s="6" t="s">
        <v>188</v>
      </c>
      <c r="M46" s="6" t="s">
        <v>86</v>
      </c>
      <c r="N46" s="6" t="s">
        <v>19</v>
      </c>
      <c r="O46" s="6" t="s">
        <v>55</v>
      </c>
      <c r="P46" s="38" t="s">
        <v>25</v>
      </c>
      <c r="Q46" s="8">
        <v>10</v>
      </c>
      <c r="R46" s="8">
        <v>8</v>
      </c>
      <c r="S46" s="8" t="s">
        <v>81</v>
      </c>
      <c r="T46" s="16" t="s">
        <v>12</v>
      </c>
      <c r="U46" s="16" t="s">
        <v>21</v>
      </c>
      <c r="V46" s="47" t="str">
        <f>IF(tbResults[[#This Row],[Player1 Score]]&gt;tbResults[[#This Row],[Player2 Score]],tbResults[[#This Row],[Player1]],tbResults[[#This Row],[Player2]])</f>
        <v>dramis</v>
      </c>
      <c r="W46" s="49" t="str">
        <f>IF(tbResults[[#This Row],[Player1 Score]]&gt;tbResults[[#This Row],[Player2 Score]],tbResults[[#This Row],[Player2]],tbResults[[#This Row],[Player1]])</f>
        <v>Maxter</v>
      </c>
      <c r="X46" s="39" t="str">
        <f>IF(tbResults[[#This Row],[Winner]]=tbResults[[#This Row],[Player1]],tbResults[[#This Row],[Player1 Pick]],tbResults[[#This Row],[Player2 Pick]])</f>
        <v>Athena</v>
      </c>
      <c r="Y46" s="39" t="str">
        <f>IF(tbResults[[#This Row],[Loser]]=tbResults[[#This Row],[Player1]],tbResults[[#This Row],[Player1 Pick]],tbResults[[#This Row],[Player2 Pick]])</f>
        <v>Sorlag</v>
      </c>
      <c r="Z46" s="37">
        <f>SUM(tbResults[[#This Row],[Player1 Score]],tbResults[[#This Row],[Player2 Score]])</f>
        <v>18</v>
      </c>
      <c r="AA46" s="37">
        <f>ABS(tbResults[[#This Row],[Player1 Score]]-tbResults[[#This Row],[Player2 Score]])</f>
        <v>2</v>
      </c>
      <c r="AB46" s="37">
        <f>IF(tbResults[[#This Row],[Player1 Score]]&gt;tbResults[[#This Row],[Player2 Score]],tbResults[[#This Row],[Player1 Score]],tbResults[[#This Row],[Player2 Score]])</f>
        <v>10</v>
      </c>
      <c r="AC46" s="37">
        <f>IF(tbResults[[#This Row],[Player1 Score]]&lt;tbResults[[#This Row],[Player2 Score]],tbResults[[#This Row],[Player1 Score]],tbResults[[#This Row],[Player2 Score]])</f>
        <v>8</v>
      </c>
    </row>
    <row r="47" spans="2:29" s="3" customFormat="1" ht="30" customHeight="1" x14ac:dyDescent="0.3">
      <c r="B47" s="20" t="str">
        <f>_xlfn.CONCAT(tbResults[[#This Row],[Series Title]],".",tbResults[[#This Row],[Game]])</f>
        <v>2.1.09.02.2</v>
      </c>
      <c r="C47" s="15">
        <v>2</v>
      </c>
      <c r="D47" s="15">
        <v>1</v>
      </c>
      <c r="E47" s="15">
        <v>9</v>
      </c>
      <c r="F47" s="15">
        <v>2</v>
      </c>
      <c r="G47" s="15">
        <v>2</v>
      </c>
      <c r="H47" s="19" t="str">
        <f>_xlfn.CONCAT(tbResults[[#This Row],[Season]],".",tbResults[[#This Row],[Stage]])</f>
        <v>2.1</v>
      </c>
      <c r="I47" s="19" t="str">
        <f>_xlfn.CONCAT(tbResults[[#This Row],[Season]],".",tbResults[[#This Row],[Stage]],".",TEXT(tbResults[[#This Row],[Week]],"00"))</f>
        <v>2.1.09</v>
      </c>
      <c r="J47" s="19" t="str">
        <f>_xlfn.CONCAT(tbResults[[#This Row],[Week Title]],".",TEXT(tbResults[[#This Row],[Match]],"00"))</f>
        <v>2.1.09.02</v>
      </c>
      <c r="K47" s="20" t="str">
        <f>_xlfn.CONCAT(tbResults[[#This Row],[Game Title]], " ", tbResults[[#This Row],[Player1]], " vs ", tbResults[[#This Row],[Player2]] )</f>
        <v>2.1.09.02.2 dramis vs Maxter</v>
      </c>
      <c r="L47" s="6" t="s">
        <v>188</v>
      </c>
      <c r="M47" s="6" t="s">
        <v>86</v>
      </c>
      <c r="N47" s="6" t="s">
        <v>23</v>
      </c>
      <c r="O47" s="6" t="s">
        <v>27</v>
      </c>
      <c r="P47" s="38" t="s">
        <v>24</v>
      </c>
      <c r="Q47" s="8">
        <v>7</v>
      </c>
      <c r="R47" s="8">
        <v>4</v>
      </c>
      <c r="S47" s="8" t="s">
        <v>81</v>
      </c>
      <c r="T47" s="16" t="s">
        <v>41</v>
      </c>
      <c r="U47" s="16" t="s">
        <v>39</v>
      </c>
      <c r="V47" s="47" t="str">
        <f>IF(tbResults[[#This Row],[Player1 Score]]&gt;tbResults[[#This Row],[Player2 Score]],tbResults[[#This Row],[Player1]],tbResults[[#This Row],[Player2]])</f>
        <v>dramis</v>
      </c>
      <c r="W47" s="49" t="str">
        <f>IF(tbResults[[#This Row],[Player1 Score]]&gt;tbResults[[#This Row],[Player2 Score]],tbResults[[#This Row],[Player2]],tbResults[[#This Row],[Player1]])</f>
        <v>Maxter</v>
      </c>
      <c r="X47" s="39" t="str">
        <f>IF(tbResults[[#This Row],[Winner]]=tbResults[[#This Row],[Player1]],tbResults[[#This Row],[Player1 Pick]],tbResults[[#This Row],[Player2 Pick]])</f>
        <v>Keel</v>
      </c>
      <c r="Y47" s="39" t="str">
        <f>IF(tbResults[[#This Row],[Loser]]=tbResults[[#This Row],[Player1]],tbResults[[#This Row],[Player1 Pick]],tbResults[[#This Row],[Player2 Pick]])</f>
        <v>Slash</v>
      </c>
      <c r="Z47" s="37">
        <f>SUM(tbResults[[#This Row],[Player1 Score]],tbResults[[#This Row],[Player2 Score]])</f>
        <v>11</v>
      </c>
      <c r="AA47" s="37">
        <f>ABS(tbResults[[#This Row],[Player1 Score]]-tbResults[[#This Row],[Player2 Score]])</f>
        <v>3</v>
      </c>
      <c r="AB47" s="37">
        <f>IF(tbResults[[#This Row],[Player1 Score]]&gt;tbResults[[#This Row],[Player2 Score]],tbResults[[#This Row],[Player1 Score]],tbResults[[#This Row],[Player2 Score]])</f>
        <v>7</v>
      </c>
      <c r="AC47" s="37">
        <f>IF(tbResults[[#This Row],[Player1 Score]]&lt;tbResults[[#This Row],[Player2 Score]],tbResults[[#This Row],[Player1 Score]],tbResults[[#This Row],[Player2 Score]])</f>
        <v>4</v>
      </c>
    </row>
    <row r="48" spans="2:29" s="3" customFormat="1" ht="30" customHeight="1" x14ac:dyDescent="0.3">
      <c r="B48" s="20" t="str">
        <f>_xlfn.CONCAT(tbResults[[#This Row],[Series Title]],".",tbResults[[#This Row],[Game]])</f>
        <v>2.1.09.02.3</v>
      </c>
      <c r="C48" s="15">
        <v>2</v>
      </c>
      <c r="D48" s="15">
        <v>1</v>
      </c>
      <c r="E48" s="15">
        <v>9</v>
      </c>
      <c r="F48" s="15">
        <v>2</v>
      </c>
      <c r="G48" s="15">
        <v>3</v>
      </c>
      <c r="H48" s="19" t="str">
        <f>_xlfn.CONCAT(tbResults[[#This Row],[Season]],".",tbResults[[#This Row],[Stage]])</f>
        <v>2.1</v>
      </c>
      <c r="I48" s="19" t="str">
        <f>_xlfn.CONCAT(tbResults[[#This Row],[Season]],".",tbResults[[#This Row],[Stage]],".",TEXT(tbResults[[#This Row],[Week]],"00"))</f>
        <v>2.1.09</v>
      </c>
      <c r="J48" s="19" t="str">
        <f>_xlfn.CONCAT(tbResults[[#This Row],[Week Title]],".",TEXT(tbResults[[#This Row],[Match]],"00"))</f>
        <v>2.1.09.02</v>
      </c>
      <c r="K48" s="20" t="str">
        <f>_xlfn.CONCAT(tbResults[[#This Row],[Game Title]], " ", tbResults[[#This Row],[Player1]], " vs ", tbResults[[#This Row],[Player2]] )</f>
        <v>2.1.09.02.3 dramis vs Maxter</v>
      </c>
      <c r="L48" s="6" t="s">
        <v>188</v>
      </c>
      <c r="M48" s="6" t="s">
        <v>86</v>
      </c>
      <c r="N48" s="6" t="s">
        <v>32</v>
      </c>
      <c r="O48" s="6" t="s">
        <v>34</v>
      </c>
      <c r="P48" s="38" t="s">
        <v>37</v>
      </c>
      <c r="Q48" s="8">
        <v>15</v>
      </c>
      <c r="R48" s="8">
        <v>8</v>
      </c>
      <c r="S48" s="8" t="s">
        <v>81</v>
      </c>
      <c r="T48" s="16" t="s">
        <v>12</v>
      </c>
      <c r="U48" s="16" t="s">
        <v>22</v>
      </c>
      <c r="V48" s="47" t="str">
        <f>IF(tbResults[[#This Row],[Player1 Score]]&gt;tbResults[[#This Row],[Player2 Score]],tbResults[[#This Row],[Player1]],tbResults[[#This Row],[Player2]])</f>
        <v>dramis</v>
      </c>
      <c r="W48" s="49" t="str">
        <f>IF(tbResults[[#This Row],[Player1 Score]]&gt;tbResults[[#This Row],[Player2 Score]],tbResults[[#This Row],[Player2]],tbResults[[#This Row],[Player1]])</f>
        <v>Maxter</v>
      </c>
      <c r="X48" s="39" t="str">
        <f>IF(tbResults[[#This Row],[Winner]]=tbResults[[#This Row],[Player1]],tbResults[[#This Row],[Player1 Pick]],tbResults[[#This Row],[Player2 Pick]])</f>
        <v>Galena</v>
      </c>
      <c r="Y48" s="39" t="str">
        <f>IF(tbResults[[#This Row],[Loser]]=tbResults[[#This Row],[Player1]],tbResults[[#This Row],[Player1 Pick]],tbResults[[#This Row],[Player2 Pick]])</f>
        <v>Eisen</v>
      </c>
      <c r="Z48" s="37">
        <f>SUM(tbResults[[#This Row],[Player1 Score]],tbResults[[#This Row],[Player2 Score]])</f>
        <v>23</v>
      </c>
      <c r="AA48" s="37">
        <f>ABS(tbResults[[#This Row],[Player1 Score]]-tbResults[[#This Row],[Player2 Score]])</f>
        <v>7</v>
      </c>
      <c r="AB48" s="37">
        <f>IF(tbResults[[#This Row],[Player1 Score]]&gt;tbResults[[#This Row],[Player2 Score]],tbResults[[#This Row],[Player1 Score]],tbResults[[#This Row],[Player2 Score]])</f>
        <v>15</v>
      </c>
      <c r="AC48" s="37">
        <f>IF(tbResults[[#This Row],[Player1 Score]]&lt;tbResults[[#This Row],[Player2 Score]],tbResults[[#This Row],[Player1 Score]],tbResults[[#This Row],[Player2 Score]])</f>
        <v>8</v>
      </c>
    </row>
    <row r="49" spans="2:29" s="3" customFormat="1" ht="30" customHeight="1" x14ac:dyDescent="0.3">
      <c r="B49" s="20" t="str">
        <f>_xlfn.CONCAT(tbResults[[#This Row],[Series Title]],".",tbResults[[#This Row],[Game]])</f>
        <v>2.1.09.03.1</v>
      </c>
      <c r="C49" s="15">
        <v>2</v>
      </c>
      <c r="D49" s="15">
        <v>1</v>
      </c>
      <c r="E49" s="15">
        <v>9</v>
      </c>
      <c r="F49" s="15">
        <v>3</v>
      </c>
      <c r="G49" s="15">
        <v>1</v>
      </c>
      <c r="H49" s="19" t="str">
        <f>_xlfn.CONCAT(tbResults[[#This Row],[Season]],".",tbResults[[#This Row],[Stage]])</f>
        <v>2.1</v>
      </c>
      <c r="I49" s="19" t="str">
        <f>_xlfn.CONCAT(tbResults[[#This Row],[Season]],".",tbResults[[#This Row],[Stage]],".",TEXT(tbResults[[#This Row],[Week]],"00"))</f>
        <v>2.1.09</v>
      </c>
      <c r="J49" s="19" t="str">
        <f>_xlfn.CONCAT(tbResults[[#This Row],[Week Title]],".",TEXT(tbResults[[#This Row],[Match]],"00"))</f>
        <v>2.1.09.03</v>
      </c>
      <c r="K49" s="20" t="str">
        <f>_xlfn.CONCAT(tbResults[[#This Row],[Game Title]], " ", tbResults[[#This Row],[Player1]], " vs ", tbResults[[#This Row],[Player2]] )</f>
        <v>2.1.09.03.1 Zenaku vs Effortless</v>
      </c>
      <c r="L49" s="6" t="s">
        <v>29</v>
      </c>
      <c r="M49" s="6" t="s">
        <v>6</v>
      </c>
      <c r="N49" s="6" t="s">
        <v>23</v>
      </c>
      <c r="O49" s="6" t="s">
        <v>24</v>
      </c>
      <c r="P49" s="38" t="s">
        <v>21</v>
      </c>
      <c r="Q49" s="8">
        <v>5</v>
      </c>
      <c r="R49" s="8">
        <v>6</v>
      </c>
      <c r="S49" s="8" t="s">
        <v>81</v>
      </c>
      <c r="T49" s="16" t="s">
        <v>6</v>
      </c>
      <c r="U49" s="16" t="s">
        <v>22</v>
      </c>
      <c r="V49" s="47" t="str">
        <f>IF(tbResults[[#This Row],[Player1 Score]]&gt;tbResults[[#This Row],[Player2 Score]],tbResults[[#This Row],[Player1]],tbResults[[#This Row],[Player2]])</f>
        <v>Effortless</v>
      </c>
      <c r="W49" s="49" t="str">
        <f>IF(tbResults[[#This Row],[Player1 Score]]&gt;tbResults[[#This Row],[Player2 Score]],tbResults[[#This Row],[Player2]],tbResults[[#This Row],[Player1]])</f>
        <v>Zenaku</v>
      </c>
      <c r="X49" s="39" t="str">
        <f>IF(tbResults[[#This Row],[Winner]]=tbResults[[#This Row],[Player1]],tbResults[[#This Row],[Player1 Pick]],tbResults[[#This Row],[Player2 Pick]])</f>
        <v>Ranger</v>
      </c>
      <c r="Y49" s="39" t="str">
        <f>IF(tbResults[[#This Row],[Loser]]=tbResults[[#This Row],[Player1]],tbResults[[#This Row],[Player1 Pick]],tbResults[[#This Row],[Player2 Pick]])</f>
        <v>Slash</v>
      </c>
      <c r="Z49" s="37">
        <f>SUM(tbResults[[#This Row],[Player1 Score]],tbResults[[#This Row],[Player2 Score]])</f>
        <v>11</v>
      </c>
      <c r="AA49" s="37">
        <f>ABS(tbResults[[#This Row],[Player1 Score]]-tbResults[[#This Row],[Player2 Score]])</f>
        <v>1</v>
      </c>
      <c r="AB49" s="37">
        <f>IF(tbResults[[#This Row],[Player1 Score]]&gt;tbResults[[#This Row],[Player2 Score]],tbResults[[#This Row],[Player1 Score]],tbResults[[#This Row],[Player2 Score]])</f>
        <v>6</v>
      </c>
      <c r="AC49" s="37">
        <f>IF(tbResults[[#This Row],[Player1 Score]]&lt;tbResults[[#This Row],[Player2 Score]],tbResults[[#This Row],[Player1 Score]],tbResults[[#This Row],[Player2 Score]])</f>
        <v>5</v>
      </c>
    </row>
    <row r="50" spans="2:29" s="3" customFormat="1" ht="30" customHeight="1" x14ac:dyDescent="0.3">
      <c r="B50" s="20" t="str">
        <f>_xlfn.CONCAT(tbResults[[#This Row],[Series Title]],".",tbResults[[#This Row],[Game]])</f>
        <v>2.1.09.03.2</v>
      </c>
      <c r="C50" s="15">
        <v>2</v>
      </c>
      <c r="D50" s="15">
        <v>1</v>
      </c>
      <c r="E50" s="15">
        <v>9</v>
      </c>
      <c r="F50" s="15">
        <v>3</v>
      </c>
      <c r="G50" s="15">
        <v>2</v>
      </c>
      <c r="H50" s="19" t="str">
        <f>_xlfn.CONCAT(tbResults[[#This Row],[Season]],".",tbResults[[#This Row],[Stage]])</f>
        <v>2.1</v>
      </c>
      <c r="I50" s="19" t="str">
        <f>_xlfn.CONCAT(tbResults[[#This Row],[Season]],".",tbResults[[#This Row],[Stage]],".",TEXT(tbResults[[#This Row],[Week]],"00"))</f>
        <v>2.1.09</v>
      </c>
      <c r="J50" s="19" t="str">
        <f>_xlfn.CONCAT(tbResults[[#This Row],[Week Title]],".",TEXT(tbResults[[#This Row],[Match]],"00"))</f>
        <v>2.1.09.03</v>
      </c>
      <c r="K50" s="20" t="str">
        <f>_xlfn.CONCAT(tbResults[[#This Row],[Game Title]], " ", tbResults[[#This Row],[Player1]], " vs ", tbResults[[#This Row],[Player2]] )</f>
        <v>2.1.09.03.2 Zenaku vs Effortless</v>
      </c>
      <c r="L50" s="6" t="s">
        <v>29</v>
      </c>
      <c r="M50" s="6" t="s">
        <v>6</v>
      </c>
      <c r="N50" s="6" t="s">
        <v>32</v>
      </c>
      <c r="O50" s="6" t="s">
        <v>44</v>
      </c>
      <c r="P50" s="38" t="s">
        <v>25</v>
      </c>
      <c r="Q50" s="8">
        <v>14</v>
      </c>
      <c r="R50" s="8">
        <v>12</v>
      </c>
      <c r="S50" s="8" t="s">
        <v>81</v>
      </c>
      <c r="T50" s="16" t="s">
        <v>29</v>
      </c>
      <c r="U50" s="16" t="s">
        <v>39</v>
      </c>
      <c r="V50" s="47" t="str">
        <f>IF(tbResults[[#This Row],[Player1 Score]]&gt;tbResults[[#This Row],[Player2 Score]],tbResults[[#This Row],[Player1]],tbResults[[#This Row],[Player2]])</f>
        <v>Zenaku</v>
      </c>
      <c r="W50" s="49" t="str">
        <f>IF(tbResults[[#This Row],[Player1 Score]]&gt;tbResults[[#This Row],[Player2 Score]],tbResults[[#This Row],[Player2]],tbResults[[#This Row],[Player1]])</f>
        <v>Effortless</v>
      </c>
      <c r="X50" s="39" t="str">
        <f>IF(tbResults[[#This Row],[Winner]]=tbResults[[#This Row],[Player1]],tbResults[[#This Row],[Player1 Pick]],tbResults[[#This Row],[Player2 Pick]])</f>
        <v>Scalebearer</v>
      </c>
      <c r="Y50" s="39" t="str">
        <f>IF(tbResults[[#This Row],[Loser]]=tbResults[[#This Row],[Player1]],tbResults[[#This Row],[Player1 Pick]],tbResults[[#This Row],[Player2 Pick]])</f>
        <v>Sorlag</v>
      </c>
      <c r="Z50" s="37">
        <f>SUM(tbResults[[#This Row],[Player1 Score]],tbResults[[#This Row],[Player2 Score]])</f>
        <v>26</v>
      </c>
      <c r="AA50" s="37">
        <f>ABS(tbResults[[#This Row],[Player1 Score]]-tbResults[[#This Row],[Player2 Score]])</f>
        <v>2</v>
      </c>
      <c r="AB50" s="37">
        <f>IF(tbResults[[#This Row],[Player1 Score]]&gt;tbResults[[#This Row],[Player2 Score]],tbResults[[#This Row],[Player1 Score]],tbResults[[#This Row],[Player2 Score]])</f>
        <v>14</v>
      </c>
      <c r="AC50" s="37">
        <f>IF(tbResults[[#This Row],[Player1 Score]]&lt;tbResults[[#This Row],[Player2 Score]],tbResults[[#This Row],[Player1 Score]],tbResults[[#This Row],[Player2 Score]])</f>
        <v>12</v>
      </c>
    </row>
    <row r="51" spans="2:29" s="3" customFormat="1" ht="30" customHeight="1" x14ac:dyDescent="0.3">
      <c r="B51" s="20" t="str">
        <f>_xlfn.CONCAT(tbResults[[#This Row],[Series Title]],".",tbResults[[#This Row],[Game]])</f>
        <v>2.1.09.03.3</v>
      </c>
      <c r="C51" s="15">
        <v>2</v>
      </c>
      <c r="D51" s="15">
        <v>1</v>
      </c>
      <c r="E51" s="15">
        <v>9</v>
      </c>
      <c r="F51" s="15">
        <v>3</v>
      </c>
      <c r="G51" s="15">
        <v>3</v>
      </c>
      <c r="H51" s="19" t="str">
        <f>_xlfn.CONCAT(tbResults[[#This Row],[Season]],".",tbResults[[#This Row],[Stage]])</f>
        <v>2.1</v>
      </c>
      <c r="I51" s="19" t="str">
        <f>_xlfn.CONCAT(tbResults[[#This Row],[Season]],".",tbResults[[#This Row],[Stage]],".",TEXT(tbResults[[#This Row],[Week]],"00"))</f>
        <v>2.1.09</v>
      </c>
      <c r="J51" s="19" t="str">
        <f>_xlfn.CONCAT(tbResults[[#This Row],[Week Title]],".",TEXT(tbResults[[#This Row],[Match]],"00"))</f>
        <v>2.1.09.03</v>
      </c>
      <c r="K51" s="20" t="str">
        <f>_xlfn.CONCAT(tbResults[[#This Row],[Game Title]], " ", tbResults[[#This Row],[Player1]], " vs ", tbResults[[#This Row],[Player2]] )</f>
        <v>2.1.09.03.3 Zenaku vs Effortless</v>
      </c>
      <c r="L51" s="6" t="s">
        <v>29</v>
      </c>
      <c r="M51" s="6" t="s">
        <v>6</v>
      </c>
      <c r="N51" s="6" t="s">
        <v>26</v>
      </c>
      <c r="O51" s="6" t="s">
        <v>38</v>
      </c>
      <c r="P51" s="38" t="s">
        <v>27</v>
      </c>
      <c r="Q51" s="8">
        <v>3</v>
      </c>
      <c r="R51" s="8">
        <v>9</v>
      </c>
      <c r="S51" s="8" t="s">
        <v>81</v>
      </c>
      <c r="T51" s="16" t="s">
        <v>6</v>
      </c>
      <c r="U51" s="16" t="s">
        <v>34</v>
      </c>
      <c r="V51" s="47" t="str">
        <f>IF(tbResults[[#This Row],[Player1 Score]]&gt;tbResults[[#This Row],[Player2 Score]],tbResults[[#This Row],[Player1]],tbResults[[#This Row],[Player2]])</f>
        <v>Effortless</v>
      </c>
      <c r="W51" s="49" t="str">
        <f>IF(tbResults[[#This Row],[Player1 Score]]&gt;tbResults[[#This Row],[Player2 Score]],tbResults[[#This Row],[Player2]],tbResults[[#This Row],[Player1]])</f>
        <v>Zenaku</v>
      </c>
      <c r="X51" s="39" t="str">
        <f>IF(tbResults[[#This Row],[Winner]]=tbResults[[#This Row],[Player1]],tbResults[[#This Row],[Player1 Pick]],tbResults[[#This Row],[Player2 Pick]])</f>
        <v>Keel</v>
      </c>
      <c r="Y51" s="39" t="str">
        <f>IF(tbResults[[#This Row],[Loser]]=tbResults[[#This Row],[Player1]],tbResults[[#This Row],[Player1 Pick]],tbResults[[#This Row],[Player2 Pick]])</f>
        <v>Nyx</v>
      </c>
      <c r="Z51" s="37">
        <f>SUM(tbResults[[#This Row],[Player1 Score]],tbResults[[#This Row],[Player2 Score]])</f>
        <v>12</v>
      </c>
      <c r="AA51" s="37">
        <f>ABS(tbResults[[#This Row],[Player1 Score]]-tbResults[[#This Row],[Player2 Score]])</f>
        <v>6</v>
      </c>
      <c r="AB51" s="37">
        <f>IF(tbResults[[#This Row],[Player1 Score]]&gt;tbResults[[#This Row],[Player2 Score]],tbResults[[#This Row],[Player1 Score]],tbResults[[#This Row],[Player2 Score]])</f>
        <v>9</v>
      </c>
      <c r="AC51" s="37">
        <f>IF(tbResults[[#This Row],[Player1 Score]]&lt;tbResults[[#This Row],[Player2 Score]],tbResults[[#This Row],[Player1 Score]],tbResults[[#This Row],[Player2 Score]])</f>
        <v>3</v>
      </c>
    </row>
    <row r="52" spans="2:29" s="3" customFormat="1" ht="30" customHeight="1" x14ac:dyDescent="0.3">
      <c r="B52" s="20" t="str">
        <f>_xlfn.CONCAT(tbResults[[#This Row],[Series Title]],".",tbResults[[#This Row],[Game]])</f>
        <v>2.1.09.04.1</v>
      </c>
      <c r="C52" s="15">
        <v>2</v>
      </c>
      <c r="D52" s="15">
        <v>1</v>
      </c>
      <c r="E52" s="15">
        <v>9</v>
      </c>
      <c r="F52" s="15">
        <v>4</v>
      </c>
      <c r="G52" s="15">
        <v>1</v>
      </c>
      <c r="H52" s="19" t="str">
        <f>_xlfn.CONCAT(tbResults[[#This Row],[Season]],".",tbResults[[#This Row],[Stage]])</f>
        <v>2.1</v>
      </c>
      <c r="I52" s="19" t="str">
        <f>_xlfn.CONCAT(tbResults[[#This Row],[Season]],".",tbResults[[#This Row],[Stage]],".",TEXT(tbResults[[#This Row],[Week]],"00"))</f>
        <v>2.1.09</v>
      </c>
      <c r="J52" s="19" t="str">
        <f>_xlfn.CONCAT(tbResults[[#This Row],[Week Title]],".",TEXT(tbResults[[#This Row],[Match]],"00"))</f>
        <v>2.1.09.04</v>
      </c>
      <c r="K52" s="20" t="str">
        <f>_xlfn.CONCAT(tbResults[[#This Row],[Game Title]], " ", tbResults[[#This Row],[Player1]], " vs ", tbResults[[#This Row],[Player2]] )</f>
        <v>2.1.09.04.1 cnz vs spart1e</v>
      </c>
      <c r="L52" s="6" t="s">
        <v>54</v>
      </c>
      <c r="M52" s="6" t="s">
        <v>50</v>
      </c>
      <c r="N52" s="6" t="s">
        <v>23</v>
      </c>
      <c r="O52" s="6" t="s">
        <v>34</v>
      </c>
      <c r="P52" s="38" t="s">
        <v>22</v>
      </c>
      <c r="Q52" s="8">
        <v>7</v>
      </c>
      <c r="R52" s="8">
        <v>8</v>
      </c>
      <c r="S52" s="8" t="s">
        <v>82</v>
      </c>
      <c r="T52" s="16" t="s">
        <v>50</v>
      </c>
      <c r="U52" s="16" t="s">
        <v>25</v>
      </c>
      <c r="V52" s="47" t="str">
        <f>IF(tbResults[[#This Row],[Player1 Score]]&gt;tbResults[[#This Row],[Player2 Score]],tbResults[[#This Row],[Player1]],tbResults[[#This Row],[Player2]])</f>
        <v>spart1e</v>
      </c>
      <c r="W52" s="49" t="str">
        <f>IF(tbResults[[#This Row],[Player1 Score]]&gt;tbResults[[#This Row],[Player2 Score]],tbResults[[#This Row],[Player2]],tbResults[[#This Row],[Player1]])</f>
        <v>cnz</v>
      </c>
      <c r="X52" s="39" t="str">
        <f>IF(tbResults[[#This Row],[Winner]]=tbResults[[#This Row],[Player1]],tbResults[[#This Row],[Player1 Pick]],tbResults[[#This Row],[Player2 Pick]])</f>
        <v>Strogg</v>
      </c>
      <c r="Y52" s="39" t="str">
        <f>IF(tbResults[[#This Row],[Loser]]=tbResults[[#This Row],[Player1]],tbResults[[#This Row],[Player1 Pick]],tbResults[[#This Row],[Player2 Pick]])</f>
        <v>Galena</v>
      </c>
      <c r="Z52" s="37">
        <f>SUM(tbResults[[#This Row],[Player1 Score]],tbResults[[#This Row],[Player2 Score]])</f>
        <v>15</v>
      </c>
      <c r="AA52" s="37">
        <f>ABS(tbResults[[#This Row],[Player1 Score]]-tbResults[[#This Row],[Player2 Score]])</f>
        <v>1</v>
      </c>
      <c r="AB52" s="37">
        <f>IF(tbResults[[#This Row],[Player1 Score]]&gt;tbResults[[#This Row],[Player2 Score]],tbResults[[#This Row],[Player1 Score]],tbResults[[#This Row],[Player2 Score]])</f>
        <v>8</v>
      </c>
      <c r="AC52" s="37">
        <f>IF(tbResults[[#This Row],[Player1 Score]]&lt;tbResults[[#This Row],[Player2 Score]],tbResults[[#This Row],[Player1 Score]],tbResults[[#This Row],[Player2 Score]])</f>
        <v>7</v>
      </c>
    </row>
    <row r="53" spans="2:29" s="3" customFormat="1" ht="30" customHeight="1" x14ac:dyDescent="0.3">
      <c r="B53" s="20" t="str">
        <f>_xlfn.CONCAT(tbResults[[#This Row],[Series Title]],".",tbResults[[#This Row],[Game]])</f>
        <v>2.1.09.04.2</v>
      </c>
      <c r="C53" s="15">
        <v>2</v>
      </c>
      <c r="D53" s="15">
        <v>1</v>
      </c>
      <c r="E53" s="15">
        <v>9</v>
      </c>
      <c r="F53" s="15">
        <v>4</v>
      </c>
      <c r="G53" s="15">
        <v>2</v>
      </c>
      <c r="H53" s="19" t="str">
        <f>_xlfn.CONCAT(tbResults[[#This Row],[Season]],".",tbResults[[#This Row],[Stage]])</f>
        <v>2.1</v>
      </c>
      <c r="I53" s="19" t="str">
        <f>_xlfn.CONCAT(tbResults[[#This Row],[Season]],".",tbResults[[#This Row],[Stage]],".",TEXT(tbResults[[#This Row],[Week]],"00"))</f>
        <v>2.1.09</v>
      </c>
      <c r="J53" s="19" t="str">
        <f>_xlfn.CONCAT(tbResults[[#This Row],[Week Title]],".",TEXT(tbResults[[#This Row],[Match]],"00"))</f>
        <v>2.1.09.04</v>
      </c>
      <c r="K53" s="20" t="str">
        <f>_xlfn.CONCAT(tbResults[[#This Row],[Game Title]], " ", tbResults[[#This Row],[Player1]], " vs ", tbResults[[#This Row],[Player2]] )</f>
        <v>2.1.09.04.2 cnz vs spart1e</v>
      </c>
      <c r="L53" s="6" t="s">
        <v>54</v>
      </c>
      <c r="M53" s="6" t="s">
        <v>50</v>
      </c>
      <c r="N53" s="6" t="s">
        <v>26</v>
      </c>
      <c r="O53" s="6" t="s">
        <v>38</v>
      </c>
      <c r="P53" s="38" t="s">
        <v>36</v>
      </c>
      <c r="Q53" s="8">
        <v>5</v>
      </c>
      <c r="R53" s="8">
        <v>4</v>
      </c>
      <c r="S53" s="8" t="s">
        <v>81</v>
      </c>
      <c r="T53" s="16" t="s">
        <v>54</v>
      </c>
      <c r="U53" s="16" t="s">
        <v>55</v>
      </c>
      <c r="V53" s="47" t="str">
        <f>IF(tbResults[[#This Row],[Player1 Score]]&gt;tbResults[[#This Row],[Player2 Score]],tbResults[[#This Row],[Player1]],tbResults[[#This Row],[Player2]])</f>
        <v>cnz</v>
      </c>
      <c r="W53" s="49" t="str">
        <f>IF(tbResults[[#This Row],[Player1 Score]]&gt;tbResults[[#This Row],[Player2 Score]],tbResults[[#This Row],[Player2]],tbResults[[#This Row],[Player1]])</f>
        <v>spart1e</v>
      </c>
      <c r="X53" s="39" t="str">
        <f>IF(tbResults[[#This Row],[Winner]]=tbResults[[#This Row],[Player1]],tbResults[[#This Row],[Player1 Pick]],tbResults[[#This Row],[Player2 Pick]])</f>
        <v>Nyx</v>
      </c>
      <c r="Y53" s="39" t="str">
        <f>IF(tbResults[[#This Row],[Loser]]=tbResults[[#This Row],[Player1]],tbResults[[#This Row],[Player1 Pick]],tbResults[[#This Row],[Player2 Pick]])</f>
        <v>Visor</v>
      </c>
      <c r="Z53" s="37">
        <f>SUM(tbResults[[#This Row],[Player1 Score]],tbResults[[#This Row],[Player2 Score]])</f>
        <v>9</v>
      </c>
      <c r="AA53" s="37">
        <f>ABS(tbResults[[#This Row],[Player1 Score]]-tbResults[[#This Row],[Player2 Score]])</f>
        <v>1</v>
      </c>
      <c r="AB53" s="37">
        <f>IF(tbResults[[#This Row],[Player1 Score]]&gt;tbResults[[#This Row],[Player2 Score]],tbResults[[#This Row],[Player1 Score]],tbResults[[#This Row],[Player2 Score]])</f>
        <v>5</v>
      </c>
      <c r="AC53" s="37">
        <f>IF(tbResults[[#This Row],[Player1 Score]]&lt;tbResults[[#This Row],[Player2 Score]],tbResults[[#This Row],[Player1 Score]],tbResults[[#This Row],[Player2 Score]])</f>
        <v>4</v>
      </c>
    </row>
    <row r="54" spans="2:29" s="3" customFormat="1" ht="30" customHeight="1" x14ac:dyDescent="0.3">
      <c r="B54" s="20" t="str">
        <f>_xlfn.CONCAT(tbResults[[#This Row],[Series Title]],".",tbResults[[#This Row],[Game]])</f>
        <v>2.1.09.04.3</v>
      </c>
      <c r="C54" s="15">
        <v>2</v>
      </c>
      <c r="D54" s="15">
        <v>1</v>
      </c>
      <c r="E54" s="15">
        <v>9</v>
      </c>
      <c r="F54" s="15">
        <v>4</v>
      </c>
      <c r="G54" s="15">
        <v>3</v>
      </c>
      <c r="H54" s="19" t="str">
        <f>_xlfn.CONCAT(tbResults[[#This Row],[Season]],".",tbResults[[#This Row],[Stage]])</f>
        <v>2.1</v>
      </c>
      <c r="I54" s="19" t="str">
        <f>_xlfn.CONCAT(tbResults[[#This Row],[Season]],".",tbResults[[#This Row],[Stage]],".",TEXT(tbResults[[#This Row],[Week]],"00"))</f>
        <v>2.1.09</v>
      </c>
      <c r="J54" s="19" t="str">
        <f>_xlfn.CONCAT(tbResults[[#This Row],[Week Title]],".",TEXT(tbResults[[#This Row],[Match]],"00"))</f>
        <v>2.1.09.04</v>
      </c>
      <c r="K54" s="20" t="str">
        <f>_xlfn.CONCAT(tbResults[[#This Row],[Game Title]], " ", tbResults[[#This Row],[Player1]], " vs ", tbResults[[#This Row],[Player2]] )</f>
        <v>2.1.09.04.3 cnz vs spart1e</v>
      </c>
      <c r="L54" s="6" t="s">
        <v>54</v>
      </c>
      <c r="M54" s="6" t="s">
        <v>50</v>
      </c>
      <c r="N54" s="6" t="s">
        <v>40</v>
      </c>
      <c r="O54" s="6" t="s">
        <v>21</v>
      </c>
      <c r="P54" s="38" t="s">
        <v>35</v>
      </c>
      <c r="Q54" s="8">
        <v>10</v>
      </c>
      <c r="R54" s="8">
        <v>19</v>
      </c>
      <c r="S54" s="8" t="s">
        <v>81</v>
      </c>
      <c r="T54" s="16" t="s">
        <v>50</v>
      </c>
      <c r="U54" s="16" t="s">
        <v>37</v>
      </c>
      <c r="V54" s="47" t="str">
        <f>IF(tbResults[[#This Row],[Player1 Score]]&gt;tbResults[[#This Row],[Player2 Score]],tbResults[[#This Row],[Player1]],tbResults[[#This Row],[Player2]])</f>
        <v>spart1e</v>
      </c>
      <c r="W54" s="49" t="str">
        <f>IF(tbResults[[#This Row],[Player1 Score]]&gt;tbResults[[#This Row],[Player2 Score]],tbResults[[#This Row],[Player2]],tbResults[[#This Row],[Player1]])</f>
        <v>cnz</v>
      </c>
      <c r="X54" s="39" t="str">
        <f>IF(tbResults[[#This Row],[Winner]]=tbResults[[#This Row],[Player1]],tbResults[[#This Row],[Player1 Pick]],tbResults[[#This Row],[Player2 Pick]])</f>
        <v>Doom</v>
      </c>
      <c r="Y54" s="39" t="str">
        <f>IF(tbResults[[#This Row],[Loser]]=tbResults[[#This Row],[Player1]],tbResults[[#This Row],[Player1 Pick]],tbResults[[#This Row],[Player2 Pick]])</f>
        <v>Ranger</v>
      </c>
      <c r="Z54" s="37">
        <f>SUM(tbResults[[#This Row],[Player1 Score]],tbResults[[#This Row],[Player2 Score]])</f>
        <v>29</v>
      </c>
      <c r="AA54" s="37">
        <f>ABS(tbResults[[#This Row],[Player1 Score]]-tbResults[[#This Row],[Player2 Score]])</f>
        <v>9</v>
      </c>
      <c r="AB54" s="37">
        <f>IF(tbResults[[#This Row],[Player1 Score]]&gt;tbResults[[#This Row],[Player2 Score]],tbResults[[#This Row],[Player1 Score]],tbResults[[#This Row],[Player2 Score]])</f>
        <v>19</v>
      </c>
      <c r="AC54" s="37">
        <f>IF(tbResults[[#This Row],[Player1 Score]]&lt;tbResults[[#This Row],[Player2 Score]],tbResults[[#This Row],[Player1 Score]],tbResults[[#This Row],[Player2 Score]])</f>
        <v>10</v>
      </c>
    </row>
    <row r="55" spans="2:29" s="3" customFormat="1" ht="30" customHeight="1" x14ac:dyDescent="0.3">
      <c r="B55" s="20" t="str">
        <f>_xlfn.CONCAT(tbResults[[#This Row],[Series Title]],".",tbResults[[#This Row],[Game]])</f>
        <v>2.1.09.05.1</v>
      </c>
      <c r="C55" s="15">
        <v>2</v>
      </c>
      <c r="D55" s="15">
        <v>1</v>
      </c>
      <c r="E55" s="15">
        <v>9</v>
      </c>
      <c r="F55" s="15">
        <v>5</v>
      </c>
      <c r="G55" s="15">
        <v>1</v>
      </c>
      <c r="H55" s="19" t="str">
        <f>_xlfn.CONCAT(tbResults[[#This Row],[Season]],".",tbResults[[#This Row],[Stage]])</f>
        <v>2.1</v>
      </c>
      <c r="I55" s="19" t="str">
        <f>_xlfn.CONCAT(tbResults[[#This Row],[Season]],".",tbResults[[#This Row],[Stage]],".",TEXT(tbResults[[#This Row],[Week]],"00"))</f>
        <v>2.1.09</v>
      </c>
      <c r="J55" s="19" t="str">
        <f>_xlfn.CONCAT(tbResults[[#This Row],[Week Title]],".",TEXT(tbResults[[#This Row],[Match]],"00"))</f>
        <v>2.1.09.05</v>
      </c>
      <c r="K55" s="20" t="str">
        <f>_xlfn.CONCAT(tbResults[[#This Row],[Game Title]], " ", tbResults[[#This Row],[Player1]], " vs ", tbResults[[#This Row],[Player2]] )</f>
        <v>2.1.09.05.1 Rapha vs Nosfa</v>
      </c>
      <c r="L55" s="6" t="s">
        <v>47</v>
      </c>
      <c r="M55" s="6" t="s">
        <v>11</v>
      </c>
      <c r="N55" s="6" t="s">
        <v>23</v>
      </c>
      <c r="O55" s="6" t="s">
        <v>24</v>
      </c>
      <c r="P55" s="38" t="s">
        <v>22</v>
      </c>
      <c r="Q55" s="8">
        <v>20</v>
      </c>
      <c r="R55" s="8">
        <v>8</v>
      </c>
      <c r="S55" s="8" t="s">
        <v>81</v>
      </c>
      <c r="T55" s="16" t="s">
        <v>47</v>
      </c>
      <c r="U55" s="16" t="s">
        <v>25</v>
      </c>
      <c r="V55" s="47" t="str">
        <f>IF(tbResults[[#This Row],[Player1 Score]]&gt;tbResults[[#This Row],[Player2 Score]],tbResults[[#This Row],[Player1]],tbResults[[#This Row],[Player2]])</f>
        <v>Rapha</v>
      </c>
      <c r="W55" s="49" t="str">
        <f>IF(tbResults[[#This Row],[Player1 Score]]&gt;tbResults[[#This Row],[Player2 Score]],tbResults[[#This Row],[Player2]],tbResults[[#This Row],[Player1]])</f>
        <v>Nosfa</v>
      </c>
      <c r="X55" s="39" t="str">
        <f>IF(tbResults[[#This Row],[Winner]]=tbResults[[#This Row],[Player1]],tbResults[[#This Row],[Player1 Pick]],tbResults[[#This Row],[Player2 Pick]])</f>
        <v>Slash</v>
      </c>
      <c r="Y55" s="39" t="str">
        <f>IF(tbResults[[#This Row],[Loser]]=tbResults[[#This Row],[Player1]],tbResults[[#This Row],[Player1 Pick]],tbResults[[#This Row],[Player2 Pick]])</f>
        <v>Strogg</v>
      </c>
      <c r="Z55" s="37">
        <f>SUM(tbResults[[#This Row],[Player1 Score]],tbResults[[#This Row],[Player2 Score]])</f>
        <v>28</v>
      </c>
      <c r="AA55" s="37">
        <f>ABS(tbResults[[#This Row],[Player1 Score]]-tbResults[[#This Row],[Player2 Score]])</f>
        <v>12</v>
      </c>
      <c r="AB55" s="37">
        <f>IF(tbResults[[#This Row],[Player1 Score]]&gt;tbResults[[#This Row],[Player2 Score]],tbResults[[#This Row],[Player1 Score]],tbResults[[#This Row],[Player2 Score]])</f>
        <v>20</v>
      </c>
      <c r="AC55" s="37">
        <f>IF(tbResults[[#This Row],[Player1 Score]]&lt;tbResults[[#This Row],[Player2 Score]],tbResults[[#This Row],[Player1 Score]],tbResults[[#This Row],[Player2 Score]])</f>
        <v>8</v>
      </c>
    </row>
    <row r="56" spans="2:29" s="3" customFormat="1" ht="30" customHeight="1" x14ac:dyDescent="0.3">
      <c r="B56" s="20" t="str">
        <f>_xlfn.CONCAT(tbResults[[#This Row],[Series Title]],".",tbResults[[#This Row],[Game]])</f>
        <v>2.1.09.05.2</v>
      </c>
      <c r="C56" s="15">
        <v>2</v>
      </c>
      <c r="D56" s="15">
        <v>1</v>
      </c>
      <c r="E56" s="15">
        <v>9</v>
      </c>
      <c r="F56" s="15">
        <v>5</v>
      </c>
      <c r="G56" s="15">
        <v>2</v>
      </c>
      <c r="H56" s="19" t="str">
        <f>_xlfn.CONCAT(tbResults[[#This Row],[Season]],".",tbResults[[#This Row],[Stage]])</f>
        <v>2.1</v>
      </c>
      <c r="I56" s="19" t="str">
        <f>_xlfn.CONCAT(tbResults[[#This Row],[Season]],".",tbResults[[#This Row],[Stage]],".",TEXT(tbResults[[#This Row],[Week]],"00"))</f>
        <v>2.1.09</v>
      </c>
      <c r="J56" s="19" t="str">
        <f>_xlfn.CONCAT(tbResults[[#This Row],[Week Title]],".",TEXT(tbResults[[#This Row],[Match]],"00"))</f>
        <v>2.1.09.05</v>
      </c>
      <c r="K56" s="20" t="str">
        <f>_xlfn.CONCAT(tbResults[[#This Row],[Game Title]], " ", tbResults[[#This Row],[Player1]], " vs ", tbResults[[#This Row],[Player2]] )</f>
        <v>2.1.09.05.2 Rapha vs Nosfa</v>
      </c>
      <c r="L56" s="6" t="s">
        <v>47</v>
      </c>
      <c r="M56" s="6" t="s">
        <v>11</v>
      </c>
      <c r="N56" s="6" t="s">
        <v>32</v>
      </c>
      <c r="O56" s="6" t="s">
        <v>21</v>
      </c>
      <c r="P56" s="38" t="s">
        <v>28</v>
      </c>
      <c r="Q56" s="8">
        <v>12</v>
      </c>
      <c r="R56" s="8">
        <v>7</v>
      </c>
      <c r="S56" s="8" t="s">
        <v>81</v>
      </c>
      <c r="T56" s="16" t="s">
        <v>11</v>
      </c>
      <c r="U56" s="16" t="s">
        <v>44</v>
      </c>
      <c r="V56" s="47" t="str">
        <f>IF(tbResults[[#This Row],[Player1 Score]]&gt;tbResults[[#This Row],[Player2 Score]],tbResults[[#This Row],[Player1]],tbResults[[#This Row],[Player2]])</f>
        <v>Rapha</v>
      </c>
      <c r="W56" s="49" t="str">
        <f>IF(tbResults[[#This Row],[Player1 Score]]&gt;tbResults[[#This Row],[Player2 Score]],tbResults[[#This Row],[Player2]],tbResults[[#This Row],[Player1]])</f>
        <v>Nosfa</v>
      </c>
      <c r="X56" s="39" t="str">
        <f>IF(tbResults[[#This Row],[Winner]]=tbResults[[#This Row],[Player1]],tbResults[[#This Row],[Player1 Pick]],tbResults[[#This Row],[Player2 Pick]])</f>
        <v>Ranger</v>
      </c>
      <c r="Y56" s="39" t="str">
        <f>IF(tbResults[[#This Row],[Loser]]=tbResults[[#This Row],[Player1]],tbResults[[#This Row],[Player1 Pick]],tbResults[[#This Row],[Player2 Pick]])</f>
        <v>BJ Blazkowicz</v>
      </c>
      <c r="Z56" s="37">
        <f>SUM(tbResults[[#This Row],[Player1 Score]],tbResults[[#This Row],[Player2 Score]])</f>
        <v>19</v>
      </c>
      <c r="AA56" s="37">
        <f>ABS(tbResults[[#This Row],[Player1 Score]]-tbResults[[#This Row],[Player2 Score]])</f>
        <v>5</v>
      </c>
      <c r="AB56" s="37">
        <f>IF(tbResults[[#This Row],[Player1 Score]]&gt;tbResults[[#This Row],[Player2 Score]],tbResults[[#This Row],[Player1 Score]],tbResults[[#This Row],[Player2 Score]])</f>
        <v>12</v>
      </c>
      <c r="AC56" s="37">
        <f>IF(tbResults[[#This Row],[Player1 Score]]&lt;tbResults[[#This Row],[Player2 Score]],tbResults[[#This Row],[Player1 Score]],tbResults[[#This Row],[Player2 Score]])</f>
        <v>7</v>
      </c>
    </row>
    <row r="57" spans="2:29" s="3" customFormat="1" ht="30" customHeight="1" x14ac:dyDescent="0.3">
      <c r="B57" s="20" t="str">
        <f>_xlfn.CONCAT(tbResults[[#This Row],[Series Title]],".",tbResults[[#This Row],[Game]])</f>
        <v>2.1.09.05.3</v>
      </c>
      <c r="C57" s="15">
        <v>2</v>
      </c>
      <c r="D57" s="15">
        <v>1</v>
      </c>
      <c r="E57" s="15">
        <v>9</v>
      </c>
      <c r="F57" s="15">
        <v>5</v>
      </c>
      <c r="G57" s="15">
        <v>3</v>
      </c>
      <c r="H57" s="19" t="str">
        <f>_xlfn.CONCAT(tbResults[[#This Row],[Season]],".",tbResults[[#This Row],[Stage]])</f>
        <v>2.1</v>
      </c>
      <c r="I57" s="19" t="str">
        <f>_xlfn.CONCAT(tbResults[[#This Row],[Season]],".",tbResults[[#This Row],[Stage]],".",TEXT(tbResults[[#This Row],[Week]],"00"))</f>
        <v>2.1.09</v>
      </c>
      <c r="J57" s="19" t="str">
        <f>_xlfn.CONCAT(tbResults[[#This Row],[Week Title]],".",TEXT(tbResults[[#This Row],[Match]],"00"))</f>
        <v>2.1.09.05</v>
      </c>
      <c r="K57" s="20" t="str">
        <f>_xlfn.CONCAT(tbResults[[#This Row],[Game Title]], " ", tbResults[[#This Row],[Player1]], " vs ", tbResults[[#This Row],[Player2]] )</f>
        <v>2.1.09.05.3 Rapha vs Nosfa</v>
      </c>
      <c r="L57" s="6" t="s">
        <v>47</v>
      </c>
      <c r="M57" s="6" t="s">
        <v>11</v>
      </c>
      <c r="N57" s="6" t="s">
        <v>178</v>
      </c>
      <c r="O57" s="6" t="s">
        <v>36</v>
      </c>
      <c r="P57" s="38" t="s">
        <v>34</v>
      </c>
      <c r="Q57" s="8">
        <v>14</v>
      </c>
      <c r="R57" s="8">
        <v>5</v>
      </c>
      <c r="S57" s="8" t="s">
        <v>81</v>
      </c>
      <c r="T57" s="16" t="s">
        <v>47</v>
      </c>
      <c r="U57" s="16" t="s">
        <v>55</v>
      </c>
      <c r="V57" s="47" t="str">
        <f>IF(tbResults[[#This Row],[Player1 Score]]&gt;tbResults[[#This Row],[Player2 Score]],tbResults[[#This Row],[Player1]],tbResults[[#This Row],[Player2]])</f>
        <v>Rapha</v>
      </c>
      <c r="W57" s="49" t="str">
        <f>IF(tbResults[[#This Row],[Player1 Score]]&gt;tbResults[[#This Row],[Player2 Score]],tbResults[[#This Row],[Player2]],tbResults[[#This Row],[Player1]])</f>
        <v>Nosfa</v>
      </c>
      <c r="X57" s="39" t="str">
        <f>IF(tbResults[[#This Row],[Winner]]=tbResults[[#This Row],[Player1]],tbResults[[#This Row],[Player1 Pick]],tbResults[[#This Row],[Player2 Pick]])</f>
        <v>Visor</v>
      </c>
      <c r="Y57" s="39" t="str">
        <f>IF(tbResults[[#This Row],[Loser]]=tbResults[[#This Row],[Player1]],tbResults[[#This Row],[Player1 Pick]],tbResults[[#This Row],[Player2 Pick]])</f>
        <v>Galena</v>
      </c>
      <c r="Z57" s="37">
        <f>SUM(tbResults[[#This Row],[Player1 Score]],tbResults[[#This Row],[Player2 Score]])</f>
        <v>19</v>
      </c>
      <c r="AA57" s="37">
        <f>ABS(tbResults[[#This Row],[Player1 Score]]-tbResults[[#This Row],[Player2 Score]])</f>
        <v>9</v>
      </c>
      <c r="AB57" s="37">
        <f>IF(tbResults[[#This Row],[Player1 Score]]&gt;tbResults[[#This Row],[Player2 Score]],tbResults[[#This Row],[Player1 Score]],tbResults[[#This Row],[Player2 Score]])</f>
        <v>14</v>
      </c>
      <c r="AC57" s="37">
        <f>IF(tbResults[[#This Row],[Player1 Score]]&lt;tbResults[[#This Row],[Player2 Score]],tbResults[[#This Row],[Player1 Score]],tbResults[[#This Row],[Player2 Score]])</f>
        <v>5</v>
      </c>
    </row>
    <row r="58" spans="2:29" s="3" customFormat="1" ht="30" customHeight="1" x14ac:dyDescent="0.3">
      <c r="B58" s="20" t="str">
        <f>_xlfn.CONCAT(tbResults[[#This Row],[Series Title]],".",tbResults[[#This Row],[Game]])</f>
        <v>2.1.09.06.1</v>
      </c>
      <c r="C58" s="15">
        <v>2</v>
      </c>
      <c r="D58" s="15">
        <v>1</v>
      </c>
      <c r="E58" s="15">
        <v>9</v>
      </c>
      <c r="F58" s="15">
        <v>6</v>
      </c>
      <c r="G58" s="15">
        <v>1</v>
      </c>
      <c r="H58" s="19" t="str">
        <f>_xlfn.CONCAT(tbResults[[#This Row],[Season]],".",tbResults[[#This Row],[Stage]])</f>
        <v>2.1</v>
      </c>
      <c r="I58" s="19" t="str">
        <f>_xlfn.CONCAT(tbResults[[#This Row],[Season]],".",tbResults[[#This Row],[Stage]],".",TEXT(tbResults[[#This Row],[Week]],"00"))</f>
        <v>2.1.09</v>
      </c>
      <c r="J58" s="19" t="str">
        <f>_xlfn.CONCAT(tbResults[[#This Row],[Week Title]],".",TEXT(tbResults[[#This Row],[Match]],"00"))</f>
        <v>2.1.09.06</v>
      </c>
      <c r="K58" s="20" t="str">
        <f>_xlfn.CONCAT(tbResults[[#This Row],[Game Title]], " ", tbResults[[#This Row],[Player1]], " vs ", tbResults[[#This Row],[Player2]] )</f>
        <v>2.1.09.06.1 Cypher vs coollerz</v>
      </c>
      <c r="L58" s="6" t="s">
        <v>14</v>
      </c>
      <c r="M58" s="6" t="s">
        <v>48</v>
      </c>
      <c r="N58" s="6" t="s">
        <v>32</v>
      </c>
      <c r="O58" s="38" t="s">
        <v>25</v>
      </c>
      <c r="P58" s="38" t="s">
        <v>22</v>
      </c>
      <c r="Q58" s="8">
        <v>1</v>
      </c>
      <c r="R58" s="8">
        <v>8</v>
      </c>
      <c r="S58" s="8" t="s">
        <v>81</v>
      </c>
      <c r="T58" s="16" t="s">
        <v>14</v>
      </c>
      <c r="U58" s="16" t="s">
        <v>39</v>
      </c>
      <c r="V58" s="47" t="str">
        <f>IF(tbResults[[#This Row],[Player1 Score]]&gt;tbResults[[#This Row],[Player2 Score]],tbResults[[#This Row],[Player1]],tbResults[[#This Row],[Player2]])</f>
        <v>coollerz</v>
      </c>
      <c r="W58" s="49" t="str">
        <f>IF(tbResults[[#This Row],[Player1 Score]]&gt;tbResults[[#This Row],[Player2 Score]],tbResults[[#This Row],[Player2]],tbResults[[#This Row],[Player1]])</f>
        <v>Cypher</v>
      </c>
      <c r="X58" s="39" t="str">
        <f>IF(tbResults[[#This Row],[Winner]]=tbResults[[#This Row],[Player1]],tbResults[[#This Row],[Player1 Pick]],tbResults[[#This Row],[Player2 Pick]])</f>
        <v>Strogg</v>
      </c>
      <c r="Y58" s="39" t="str">
        <f>IF(tbResults[[#This Row],[Loser]]=tbResults[[#This Row],[Player1]],tbResults[[#This Row],[Player1 Pick]],tbResults[[#This Row],[Player2 Pick]])</f>
        <v>Sorlag</v>
      </c>
      <c r="Z58" s="37">
        <f>SUM(tbResults[[#This Row],[Player1 Score]],tbResults[[#This Row],[Player2 Score]])</f>
        <v>9</v>
      </c>
      <c r="AA58" s="37">
        <f>ABS(tbResults[[#This Row],[Player1 Score]]-tbResults[[#This Row],[Player2 Score]])</f>
        <v>7</v>
      </c>
      <c r="AB58" s="37">
        <f>IF(tbResults[[#This Row],[Player1 Score]]&gt;tbResults[[#This Row],[Player2 Score]],tbResults[[#This Row],[Player1 Score]],tbResults[[#This Row],[Player2 Score]])</f>
        <v>8</v>
      </c>
      <c r="AC58" s="37">
        <f>IF(tbResults[[#This Row],[Player1 Score]]&lt;tbResults[[#This Row],[Player2 Score]],tbResults[[#This Row],[Player1 Score]],tbResults[[#This Row],[Player2 Score]])</f>
        <v>1</v>
      </c>
    </row>
    <row r="59" spans="2:29" s="3" customFormat="1" ht="30" customHeight="1" x14ac:dyDescent="0.3">
      <c r="B59" s="20" t="str">
        <f>_xlfn.CONCAT(tbResults[[#This Row],[Series Title]],".",tbResults[[#This Row],[Game]])</f>
        <v>2.1.09.06.2</v>
      </c>
      <c r="C59" s="15">
        <v>2</v>
      </c>
      <c r="D59" s="15">
        <v>1</v>
      </c>
      <c r="E59" s="15">
        <v>9</v>
      </c>
      <c r="F59" s="15">
        <v>6</v>
      </c>
      <c r="G59" s="15">
        <v>2</v>
      </c>
      <c r="H59" s="19" t="str">
        <f>_xlfn.CONCAT(tbResults[[#This Row],[Season]],".",tbResults[[#This Row],[Stage]])</f>
        <v>2.1</v>
      </c>
      <c r="I59" s="19" t="str">
        <f>_xlfn.CONCAT(tbResults[[#This Row],[Season]],".",tbResults[[#This Row],[Stage]],".",TEXT(tbResults[[#This Row],[Week]],"00"))</f>
        <v>2.1.09</v>
      </c>
      <c r="J59" s="19" t="str">
        <f>_xlfn.CONCAT(tbResults[[#This Row],[Week Title]],".",TEXT(tbResults[[#This Row],[Match]],"00"))</f>
        <v>2.1.09.06</v>
      </c>
      <c r="K59" s="20" t="str">
        <f>_xlfn.CONCAT(tbResults[[#This Row],[Game Title]], " ", tbResults[[#This Row],[Player1]], " vs ", tbResults[[#This Row],[Player2]] )</f>
        <v>2.1.09.06.2 Cypher vs coollerz</v>
      </c>
      <c r="L59" s="6" t="s">
        <v>14</v>
      </c>
      <c r="M59" s="6" t="s">
        <v>48</v>
      </c>
      <c r="N59" s="6" t="s">
        <v>178</v>
      </c>
      <c r="O59" s="38" t="s">
        <v>35</v>
      </c>
      <c r="P59" s="38" t="s">
        <v>36</v>
      </c>
      <c r="Q59" s="8">
        <v>3</v>
      </c>
      <c r="R59" s="8">
        <v>5</v>
      </c>
      <c r="S59" s="8" t="s">
        <v>81</v>
      </c>
      <c r="T59" s="16" t="s">
        <v>48</v>
      </c>
      <c r="U59" s="16" t="s">
        <v>38</v>
      </c>
      <c r="V59" s="47" t="str">
        <f>IF(tbResults[[#This Row],[Player1 Score]]&gt;tbResults[[#This Row],[Player2 Score]],tbResults[[#This Row],[Player1]],tbResults[[#This Row],[Player2]])</f>
        <v>coollerz</v>
      </c>
      <c r="W59" s="49" t="str">
        <f>IF(tbResults[[#This Row],[Player1 Score]]&gt;tbResults[[#This Row],[Player2 Score]],tbResults[[#This Row],[Player2]],tbResults[[#This Row],[Player1]])</f>
        <v>Cypher</v>
      </c>
      <c r="X59" s="39" t="str">
        <f>IF(tbResults[[#This Row],[Winner]]=tbResults[[#This Row],[Player1]],tbResults[[#This Row],[Player1 Pick]],tbResults[[#This Row],[Player2 Pick]])</f>
        <v>Visor</v>
      </c>
      <c r="Y59" s="39" t="str">
        <f>IF(tbResults[[#This Row],[Loser]]=tbResults[[#This Row],[Player1]],tbResults[[#This Row],[Player1 Pick]],tbResults[[#This Row],[Player2 Pick]])</f>
        <v>Doom</v>
      </c>
      <c r="Z59" s="37">
        <f>SUM(tbResults[[#This Row],[Player1 Score]],tbResults[[#This Row],[Player2 Score]])</f>
        <v>8</v>
      </c>
      <c r="AA59" s="37">
        <f>ABS(tbResults[[#This Row],[Player1 Score]]-tbResults[[#This Row],[Player2 Score]])</f>
        <v>2</v>
      </c>
      <c r="AB59" s="37">
        <f>IF(tbResults[[#This Row],[Player1 Score]]&gt;tbResults[[#This Row],[Player2 Score]],tbResults[[#This Row],[Player1 Score]],tbResults[[#This Row],[Player2 Score]])</f>
        <v>5</v>
      </c>
      <c r="AC59" s="37">
        <f>IF(tbResults[[#This Row],[Player1 Score]]&lt;tbResults[[#This Row],[Player2 Score]],tbResults[[#This Row],[Player1 Score]],tbResults[[#This Row],[Player2 Score]])</f>
        <v>3</v>
      </c>
    </row>
    <row r="60" spans="2:29" s="3" customFormat="1" ht="30" customHeight="1" x14ac:dyDescent="0.3">
      <c r="B60" s="20" t="str">
        <f>_xlfn.CONCAT(tbResults[[#This Row],[Series Title]],".",tbResults[[#This Row],[Game]])</f>
        <v>2.1.09.06.3</v>
      </c>
      <c r="C60" s="15">
        <v>2</v>
      </c>
      <c r="D60" s="15">
        <v>1</v>
      </c>
      <c r="E60" s="15">
        <v>9</v>
      </c>
      <c r="F60" s="15">
        <v>6</v>
      </c>
      <c r="G60" s="15">
        <v>3</v>
      </c>
      <c r="H60" s="19" t="str">
        <f>_xlfn.CONCAT(tbResults[[#This Row],[Season]],".",tbResults[[#This Row],[Stage]])</f>
        <v>2.1</v>
      </c>
      <c r="I60" s="19" t="str">
        <f>_xlfn.CONCAT(tbResults[[#This Row],[Season]],".",tbResults[[#This Row],[Stage]],".",TEXT(tbResults[[#This Row],[Week]],"00"))</f>
        <v>2.1.09</v>
      </c>
      <c r="J60" s="19" t="str">
        <f>_xlfn.CONCAT(tbResults[[#This Row],[Week Title]],".",TEXT(tbResults[[#This Row],[Match]],"00"))</f>
        <v>2.1.09.06</v>
      </c>
      <c r="K60" s="20" t="str">
        <f>_xlfn.CONCAT(tbResults[[#This Row],[Game Title]], " ", tbResults[[#This Row],[Player1]], " vs ", tbResults[[#This Row],[Player2]] )</f>
        <v>2.1.09.06.3 Cypher vs coollerz</v>
      </c>
      <c r="L60" s="6" t="s">
        <v>14</v>
      </c>
      <c r="M60" s="6" t="s">
        <v>48</v>
      </c>
      <c r="N60" s="6" t="s">
        <v>26</v>
      </c>
      <c r="O60" s="38" t="s">
        <v>37</v>
      </c>
      <c r="P60" s="38" t="s">
        <v>34</v>
      </c>
      <c r="Q60" s="8">
        <v>1</v>
      </c>
      <c r="R60" s="8">
        <v>3</v>
      </c>
      <c r="S60" s="8" t="s">
        <v>81</v>
      </c>
      <c r="T60" s="16" t="s">
        <v>14</v>
      </c>
      <c r="U60" s="16" t="s">
        <v>27</v>
      </c>
      <c r="V60" s="47" t="str">
        <f>IF(tbResults[[#This Row],[Player1 Score]]&gt;tbResults[[#This Row],[Player2 Score]],tbResults[[#This Row],[Player1]],tbResults[[#This Row],[Player2]])</f>
        <v>coollerz</v>
      </c>
      <c r="W60" s="49" t="str">
        <f>IF(tbResults[[#This Row],[Player1 Score]]&gt;tbResults[[#This Row],[Player2 Score]],tbResults[[#This Row],[Player2]],tbResults[[#This Row],[Player1]])</f>
        <v>Cypher</v>
      </c>
      <c r="X60" s="39" t="str">
        <f>IF(tbResults[[#This Row],[Winner]]=tbResults[[#This Row],[Player1]],tbResults[[#This Row],[Player1 Pick]],tbResults[[#This Row],[Player2 Pick]])</f>
        <v>Galena</v>
      </c>
      <c r="Y60" s="39" t="str">
        <f>IF(tbResults[[#This Row],[Loser]]=tbResults[[#This Row],[Player1]],tbResults[[#This Row],[Player1 Pick]],tbResults[[#This Row],[Player2 Pick]])</f>
        <v>Eisen</v>
      </c>
      <c r="Z60" s="37">
        <f>SUM(tbResults[[#This Row],[Player1 Score]],tbResults[[#This Row],[Player2 Score]])</f>
        <v>4</v>
      </c>
      <c r="AA60" s="37">
        <f>ABS(tbResults[[#This Row],[Player1 Score]]-tbResults[[#This Row],[Player2 Score]])</f>
        <v>2</v>
      </c>
      <c r="AB60" s="37">
        <f>IF(tbResults[[#This Row],[Player1 Score]]&gt;tbResults[[#This Row],[Player2 Score]],tbResults[[#This Row],[Player1 Score]],tbResults[[#This Row],[Player2 Score]])</f>
        <v>3</v>
      </c>
      <c r="AC60" s="37">
        <f>IF(tbResults[[#This Row],[Player1 Score]]&lt;tbResults[[#This Row],[Player2 Score]],tbResults[[#This Row],[Player1 Score]],tbResults[[#This Row],[Player2 Score]])</f>
        <v>1</v>
      </c>
    </row>
    <row r="61" spans="2:29" s="3" customFormat="1" ht="30" customHeight="1" x14ac:dyDescent="0.3">
      <c r="B61" s="20" t="str">
        <f>_xlfn.CONCAT(tbResults[[#This Row],[Series Title]],".",tbResults[[#This Row],[Game]])</f>
        <v>2.1.09.07.1</v>
      </c>
      <c r="C61" s="15">
        <v>2</v>
      </c>
      <c r="D61" s="15">
        <v>1</v>
      </c>
      <c r="E61" s="15">
        <v>9</v>
      </c>
      <c r="F61" s="15">
        <v>7</v>
      </c>
      <c r="G61" s="15">
        <v>1</v>
      </c>
      <c r="H61" s="19" t="str">
        <f>_xlfn.CONCAT(tbResults[[#This Row],[Season]],".",tbResults[[#This Row],[Stage]])</f>
        <v>2.1</v>
      </c>
      <c r="I61" s="19" t="str">
        <f>_xlfn.CONCAT(tbResults[[#This Row],[Season]],".",tbResults[[#This Row],[Stage]],".",TEXT(tbResults[[#This Row],[Week]],"00"))</f>
        <v>2.1.09</v>
      </c>
      <c r="J61" s="19" t="str">
        <f>_xlfn.CONCAT(tbResults[[#This Row],[Week Title]],".",TEXT(tbResults[[#This Row],[Match]],"00"))</f>
        <v>2.1.09.07</v>
      </c>
      <c r="K61" s="20" t="str">
        <f>_xlfn.CONCAT(tbResults[[#This Row],[Game Title]], " ", tbResults[[#This Row],[Player1]], " vs ", tbResults[[#This Row],[Player2]] )</f>
        <v>2.1.09.07.1 DaHanG vs cha1n</v>
      </c>
      <c r="L61" s="6" t="s">
        <v>42</v>
      </c>
      <c r="M61" s="6" t="s">
        <v>53</v>
      </c>
      <c r="N61" s="6" t="s">
        <v>178</v>
      </c>
      <c r="O61" s="6" t="s">
        <v>24</v>
      </c>
      <c r="P61" s="38" t="s">
        <v>39</v>
      </c>
      <c r="Q61" s="8">
        <v>3</v>
      </c>
      <c r="R61" s="8">
        <v>13</v>
      </c>
      <c r="S61" s="8" t="s">
        <v>81</v>
      </c>
      <c r="T61" s="16" t="s">
        <v>53</v>
      </c>
      <c r="U61" s="16" t="s">
        <v>55</v>
      </c>
      <c r="V61" s="47" t="str">
        <f>IF(tbResults[[#This Row],[Player1 Score]]&gt;tbResults[[#This Row],[Player2 Score]],tbResults[[#This Row],[Player1]],tbResults[[#This Row],[Player2]])</f>
        <v>cha1n</v>
      </c>
      <c r="W61" s="49" t="str">
        <f>IF(tbResults[[#This Row],[Player1 Score]]&gt;tbResults[[#This Row],[Player2 Score]],tbResults[[#This Row],[Player2]],tbResults[[#This Row],[Player1]])</f>
        <v>DaHanG</v>
      </c>
      <c r="X61" s="39" t="str">
        <f>IF(tbResults[[#This Row],[Winner]]=tbResults[[#This Row],[Player1]],tbResults[[#This Row],[Player1 Pick]],tbResults[[#This Row],[Player2 Pick]])</f>
        <v>Anarki</v>
      </c>
      <c r="Y61" s="39" t="str">
        <f>IF(tbResults[[#This Row],[Loser]]=tbResults[[#This Row],[Player1]],tbResults[[#This Row],[Player1 Pick]],tbResults[[#This Row],[Player2 Pick]])</f>
        <v>Slash</v>
      </c>
      <c r="Z61" s="37">
        <f>SUM(tbResults[[#This Row],[Player1 Score]],tbResults[[#This Row],[Player2 Score]])</f>
        <v>16</v>
      </c>
      <c r="AA61" s="37">
        <f>ABS(tbResults[[#This Row],[Player1 Score]]-tbResults[[#This Row],[Player2 Score]])</f>
        <v>10</v>
      </c>
      <c r="AB61" s="37">
        <f>IF(tbResults[[#This Row],[Player1 Score]]&gt;tbResults[[#This Row],[Player2 Score]],tbResults[[#This Row],[Player1 Score]],tbResults[[#This Row],[Player2 Score]])</f>
        <v>13</v>
      </c>
      <c r="AC61" s="37">
        <f>IF(tbResults[[#This Row],[Player1 Score]]&lt;tbResults[[#This Row],[Player2 Score]],tbResults[[#This Row],[Player1 Score]],tbResults[[#This Row],[Player2 Score]])</f>
        <v>3</v>
      </c>
    </row>
    <row r="62" spans="2:29" s="3" customFormat="1" ht="30" customHeight="1" x14ac:dyDescent="0.3">
      <c r="B62" s="20" t="str">
        <f>_xlfn.CONCAT(tbResults[[#This Row],[Series Title]],".",tbResults[[#This Row],[Game]])</f>
        <v>2.1.09.07.2</v>
      </c>
      <c r="C62" s="15">
        <v>2</v>
      </c>
      <c r="D62" s="15">
        <v>1</v>
      </c>
      <c r="E62" s="15">
        <v>9</v>
      </c>
      <c r="F62" s="15">
        <v>7</v>
      </c>
      <c r="G62" s="15">
        <v>2</v>
      </c>
      <c r="H62" s="19" t="str">
        <f>_xlfn.CONCAT(tbResults[[#This Row],[Season]],".",tbResults[[#This Row],[Stage]])</f>
        <v>2.1</v>
      </c>
      <c r="I62" s="19" t="str">
        <f>_xlfn.CONCAT(tbResults[[#This Row],[Season]],".",tbResults[[#This Row],[Stage]],".",TEXT(tbResults[[#This Row],[Week]],"00"))</f>
        <v>2.1.09</v>
      </c>
      <c r="J62" s="19" t="str">
        <f>_xlfn.CONCAT(tbResults[[#This Row],[Week Title]],".",TEXT(tbResults[[#This Row],[Match]],"00"))</f>
        <v>2.1.09.07</v>
      </c>
      <c r="K62" s="20" t="str">
        <f>_xlfn.CONCAT(tbResults[[#This Row],[Game Title]], " ", tbResults[[#This Row],[Player1]], " vs ", tbResults[[#This Row],[Player2]] )</f>
        <v>2.1.09.07.2 DaHanG vs cha1n</v>
      </c>
      <c r="L62" s="6" t="s">
        <v>42</v>
      </c>
      <c r="M62" s="6" t="s">
        <v>53</v>
      </c>
      <c r="N62" s="6" t="s">
        <v>19</v>
      </c>
      <c r="O62" s="6" t="s">
        <v>22</v>
      </c>
      <c r="P62" s="38" t="s">
        <v>35</v>
      </c>
      <c r="Q62" s="8">
        <v>7</v>
      </c>
      <c r="R62" s="8">
        <v>13</v>
      </c>
      <c r="S62" s="8" t="s">
        <v>81</v>
      </c>
      <c r="T62" s="16" t="s">
        <v>42</v>
      </c>
      <c r="U62" s="16" t="s">
        <v>21</v>
      </c>
      <c r="V62" s="47" t="str">
        <f>IF(tbResults[[#This Row],[Player1 Score]]&gt;tbResults[[#This Row],[Player2 Score]],tbResults[[#This Row],[Player1]],tbResults[[#This Row],[Player2]])</f>
        <v>cha1n</v>
      </c>
      <c r="W62" s="49" t="str">
        <f>IF(tbResults[[#This Row],[Player1 Score]]&gt;tbResults[[#This Row],[Player2 Score]],tbResults[[#This Row],[Player2]],tbResults[[#This Row],[Player1]])</f>
        <v>DaHanG</v>
      </c>
      <c r="X62" s="39" t="str">
        <f>IF(tbResults[[#This Row],[Winner]]=tbResults[[#This Row],[Player1]],tbResults[[#This Row],[Player1 Pick]],tbResults[[#This Row],[Player2 Pick]])</f>
        <v>Doom</v>
      </c>
      <c r="Y62" s="39" t="str">
        <f>IF(tbResults[[#This Row],[Loser]]=tbResults[[#This Row],[Player1]],tbResults[[#This Row],[Player1 Pick]],tbResults[[#This Row],[Player2 Pick]])</f>
        <v>Strogg</v>
      </c>
      <c r="Z62" s="37">
        <f>SUM(tbResults[[#This Row],[Player1 Score]],tbResults[[#This Row],[Player2 Score]])</f>
        <v>20</v>
      </c>
      <c r="AA62" s="37">
        <f>ABS(tbResults[[#This Row],[Player1 Score]]-tbResults[[#This Row],[Player2 Score]])</f>
        <v>6</v>
      </c>
      <c r="AB62" s="37">
        <f>IF(tbResults[[#This Row],[Player1 Score]]&gt;tbResults[[#This Row],[Player2 Score]],tbResults[[#This Row],[Player1 Score]],tbResults[[#This Row],[Player2 Score]])</f>
        <v>13</v>
      </c>
      <c r="AC62" s="37">
        <f>IF(tbResults[[#This Row],[Player1 Score]]&lt;tbResults[[#This Row],[Player2 Score]],tbResults[[#This Row],[Player1 Score]],tbResults[[#This Row],[Player2 Score]])</f>
        <v>7</v>
      </c>
    </row>
    <row r="63" spans="2:29" s="3" customFormat="1" ht="30" customHeight="1" x14ac:dyDescent="0.3">
      <c r="B63" s="20" t="str">
        <f>_xlfn.CONCAT(tbResults[[#This Row],[Series Title]],".",tbResults[[#This Row],[Game]])</f>
        <v>2.1.09.07.3</v>
      </c>
      <c r="C63" s="15">
        <v>2</v>
      </c>
      <c r="D63" s="15">
        <v>1</v>
      </c>
      <c r="E63" s="15">
        <v>9</v>
      </c>
      <c r="F63" s="15">
        <v>7</v>
      </c>
      <c r="G63" s="15">
        <v>3</v>
      </c>
      <c r="H63" s="19" t="str">
        <f>_xlfn.CONCAT(tbResults[[#This Row],[Season]],".",tbResults[[#This Row],[Stage]])</f>
        <v>2.1</v>
      </c>
      <c r="I63" s="19" t="str">
        <f>_xlfn.CONCAT(tbResults[[#This Row],[Season]],".",tbResults[[#This Row],[Stage]],".",TEXT(tbResults[[#This Row],[Week]],"00"))</f>
        <v>2.1.09</v>
      </c>
      <c r="J63" s="19" t="str">
        <f>_xlfn.CONCAT(tbResults[[#This Row],[Week Title]],".",TEXT(tbResults[[#This Row],[Match]],"00"))</f>
        <v>2.1.09.07</v>
      </c>
      <c r="K63" s="20" t="str">
        <f>_xlfn.CONCAT(tbResults[[#This Row],[Game Title]], " ", tbResults[[#This Row],[Player1]], " vs ", tbResults[[#This Row],[Player2]] )</f>
        <v>2.1.09.07.3 DaHanG vs cha1n</v>
      </c>
      <c r="L63" s="6" t="s">
        <v>42</v>
      </c>
      <c r="M63" s="6" t="s">
        <v>53</v>
      </c>
      <c r="N63" s="6" t="s">
        <v>40</v>
      </c>
      <c r="O63" s="6" t="s">
        <v>27</v>
      </c>
      <c r="P63" s="38" t="s">
        <v>37</v>
      </c>
      <c r="Q63" s="8">
        <v>8</v>
      </c>
      <c r="R63" s="8">
        <v>7</v>
      </c>
      <c r="S63" s="8" t="s">
        <v>81</v>
      </c>
      <c r="T63" s="16" t="s">
        <v>53</v>
      </c>
      <c r="U63" s="16" t="s">
        <v>25</v>
      </c>
      <c r="V63" s="47" t="str">
        <f>IF(tbResults[[#This Row],[Player1 Score]]&gt;tbResults[[#This Row],[Player2 Score]],tbResults[[#This Row],[Player1]],tbResults[[#This Row],[Player2]])</f>
        <v>DaHanG</v>
      </c>
      <c r="W63" s="49" t="str">
        <f>IF(tbResults[[#This Row],[Player1 Score]]&gt;tbResults[[#This Row],[Player2 Score]],tbResults[[#This Row],[Player2]],tbResults[[#This Row],[Player1]])</f>
        <v>cha1n</v>
      </c>
      <c r="X63" s="39" t="str">
        <f>IF(tbResults[[#This Row],[Winner]]=tbResults[[#This Row],[Player1]],tbResults[[#This Row],[Player1 Pick]],tbResults[[#This Row],[Player2 Pick]])</f>
        <v>Keel</v>
      </c>
      <c r="Y63" s="39" t="str">
        <f>IF(tbResults[[#This Row],[Loser]]=tbResults[[#This Row],[Player1]],tbResults[[#This Row],[Player1 Pick]],tbResults[[#This Row],[Player2 Pick]])</f>
        <v>Eisen</v>
      </c>
      <c r="Z63" s="37">
        <f>SUM(tbResults[[#This Row],[Player1 Score]],tbResults[[#This Row],[Player2 Score]])</f>
        <v>15</v>
      </c>
      <c r="AA63" s="37">
        <f>ABS(tbResults[[#This Row],[Player1 Score]]-tbResults[[#This Row],[Player2 Score]])</f>
        <v>1</v>
      </c>
      <c r="AB63" s="37">
        <f>IF(tbResults[[#This Row],[Player1 Score]]&gt;tbResults[[#This Row],[Player2 Score]],tbResults[[#This Row],[Player1 Score]],tbResults[[#This Row],[Player2 Score]])</f>
        <v>8</v>
      </c>
      <c r="AC63" s="37">
        <f>IF(tbResults[[#This Row],[Player1 Score]]&lt;tbResults[[#This Row],[Player2 Score]],tbResults[[#This Row],[Player1 Score]],tbResults[[#This Row],[Player2 Score]])</f>
        <v>7</v>
      </c>
    </row>
    <row r="64" spans="2:29" s="3" customFormat="1" ht="30" customHeight="1" x14ac:dyDescent="0.3">
      <c r="B64" s="20" t="str">
        <f>_xlfn.CONCAT(tbResults[[#This Row],[Series Title]],".",tbResults[[#This Row],[Game]])</f>
        <v>2.1.10.01.1</v>
      </c>
      <c r="C64" s="15">
        <v>2</v>
      </c>
      <c r="D64" s="15">
        <v>1</v>
      </c>
      <c r="E64" s="15">
        <v>10</v>
      </c>
      <c r="F64" s="15">
        <v>1</v>
      </c>
      <c r="G64" s="15">
        <v>1</v>
      </c>
      <c r="H64" s="19" t="str">
        <f>_xlfn.CONCAT(tbResults[[#This Row],[Season]],".",tbResults[[#This Row],[Stage]])</f>
        <v>2.1</v>
      </c>
      <c r="I64" s="19" t="str">
        <f>_xlfn.CONCAT(tbResults[[#This Row],[Season]],".",tbResults[[#This Row],[Stage]],".",TEXT(tbResults[[#This Row],[Week]],"00"))</f>
        <v>2.1.10</v>
      </c>
      <c r="J64" s="19" t="str">
        <f>_xlfn.CONCAT(tbResults[[#This Row],[Week Title]],".",TEXT(tbResults[[#This Row],[Match]],"00"))</f>
        <v>2.1.10.01</v>
      </c>
      <c r="K64" s="20" t="str">
        <f>_xlfn.CONCAT(tbResults[[#This Row],[Game Title]], " ", tbResults[[#This Row],[Player1]], " vs ", tbResults[[#This Row],[Player2]] )</f>
        <v>2.1.10.01.1 spart1e vs Base</v>
      </c>
      <c r="L64" s="6" t="s">
        <v>50</v>
      </c>
      <c r="M64" s="6" t="s">
        <v>51</v>
      </c>
      <c r="N64" s="6" t="s">
        <v>32</v>
      </c>
      <c r="O64" s="6" t="s">
        <v>39</v>
      </c>
      <c r="P64" s="6" t="s">
        <v>34</v>
      </c>
      <c r="Q64" s="8">
        <v>15</v>
      </c>
      <c r="R64" s="8">
        <v>8</v>
      </c>
      <c r="S64" s="8" t="s">
        <v>81</v>
      </c>
      <c r="T64" s="16" t="s">
        <v>51</v>
      </c>
      <c r="U64" s="16" t="s">
        <v>37</v>
      </c>
      <c r="V64" s="46" t="str">
        <f>IF(tbResults[[#This Row],[Player1 Score]]&gt;tbResults[[#This Row],[Player2 Score]],tbResults[[#This Row],[Player1]],tbResults[[#This Row],[Player2]])</f>
        <v>spart1e</v>
      </c>
      <c r="W64" s="48" t="str">
        <f>IF(tbResults[[#This Row],[Player1 Score]]&gt;tbResults[[#This Row],[Player2 Score]],tbResults[[#This Row],[Player2]],tbResults[[#This Row],[Player1]])</f>
        <v>Base</v>
      </c>
      <c r="X64" s="11" t="str">
        <f>IF(tbResults[[#This Row],[Winner]]=tbResults[[#This Row],[Player1]],tbResults[[#This Row],[Player1 Pick]],tbResults[[#This Row],[Player2 Pick]])</f>
        <v>Anarki</v>
      </c>
      <c r="Y64" s="11" t="str">
        <f>IF(tbResults[[#This Row],[Loser]]=tbResults[[#This Row],[Player1]],tbResults[[#This Row],[Player1 Pick]],tbResults[[#This Row],[Player2 Pick]])</f>
        <v>Galena</v>
      </c>
      <c r="Z64" s="32">
        <f>SUM(tbResults[[#This Row],[Player1 Score]],tbResults[[#This Row],[Player2 Score]])</f>
        <v>23</v>
      </c>
      <c r="AA64" s="32">
        <f>ABS(tbResults[[#This Row],[Player1 Score]]-tbResults[[#This Row],[Player2 Score]])</f>
        <v>7</v>
      </c>
      <c r="AB64" s="37">
        <f>IF(tbResults[[#This Row],[Player1 Score]]&gt;tbResults[[#This Row],[Player2 Score]],tbResults[[#This Row],[Player1 Score]],tbResults[[#This Row],[Player2 Score]])</f>
        <v>15</v>
      </c>
      <c r="AC64" s="37">
        <f>IF(tbResults[[#This Row],[Player1 Score]]&lt;tbResults[[#This Row],[Player2 Score]],tbResults[[#This Row],[Player1 Score]],tbResults[[#This Row],[Player2 Score]])</f>
        <v>8</v>
      </c>
    </row>
    <row r="65" spans="2:29" s="3" customFormat="1" ht="30" customHeight="1" x14ac:dyDescent="0.3">
      <c r="B65" s="20" t="str">
        <f>_xlfn.CONCAT(tbResults[[#This Row],[Series Title]],".",tbResults[[#This Row],[Game]])</f>
        <v>2.1.10.01.2</v>
      </c>
      <c r="C65" s="15">
        <v>2</v>
      </c>
      <c r="D65" s="15">
        <v>1</v>
      </c>
      <c r="E65" s="15">
        <v>10</v>
      </c>
      <c r="F65" s="15">
        <v>1</v>
      </c>
      <c r="G65" s="15">
        <v>2</v>
      </c>
      <c r="H65" s="19" t="str">
        <f>_xlfn.CONCAT(tbResults[[#This Row],[Season]],".",tbResults[[#This Row],[Stage]])</f>
        <v>2.1</v>
      </c>
      <c r="I65" s="19" t="str">
        <f>_xlfn.CONCAT(tbResults[[#This Row],[Season]],".",tbResults[[#This Row],[Stage]],".",TEXT(tbResults[[#This Row],[Week]],"00"))</f>
        <v>2.1.10</v>
      </c>
      <c r="J65" s="19" t="str">
        <f>_xlfn.CONCAT(tbResults[[#This Row],[Week Title]],".",TEXT(tbResults[[#This Row],[Match]],"00"))</f>
        <v>2.1.10.01</v>
      </c>
      <c r="K65" s="20" t="str">
        <f>_xlfn.CONCAT(tbResults[[#This Row],[Game Title]], " ", tbResults[[#This Row],[Player1]], " vs ", tbResults[[#This Row],[Player2]] )</f>
        <v>2.1.10.01.2 spart1e vs Base</v>
      </c>
      <c r="L65" s="6" t="s">
        <v>50</v>
      </c>
      <c r="M65" s="6" t="s">
        <v>51</v>
      </c>
      <c r="N65" s="6" t="s">
        <v>26</v>
      </c>
      <c r="O65" s="6" t="s">
        <v>36</v>
      </c>
      <c r="P65" s="6" t="s">
        <v>28</v>
      </c>
      <c r="Q65" s="8">
        <v>4</v>
      </c>
      <c r="R65" s="8">
        <v>9</v>
      </c>
      <c r="S65" s="8" t="s">
        <v>81</v>
      </c>
      <c r="T65" s="16" t="s">
        <v>50</v>
      </c>
      <c r="U65" s="16" t="s">
        <v>25</v>
      </c>
      <c r="V65" s="46" t="str">
        <f>IF(tbResults[[#This Row],[Player1 Score]]&gt;tbResults[[#This Row],[Player2 Score]],tbResults[[#This Row],[Player1]],tbResults[[#This Row],[Player2]])</f>
        <v>Base</v>
      </c>
      <c r="W65" s="48" t="str">
        <f>IF(tbResults[[#This Row],[Player1 Score]]&gt;tbResults[[#This Row],[Player2 Score]],tbResults[[#This Row],[Player2]],tbResults[[#This Row],[Player1]])</f>
        <v>spart1e</v>
      </c>
      <c r="X65" s="11" t="str">
        <f>IF(tbResults[[#This Row],[Winner]]=tbResults[[#This Row],[Player1]],tbResults[[#This Row],[Player1 Pick]],tbResults[[#This Row],[Player2 Pick]])</f>
        <v>BJ Blazkowicz</v>
      </c>
      <c r="Y65" s="11" t="str">
        <f>IF(tbResults[[#This Row],[Loser]]=tbResults[[#This Row],[Player1]],tbResults[[#This Row],[Player1 Pick]],tbResults[[#This Row],[Player2 Pick]])</f>
        <v>Visor</v>
      </c>
      <c r="Z65" s="32">
        <f>SUM(tbResults[[#This Row],[Player1 Score]],tbResults[[#This Row],[Player2 Score]])</f>
        <v>13</v>
      </c>
      <c r="AA65" s="32">
        <f>ABS(tbResults[[#This Row],[Player1 Score]]-tbResults[[#This Row],[Player2 Score]])</f>
        <v>5</v>
      </c>
      <c r="AB65" s="37">
        <f>IF(tbResults[[#This Row],[Player1 Score]]&gt;tbResults[[#This Row],[Player2 Score]],tbResults[[#This Row],[Player1 Score]],tbResults[[#This Row],[Player2 Score]])</f>
        <v>9</v>
      </c>
      <c r="AC65" s="37">
        <f>IF(tbResults[[#This Row],[Player1 Score]]&lt;tbResults[[#This Row],[Player2 Score]],tbResults[[#This Row],[Player1 Score]],tbResults[[#This Row],[Player2 Score]])</f>
        <v>4</v>
      </c>
    </row>
    <row r="66" spans="2:29" s="3" customFormat="1" ht="30" customHeight="1" x14ac:dyDescent="0.3">
      <c r="B66" s="20" t="str">
        <f>_xlfn.CONCAT(tbResults[[#This Row],[Series Title]],".",tbResults[[#This Row],[Game]])</f>
        <v>2.1.10.01.3</v>
      </c>
      <c r="C66" s="15">
        <v>2</v>
      </c>
      <c r="D66" s="15">
        <v>1</v>
      </c>
      <c r="E66" s="15">
        <v>10</v>
      </c>
      <c r="F66" s="15">
        <v>1</v>
      </c>
      <c r="G66" s="15">
        <v>3</v>
      </c>
      <c r="H66" s="19" t="str">
        <f>_xlfn.CONCAT(tbResults[[#This Row],[Season]],".",tbResults[[#This Row],[Stage]])</f>
        <v>2.1</v>
      </c>
      <c r="I66" s="19" t="str">
        <f>_xlfn.CONCAT(tbResults[[#This Row],[Season]],".",tbResults[[#This Row],[Stage]],".",TEXT(tbResults[[#This Row],[Week]],"00"))</f>
        <v>2.1.10</v>
      </c>
      <c r="J66" s="19" t="str">
        <f>_xlfn.CONCAT(tbResults[[#This Row],[Week Title]],".",TEXT(tbResults[[#This Row],[Match]],"00"))</f>
        <v>2.1.10.01</v>
      </c>
      <c r="K66" s="20" t="str">
        <f>_xlfn.CONCAT(tbResults[[#This Row],[Game Title]], " ", tbResults[[#This Row],[Player1]], " vs ", tbResults[[#This Row],[Player2]] )</f>
        <v>2.1.10.01.3 spart1e vs Base</v>
      </c>
      <c r="L66" s="6" t="s">
        <v>50</v>
      </c>
      <c r="M66" s="6" t="s">
        <v>51</v>
      </c>
      <c r="N66" s="6" t="s">
        <v>19</v>
      </c>
      <c r="O66" s="6" t="s">
        <v>22</v>
      </c>
      <c r="P66" s="6" t="s">
        <v>35</v>
      </c>
      <c r="Q66" s="8">
        <v>5</v>
      </c>
      <c r="R66" s="8">
        <v>18</v>
      </c>
      <c r="S66" s="8" t="s">
        <v>81</v>
      </c>
      <c r="T66" s="16" t="s">
        <v>51</v>
      </c>
      <c r="U66" s="16" t="s">
        <v>92</v>
      </c>
      <c r="V66" s="46" t="str">
        <f>IF(tbResults[[#This Row],[Player1 Score]]&gt;tbResults[[#This Row],[Player2 Score]],tbResults[[#This Row],[Player1]],tbResults[[#This Row],[Player2]])</f>
        <v>Base</v>
      </c>
      <c r="W66" s="48" t="str">
        <f>IF(tbResults[[#This Row],[Player1 Score]]&gt;tbResults[[#This Row],[Player2 Score]],tbResults[[#This Row],[Player2]],tbResults[[#This Row],[Player1]])</f>
        <v>spart1e</v>
      </c>
      <c r="X66" s="11" t="str">
        <f>IF(tbResults[[#This Row],[Winner]]=tbResults[[#This Row],[Player1]],tbResults[[#This Row],[Player1 Pick]],tbResults[[#This Row],[Player2 Pick]])</f>
        <v>Doom</v>
      </c>
      <c r="Y66" s="11" t="str">
        <f>IF(tbResults[[#This Row],[Loser]]=tbResults[[#This Row],[Player1]],tbResults[[#This Row],[Player1 Pick]],tbResults[[#This Row],[Player2 Pick]])</f>
        <v>Strogg</v>
      </c>
      <c r="Z66" s="32">
        <f>SUM(tbResults[[#This Row],[Player1 Score]],tbResults[[#This Row],[Player2 Score]])</f>
        <v>23</v>
      </c>
      <c r="AA66" s="32">
        <f>ABS(tbResults[[#This Row],[Player1 Score]]-tbResults[[#This Row],[Player2 Score]])</f>
        <v>13</v>
      </c>
      <c r="AB66" s="37">
        <f>IF(tbResults[[#This Row],[Player1 Score]]&gt;tbResults[[#This Row],[Player2 Score]],tbResults[[#This Row],[Player1 Score]],tbResults[[#This Row],[Player2 Score]])</f>
        <v>18</v>
      </c>
      <c r="AC66" s="37">
        <f>IF(tbResults[[#This Row],[Player1 Score]]&lt;tbResults[[#This Row],[Player2 Score]],tbResults[[#This Row],[Player1 Score]],tbResults[[#This Row],[Player2 Score]])</f>
        <v>5</v>
      </c>
    </row>
    <row r="67" spans="2:29" s="3" customFormat="1" ht="30" customHeight="1" x14ac:dyDescent="0.3">
      <c r="B67" s="20" t="str">
        <f>_xlfn.CONCAT(tbResults[[#This Row],[Series Title]],".",tbResults[[#This Row],[Game]])</f>
        <v>2.1.10.02.1</v>
      </c>
      <c r="C67" s="15">
        <v>2</v>
      </c>
      <c r="D67" s="15">
        <v>1</v>
      </c>
      <c r="E67" s="15">
        <v>10</v>
      </c>
      <c r="F67" s="15">
        <v>2</v>
      </c>
      <c r="G67" s="15">
        <v>1</v>
      </c>
      <c r="H67" s="19" t="str">
        <f>_xlfn.CONCAT(tbResults[[#This Row],[Season]],".",tbResults[[#This Row],[Stage]])</f>
        <v>2.1</v>
      </c>
      <c r="I67" s="19" t="str">
        <f>_xlfn.CONCAT(tbResults[[#This Row],[Season]],".",tbResults[[#This Row],[Stage]],".",TEXT(tbResults[[#This Row],[Week]],"00"))</f>
        <v>2.1.10</v>
      </c>
      <c r="J67" s="19" t="str">
        <f>_xlfn.CONCAT(tbResults[[#This Row],[Week Title]],".",TEXT(tbResults[[#This Row],[Match]],"00"))</f>
        <v>2.1.10.02</v>
      </c>
      <c r="K67" s="20" t="str">
        <f>_xlfn.CONCAT(tbResults[[#This Row],[Game Title]], " ", tbResults[[#This Row],[Player1]], " vs ", tbResults[[#This Row],[Player2]] )</f>
        <v>2.1.10.02.1 Effortless vs dooi</v>
      </c>
      <c r="L67" s="6" t="s">
        <v>6</v>
      </c>
      <c r="M67" s="6" t="s">
        <v>5</v>
      </c>
      <c r="N67" s="6" t="s">
        <v>23</v>
      </c>
      <c r="O67" s="6" t="s">
        <v>34</v>
      </c>
      <c r="P67" s="6" t="s">
        <v>25</v>
      </c>
      <c r="Q67" s="8">
        <v>3</v>
      </c>
      <c r="R67" s="8">
        <v>6</v>
      </c>
      <c r="S67" s="8" t="s">
        <v>81</v>
      </c>
      <c r="T67" s="16" t="s">
        <v>5</v>
      </c>
      <c r="U67" s="16" t="s">
        <v>44</v>
      </c>
      <c r="V67" s="46" t="str">
        <f>IF(tbResults[[#This Row],[Player1 Score]]&gt;tbResults[[#This Row],[Player2 Score]],tbResults[[#This Row],[Player1]],tbResults[[#This Row],[Player2]])</f>
        <v>dooi</v>
      </c>
      <c r="W67" s="48" t="str">
        <f>IF(tbResults[[#This Row],[Player1 Score]]&gt;tbResults[[#This Row],[Player2 Score]],tbResults[[#This Row],[Player2]],tbResults[[#This Row],[Player1]])</f>
        <v>Effortless</v>
      </c>
      <c r="X67" s="11" t="str">
        <f>IF(tbResults[[#This Row],[Winner]]=tbResults[[#This Row],[Player1]],tbResults[[#This Row],[Player1 Pick]],tbResults[[#This Row],[Player2 Pick]])</f>
        <v>Sorlag</v>
      </c>
      <c r="Y67" s="11" t="str">
        <f>IF(tbResults[[#This Row],[Loser]]=tbResults[[#This Row],[Player1]],tbResults[[#This Row],[Player1 Pick]],tbResults[[#This Row],[Player2 Pick]])</f>
        <v>Galena</v>
      </c>
      <c r="Z67" s="32">
        <f>SUM(tbResults[[#This Row],[Player1 Score]],tbResults[[#This Row],[Player2 Score]])</f>
        <v>9</v>
      </c>
      <c r="AA67" s="32">
        <f>ABS(tbResults[[#This Row],[Player1 Score]]-tbResults[[#This Row],[Player2 Score]])</f>
        <v>3</v>
      </c>
      <c r="AB67" s="37">
        <f>IF(tbResults[[#This Row],[Player1 Score]]&gt;tbResults[[#This Row],[Player2 Score]],tbResults[[#This Row],[Player1 Score]],tbResults[[#This Row],[Player2 Score]])</f>
        <v>6</v>
      </c>
      <c r="AC67" s="37">
        <f>IF(tbResults[[#This Row],[Player1 Score]]&lt;tbResults[[#This Row],[Player2 Score]],tbResults[[#This Row],[Player1 Score]],tbResults[[#This Row],[Player2 Score]])</f>
        <v>3</v>
      </c>
    </row>
    <row r="68" spans="2:29" s="3" customFormat="1" ht="30" customHeight="1" x14ac:dyDescent="0.3">
      <c r="B68" s="20" t="str">
        <f>_xlfn.CONCAT(tbResults[[#This Row],[Series Title]],".",tbResults[[#This Row],[Game]])</f>
        <v>2.1.10.02.2</v>
      </c>
      <c r="C68" s="15">
        <v>2</v>
      </c>
      <c r="D68" s="15">
        <v>1</v>
      </c>
      <c r="E68" s="15">
        <v>10</v>
      </c>
      <c r="F68" s="15">
        <v>2</v>
      </c>
      <c r="G68" s="15">
        <v>2</v>
      </c>
      <c r="H68" s="19" t="str">
        <f>_xlfn.CONCAT(tbResults[[#This Row],[Season]],".",tbResults[[#This Row],[Stage]])</f>
        <v>2.1</v>
      </c>
      <c r="I68" s="19" t="str">
        <f>_xlfn.CONCAT(tbResults[[#This Row],[Season]],".",tbResults[[#This Row],[Stage]],".",TEXT(tbResults[[#This Row],[Week]],"00"))</f>
        <v>2.1.10</v>
      </c>
      <c r="J68" s="19" t="str">
        <f>_xlfn.CONCAT(tbResults[[#This Row],[Week Title]],".",TEXT(tbResults[[#This Row],[Match]],"00"))</f>
        <v>2.1.10.02</v>
      </c>
      <c r="K68" s="20" t="str">
        <f>_xlfn.CONCAT(tbResults[[#This Row],[Game Title]], " ", tbResults[[#This Row],[Player1]], " vs ", tbResults[[#This Row],[Player2]] )</f>
        <v>2.1.10.02.2 Effortless vs dooi</v>
      </c>
      <c r="L68" s="6" t="s">
        <v>6</v>
      </c>
      <c r="M68" s="6" t="s">
        <v>5</v>
      </c>
      <c r="N68" s="6" t="s">
        <v>32</v>
      </c>
      <c r="O68" s="6" t="s">
        <v>21</v>
      </c>
      <c r="P68" s="6" t="s">
        <v>22</v>
      </c>
      <c r="Q68" s="8">
        <v>17</v>
      </c>
      <c r="R68" s="8">
        <v>12</v>
      </c>
      <c r="S68" s="8" t="s">
        <v>81</v>
      </c>
      <c r="T68" s="16" t="s">
        <v>6</v>
      </c>
      <c r="U68" s="16" t="s">
        <v>27</v>
      </c>
      <c r="V68" s="46" t="str">
        <f>IF(tbResults[[#This Row],[Player1 Score]]&gt;tbResults[[#This Row],[Player2 Score]],tbResults[[#This Row],[Player1]],tbResults[[#This Row],[Player2]])</f>
        <v>Effortless</v>
      </c>
      <c r="W68" s="48" t="str">
        <f>IF(tbResults[[#This Row],[Player1 Score]]&gt;tbResults[[#This Row],[Player2 Score]],tbResults[[#This Row],[Player2]],tbResults[[#This Row],[Player1]])</f>
        <v>dooi</v>
      </c>
      <c r="X68" s="11" t="str">
        <f>IF(tbResults[[#This Row],[Winner]]=tbResults[[#This Row],[Player1]],tbResults[[#This Row],[Player1 Pick]],tbResults[[#This Row],[Player2 Pick]])</f>
        <v>Ranger</v>
      </c>
      <c r="Y68" s="11" t="str">
        <f>IF(tbResults[[#This Row],[Loser]]=tbResults[[#This Row],[Player1]],tbResults[[#This Row],[Player1 Pick]],tbResults[[#This Row],[Player2 Pick]])</f>
        <v>Strogg</v>
      </c>
      <c r="Z68" s="32">
        <f>SUM(tbResults[[#This Row],[Player1 Score]],tbResults[[#This Row],[Player2 Score]])</f>
        <v>29</v>
      </c>
      <c r="AA68" s="32">
        <f>ABS(tbResults[[#This Row],[Player1 Score]]-tbResults[[#This Row],[Player2 Score]])</f>
        <v>5</v>
      </c>
      <c r="AB68" s="37">
        <f>IF(tbResults[[#This Row],[Player1 Score]]&gt;tbResults[[#This Row],[Player2 Score]],tbResults[[#This Row],[Player1 Score]],tbResults[[#This Row],[Player2 Score]])</f>
        <v>17</v>
      </c>
      <c r="AC68" s="37">
        <f>IF(tbResults[[#This Row],[Player1 Score]]&lt;tbResults[[#This Row],[Player2 Score]],tbResults[[#This Row],[Player1 Score]],tbResults[[#This Row],[Player2 Score]])</f>
        <v>12</v>
      </c>
    </row>
    <row r="69" spans="2:29" s="3" customFormat="1" ht="30" customHeight="1" x14ac:dyDescent="0.3">
      <c r="B69" s="20" t="str">
        <f>_xlfn.CONCAT(tbResults[[#This Row],[Series Title]],".",tbResults[[#This Row],[Game]])</f>
        <v>2.1.10.02.3</v>
      </c>
      <c r="C69" s="15">
        <v>2</v>
      </c>
      <c r="D69" s="15">
        <v>1</v>
      </c>
      <c r="E69" s="15">
        <v>10</v>
      </c>
      <c r="F69" s="15">
        <v>2</v>
      </c>
      <c r="G69" s="15">
        <v>3</v>
      </c>
      <c r="H69" s="19" t="str">
        <f>_xlfn.CONCAT(tbResults[[#This Row],[Season]],".",tbResults[[#This Row],[Stage]])</f>
        <v>2.1</v>
      </c>
      <c r="I69" s="19" t="str">
        <f>_xlfn.CONCAT(tbResults[[#This Row],[Season]],".",tbResults[[#This Row],[Stage]],".",TEXT(tbResults[[#This Row],[Week]],"00"))</f>
        <v>2.1.10</v>
      </c>
      <c r="J69" s="19" t="str">
        <f>_xlfn.CONCAT(tbResults[[#This Row],[Week Title]],".",TEXT(tbResults[[#This Row],[Match]],"00"))</f>
        <v>2.1.10.02</v>
      </c>
      <c r="K69" s="20" t="str">
        <f>_xlfn.CONCAT(tbResults[[#This Row],[Game Title]], " ", tbResults[[#This Row],[Player1]], " vs ", tbResults[[#This Row],[Player2]] )</f>
        <v>2.1.10.02.3 Effortless vs dooi</v>
      </c>
      <c r="L69" s="6" t="s">
        <v>6</v>
      </c>
      <c r="M69" s="6" t="s">
        <v>5</v>
      </c>
      <c r="N69" s="6" t="s">
        <v>26</v>
      </c>
      <c r="O69" s="6" t="s">
        <v>55</v>
      </c>
      <c r="P69" s="6" t="s">
        <v>24</v>
      </c>
      <c r="Q69" s="8">
        <v>4</v>
      </c>
      <c r="R69" s="8">
        <v>9</v>
      </c>
      <c r="S69" s="8" t="s">
        <v>81</v>
      </c>
      <c r="T69" s="16" t="s">
        <v>5</v>
      </c>
      <c r="U69" s="16" t="s">
        <v>37</v>
      </c>
      <c r="V69" s="46" t="str">
        <f>IF(tbResults[[#This Row],[Player1 Score]]&gt;tbResults[[#This Row],[Player2 Score]],tbResults[[#This Row],[Player1]],tbResults[[#This Row],[Player2]])</f>
        <v>dooi</v>
      </c>
      <c r="W69" s="48" t="str">
        <f>IF(tbResults[[#This Row],[Player1 Score]]&gt;tbResults[[#This Row],[Player2 Score]],tbResults[[#This Row],[Player2]],tbResults[[#This Row],[Player1]])</f>
        <v>Effortless</v>
      </c>
      <c r="X69" s="11" t="str">
        <f>IF(tbResults[[#This Row],[Winner]]=tbResults[[#This Row],[Player1]],tbResults[[#This Row],[Player1 Pick]],tbResults[[#This Row],[Player2 Pick]])</f>
        <v>Slash</v>
      </c>
      <c r="Y69" s="11" t="str">
        <f>IF(tbResults[[#This Row],[Loser]]=tbResults[[#This Row],[Player1]],tbResults[[#This Row],[Player1 Pick]],tbResults[[#This Row],[Player2 Pick]])</f>
        <v>Athena</v>
      </c>
      <c r="Z69" s="32">
        <f>SUM(tbResults[[#This Row],[Player1 Score]],tbResults[[#This Row],[Player2 Score]])</f>
        <v>13</v>
      </c>
      <c r="AA69" s="32">
        <f>ABS(tbResults[[#This Row],[Player1 Score]]-tbResults[[#This Row],[Player2 Score]])</f>
        <v>5</v>
      </c>
      <c r="AB69" s="37">
        <f>IF(tbResults[[#This Row],[Player1 Score]]&gt;tbResults[[#This Row],[Player2 Score]],tbResults[[#This Row],[Player1 Score]],tbResults[[#This Row],[Player2 Score]])</f>
        <v>9</v>
      </c>
      <c r="AC69" s="37">
        <f>IF(tbResults[[#This Row],[Player1 Score]]&lt;tbResults[[#This Row],[Player2 Score]],tbResults[[#This Row],[Player1 Score]],tbResults[[#This Row],[Player2 Score]])</f>
        <v>4</v>
      </c>
    </row>
    <row r="70" spans="2:29" s="3" customFormat="1" ht="30" customHeight="1" x14ac:dyDescent="0.3">
      <c r="B70" s="20" t="str">
        <f>_xlfn.CONCAT(tbResults[[#This Row],[Series Title]],".",tbResults[[#This Row],[Game]])</f>
        <v>2.1.10.03.1</v>
      </c>
      <c r="C70" s="15">
        <v>2</v>
      </c>
      <c r="D70" s="15">
        <v>1</v>
      </c>
      <c r="E70" s="15">
        <v>10</v>
      </c>
      <c r="F70" s="15">
        <v>3</v>
      </c>
      <c r="G70" s="15">
        <v>1</v>
      </c>
      <c r="H70" s="19" t="str">
        <f>_xlfn.CONCAT(tbResults[[#This Row],[Season]],".",tbResults[[#This Row],[Stage]])</f>
        <v>2.1</v>
      </c>
      <c r="I70" s="19" t="str">
        <f>_xlfn.CONCAT(tbResults[[#This Row],[Season]],".",tbResults[[#This Row],[Stage]],".",TEXT(tbResults[[#This Row],[Week]],"00"))</f>
        <v>2.1.10</v>
      </c>
      <c r="J70" s="19" t="str">
        <f>_xlfn.CONCAT(tbResults[[#This Row],[Week Title]],".",TEXT(tbResults[[#This Row],[Match]],"00"))</f>
        <v>2.1.10.03</v>
      </c>
      <c r="K70" s="20" t="str">
        <f>_xlfn.CONCAT(tbResults[[#This Row],[Game Title]], " ", tbResults[[#This Row],[Player1]], " vs ", tbResults[[#This Row],[Player2]] )</f>
        <v>2.1.10.03.1 cha1n vs Zenaku</v>
      </c>
      <c r="L70" s="6" t="s">
        <v>53</v>
      </c>
      <c r="M70" s="6" t="s">
        <v>29</v>
      </c>
      <c r="N70" s="6" t="s">
        <v>178</v>
      </c>
      <c r="O70" s="6" t="s">
        <v>38</v>
      </c>
      <c r="P70" s="6" t="s">
        <v>39</v>
      </c>
      <c r="Q70" s="8">
        <v>5</v>
      </c>
      <c r="R70" s="8">
        <v>2</v>
      </c>
      <c r="S70" s="8" t="s">
        <v>81</v>
      </c>
      <c r="T70" s="16" t="s">
        <v>29</v>
      </c>
      <c r="U70" s="16" t="s">
        <v>55</v>
      </c>
      <c r="V70" s="46" t="str">
        <f>IF(tbResults[[#This Row],[Player1 Score]]&gt;tbResults[[#This Row],[Player2 Score]],tbResults[[#This Row],[Player1]],tbResults[[#This Row],[Player2]])</f>
        <v>cha1n</v>
      </c>
      <c r="W70" s="48" t="str">
        <f>IF(tbResults[[#This Row],[Player1 Score]]&gt;tbResults[[#This Row],[Player2 Score]],tbResults[[#This Row],[Player2]],tbResults[[#This Row],[Player1]])</f>
        <v>Zenaku</v>
      </c>
      <c r="X70" s="11" t="str">
        <f>IF(tbResults[[#This Row],[Winner]]=tbResults[[#This Row],[Player1]],tbResults[[#This Row],[Player1 Pick]],tbResults[[#This Row],[Player2 Pick]])</f>
        <v>Nyx</v>
      </c>
      <c r="Y70" s="11" t="str">
        <f>IF(tbResults[[#This Row],[Loser]]=tbResults[[#This Row],[Player1]],tbResults[[#This Row],[Player1 Pick]],tbResults[[#This Row],[Player2 Pick]])</f>
        <v>Anarki</v>
      </c>
      <c r="Z70" s="32">
        <f>SUM(tbResults[[#This Row],[Player1 Score]],tbResults[[#This Row],[Player2 Score]])</f>
        <v>7</v>
      </c>
      <c r="AA70" s="32">
        <f>ABS(tbResults[[#This Row],[Player1 Score]]-tbResults[[#This Row],[Player2 Score]])</f>
        <v>3</v>
      </c>
      <c r="AB70" s="37">
        <f>IF(tbResults[[#This Row],[Player1 Score]]&gt;tbResults[[#This Row],[Player2 Score]],tbResults[[#This Row],[Player1 Score]],tbResults[[#This Row],[Player2 Score]])</f>
        <v>5</v>
      </c>
      <c r="AC70" s="37">
        <f>IF(tbResults[[#This Row],[Player1 Score]]&lt;tbResults[[#This Row],[Player2 Score]],tbResults[[#This Row],[Player1 Score]],tbResults[[#This Row],[Player2 Score]])</f>
        <v>2</v>
      </c>
    </row>
    <row r="71" spans="2:29" s="3" customFormat="1" ht="30" customHeight="1" x14ac:dyDescent="0.3">
      <c r="B71" s="20" t="str">
        <f>_xlfn.CONCAT(tbResults[[#This Row],[Series Title]],".",tbResults[[#This Row],[Game]])</f>
        <v>2.1.10.03.2</v>
      </c>
      <c r="C71" s="15">
        <v>2</v>
      </c>
      <c r="D71" s="15">
        <v>1</v>
      </c>
      <c r="E71" s="15">
        <v>10</v>
      </c>
      <c r="F71" s="15">
        <v>3</v>
      </c>
      <c r="G71" s="15">
        <v>2</v>
      </c>
      <c r="H71" s="19" t="str">
        <f>_xlfn.CONCAT(tbResults[[#This Row],[Season]],".",tbResults[[#This Row],[Stage]])</f>
        <v>2.1</v>
      </c>
      <c r="I71" s="19" t="str">
        <f>_xlfn.CONCAT(tbResults[[#This Row],[Season]],".",tbResults[[#This Row],[Stage]],".",TEXT(tbResults[[#This Row],[Week]],"00"))</f>
        <v>2.1.10</v>
      </c>
      <c r="J71" s="19" t="str">
        <f>_xlfn.CONCAT(tbResults[[#This Row],[Week Title]],".",TEXT(tbResults[[#This Row],[Match]],"00"))</f>
        <v>2.1.10.03</v>
      </c>
      <c r="K71" s="20" t="str">
        <f>_xlfn.CONCAT(tbResults[[#This Row],[Game Title]], " ", tbResults[[#This Row],[Player1]], " vs ", tbResults[[#This Row],[Player2]] )</f>
        <v>2.1.10.03.2 cha1n vs Zenaku</v>
      </c>
      <c r="L71" s="6" t="s">
        <v>53</v>
      </c>
      <c r="M71" s="6" t="s">
        <v>29</v>
      </c>
      <c r="N71" s="6" t="s">
        <v>40</v>
      </c>
      <c r="O71" s="6" t="s">
        <v>27</v>
      </c>
      <c r="P71" s="6" t="s">
        <v>44</v>
      </c>
      <c r="Q71" s="8">
        <v>4</v>
      </c>
      <c r="R71" s="8">
        <v>7</v>
      </c>
      <c r="S71" s="8" t="s">
        <v>81</v>
      </c>
      <c r="T71" s="16" t="s">
        <v>53</v>
      </c>
      <c r="U71" s="16" t="s">
        <v>35</v>
      </c>
      <c r="V71" s="46" t="str">
        <f>IF(tbResults[[#This Row],[Player1 Score]]&gt;tbResults[[#This Row],[Player2 Score]],tbResults[[#This Row],[Player1]],tbResults[[#This Row],[Player2]])</f>
        <v>Zenaku</v>
      </c>
      <c r="W71" s="48" t="str">
        <f>IF(tbResults[[#This Row],[Player1 Score]]&gt;tbResults[[#This Row],[Player2 Score]],tbResults[[#This Row],[Player2]],tbResults[[#This Row],[Player1]])</f>
        <v>cha1n</v>
      </c>
      <c r="X71" s="11" t="str">
        <f>IF(tbResults[[#This Row],[Winner]]=tbResults[[#This Row],[Player1]],tbResults[[#This Row],[Player1 Pick]],tbResults[[#This Row],[Player2 Pick]])</f>
        <v>Scalebearer</v>
      </c>
      <c r="Y71" s="11" t="str">
        <f>IF(tbResults[[#This Row],[Loser]]=tbResults[[#This Row],[Player1]],tbResults[[#This Row],[Player1 Pick]],tbResults[[#This Row],[Player2 Pick]])</f>
        <v>Keel</v>
      </c>
      <c r="Z71" s="32">
        <f>SUM(tbResults[[#This Row],[Player1 Score]],tbResults[[#This Row],[Player2 Score]])</f>
        <v>11</v>
      </c>
      <c r="AA71" s="32">
        <f>ABS(tbResults[[#This Row],[Player1 Score]]-tbResults[[#This Row],[Player2 Score]])</f>
        <v>3</v>
      </c>
      <c r="AB71" s="37">
        <f>IF(tbResults[[#This Row],[Player1 Score]]&gt;tbResults[[#This Row],[Player2 Score]],tbResults[[#This Row],[Player1 Score]],tbResults[[#This Row],[Player2 Score]])</f>
        <v>7</v>
      </c>
      <c r="AC71" s="37">
        <f>IF(tbResults[[#This Row],[Player1 Score]]&lt;tbResults[[#This Row],[Player2 Score]],tbResults[[#This Row],[Player1 Score]],tbResults[[#This Row],[Player2 Score]])</f>
        <v>4</v>
      </c>
    </row>
    <row r="72" spans="2:29" s="3" customFormat="1" ht="30" customHeight="1" x14ac:dyDescent="0.3">
      <c r="B72" s="20" t="str">
        <f>_xlfn.CONCAT(tbResults[[#This Row],[Series Title]],".",tbResults[[#This Row],[Game]])</f>
        <v>2.1.10.03.3</v>
      </c>
      <c r="C72" s="15">
        <v>2</v>
      </c>
      <c r="D72" s="15">
        <v>1</v>
      </c>
      <c r="E72" s="15">
        <v>10</v>
      </c>
      <c r="F72" s="15">
        <v>3</v>
      </c>
      <c r="G72" s="15">
        <v>3</v>
      </c>
      <c r="H72" s="19" t="str">
        <f>_xlfn.CONCAT(tbResults[[#This Row],[Season]],".",tbResults[[#This Row],[Stage]])</f>
        <v>2.1</v>
      </c>
      <c r="I72" s="19" t="str">
        <f>_xlfn.CONCAT(tbResults[[#This Row],[Season]],".",tbResults[[#This Row],[Stage]],".",TEXT(tbResults[[#This Row],[Week]],"00"))</f>
        <v>2.1.10</v>
      </c>
      <c r="J72" s="19" t="str">
        <f>_xlfn.CONCAT(tbResults[[#This Row],[Week Title]],".",TEXT(tbResults[[#This Row],[Match]],"00"))</f>
        <v>2.1.10.03</v>
      </c>
      <c r="K72" s="20" t="str">
        <f>_xlfn.CONCAT(tbResults[[#This Row],[Game Title]], " ", tbResults[[#This Row],[Player1]], " vs ", tbResults[[#This Row],[Player2]] )</f>
        <v>2.1.10.03.3 cha1n vs Zenaku</v>
      </c>
      <c r="L72" s="6" t="s">
        <v>53</v>
      </c>
      <c r="M72" s="6" t="s">
        <v>29</v>
      </c>
      <c r="N72" s="6" t="s">
        <v>23</v>
      </c>
      <c r="O72" s="6" t="s">
        <v>21</v>
      </c>
      <c r="P72" s="6" t="s">
        <v>25</v>
      </c>
      <c r="Q72" s="8">
        <v>3</v>
      </c>
      <c r="R72" s="8">
        <v>2</v>
      </c>
      <c r="S72" s="8" t="s">
        <v>81</v>
      </c>
      <c r="T72" s="16" t="s">
        <v>29</v>
      </c>
      <c r="U72" s="16" t="s">
        <v>24</v>
      </c>
      <c r="V72" s="46" t="str">
        <f>IF(tbResults[[#This Row],[Player1 Score]]&gt;tbResults[[#This Row],[Player2 Score]],tbResults[[#This Row],[Player1]],tbResults[[#This Row],[Player2]])</f>
        <v>cha1n</v>
      </c>
      <c r="W72" s="48" t="str">
        <f>IF(tbResults[[#This Row],[Player1 Score]]&gt;tbResults[[#This Row],[Player2 Score]],tbResults[[#This Row],[Player2]],tbResults[[#This Row],[Player1]])</f>
        <v>Zenaku</v>
      </c>
      <c r="X72" s="11" t="str">
        <f>IF(tbResults[[#This Row],[Winner]]=tbResults[[#This Row],[Player1]],tbResults[[#This Row],[Player1 Pick]],tbResults[[#This Row],[Player2 Pick]])</f>
        <v>Ranger</v>
      </c>
      <c r="Y72" s="11" t="str">
        <f>IF(tbResults[[#This Row],[Loser]]=tbResults[[#This Row],[Player1]],tbResults[[#This Row],[Player1 Pick]],tbResults[[#This Row],[Player2 Pick]])</f>
        <v>Sorlag</v>
      </c>
      <c r="Z72" s="32">
        <f>SUM(tbResults[[#This Row],[Player1 Score]],tbResults[[#This Row],[Player2 Score]])</f>
        <v>5</v>
      </c>
      <c r="AA72" s="32">
        <f>ABS(tbResults[[#This Row],[Player1 Score]]-tbResults[[#This Row],[Player2 Score]])</f>
        <v>1</v>
      </c>
      <c r="AB72" s="37">
        <f>IF(tbResults[[#This Row],[Player1 Score]]&gt;tbResults[[#This Row],[Player2 Score]],tbResults[[#This Row],[Player1 Score]],tbResults[[#This Row],[Player2 Score]])</f>
        <v>3</v>
      </c>
      <c r="AC72" s="37">
        <f>IF(tbResults[[#This Row],[Player1 Score]]&lt;tbResults[[#This Row],[Player2 Score]],tbResults[[#This Row],[Player1 Score]],tbResults[[#This Row],[Player2 Score]])</f>
        <v>2</v>
      </c>
    </row>
    <row r="73" spans="2:29" s="3" customFormat="1" ht="30" customHeight="1" x14ac:dyDescent="0.3">
      <c r="B73" s="20" t="str">
        <f>_xlfn.CONCAT(tbResults[[#This Row],[Series Title]],".",tbResults[[#This Row],[Game]])</f>
        <v>2.1.10.04.1</v>
      </c>
      <c r="C73" s="15">
        <v>2</v>
      </c>
      <c r="D73" s="15">
        <v>1</v>
      </c>
      <c r="E73" s="15">
        <v>10</v>
      </c>
      <c r="F73" s="15">
        <v>4</v>
      </c>
      <c r="G73" s="15">
        <v>1</v>
      </c>
      <c r="H73" s="19" t="str">
        <f>_xlfn.CONCAT(tbResults[[#This Row],[Season]],".",tbResults[[#This Row],[Stage]])</f>
        <v>2.1</v>
      </c>
      <c r="I73" s="19" t="str">
        <f>_xlfn.CONCAT(tbResults[[#This Row],[Season]],".",tbResults[[#This Row],[Stage]],".",TEXT(tbResults[[#This Row],[Week]],"00"))</f>
        <v>2.1.10</v>
      </c>
      <c r="J73" s="19" t="str">
        <f>_xlfn.CONCAT(tbResults[[#This Row],[Week Title]],".",TEXT(tbResults[[#This Row],[Match]],"00"))</f>
        <v>2.1.10.04</v>
      </c>
      <c r="K73" s="20" t="str">
        <f>_xlfn.CONCAT(tbResults[[#This Row],[Game Title]], " ", tbResults[[#This Row],[Player1]], " vs ", tbResults[[#This Row],[Player2]] )</f>
        <v>2.1.10.04.1 Vengeurr vs Av3k</v>
      </c>
      <c r="L73" s="6" t="s">
        <v>13</v>
      </c>
      <c r="M73" s="6" t="s">
        <v>52</v>
      </c>
      <c r="N73" s="6" t="s">
        <v>19</v>
      </c>
      <c r="O73" s="6" t="s">
        <v>21</v>
      </c>
      <c r="P73" s="6" t="s">
        <v>34</v>
      </c>
      <c r="Q73" s="8">
        <v>1</v>
      </c>
      <c r="R73" s="8">
        <v>3</v>
      </c>
      <c r="S73" s="8" t="s">
        <v>81</v>
      </c>
      <c r="T73" s="16" t="s">
        <v>52</v>
      </c>
      <c r="U73" s="16" t="s">
        <v>35</v>
      </c>
      <c r="V73" s="46" t="str">
        <f>IF(tbResults[[#This Row],[Player1 Score]]&gt;tbResults[[#This Row],[Player2 Score]],tbResults[[#This Row],[Player1]],tbResults[[#This Row],[Player2]])</f>
        <v>Av3k</v>
      </c>
      <c r="W73" s="48" t="str">
        <f>IF(tbResults[[#This Row],[Player1 Score]]&gt;tbResults[[#This Row],[Player2 Score]],tbResults[[#This Row],[Player2]],tbResults[[#This Row],[Player1]])</f>
        <v>Vengeurr</v>
      </c>
      <c r="X73" s="11" t="str">
        <f>IF(tbResults[[#This Row],[Winner]]=tbResults[[#This Row],[Player1]],tbResults[[#This Row],[Player1 Pick]],tbResults[[#This Row],[Player2 Pick]])</f>
        <v>Galena</v>
      </c>
      <c r="Y73" s="11" t="str">
        <f>IF(tbResults[[#This Row],[Loser]]=tbResults[[#This Row],[Player1]],tbResults[[#This Row],[Player1 Pick]],tbResults[[#This Row],[Player2 Pick]])</f>
        <v>Ranger</v>
      </c>
      <c r="Z73" s="32">
        <f>SUM(tbResults[[#This Row],[Player1 Score]],tbResults[[#This Row],[Player2 Score]])</f>
        <v>4</v>
      </c>
      <c r="AA73" s="32">
        <f>ABS(tbResults[[#This Row],[Player1 Score]]-tbResults[[#This Row],[Player2 Score]])</f>
        <v>2</v>
      </c>
      <c r="AB73" s="37">
        <f>IF(tbResults[[#This Row],[Player1 Score]]&gt;tbResults[[#This Row],[Player2 Score]],tbResults[[#This Row],[Player1 Score]],tbResults[[#This Row],[Player2 Score]])</f>
        <v>3</v>
      </c>
      <c r="AC73" s="37">
        <f>IF(tbResults[[#This Row],[Player1 Score]]&lt;tbResults[[#This Row],[Player2 Score]],tbResults[[#This Row],[Player1 Score]],tbResults[[#This Row],[Player2 Score]])</f>
        <v>1</v>
      </c>
    </row>
    <row r="74" spans="2:29" s="3" customFormat="1" ht="30" customHeight="1" x14ac:dyDescent="0.3">
      <c r="B74" s="20" t="str">
        <f>_xlfn.CONCAT(tbResults[[#This Row],[Series Title]],".",tbResults[[#This Row],[Game]])</f>
        <v>2.1.10.04.2</v>
      </c>
      <c r="C74" s="15">
        <v>2</v>
      </c>
      <c r="D74" s="15">
        <v>1</v>
      </c>
      <c r="E74" s="15">
        <v>10</v>
      </c>
      <c r="F74" s="15">
        <v>4</v>
      </c>
      <c r="G74" s="15">
        <v>2</v>
      </c>
      <c r="H74" s="19" t="str">
        <f>_xlfn.CONCAT(tbResults[[#This Row],[Season]],".",tbResults[[#This Row],[Stage]])</f>
        <v>2.1</v>
      </c>
      <c r="I74" s="19" t="str">
        <f>_xlfn.CONCAT(tbResults[[#This Row],[Season]],".",tbResults[[#This Row],[Stage]],".",TEXT(tbResults[[#This Row],[Week]],"00"))</f>
        <v>2.1.10</v>
      </c>
      <c r="J74" s="19" t="str">
        <f>_xlfn.CONCAT(tbResults[[#This Row],[Week Title]],".",TEXT(tbResults[[#This Row],[Match]],"00"))</f>
        <v>2.1.10.04</v>
      </c>
      <c r="K74" s="20" t="str">
        <f>_xlfn.CONCAT(tbResults[[#This Row],[Game Title]], " ", tbResults[[#This Row],[Player1]], " vs ", tbResults[[#This Row],[Player2]] )</f>
        <v>2.1.10.04.2 Vengeurr vs Av3k</v>
      </c>
      <c r="L74" s="6" t="s">
        <v>13</v>
      </c>
      <c r="M74" s="6" t="s">
        <v>52</v>
      </c>
      <c r="N74" s="6" t="s">
        <v>23</v>
      </c>
      <c r="O74" s="6" t="s">
        <v>22</v>
      </c>
      <c r="P74" s="6" t="s">
        <v>39</v>
      </c>
      <c r="Q74" s="8">
        <v>3</v>
      </c>
      <c r="R74" s="8">
        <v>4</v>
      </c>
      <c r="S74" s="8" t="s">
        <v>82</v>
      </c>
      <c r="T74" s="16" t="s">
        <v>13</v>
      </c>
      <c r="U74" s="16" t="s">
        <v>38</v>
      </c>
      <c r="V74" s="46" t="str">
        <f>IF(tbResults[[#This Row],[Player1 Score]]&gt;tbResults[[#This Row],[Player2 Score]],tbResults[[#This Row],[Player1]],tbResults[[#This Row],[Player2]])</f>
        <v>Av3k</v>
      </c>
      <c r="W74" s="48" t="str">
        <f>IF(tbResults[[#This Row],[Player1 Score]]&gt;tbResults[[#This Row],[Player2 Score]],tbResults[[#This Row],[Player2]],tbResults[[#This Row],[Player1]])</f>
        <v>Vengeurr</v>
      </c>
      <c r="X74" s="11" t="str">
        <f>IF(tbResults[[#This Row],[Winner]]=tbResults[[#This Row],[Player1]],tbResults[[#This Row],[Player1 Pick]],tbResults[[#This Row],[Player2 Pick]])</f>
        <v>Anarki</v>
      </c>
      <c r="Y74" s="11" t="str">
        <f>IF(tbResults[[#This Row],[Loser]]=tbResults[[#This Row],[Player1]],tbResults[[#This Row],[Player1 Pick]],tbResults[[#This Row],[Player2 Pick]])</f>
        <v>Strogg</v>
      </c>
      <c r="Z74" s="32">
        <f>SUM(tbResults[[#This Row],[Player1 Score]],tbResults[[#This Row],[Player2 Score]])</f>
        <v>7</v>
      </c>
      <c r="AA74" s="32">
        <f>ABS(tbResults[[#This Row],[Player1 Score]]-tbResults[[#This Row],[Player2 Score]])</f>
        <v>1</v>
      </c>
      <c r="AB74" s="37">
        <f>IF(tbResults[[#This Row],[Player1 Score]]&gt;tbResults[[#This Row],[Player2 Score]],tbResults[[#This Row],[Player1 Score]],tbResults[[#This Row],[Player2 Score]])</f>
        <v>4</v>
      </c>
      <c r="AC74" s="37">
        <f>IF(tbResults[[#This Row],[Player1 Score]]&lt;tbResults[[#This Row],[Player2 Score]],tbResults[[#This Row],[Player1 Score]],tbResults[[#This Row],[Player2 Score]])</f>
        <v>3</v>
      </c>
    </row>
    <row r="75" spans="2:29" s="3" customFormat="1" ht="30" customHeight="1" x14ac:dyDescent="0.3">
      <c r="B75" s="20" t="str">
        <f>_xlfn.CONCAT(tbResults[[#This Row],[Series Title]],".",tbResults[[#This Row],[Game]])</f>
        <v>2.1.10.04.3</v>
      </c>
      <c r="C75" s="15">
        <v>2</v>
      </c>
      <c r="D75" s="15">
        <v>1</v>
      </c>
      <c r="E75" s="15">
        <v>10</v>
      </c>
      <c r="F75" s="15">
        <v>4</v>
      </c>
      <c r="G75" s="15">
        <v>3</v>
      </c>
      <c r="H75" s="19" t="str">
        <f>_xlfn.CONCAT(tbResults[[#This Row],[Season]],".",tbResults[[#This Row],[Stage]])</f>
        <v>2.1</v>
      </c>
      <c r="I75" s="19" t="str">
        <f>_xlfn.CONCAT(tbResults[[#This Row],[Season]],".",tbResults[[#This Row],[Stage]],".",TEXT(tbResults[[#This Row],[Week]],"00"))</f>
        <v>2.1.10</v>
      </c>
      <c r="J75" s="19" t="str">
        <f>_xlfn.CONCAT(tbResults[[#This Row],[Week Title]],".",TEXT(tbResults[[#This Row],[Match]],"00"))</f>
        <v>2.1.10.04</v>
      </c>
      <c r="K75" s="20" t="str">
        <f>_xlfn.CONCAT(tbResults[[#This Row],[Game Title]], " ", tbResults[[#This Row],[Player1]], " vs ", tbResults[[#This Row],[Player2]] )</f>
        <v>2.1.10.04.3 Vengeurr vs Av3k</v>
      </c>
      <c r="L75" s="6" t="s">
        <v>13</v>
      </c>
      <c r="M75" s="6" t="s">
        <v>52</v>
      </c>
      <c r="N75" s="6" t="s">
        <v>178</v>
      </c>
      <c r="O75" s="6" t="s">
        <v>24</v>
      </c>
      <c r="P75" s="6" t="s">
        <v>36</v>
      </c>
      <c r="Q75" s="8">
        <v>7</v>
      </c>
      <c r="R75" s="8">
        <v>4</v>
      </c>
      <c r="S75" s="8" t="s">
        <v>81</v>
      </c>
      <c r="T75" s="16" t="s">
        <v>52</v>
      </c>
      <c r="U75" s="16" t="s">
        <v>55</v>
      </c>
      <c r="V75" s="46" t="str">
        <f>IF(tbResults[[#This Row],[Player1 Score]]&gt;tbResults[[#This Row],[Player2 Score]],tbResults[[#This Row],[Player1]],tbResults[[#This Row],[Player2]])</f>
        <v>Vengeurr</v>
      </c>
      <c r="W75" s="48" t="str">
        <f>IF(tbResults[[#This Row],[Player1 Score]]&gt;tbResults[[#This Row],[Player2 Score]],tbResults[[#This Row],[Player2]],tbResults[[#This Row],[Player1]])</f>
        <v>Av3k</v>
      </c>
      <c r="X75" s="11" t="str">
        <f>IF(tbResults[[#This Row],[Winner]]=tbResults[[#This Row],[Player1]],tbResults[[#This Row],[Player1 Pick]],tbResults[[#This Row],[Player2 Pick]])</f>
        <v>Slash</v>
      </c>
      <c r="Y75" s="11" t="str">
        <f>IF(tbResults[[#This Row],[Loser]]=tbResults[[#This Row],[Player1]],tbResults[[#This Row],[Player1 Pick]],tbResults[[#This Row],[Player2 Pick]])</f>
        <v>Visor</v>
      </c>
      <c r="Z75" s="32">
        <f>SUM(tbResults[[#This Row],[Player1 Score]],tbResults[[#This Row],[Player2 Score]])</f>
        <v>11</v>
      </c>
      <c r="AA75" s="32">
        <f>ABS(tbResults[[#This Row],[Player1 Score]]-tbResults[[#This Row],[Player2 Score]])</f>
        <v>3</v>
      </c>
      <c r="AB75" s="37">
        <f>IF(tbResults[[#This Row],[Player1 Score]]&gt;tbResults[[#This Row],[Player2 Score]],tbResults[[#This Row],[Player1 Score]],tbResults[[#This Row],[Player2 Score]])</f>
        <v>7</v>
      </c>
      <c r="AC75" s="37">
        <f>IF(tbResults[[#This Row],[Player1 Score]]&lt;tbResults[[#This Row],[Player2 Score]],tbResults[[#This Row],[Player1 Score]],tbResults[[#This Row],[Player2 Score]])</f>
        <v>4</v>
      </c>
    </row>
    <row r="76" spans="2:29" s="3" customFormat="1" ht="30" customHeight="1" x14ac:dyDescent="0.3">
      <c r="B76" s="20" t="str">
        <f>_xlfn.CONCAT(tbResults[[#This Row],[Series Title]],".",tbResults[[#This Row],[Game]])</f>
        <v>2.1.10.05.1</v>
      </c>
      <c r="C76" s="15">
        <v>2</v>
      </c>
      <c r="D76" s="15">
        <v>1</v>
      </c>
      <c r="E76" s="15">
        <v>10</v>
      </c>
      <c r="F76" s="15">
        <v>5</v>
      </c>
      <c r="G76" s="15">
        <v>1</v>
      </c>
      <c r="H76" s="19" t="str">
        <f>_xlfn.CONCAT(tbResults[[#This Row],[Season]],".",tbResults[[#This Row],[Stage]])</f>
        <v>2.1</v>
      </c>
      <c r="I76" s="19" t="str">
        <f>_xlfn.CONCAT(tbResults[[#This Row],[Season]],".",tbResults[[#This Row],[Stage]],".",TEXT(tbResults[[#This Row],[Week]],"00"))</f>
        <v>2.1.10</v>
      </c>
      <c r="J76" s="19" t="str">
        <f>_xlfn.CONCAT(tbResults[[#This Row],[Week Title]],".",TEXT(tbResults[[#This Row],[Match]],"00"))</f>
        <v>2.1.10.05</v>
      </c>
      <c r="K76" s="20" t="str">
        <f>_xlfn.CONCAT(tbResults[[#This Row],[Game Title]], " ", tbResults[[#This Row],[Player1]], " vs ", tbResults[[#This Row],[Player2]] )</f>
        <v>2.1.10.05.1 Psygib vs Nosfa</v>
      </c>
      <c r="L76" s="6" t="s">
        <v>30</v>
      </c>
      <c r="M76" s="6" t="s">
        <v>11</v>
      </c>
      <c r="N76" s="6" t="s">
        <v>178</v>
      </c>
      <c r="O76" s="6" t="s">
        <v>38</v>
      </c>
      <c r="P76" s="6" t="s">
        <v>24</v>
      </c>
      <c r="Q76" s="8">
        <v>7</v>
      </c>
      <c r="R76" s="8">
        <v>6</v>
      </c>
      <c r="S76" s="8" t="s">
        <v>82</v>
      </c>
      <c r="T76" s="16" t="s">
        <v>30</v>
      </c>
      <c r="U76" s="16" t="s">
        <v>55</v>
      </c>
      <c r="V76" s="46" t="str">
        <f>IF(tbResults[[#This Row],[Player1 Score]]&gt;tbResults[[#This Row],[Player2 Score]],tbResults[[#This Row],[Player1]],tbResults[[#This Row],[Player2]])</f>
        <v>Psygib</v>
      </c>
      <c r="W76" s="48" t="str">
        <f>IF(tbResults[[#This Row],[Player1 Score]]&gt;tbResults[[#This Row],[Player2 Score]],tbResults[[#This Row],[Player2]],tbResults[[#This Row],[Player1]])</f>
        <v>Nosfa</v>
      </c>
      <c r="X76" s="11" t="str">
        <f>IF(tbResults[[#This Row],[Winner]]=tbResults[[#This Row],[Player1]],tbResults[[#This Row],[Player1 Pick]],tbResults[[#This Row],[Player2 Pick]])</f>
        <v>Nyx</v>
      </c>
      <c r="Y76" s="11" t="str">
        <f>IF(tbResults[[#This Row],[Loser]]=tbResults[[#This Row],[Player1]],tbResults[[#This Row],[Player1 Pick]],tbResults[[#This Row],[Player2 Pick]])</f>
        <v>Slash</v>
      </c>
      <c r="Z76" s="32">
        <f>SUM(tbResults[[#This Row],[Player1 Score]],tbResults[[#This Row],[Player2 Score]])</f>
        <v>13</v>
      </c>
      <c r="AA76" s="32">
        <f>ABS(tbResults[[#This Row],[Player1 Score]]-tbResults[[#This Row],[Player2 Score]])</f>
        <v>1</v>
      </c>
      <c r="AB76" s="37">
        <f>IF(tbResults[[#This Row],[Player1 Score]]&gt;tbResults[[#This Row],[Player2 Score]],tbResults[[#This Row],[Player1 Score]],tbResults[[#This Row],[Player2 Score]])</f>
        <v>7</v>
      </c>
      <c r="AC76" s="37">
        <f>IF(tbResults[[#This Row],[Player1 Score]]&lt;tbResults[[#This Row],[Player2 Score]],tbResults[[#This Row],[Player1 Score]],tbResults[[#This Row],[Player2 Score]])</f>
        <v>6</v>
      </c>
    </row>
    <row r="77" spans="2:29" s="3" customFormat="1" ht="30" customHeight="1" x14ac:dyDescent="0.3">
      <c r="B77" s="20" t="str">
        <f>_xlfn.CONCAT(tbResults[[#This Row],[Series Title]],".",tbResults[[#This Row],[Game]])</f>
        <v>2.1.10.05.2</v>
      </c>
      <c r="C77" s="15">
        <v>2</v>
      </c>
      <c r="D77" s="15">
        <v>1</v>
      </c>
      <c r="E77" s="15">
        <v>10</v>
      </c>
      <c r="F77" s="15">
        <v>5</v>
      </c>
      <c r="G77" s="15">
        <v>2</v>
      </c>
      <c r="H77" s="19" t="str">
        <f>_xlfn.CONCAT(tbResults[[#This Row],[Season]],".",tbResults[[#This Row],[Stage]])</f>
        <v>2.1</v>
      </c>
      <c r="I77" s="19" t="str">
        <f>_xlfn.CONCAT(tbResults[[#This Row],[Season]],".",tbResults[[#This Row],[Stage]],".",TEXT(tbResults[[#This Row],[Week]],"00"))</f>
        <v>2.1.10</v>
      </c>
      <c r="J77" s="19" t="str">
        <f>_xlfn.CONCAT(tbResults[[#This Row],[Week Title]],".",TEXT(tbResults[[#This Row],[Match]],"00"))</f>
        <v>2.1.10.05</v>
      </c>
      <c r="K77" s="20" t="str">
        <f>_xlfn.CONCAT(tbResults[[#This Row],[Game Title]], " ", tbResults[[#This Row],[Player1]], " vs ", tbResults[[#This Row],[Player2]] )</f>
        <v>2.1.10.05.2 Psygib vs Nosfa</v>
      </c>
      <c r="L77" s="6" t="s">
        <v>30</v>
      </c>
      <c r="M77" s="6" t="s">
        <v>11</v>
      </c>
      <c r="N77" s="6" t="s">
        <v>19</v>
      </c>
      <c r="O77" s="6" t="s">
        <v>22</v>
      </c>
      <c r="P77" s="6" t="s">
        <v>21</v>
      </c>
      <c r="Q77" s="8">
        <v>10</v>
      </c>
      <c r="R77" s="8">
        <v>6</v>
      </c>
      <c r="S77" s="8" t="s">
        <v>81</v>
      </c>
      <c r="T77" s="16" t="s">
        <v>11</v>
      </c>
      <c r="U77" s="16" t="s">
        <v>35</v>
      </c>
      <c r="V77" s="46" t="str">
        <f>IF(tbResults[[#This Row],[Player1 Score]]&gt;tbResults[[#This Row],[Player2 Score]],tbResults[[#This Row],[Player1]],tbResults[[#This Row],[Player2]])</f>
        <v>Psygib</v>
      </c>
      <c r="W77" s="48" t="str">
        <f>IF(tbResults[[#This Row],[Player1 Score]]&gt;tbResults[[#This Row],[Player2 Score]],tbResults[[#This Row],[Player2]],tbResults[[#This Row],[Player1]])</f>
        <v>Nosfa</v>
      </c>
      <c r="X77" s="11" t="str">
        <f>IF(tbResults[[#This Row],[Winner]]=tbResults[[#This Row],[Player1]],tbResults[[#This Row],[Player1 Pick]],tbResults[[#This Row],[Player2 Pick]])</f>
        <v>Strogg</v>
      </c>
      <c r="Y77" s="11" t="str">
        <f>IF(tbResults[[#This Row],[Loser]]=tbResults[[#This Row],[Player1]],tbResults[[#This Row],[Player1 Pick]],tbResults[[#This Row],[Player2 Pick]])</f>
        <v>Ranger</v>
      </c>
      <c r="Z77" s="32">
        <f>SUM(tbResults[[#This Row],[Player1 Score]],tbResults[[#This Row],[Player2 Score]])</f>
        <v>16</v>
      </c>
      <c r="AA77" s="32">
        <f>ABS(tbResults[[#This Row],[Player1 Score]]-tbResults[[#This Row],[Player2 Score]])</f>
        <v>4</v>
      </c>
      <c r="AB77" s="37">
        <f>IF(tbResults[[#This Row],[Player1 Score]]&gt;tbResults[[#This Row],[Player2 Score]],tbResults[[#This Row],[Player1 Score]],tbResults[[#This Row],[Player2 Score]])</f>
        <v>10</v>
      </c>
      <c r="AC77" s="37">
        <f>IF(tbResults[[#This Row],[Player1 Score]]&lt;tbResults[[#This Row],[Player2 Score]],tbResults[[#This Row],[Player1 Score]],tbResults[[#This Row],[Player2 Score]])</f>
        <v>6</v>
      </c>
    </row>
    <row r="78" spans="2:29" s="3" customFormat="1" ht="30" customHeight="1" x14ac:dyDescent="0.3">
      <c r="B78" s="20" t="str">
        <f>_xlfn.CONCAT(tbResults[[#This Row],[Series Title]],".",tbResults[[#This Row],[Game]])</f>
        <v>2.1.10.05.3</v>
      </c>
      <c r="C78" s="15">
        <v>2</v>
      </c>
      <c r="D78" s="15">
        <v>1</v>
      </c>
      <c r="E78" s="15">
        <v>10</v>
      </c>
      <c r="F78" s="15">
        <v>5</v>
      </c>
      <c r="G78" s="15">
        <v>3</v>
      </c>
      <c r="H78" s="19" t="str">
        <f>_xlfn.CONCAT(tbResults[[#This Row],[Season]],".",tbResults[[#This Row],[Stage]])</f>
        <v>2.1</v>
      </c>
      <c r="I78" s="19" t="str">
        <f>_xlfn.CONCAT(tbResults[[#This Row],[Season]],".",tbResults[[#This Row],[Stage]],".",TEXT(tbResults[[#This Row],[Week]],"00"))</f>
        <v>2.1.10</v>
      </c>
      <c r="J78" s="19" t="str">
        <f>_xlfn.CONCAT(tbResults[[#This Row],[Week Title]],".",TEXT(tbResults[[#This Row],[Match]],"00"))</f>
        <v>2.1.10.05</v>
      </c>
      <c r="K78" s="20" t="str">
        <f>_xlfn.CONCAT(tbResults[[#This Row],[Game Title]], " ", tbResults[[#This Row],[Player1]], " vs ", tbResults[[#This Row],[Player2]] )</f>
        <v>2.1.10.05.3 Psygib vs Nosfa</v>
      </c>
      <c r="L78" s="6" t="s">
        <v>30</v>
      </c>
      <c r="M78" s="6" t="s">
        <v>11</v>
      </c>
      <c r="N78" s="6" t="s">
        <v>26</v>
      </c>
      <c r="O78" s="6" t="s">
        <v>44</v>
      </c>
      <c r="P78" s="6" t="s">
        <v>28</v>
      </c>
      <c r="Q78" s="8">
        <v>10</v>
      </c>
      <c r="R78" s="8">
        <v>9</v>
      </c>
      <c r="S78" s="8" t="s">
        <v>81</v>
      </c>
      <c r="T78" s="16" t="s">
        <v>30</v>
      </c>
      <c r="U78" s="16" t="s">
        <v>39</v>
      </c>
      <c r="V78" s="46" t="str">
        <f>IF(tbResults[[#This Row],[Player1 Score]]&gt;tbResults[[#This Row],[Player2 Score]],tbResults[[#This Row],[Player1]],tbResults[[#This Row],[Player2]])</f>
        <v>Psygib</v>
      </c>
      <c r="W78" s="48" t="str">
        <f>IF(tbResults[[#This Row],[Player1 Score]]&gt;tbResults[[#This Row],[Player2 Score]],tbResults[[#This Row],[Player2]],tbResults[[#This Row],[Player1]])</f>
        <v>Nosfa</v>
      </c>
      <c r="X78" s="11" t="str">
        <f>IF(tbResults[[#This Row],[Winner]]=tbResults[[#This Row],[Player1]],tbResults[[#This Row],[Player1 Pick]],tbResults[[#This Row],[Player2 Pick]])</f>
        <v>Scalebearer</v>
      </c>
      <c r="Y78" s="11" t="str">
        <f>IF(tbResults[[#This Row],[Loser]]=tbResults[[#This Row],[Player1]],tbResults[[#This Row],[Player1 Pick]],tbResults[[#This Row],[Player2 Pick]])</f>
        <v>BJ Blazkowicz</v>
      </c>
      <c r="Z78" s="32">
        <f>SUM(tbResults[[#This Row],[Player1 Score]],tbResults[[#This Row],[Player2 Score]])</f>
        <v>19</v>
      </c>
      <c r="AA78" s="32">
        <f>ABS(tbResults[[#This Row],[Player1 Score]]-tbResults[[#This Row],[Player2 Score]])</f>
        <v>1</v>
      </c>
      <c r="AB78" s="37">
        <f>IF(tbResults[[#This Row],[Player1 Score]]&gt;tbResults[[#This Row],[Player2 Score]],tbResults[[#This Row],[Player1 Score]],tbResults[[#This Row],[Player2 Score]])</f>
        <v>10</v>
      </c>
      <c r="AC78" s="37">
        <f>IF(tbResults[[#This Row],[Player1 Score]]&lt;tbResults[[#This Row],[Player2 Score]],tbResults[[#This Row],[Player1 Score]],tbResults[[#This Row],[Player2 Score]])</f>
        <v>9</v>
      </c>
    </row>
    <row r="79" spans="2:29" s="3" customFormat="1" ht="30" customHeight="1" x14ac:dyDescent="0.3">
      <c r="B79" s="20" t="str">
        <f>_xlfn.CONCAT(tbResults[[#This Row],[Series Title]],".",tbResults[[#This Row],[Game]])</f>
        <v>2.1.10.06.1</v>
      </c>
      <c r="C79" s="15">
        <v>2</v>
      </c>
      <c r="D79" s="15">
        <v>1</v>
      </c>
      <c r="E79" s="15">
        <v>10</v>
      </c>
      <c r="F79" s="15">
        <v>6</v>
      </c>
      <c r="G79" s="15">
        <v>1</v>
      </c>
      <c r="H79" s="19" t="str">
        <f>_xlfn.CONCAT(tbResults[[#This Row],[Season]],".",tbResults[[#This Row],[Stage]])</f>
        <v>2.1</v>
      </c>
      <c r="I79" s="19" t="str">
        <f>_xlfn.CONCAT(tbResults[[#This Row],[Season]],".",tbResults[[#This Row],[Stage]],".",TEXT(tbResults[[#This Row],[Week]],"00"))</f>
        <v>2.1.10</v>
      </c>
      <c r="J79" s="19" t="str">
        <f>_xlfn.CONCAT(tbResults[[#This Row],[Week Title]],".",TEXT(tbResults[[#This Row],[Match]],"00"))</f>
        <v>2.1.10.06</v>
      </c>
      <c r="K79" s="20" t="str">
        <f>_xlfn.CONCAT(tbResults[[#This Row],[Game Title]], " ", tbResults[[#This Row],[Player1]], " vs ", tbResults[[#This Row],[Player2]] )</f>
        <v>2.1.10.06.1 coollerz vs toxjq</v>
      </c>
      <c r="L79" s="6" t="s">
        <v>48</v>
      </c>
      <c r="M79" s="6" t="s">
        <v>199</v>
      </c>
      <c r="N79" s="6" t="s">
        <v>178</v>
      </c>
      <c r="O79" s="6" t="s">
        <v>24</v>
      </c>
      <c r="P79" s="6" t="s">
        <v>35</v>
      </c>
      <c r="Q79" s="8">
        <v>16</v>
      </c>
      <c r="R79" s="8">
        <v>3</v>
      </c>
      <c r="S79" s="8" t="s">
        <v>81</v>
      </c>
      <c r="T79" s="16" t="s">
        <v>48</v>
      </c>
      <c r="U79" s="16" t="s">
        <v>38</v>
      </c>
      <c r="V79" s="46" t="str">
        <f>IF(tbResults[[#This Row],[Player1 Score]]&gt;tbResults[[#This Row],[Player2 Score]],tbResults[[#This Row],[Player1]],tbResults[[#This Row],[Player2]])</f>
        <v>coollerz</v>
      </c>
      <c r="W79" s="48" t="str">
        <f>IF(tbResults[[#This Row],[Player1 Score]]&gt;tbResults[[#This Row],[Player2 Score]],tbResults[[#This Row],[Player2]],tbResults[[#This Row],[Player1]])</f>
        <v>toxjq</v>
      </c>
      <c r="X79" s="11" t="str">
        <f>IF(tbResults[[#This Row],[Winner]]=tbResults[[#This Row],[Player1]],tbResults[[#This Row],[Player1 Pick]],tbResults[[#This Row],[Player2 Pick]])</f>
        <v>Slash</v>
      </c>
      <c r="Y79" s="11" t="str">
        <f>IF(tbResults[[#This Row],[Loser]]=tbResults[[#This Row],[Player1]],tbResults[[#This Row],[Player1 Pick]],tbResults[[#This Row],[Player2 Pick]])</f>
        <v>Doom</v>
      </c>
      <c r="Z79" s="32">
        <f>SUM(tbResults[[#This Row],[Player1 Score]],tbResults[[#This Row],[Player2 Score]])</f>
        <v>19</v>
      </c>
      <c r="AA79" s="32">
        <f>ABS(tbResults[[#This Row],[Player1 Score]]-tbResults[[#This Row],[Player2 Score]])</f>
        <v>13</v>
      </c>
      <c r="AB79" s="37">
        <f>IF(tbResults[[#This Row],[Player1 Score]]&gt;tbResults[[#This Row],[Player2 Score]],tbResults[[#This Row],[Player1 Score]],tbResults[[#This Row],[Player2 Score]])</f>
        <v>16</v>
      </c>
      <c r="AC79" s="37">
        <f>IF(tbResults[[#This Row],[Player1 Score]]&lt;tbResults[[#This Row],[Player2 Score]],tbResults[[#This Row],[Player1 Score]],tbResults[[#This Row],[Player2 Score]])</f>
        <v>3</v>
      </c>
    </row>
    <row r="80" spans="2:29" s="3" customFormat="1" ht="30" customHeight="1" x14ac:dyDescent="0.3">
      <c r="B80" s="20" t="str">
        <f>_xlfn.CONCAT(tbResults[[#This Row],[Series Title]],".",tbResults[[#This Row],[Game]])</f>
        <v>2.1.10.06.2</v>
      </c>
      <c r="C80" s="15">
        <v>2</v>
      </c>
      <c r="D80" s="15">
        <v>1</v>
      </c>
      <c r="E80" s="15">
        <v>10</v>
      </c>
      <c r="F80" s="15">
        <v>6</v>
      </c>
      <c r="G80" s="15">
        <v>2</v>
      </c>
      <c r="H80" s="19" t="str">
        <f>_xlfn.CONCAT(tbResults[[#This Row],[Season]],".",tbResults[[#This Row],[Stage]])</f>
        <v>2.1</v>
      </c>
      <c r="I80" s="19" t="str">
        <f>_xlfn.CONCAT(tbResults[[#This Row],[Season]],".",tbResults[[#This Row],[Stage]],".",TEXT(tbResults[[#This Row],[Week]],"00"))</f>
        <v>2.1.10</v>
      </c>
      <c r="J80" s="19" t="str">
        <f>_xlfn.CONCAT(tbResults[[#This Row],[Week Title]],".",TEXT(tbResults[[#This Row],[Match]],"00"))</f>
        <v>2.1.10.06</v>
      </c>
      <c r="K80" s="20" t="str">
        <f>_xlfn.CONCAT(tbResults[[#This Row],[Game Title]], " ", tbResults[[#This Row],[Player1]], " vs ", tbResults[[#This Row],[Player2]] )</f>
        <v>2.1.10.06.2 coollerz vs toxjq</v>
      </c>
      <c r="L80" s="6" t="s">
        <v>48</v>
      </c>
      <c r="M80" s="6" t="s">
        <v>199</v>
      </c>
      <c r="N80" s="6" t="s">
        <v>26</v>
      </c>
      <c r="O80" s="6" t="s">
        <v>21</v>
      </c>
      <c r="P80" s="6" t="s">
        <v>25</v>
      </c>
      <c r="Q80" s="8">
        <v>8</v>
      </c>
      <c r="R80" s="8">
        <v>4</v>
      </c>
      <c r="S80" s="8" t="s">
        <v>81</v>
      </c>
      <c r="T80" s="16" t="s">
        <v>199</v>
      </c>
      <c r="U80" s="16" t="s">
        <v>34</v>
      </c>
      <c r="V80" s="46" t="str">
        <f>IF(tbResults[[#This Row],[Player1 Score]]&gt;tbResults[[#This Row],[Player2 Score]],tbResults[[#This Row],[Player1]],tbResults[[#This Row],[Player2]])</f>
        <v>coollerz</v>
      </c>
      <c r="W80" s="48" t="str">
        <f>IF(tbResults[[#This Row],[Player1 Score]]&gt;tbResults[[#This Row],[Player2 Score]],tbResults[[#This Row],[Player2]],tbResults[[#This Row],[Player1]])</f>
        <v>toxjq</v>
      </c>
      <c r="X80" s="11" t="str">
        <f>IF(tbResults[[#This Row],[Winner]]=tbResults[[#This Row],[Player1]],tbResults[[#This Row],[Player1 Pick]],tbResults[[#This Row],[Player2 Pick]])</f>
        <v>Ranger</v>
      </c>
      <c r="Y80" s="11" t="str">
        <f>IF(tbResults[[#This Row],[Loser]]=tbResults[[#This Row],[Player1]],tbResults[[#This Row],[Player1 Pick]],tbResults[[#This Row],[Player2 Pick]])</f>
        <v>Sorlag</v>
      </c>
      <c r="Z80" s="32">
        <f>SUM(tbResults[[#This Row],[Player1 Score]],tbResults[[#This Row],[Player2 Score]])</f>
        <v>12</v>
      </c>
      <c r="AA80" s="32">
        <f>ABS(tbResults[[#This Row],[Player1 Score]]-tbResults[[#This Row],[Player2 Score]])</f>
        <v>4</v>
      </c>
      <c r="AB80" s="37">
        <f>IF(tbResults[[#This Row],[Player1 Score]]&gt;tbResults[[#This Row],[Player2 Score]],tbResults[[#This Row],[Player1 Score]],tbResults[[#This Row],[Player2 Score]])</f>
        <v>8</v>
      </c>
      <c r="AC80" s="37">
        <f>IF(tbResults[[#This Row],[Player1 Score]]&lt;tbResults[[#This Row],[Player2 Score]],tbResults[[#This Row],[Player1 Score]],tbResults[[#This Row],[Player2 Score]])</f>
        <v>4</v>
      </c>
    </row>
    <row r="81" spans="2:29" s="3" customFormat="1" ht="30" customHeight="1" x14ac:dyDescent="0.3">
      <c r="B81" s="20" t="str">
        <f>_xlfn.CONCAT(tbResults[[#This Row],[Series Title]],".",tbResults[[#This Row],[Game]])</f>
        <v>2.1.10.06.3</v>
      </c>
      <c r="C81" s="15">
        <v>2</v>
      </c>
      <c r="D81" s="15">
        <v>1</v>
      </c>
      <c r="E81" s="15">
        <v>10</v>
      </c>
      <c r="F81" s="15">
        <v>6</v>
      </c>
      <c r="G81" s="15">
        <v>3</v>
      </c>
      <c r="H81" s="19" t="str">
        <f>_xlfn.CONCAT(tbResults[[#This Row],[Season]],".",tbResults[[#This Row],[Stage]])</f>
        <v>2.1</v>
      </c>
      <c r="I81" s="19" t="str">
        <f>_xlfn.CONCAT(tbResults[[#This Row],[Season]],".",tbResults[[#This Row],[Stage]],".",TEXT(tbResults[[#This Row],[Week]],"00"))</f>
        <v>2.1.10</v>
      </c>
      <c r="J81" s="19" t="str">
        <f>_xlfn.CONCAT(tbResults[[#This Row],[Week Title]],".",TEXT(tbResults[[#This Row],[Match]],"00"))</f>
        <v>2.1.10.06</v>
      </c>
      <c r="K81" s="20" t="str">
        <f>_xlfn.CONCAT(tbResults[[#This Row],[Game Title]], " ", tbResults[[#This Row],[Player1]], " vs ", tbResults[[#This Row],[Player2]] )</f>
        <v>2.1.10.06.3 coollerz vs toxjq</v>
      </c>
      <c r="L81" s="6" t="s">
        <v>48</v>
      </c>
      <c r="M81" s="6" t="s">
        <v>199</v>
      </c>
      <c r="N81" s="6" t="s">
        <v>19</v>
      </c>
      <c r="O81" s="6" t="s">
        <v>22</v>
      </c>
      <c r="P81" s="6" t="s">
        <v>27</v>
      </c>
      <c r="Q81" s="8">
        <v>14</v>
      </c>
      <c r="R81" s="8">
        <v>10</v>
      </c>
      <c r="S81" s="8" t="s">
        <v>81</v>
      </c>
      <c r="T81" s="16" t="s">
        <v>48</v>
      </c>
      <c r="U81" s="16" t="s">
        <v>37</v>
      </c>
      <c r="V81" s="46" t="str">
        <f>IF(tbResults[[#This Row],[Player1 Score]]&gt;tbResults[[#This Row],[Player2 Score]],tbResults[[#This Row],[Player1]],tbResults[[#This Row],[Player2]])</f>
        <v>coollerz</v>
      </c>
      <c r="W81" s="48" t="str">
        <f>IF(tbResults[[#This Row],[Player1 Score]]&gt;tbResults[[#This Row],[Player2 Score]],tbResults[[#This Row],[Player2]],tbResults[[#This Row],[Player1]])</f>
        <v>toxjq</v>
      </c>
      <c r="X81" s="11" t="str">
        <f>IF(tbResults[[#This Row],[Winner]]=tbResults[[#This Row],[Player1]],tbResults[[#This Row],[Player1 Pick]],tbResults[[#This Row],[Player2 Pick]])</f>
        <v>Strogg</v>
      </c>
      <c r="Y81" s="11" t="str">
        <f>IF(tbResults[[#This Row],[Loser]]=tbResults[[#This Row],[Player1]],tbResults[[#This Row],[Player1 Pick]],tbResults[[#This Row],[Player2 Pick]])</f>
        <v>Keel</v>
      </c>
      <c r="Z81" s="32">
        <f>SUM(tbResults[[#This Row],[Player1 Score]],tbResults[[#This Row],[Player2 Score]])</f>
        <v>24</v>
      </c>
      <c r="AA81" s="32">
        <f>ABS(tbResults[[#This Row],[Player1 Score]]-tbResults[[#This Row],[Player2 Score]])</f>
        <v>4</v>
      </c>
      <c r="AB81" s="37">
        <f>IF(tbResults[[#This Row],[Player1 Score]]&gt;tbResults[[#This Row],[Player2 Score]],tbResults[[#This Row],[Player1 Score]],tbResults[[#This Row],[Player2 Score]])</f>
        <v>14</v>
      </c>
      <c r="AC81" s="37">
        <f>IF(tbResults[[#This Row],[Player1 Score]]&lt;tbResults[[#This Row],[Player2 Score]],tbResults[[#This Row],[Player1 Score]],tbResults[[#This Row],[Player2 Score]])</f>
        <v>10</v>
      </c>
    </row>
    <row r="82" spans="2:29" s="3" customFormat="1" ht="30" customHeight="1" x14ac:dyDescent="0.3">
      <c r="B82" s="20" t="str">
        <f>_xlfn.CONCAT(tbResults[[#This Row],[Series Title]],".",tbResults[[#This Row],[Game]])</f>
        <v>2.1.10.07.1</v>
      </c>
      <c r="C82" s="15">
        <v>2</v>
      </c>
      <c r="D82" s="15">
        <v>1</v>
      </c>
      <c r="E82" s="15">
        <v>10</v>
      </c>
      <c r="F82" s="15">
        <v>7</v>
      </c>
      <c r="G82" s="15">
        <v>1</v>
      </c>
      <c r="H82" s="19" t="str">
        <f>_xlfn.CONCAT(tbResults[[#This Row],[Season]],".",tbResults[[#This Row],[Stage]])</f>
        <v>2.1</v>
      </c>
      <c r="I82" s="19" t="str">
        <f>_xlfn.CONCAT(tbResults[[#This Row],[Season]],".",tbResults[[#This Row],[Stage]],".",TEXT(tbResults[[#This Row],[Week]],"00"))</f>
        <v>2.1.10</v>
      </c>
      <c r="J82" s="19" t="str">
        <f>_xlfn.CONCAT(tbResults[[#This Row],[Week Title]],".",TEXT(tbResults[[#This Row],[Match]],"00"))</f>
        <v>2.1.10.07</v>
      </c>
      <c r="K82" s="20" t="str">
        <f>_xlfn.CONCAT(tbResults[[#This Row],[Game Title]], " ", tbResults[[#This Row],[Player1]], " vs ", tbResults[[#This Row],[Player2]] )</f>
        <v>2.1.10.07.1 Cypher vs k1llsen</v>
      </c>
      <c r="L82" s="6" t="s">
        <v>14</v>
      </c>
      <c r="M82" s="6" t="s">
        <v>31</v>
      </c>
      <c r="N82" s="6" t="s">
        <v>19</v>
      </c>
      <c r="O82" s="6" t="s">
        <v>35</v>
      </c>
      <c r="P82" s="6" t="s">
        <v>38</v>
      </c>
      <c r="Q82" s="8">
        <v>10</v>
      </c>
      <c r="R82" s="8">
        <v>7</v>
      </c>
      <c r="S82" s="8" t="s">
        <v>81</v>
      </c>
      <c r="T82" s="16" t="s">
        <v>14</v>
      </c>
      <c r="U82" s="16" t="s">
        <v>27</v>
      </c>
      <c r="V82" s="46" t="str">
        <f>IF(tbResults[[#This Row],[Player1 Score]]&gt;tbResults[[#This Row],[Player2 Score]],tbResults[[#This Row],[Player1]],tbResults[[#This Row],[Player2]])</f>
        <v>Cypher</v>
      </c>
      <c r="W82" s="48" t="str">
        <f>IF(tbResults[[#This Row],[Player1 Score]]&gt;tbResults[[#This Row],[Player2 Score]],tbResults[[#This Row],[Player2]],tbResults[[#This Row],[Player1]])</f>
        <v>k1llsen</v>
      </c>
      <c r="X82" s="11" t="str">
        <f>IF(tbResults[[#This Row],[Winner]]=tbResults[[#This Row],[Player1]],tbResults[[#This Row],[Player1 Pick]],tbResults[[#This Row],[Player2 Pick]])</f>
        <v>Doom</v>
      </c>
      <c r="Y82" s="11" t="str">
        <f>IF(tbResults[[#This Row],[Loser]]=tbResults[[#This Row],[Player1]],tbResults[[#This Row],[Player1 Pick]],tbResults[[#This Row],[Player2 Pick]])</f>
        <v>Nyx</v>
      </c>
      <c r="Z82" s="32">
        <f>SUM(tbResults[[#This Row],[Player1 Score]],tbResults[[#This Row],[Player2 Score]])</f>
        <v>17</v>
      </c>
      <c r="AA82" s="32">
        <f>ABS(tbResults[[#This Row],[Player1 Score]]-tbResults[[#This Row],[Player2 Score]])</f>
        <v>3</v>
      </c>
      <c r="AB82" s="37">
        <f>IF(tbResults[[#This Row],[Player1 Score]]&gt;tbResults[[#This Row],[Player2 Score]],tbResults[[#This Row],[Player1 Score]],tbResults[[#This Row],[Player2 Score]])</f>
        <v>10</v>
      </c>
      <c r="AC82" s="37">
        <f>IF(tbResults[[#This Row],[Player1 Score]]&lt;tbResults[[#This Row],[Player2 Score]],tbResults[[#This Row],[Player1 Score]],tbResults[[#This Row],[Player2 Score]])</f>
        <v>7</v>
      </c>
    </row>
    <row r="83" spans="2:29" s="3" customFormat="1" ht="30" customHeight="1" x14ac:dyDescent="0.3">
      <c r="B83" s="20" t="str">
        <f>_xlfn.CONCAT(tbResults[[#This Row],[Series Title]],".",tbResults[[#This Row],[Game]])</f>
        <v>2.1.10.07.2</v>
      </c>
      <c r="C83" s="15">
        <v>2</v>
      </c>
      <c r="D83" s="15">
        <v>1</v>
      </c>
      <c r="E83" s="15">
        <v>10</v>
      </c>
      <c r="F83" s="15">
        <v>7</v>
      </c>
      <c r="G83" s="15">
        <v>2</v>
      </c>
      <c r="H83" s="19" t="str">
        <f>_xlfn.CONCAT(tbResults[[#This Row],[Season]],".",tbResults[[#This Row],[Stage]])</f>
        <v>2.1</v>
      </c>
      <c r="I83" s="19" t="str">
        <f>_xlfn.CONCAT(tbResults[[#This Row],[Season]],".",tbResults[[#This Row],[Stage]],".",TEXT(tbResults[[#This Row],[Week]],"00"))</f>
        <v>2.1.10</v>
      </c>
      <c r="J83" s="19" t="str">
        <f>_xlfn.CONCAT(tbResults[[#This Row],[Week Title]],".",TEXT(tbResults[[#This Row],[Match]],"00"))</f>
        <v>2.1.10.07</v>
      </c>
      <c r="K83" s="20" t="str">
        <f>_xlfn.CONCAT(tbResults[[#This Row],[Game Title]], " ", tbResults[[#This Row],[Player1]], " vs ", tbResults[[#This Row],[Player2]] )</f>
        <v>2.1.10.07.2 Cypher vs k1llsen</v>
      </c>
      <c r="L83" s="6" t="s">
        <v>14</v>
      </c>
      <c r="M83" s="6" t="s">
        <v>31</v>
      </c>
      <c r="N83" s="6" t="s">
        <v>177</v>
      </c>
      <c r="O83" s="6" t="s">
        <v>55</v>
      </c>
      <c r="P83" s="6" t="s">
        <v>25</v>
      </c>
      <c r="Q83" s="8">
        <v>6</v>
      </c>
      <c r="R83" s="8">
        <v>7</v>
      </c>
      <c r="S83" s="8" t="s">
        <v>81</v>
      </c>
      <c r="T83" s="16" t="s">
        <v>31</v>
      </c>
      <c r="U83" s="16" t="s">
        <v>34</v>
      </c>
      <c r="V83" s="46" t="str">
        <f>IF(tbResults[[#This Row],[Player1 Score]]&gt;tbResults[[#This Row],[Player2 Score]],tbResults[[#This Row],[Player1]],tbResults[[#This Row],[Player2]])</f>
        <v>k1llsen</v>
      </c>
      <c r="W83" s="48" t="str">
        <f>IF(tbResults[[#This Row],[Player1 Score]]&gt;tbResults[[#This Row],[Player2 Score]],tbResults[[#This Row],[Player2]],tbResults[[#This Row],[Player1]])</f>
        <v>Cypher</v>
      </c>
      <c r="X83" s="11" t="str">
        <f>IF(tbResults[[#This Row],[Winner]]=tbResults[[#This Row],[Player1]],tbResults[[#This Row],[Player1 Pick]],tbResults[[#This Row],[Player2 Pick]])</f>
        <v>Sorlag</v>
      </c>
      <c r="Y83" s="11" t="str">
        <f>IF(tbResults[[#This Row],[Loser]]=tbResults[[#This Row],[Player1]],tbResults[[#This Row],[Player1 Pick]],tbResults[[#This Row],[Player2 Pick]])</f>
        <v>Athena</v>
      </c>
      <c r="Z83" s="32">
        <f>SUM(tbResults[[#This Row],[Player1 Score]],tbResults[[#This Row],[Player2 Score]])</f>
        <v>13</v>
      </c>
      <c r="AA83" s="32">
        <f>ABS(tbResults[[#This Row],[Player1 Score]]-tbResults[[#This Row],[Player2 Score]])</f>
        <v>1</v>
      </c>
      <c r="AB83" s="37">
        <f>IF(tbResults[[#This Row],[Player1 Score]]&gt;tbResults[[#This Row],[Player2 Score]],tbResults[[#This Row],[Player1 Score]],tbResults[[#This Row],[Player2 Score]])</f>
        <v>7</v>
      </c>
      <c r="AC83" s="37">
        <f>IF(tbResults[[#This Row],[Player1 Score]]&lt;tbResults[[#This Row],[Player2 Score]],tbResults[[#This Row],[Player1 Score]],tbResults[[#This Row],[Player2 Score]])</f>
        <v>6</v>
      </c>
    </row>
    <row r="84" spans="2:29" s="3" customFormat="1" ht="30" customHeight="1" x14ac:dyDescent="0.3">
      <c r="B84" s="20" t="str">
        <f>_xlfn.CONCAT(tbResults[[#This Row],[Series Title]],".",tbResults[[#This Row],[Game]])</f>
        <v>2.1.10.07.3</v>
      </c>
      <c r="C84" s="15">
        <v>2</v>
      </c>
      <c r="D84" s="15">
        <v>1</v>
      </c>
      <c r="E84" s="15">
        <v>10</v>
      </c>
      <c r="F84" s="15">
        <v>7</v>
      </c>
      <c r="G84" s="15">
        <v>3</v>
      </c>
      <c r="H84" s="19" t="str">
        <f>_xlfn.CONCAT(tbResults[[#This Row],[Season]],".",tbResults[[#This Row],[Stage]])</f>
        <v>2.1</v>
      </c>
      <c r="I84" s="19" t="str">
        <f>_xlfn.CONCAT(tbResults[[#This Row],[Season]],".",tbResults[[#This Row],[Stage]],".",TEXT(tbResults[[#This Row],[Week]],"00"))</f>
        <v>2.1.10</v>
      </c>
      <c r="J84" s="19" t="str">
        <f>_xlfn.CONCAT(tbResults[[#This Row],[Week Title]],".",TEXT(tbResults[[#This Row],[Match]],"00"))</f>
        <v>2.1.10.07</v>
      </c>
      <c r="K84" s="20" t="str">
        <f>_xlfn.CONCAT(tbResults[[#This Row],[Game Title]], " ", tbResults[[#This Row],[Player1]], " vs ", tbResults[[#This Row],[Player2]] )</f>
        <v>2.1.10.07.3 Cypher vs k1llsen</v>
      </c>
      <c r="L84" s="6" t="s">
        <v>14</v>
      </c>
      <c r="M84" s="6" t="s">
        <v>31</v>
      </c>
      <c r="N84" s="6" t="s">
        <v>40</v>
      </c>
      <c r="O84" s="6" t="s">
        <v>22</v>
      </c>
      <c r="P84" s="6" t="s">
        <v>37</v>
      </c>
      <c r="Q84" s="8">
        <v>13</v>
      </c>
      <c r="R84" s="8">
        <v>-2</v>
      </c>
      <c r="S84" s="8" t="s">
        <v>81</v>
      </c>
      <c r="T84" s="16" t="s">
        <v>14</v>
      </c>
      <c r="U84" s="16" t="s">
        <v>21</v>
      </c>
      <c r="V84" s="46" t="str">
        <f>IF(tbResults[[#This Row],[Player1 Score]]&gt;tbResults[[#This Row],[Player2 Score]],tbResults[[#This Row],[Player1]],tbResults[[#This Row],[Player2]])</f>
        <v>Cypher</v>
      </c>
      <c r="W84" s="48" t="str">
        <f>IF(tbResults[[#This Row],[Player1 Score]]&gt;tbResults[[#This Row],[Player2 Score]],tbResults[[#This Row],[Player2]],tbResults[[#This Row],[Player1]])</f>
        <v>k1llsen</v>
      </c>
      <c r="X84" s="11" t="str">
        <f>IF(tbResults[[#This Row],[Winner]]=tbResults[[#This Row],[Player1]],tbResults[[#This Row],[Player1 Pick]],tbResults[[#This Row],[Player2 Pick]])</f>
        <v>Strogg</v>
      </c>
      <c r="Y84" s="11" t="str">
        <f>IF(tbResults[[#This Row],[Loser]]=tbResults[[#This Row],[Player1]],tbResults[[#This Row],[Player1 Pick]],tbResults[[#This Row],[Player2 Pick]])</f>
        <v>Eisen</v>
      </c>
      <c r="Z84" s="32">
        <f>SUM(tbResults[[#This Row],[Player1 Score]],tbResults[[#This Row],[Player2 Score]])</f>
        <v>11</v>
      </c>
      <c r="AA84" s="32">
        <f>ABS(tbResults[[#This Row],[Player1 Score]]-tbResults[[#This Row],[Player2 Score]])</f>
        <v>15</v>
      </c>
      <c r="AB84" s="37">
        <f>IF(tbResults[[#This Row],[Player1 Score]]&gt;tbResults[[#This Row],[Player2 Score]],tbResults[[#This Row],[Player1 Score]],tbResults[[#This Row],[Player2 Score]])</f>
        <v>13</v>
      </c>
      <c r="AC84" s="37">
        <f>IF(tbResults[[#This Row],[Player1 Score]]&lt;tbResults[[#This Row],[Player2 Score]],tbResults[[#This Row],[Player1 Score]],tbResults[[#This Row],[Player2 Score]])</f>
        <v>-2</v>
      </c>
    </row>
    <row r="85" spans="2:29" s="3" customFormat="1" ht="30" customHeight="1" x14ac:dyDescent="0.3">
      <c r="B85" s="20" t="str">
        <f>_xlfn.CONCAT(tbResults[[#This Row],[Series Title]],".",tbResults[[#This Row],[Game]])</f>
        <v>2.1.11.01.1</v>
      </c>
      <c r="C85" s="15">
        <v>2</v>
      </c>
      <c r="D85" s="15">
        <v>1</v>
      </c>
      <c r="E85" s="15">
        <v>11</v>
      </c>
      <c r="F85" s="15">
        <v>1</v>
      </c>
      <c r="G85" s="15">
        <v>1</v>
      </c>
      <c r="H85" s="19" t="str">
        <f>_xlfn.CONCAT(tbResults[[#This Row],[Season]],".",tbResults[[#This Row],[Stage]])</f>
        <v>2.1</v>
      </c>
      <c r="I85" s="19" t="str">
        <f>_xlfn.CONCAT(tbResults[[#This Row],[Season]],".",tbResults[[#This Row],[Stage]],".",TEXT(tbResults[[#This Row],[Week]],"00"))</f>
        <v>2.1.11</v>
      </c>
      <c r="J85" s="19" t="str">
        <f>_xlfn.CONCAT(tbResults[[#This Row],[Week Title]],".",TEXT(tbResults[[#This Row],[Match]],"00"))</f>
        <v>2.1.11.01</v>
      </c>
      <c r="K85" s="20" t="str">
        <f>_xlfn.CONCAT(tbResults[[#This Row],[Game Title]], " ", tbResults[[#This Row],[Player1]], " vs ", tbResults[[#This Row],[Player2]] )</f>
        <v>2.1.11.01.1 Dramis vs dooi</v>
      </c>
      <c r="L85" s="6" t="s">
        <v>12</v>
      </c>
      <c r="M85" s="6" t="s">
        <v>5</v>
      </c>
      <c r="N85" s="6" t="s">
        <v>178</v>
      </c>
      <c r="O85" s="6" t="s">
        <v>55</v>
      </c>
      <c r="P85" s="6" t="s">
        <v>21</v>
      </c>
      <c r="Q85" s="8">
        <v>15</v>
      </c>
      <c r="R85" s="8">
        <v>3</v>
      </c>
      <c r="S85" s="8" t="s">
        <v>81</v>
      </c>
      <c r="T85" s="16" t="s">
        <v>12</v>
      </c>
      <c r="U85" s="16" t="s">
        <v>24</v>
      </c>
      <c r="V85" s="46" t="str">
        <f>IF(tbResults[[#This Row],[Player1 Score]]&gt;tbResults[[#This Row],[Player2 Score]],tbResults[[#This Row],[Player1]],tbResults[[#This Row],[Player2]])</f>
        <v>Dramis</v>
      </c>
      <c r="W85" s="48" t="str">
        <f>IF(tbResults[[#This Row],[Player1 Score]]&gt;tbResults[[#This Row],[Player2 Score]],tbResults[[#This Row],[Player2]],tbResults[[#This Row],[Player1]])</f>
        <v>dooi</v>
      </c>
      <c r="X85" s="11" t="str">
        <f>IF(tbResults[[#This Row],[Winner]]=tbResults[[#This Row],[Player1]],tbResults[[#This Row],[Player1 Pick]],tbResults[[#This Row],[Player2 Pick]])</f>
        <v>Athena</v>
      </c>
      <c r="Y85" s="11" t="str">
        <f>IF(tbResults[[#This Row],[Loser]]=tbResults[[#This Row],[Player1]],tbResults[[#This Row],[Player1 Pick]],tbResults[[#This Row],[Player2 Pick]])</f>
        <v>Ranger</v>
      </c>
      <c r="Z85" s="32">
        <f>SUM(tbResults[[#This Row],[Player1 Score]],tbResults[[#This Row],[Player2 Score]])</f>
        <v>18</v>
      </c>
      <c r="AA85" s="32">
        <f>ABS(tbResults[[#This Row],[Player1 Score]]-tbResults[[#This Row],[Player2 Score]])</f>
        <v>12</v>
      </c>
      <c r="AB85" s="37">
        <f>IF(tbResults[[#This Row],[Player1 Score]]&gt;tbResults[[#This Row],[Player2 Score]],tbResults[[#This Row],[Player1 Score]],tbResults[[#This Row],[Player2 Score]])</f>
        <v>15</v>
      </c>
      <c r="AC85" s="37">
        <f>IF(tbResults[[#This Row],[Player1 Score]]&lt;tbResults[[#This Row],[Player2 Score]],tbResults[[#This Row],[Player1 Score]],tbResults[[#This Row],[Player2 Score]])</f>
        <v>3</v>
      </c>
    </row>
    <row r="86" spans="2:29" s="3" customFormat="1" ht="30" customHeight="1" x14ac:dyDescent="0.3">
      <c r="B86" s="20" t="str">
        <f>_xlfn.CONCAT(tbResults[[#This Row],[Series Title]],".",tbResults[[#This Row],[Game]])</f>
        <v>2.1.11.01.2</v>
      </c>
      <c r="C86" s="15">
        <v>2</v>
      </c>
      <c r="D86" s="15">
        <v>1</v>
      </c>
      <c r="E86" s="15">
        <v>11</v>
      </c>
      <c r="F86" s="15">
        <v>1</v>
      </c>
      <c r="G86" s="15">
        <v>2</v>
      </c>
      <c r="H86" s="19" t="str">
        <f>_xlfn.CONCAT(tbResults[[#This Row],[Season]],".",tbResults[[#This Row],[Stage]])</f>
        <v>2.1</v>
      </c>
      <c r="I86" s="19" t="str">
        <f>_xlfn.CONCAT(tbResults[[#This Row],[Season]],".",tbResults[[#This Row],[Stage]],".",TEXT(tbResults[[#This Row],[Week]],"00"))</f>
        <v>2.1.11</v>
      </c>
      <c r="J86" s="19" t="str">
        <f>_xlfn.CONCAT(tbResults[[#This Row],[Week Title]],".",TEXT(tbResults[[#This Row],[Match]],"00"))</f>
        <v>2.1.11.01</v>
      </c>
      <c r="K86" s="20" t="str">
        <f>_xlfn.CONCAT(tbResults[[#This Row],[Game Title]], " ", tbResults[[#This Row],[Player1]], " vs ", tbResults[[#This Row],[Player2]] )</f>
        <v>2.1.11.01.2 Dramis vs dooi</v>
      </c>
      <c r="L86" s="6" t="s">
        <v>12</v>
      </c>
      <c r="M86" s="6" t="s">
        <v>5</v>
      </c>
      <c r="N86" s="6" t="s">
        <v>23</v>
      </c>
      <c r="O86" s="6" t="s">
        <v>22</v>
      </c>
      <c r="P86" s="6" t="s">
        <v>25</v>
      </c>
      <c r="Q86" s="8">
        <v>5</v>
      </c>
      <c r="R86" s="8">
        <v>4</v>
      </c>
      <c r="S86" s="8" t="s">
        <v>81</v>
      </c>
      <c r="T86" s="16" t="s">
        <v>5</v>
      </c>
      <c r="U86" s="16" t="s">
        <v>44</v>
      </c>
      <c r="V86" s="46" t="str">
        <f>IF(tbResults[[#This Row],[Player1 Score]]&gt;tbResults[[#This Row],[Player2 Score]],tbResults[[#This Row],[Player1]],tbResults[[#This Row],[Player2]])</f>
        <v>Dramis</v>
      </c>
      <c r="W86" s="48" t="str">
        <f>IF(tbResults[[#This Row],[Player1 Score]]&gt;tbResults[[#This Row],[Player2 Score]],tbResults[[#This Row],[Player2]],tbResults[[#This Row],[Player1]])</f>
        <v>dooi</v>
      </c>
      <c r="X86" s="11" t="str">
        <f>IF(tbResults[[#This Row],[Winner]]=tbResults[[#This Row],[Player1]],tbResults[[#This Row],[Player1 Pick]],tbResults[[#This Row],[Player2 Pick]])</f>
        <v>Strogg</v>
      </c>
      <c r="Y86" s="11" t="str">
        <f>IF(tbResults[[#This Row],[Loser]]=tbResults[[#This Row],[Player1]],tbResults[[#This Row],[Player1 Pick]],tbResults[[#This Row],[Player2 Pick]])</f>
        <v>Sorlag</v>
      </c>
      <c r="Z86" s="32">
        <f>SUM(tbResults[[#This Row],[Player1 Score]],tbResults[[#This Row],[Player2 Score]])</f>
        <v>9</v>
      </c>
      <c r="AA86" s="32">
        <f>ABS(tbResults[[#This Row],[Player1 Score]]-tbResults[[#This Row],[Player2 Score]])</f>
        <v>1</v>
      </c>
      <c r="AB86" s="37">
        <f>IF(tbResults[[#This Row],[Player1 Score]]&gt;tbResults[[#This Row],[Player2 Score]],tbResults[[#This Row],[Player1 Score]],tbResults[[#This Row],[Player2 Score]])</f>
        <v>5</v>
      </c>
      <c r="AC86" s="37">
        <f>IF(tbResults[[#This Row],[Player1 Score]]&lt;tbResults[[#This Row],[Player2 Score]],tbResults[[#This Row],[Player1 Score]],tbResults[[#This Row],[Player2 Score]])</f>
        <v>4</v>
      </c>
    </row>
    <row r="87" spans="2:29" s="3" customFormat="1" ht="30" customHeight="1" x14ac:dyDescent="0.3">
      <c r="B87" s="20" t="str">
        <f>_xlfn.CONCAT(tbResults[[#This Row],[Series Title]],".",tbResults[[#This Row],[Game]])</f>
        <v>2.1.11.01.3</v>
      </c>
      <c r="C87" s="15">
        <v>2</v>
      </c>
      <c r="D87" s="15">
        <v>1</v>
      </c>
      <c r="E87" s="15">
        <v>11</v>
      </c>
      <c r="F87" s="15">
        <v>1</v>
      </c>
      <c r="G87" s="15">
        <v>3</v>
      </c>
      <c r="H87" s="19" t="str">
        <f>_xlfn.CONCAT(tbResults[[#This Row],[Season]],".",tbResults[[#This Row],[Stage]])</f>
        <v>2.1</v>
      </c>
      <c r="I87" s="19" t="str">
        <f>_xlfn.CONCAT(tbResults[[#This Row],[Season]],".",tbResults[[#This Row],[Stage]],".",TEXT(tbResults[[#This Row],[Week]],"00"))</f>
        <v>2.1.11</v>
      </c>
      <c r="J87" s="19" t="str">
        <f>_xlfn.CONCAT(tbResults[[#This Row],[Week Title]],".",TEXT(tbResults[[#This Row],[Match]],"00"))</f>
        <v>2.1.11.01</v>
      </c>
      <c r="K87" s="20" t="str">
        <f>_xlfn.CONCAT(tbResults[[#This Row],[Game Title]], " ", tbResults[[#This Row],[Player1]], " vs ", tbResults[[#This Row],[Player2]] )</f>
        <v>2.1.11.01.3 Dramis vs dooi</v>
      </c>
      <c r="L87" s="6" t="s">
        <v>12</v>
      </c>
      <c r="M87" s="6" t="s">
        <v>5</v>
      </c>
      <c r="N87" s="6" t="s">
        <v>19</v>
      </c>
      <c r="O87" s="6" t="s">
        <v>27</v>
      </c>
      <c r="P87" s="6" t="s">
        <v>28</v>
      </c>
      <c r="Q87" s="8">
        <v>6</v>
      </c>
      <c r="R87" s="8">
        <v>3</v>
      </c>
      <c r="S87" s="8" t="s">
        <v>81</v>
      </c>
      <c r="T87" s="16" t="s">
        <v>12</v>
      </c>
      <c r="U87" s="16" t="s">
        <v>35</v>
      </c>
      <c r="V87" s="46" t="str">
        <f>IF(tbResults[[#This Row],[Player1 Score]]&gt;tbResults[[#This Row],[Player2 Score]],tbResults[[#This Row],[Player1]],tbResults[[#This Row],[Player2]])</f>
        <v>Dramis</v>
      </c>
      <c r="W87" s="48" t="str">
        <f>IF(tbResults[[#This Row],[Player1 Score]]&gt;tbResults[[#This Row],[Player2 Score]],tbResults[[#This Row],[Player2]],tbResults[[#This Row],[Player1]])</f>
        <v>dooi</v>
      </c>
      <c r="X87" s="11" t="str">
        <f>IF(tbResults[[#This Row],[Winner]]=tbResults[[#This Row],[Player1]],tbResults[[#This Row],[Player1 Pick]],tbResults[[#This Row],[Player2 Pick]])</f>
        <v>Keel</v>
      </c>
      <c r="Y87" s="11" t="str">
        <f>IF(tbResults[[#This Row],[Loser]]=tbResults[[#This Row],[Player1]],tbResults[[#This Row],[Player1 Pick]],tbResults[[#This Row],[Player2 Pick]])</f>
        <v>BJ Blazkowicz</v>
      </c>
      <c r="Z87" s="32">
        <f>SUM(tbResults[[#This Row],[Player1 Score]],tbResults[[#This Row],[Player2 Score]])</f>
        <v>9</v>
      </c>
      <c r="AA87" s="32">
        <f>ABS(tbResults[[#This Row],[Player1 Score]]-tbResults[[#This Row],[Player2 Score]])</f>
        <v>3</v>
      </c>
      <c r="AB87" s="37">
        <f>IF(tbResults[[#This Row],[Player1 Score]]&gt;tbResults[[#This Row],[Player2 Score]],tbResults[[#This Row],[Player1 Score]],tbResults[[#This Row],[Player2 Score]])</f>
        <v>6</v>
      </c>
      <c r="AC87" s="37">
        <f>IF(tbResults[[#This Row],[Player1 Score]]&lt;tbResults[[#This Row],[Player2 Score]],tbResults[[#This Row],[Player1 Score]],tbResults[[#This Row],[Player2 Score]])</f>
        <v>3</v>
      </c>
    </row>
    <row r="88" spans="2:29" s="3" customFormat="1" ht="30" customHeight="1" x14ac:dyDescent="0.3">
      <c r="B88" s="20" t="str">
        <f>_xlfn.CONCAT(tbResults[[#This Row],[Series Title]],".",tbResults[[#This Row],[Game]])</f>
        <v>2.1.11.02.1</v>
      </c>
      <c r="C88" s="15">
        <v>2</v>
      </c>
      <c r="D88" s="15">
        <v>1</v>
      </c>
      <c r="E88" s="15">
        <v>11</v>
      </c>
      <c r="F88" s="15">
        <v>2</v>
      </c>
      <c r="G88" s="15">
        <v>1</v>
      </c>
      <c r="H88" s="19" t="str">
        <f>_xlfn.CONCAT(tbResults[[#This Row],[Season]],".",tbResults[[#This Row],[Stage]])</f>
        <v>2.1</v>
      </c>
      <c r="I88" s="19" t="str">
        <f>_xlfn.CONCAT(tbResults[[#This Row],[Season]],".",tbResults[[#This Row],[Stage]],".",TEXT(tbResults[[#This Row],[Week]],"00"))</f>
        <v>2.1.11</v>
      </c>
      <c r="J88" s="19" t="str">
        <f>_xlfn.CONCAT(tbResults[[#This Row],[Week Title]],".",TEXT(tbResults[[#This Row],[Match]],"00"))</f>
        <v>2.1.11.02</v>
      </c>
      <c r="K88" s="20" t="str">
        <f>_xlfn.CONCAT(tbResults[[#This Row],[Game Title]], " ", tbResults[[#This Row],[Player1]], " vs ", tbResults[[#This Row],[Player2]] )</f>
        <v>2.1.11.02.1 Effortless vs Nosfa</v>
      </c>
      <c r="L88" s="6" t="s">
        <v>6</v>
      </c>
      <c r="M88" s="6" t="s">
        <v>11</v>
      </c>
      <c r="N88" s="6" t="s">
        <v>26</v>
      </c>
      <c r="O88" s="6" t="s">
        <v>21</v>
      </c>
      <c r="P88" s="6" t="s">
        <v>34</v>
      </c>
      <c r="Q88" s="8">
        <v>4</v>
      </c>
      <c r="R88" s="8">
        <v>12</v>
      </c>
      <c r="S88" s="8" t="s">
        <v>81</v>
      </c>
      <c r="T88" s="16" t="s">
        <v>6</v>
      </c>
      <c r="U88" s="16" t="s">
        <v>24</v>
      </c>
      <c r="V88" s="46" t="str">
        <f>IF(tbResults[[#This Row],[Player1 Score]]&gt;tbResults[[#This Row],[Player2 Score]],tbResults[[#This Row],[Player1]],tbResults[[#This Row],[Player2]])</f>
        <v>Nosfa</v>
      </c>
      <c r="W88" s="48" t="str">
        <f>IF(tbResults[[#This Row],[Player1 Score]]&gt;tbResults[[#This Row],[Player2 Score]],tbResults[[#This Row],[Player2]],tbResults[[#This Row],[Player1]])</f>
        <v>Effortless</v>
      </c>
      <c r="X88" s="11" t="str">
        <f>IF(tbResults[[#This Row],[Winner]]=tbResults[[#This Row],[Player1]],tbResults[[#This Row],[Player1 Pick]],tbResults[[#This Row],[Player2 Pick]])</f>
        <v>Galena</v>
      </c>
      <c r="Y88" s="11" t="str">
        <f>IF(tbResults[[#This Row],[Loser]]=tbResults[[#This Row],[Player1]],tbResults[[#This Row],[Player1 Pick]],tbResults[[#This Row],[Player2 Pick]])</f>
        <v>Ranger</v>
      </c>
      <c r="Z88" s="32">
        <f>SUM(tbResults[[#This Row],[Player1 Score]],tbResults[[#This Row],[Player2 Score]])</f>
        <v>16</v>
      </c>
      <c r="AA88" s="32">
        <f>ABS(tbResults[[#This Row],[Player1 Score]]-tbResults[[#This Row],[Player2 Score]])</f>
        <v>8</v>
      </c>
      <c r="AB88" s="37">
        <f>IF(tbResults[[#This Row],[Player1 Score]]&gt;tbResults[[#This Row],[Player2 Score]],tbResults[[#This Row],[Player1 Score]],tbResults[[#This Row],[Player2 Score]])</f>
        <v>12</v>
      </c>
      <c r="AC88" s="37">
        <f>IF(tbResults[[#This Row],[Player1 Score]]&lt;tbResults[[#This Row],[Player2 Score]],tbResults[[#This Row],[Player1 Score]],tbResults[[#This Row],[Player2 Score]])</f>
        <v>4</v>
      </c>
    </row>
    <row r="89" spans="2:29" s="3" customFormat="1" ht="30" customHeight="1" x14ac:dyDescent="0.3">
      <c r="B89" s="20" t="str">
        <f>_xlfn.CONCAT(tbResults[[#This Row],[Series Title]],".",tbResults[[#This Row],[Game]])</f>
        <v>2.1.11.02.2</v>
      </c>
      <c r="C89" s="15">
        <v>2</v>
      </c>
      <c r="D89" s="15">
        <v>1</v>
      </c>
      <c r="E89" s="15">
        <v>11</v>
      </c>
      <c r="F89" s="15">
        <v>2</v>
      </c>
      <c r="G89" s="15">
        <v>2</v>
      </c>
      <c r="H89" s="19" t="str">
        <f>_xlfn.CONCAT(tbResults[[#This Row],[Season]],".",tbResults[[#This Row],[Stage]])</f>
        <v>2.1</v>
      </c>
      <c r="I89" s="19" t="str">
        <f>_xlfn.CONCAT(tbResults[[#This Row],[Season]],".",tbResults[[#This Row],[Stage]],".",TEXT(tbResults[[#This Row],[Week]],"00"))</f>
        <v>2.1.11</v>
      </c>
      <c r="J89" s="19" t="str">
        <f>_xlfn.CONCAT(tbResults[[#This Row],[Week Title]],".",TEXT(tbResults[[#This Row],[Match]],"00"))</f>
        <v>2.1.11.02</v>
      </c>
      <c r="K89" s="20" t="str">
        <f>_xlfn.CONCAT(tbResults[[#This Row],[Game Title]], " ", tbResults[[#This Row],[Player1]], " vs ", tbResults[[#This Row],[Player2]] )</f>
        <v>2.1.11.02.2 Effortless vs Nosfa</v>
      </c>
      <c r="L89" s="6" t="s">
        <v>6</v>
      </c>
      <c r="M89" s="6" t="s">
        <v>11</v>
      </c>
      <c r="N89" s="6" t="s">
        <v>23</v>
      </c>
      <c r="O89" s="6" t="s">
        <v>27</v>
      </c>
      <c r="P89" s="6" t="s">
        <v>22</v>
      </c>
      <c r="Q89" s="8">
        <v>5</v>
      </c>
      <c r="R89" s="8">
        <v>6</v>
      </c>
      <c r="S89" s="8" t="s">
        <v>82</v>
      </c>
      <c r="T89" s="16" t="s">
        <v>11</v>
      </c>
      <c r="U89" s="16" t="s">
        <v>44</v>
      </c>
      <c r="V89" s="46" t="str">
        <f>IF(tbResults[[#This Row],[Player1 Score]]&gt;tbResults[[#This Row],[Player2 Score]],tbResults[[#This Row],[Player1]],tbResults[[#This Row],[Player2]])</f>
        <v>Nosfa</v>
      </c>
      <c r="W89" s="48" t="str">
        <f>IF(tbResults[[#This Row],[Player1 Score]]&gt;tbResults[[#This Row],[Player2 Score]],tbResults[[#This Row],[Player2]],tbResults[[#This Row],[Player1]])</f>
        <v>Effortless</v>
      </c>
      <c r="X89" s="11" t="str">
        <f>IF(tbResults[[#This Row],[Winner]]=tbResults[[#This Row],[Player1]],tbResults[[#This Row],[Player1 Pick]],tbResults[[#This Row],[Player2 Pick]])</f>
        <v>Strogg</v>
      </c>
      <c r="Y89" s="11" t="str">
        <f>IF(tbResults[[#This Row],[Loser]]=tbResults[[#This Row],[Player1]],tbResults[[#This Row],[Player1 Pick]],tbResults[[#This Row],[Player2 Pick]])</f>
        <v>Keel</v>
      </c>
      <c r="Z89" s="32">
        <f>SUM(tbResults[[#This Row],[Player1 Score]],tbResults[[#This Row],[Player2 Score]])</f>
        <v>11</v>
      </c>
      <c r="AA89" s="32">
        <f>ABS(tbResults[[#This Row],[Player1 Score]]-tbResults[[#This Row],[Player2 Score]])</f>
        <v>1</v>
      </c>
      <c r="AB89" s="37">
        <f>IF(tbResults[[#This Row],[Player1 Score]]&gt;tbResults[[#This Row],[Player2 Score]],tbResults[[#This Row],[Player1 Score]],tbResults[[#This Row],[Player2 Score]])</f>
        <v>6</v>
      </c>
      <c r="AC89" s="37">
        <f>IF(tbResults[[#This Row],[Player1 Score]]&lt;tbResults[[#This Row],[Player2 Score]],tbResults[[#This Row],[Player1 Score]],tbResults[[#This Row],[Player2 Score]])</f>
        <v>5</v>
      </c>
    </row>
    <row r="90" spans="2:29" s="3" customFormat="1" ht="30" customHeight="1" x14ac:dyDescent="0.3">
      <c r="B90" s="20" t="str">
        <f>_xlfn.CONCAT(tbResults[[#This Row],[Series Title]],".",tbResults[[#This Row],[Game]])</f>
        <v>2.1.11.02.3</v>
      </c>
      <c r="C90" s="15">
        <v>2</v>
      </c>
      <c r="D90" s="15">
        <v>1</v>
      </c>
      <c r="E90" s="15">
        <v>11</v>
      </c>
      <c r="F90" s="15">
        <v>2</v>
      </c>
      <c r="G90" s="15">
        <v>3</v>
      </c>
      <c r="H90" s="19" t="str">
        <f>_xlfn.CONCAT(tbResults[[#This Row],[Season]],".",tbResults[[#This Row],[Stage]])</f>
        <v>2.1</v>
      </c>
      <c r="I90" s="19" t="str">
        <f>_xlfn.CONCAT(tbResults[[#This Row],[Season]],".",tbResults[[#This Row],[Stage]],".",TEXT(tbResults[[#This Row],[Week]],"00"))</f>
        <v>2.1.11</v>
      </c>
      <c r="J90" s="19" t="str">
        <f>_xlfn.CONCAT(tbResults[[#This Row],[Week Title]],".",TEXT(tbResults[[#This Row],[Match]],"00"))</f>
        <v>2.1.11.02</v>
      </c>
      <c r="K90" s="20" t="str">
        <f>_xlfn.CONCAT(tbResults[[#This Row],[Game Title]], " ", tbResults[[#This Row],[Player1]], " vs ", tbResults[[#This Row],[Player2]] )</f>
        <v>2.1.11.02.3 Effortless vs Nosfa</v>
      </c>
      <c r="L90" s="6" t="s">
        <v>6</v>
      </c>
      <c r="M90" s="6" t="s">
        <v>11</v>
      </c>
      <c r="N90" s="6" t="s">
        <v>177</v>
      </c>
      <c r="O90" s="6" t="s">
        <v>55</v>
      </c>
      <c r="P90" s="6" t="s">
        <v>39</v>
      </c>
      <c r="Q90" s="8">
        <v>7</v>
      </c>
      <c r="R90" s="8">
        <v>6</v>
      </c>
      <c r="S90" s="8" t="s">
        <v>82</v>
      </c>
      <c r="T90" s="16" t="s">
        <v>6</v>
      </c>
      <c r="U90" s="16" t="s">
        <v>25</v>
      </c>
      <c r="V90" s="46" t="str">
        <f>IF(tbResults[[#This Row],[Player1 Score]]&gt;tbResults[[#This Row],[Player2 Score]],tbResults[[#This Row],[Player1]],tbResults[[#This Row],[Player2]])</f>
        <v>Effortless</v>
      </c>
      <c r="W90" s="48" t="str">
        <f>IF(tbResults[[#This Row],[Player1 Score]]&gt;tbResults[[#This Row],[Player2 Score]],tbResults[[#This Row],[Player2]],tbResults[[#This Row],[Player1]])</f>
        <v>Nosfa</v>
      </c>
      <c r="X90" s="11" t="str">
        <f>IF(tbResults[[#This Row],[Winner]]=tbResults[[#This Row],[Player1]],tbResults[[#This Row],[Player1 Pick]],tbResults[[#This Row],[Player2 Pick]])</f>
        <v>Athena</v>
      </c>
      <c r="Y90" s="11" t="str">
        <f>IF(tbResults[[#This Row],[Loser]]=tbResults[[#This Row],[Player1]],tbResults[[#This Row],[Player1 Pick]],tbResults[[#This Row],[Player2 Pick]])</f>
        <v>Anarki</v>
      </c>
      <c r="Z90" s="32">
        <f>SUM(tbResults[[#This Row],[Player1 Score]],tbResults[[#This Row],[Player2 Score]])</f>
        <v>13</v>
      </c>
      <c r="AA90" s="32">
        <f>ABS(tbResults[[#This Row],[Player1 Score]]-tbResults[[#This Row],[Player2 Score]])</f>
        <v>1</v>
      </c>
      <c r="AB90" s="37">
        <f>IF(tbResults[[#This Row],[Player1 Score]]&gt;tbResults[[#This Row],[Player2 Score]],tbResults[[#This Row],[Player1 Score]],tbResults[[#This Row],[Player2 Score]])</f>
        <v>7</v>
      </c>
      <c r="AC90" s="37">
        <f>IF(tbResults[[#This Row],[Player1 Score]]&lt;tbResults[[#This Row],[Player2 Score]],tbResults[[#This Row],[Player1 Score]],tbResults[[#This Row],[Player2 Score]])</f>
        <v>6</v>
      </c>
    </row>
    <row r="91" spans="2:29" s="3" customFormat="1" ht="30" customHeight="1" x14ac:dyDescent="0.3">
      <c r="B91" s="20" t="str">
        <f>_xlfn.CONCAT(tbResults[[#This Row],[Series Title]],".",tbResults[[#This Row],[Game]])</f>
        <v>2.1.11.03.1</v>
      </c>
      <c r="C91" s="15">
        <v>2</v>
      </c>
      <c r="D91" s="15">
        <v>1</v>
      </c>
      <c r="E91" s="15">
        <v>11</v>
      </c>
      <c r="F91" s="15">
        <v>3</v>
      </c>
      <c r="G91" s="15">
        <v>1</v>
      </c>
      <c r="H91" s="19" t="str">
        <f>_xlfn.CONCAT(tbResults[[#This Row],[Season]],".",tbResults[[#This Row],[Stage]])</f>
        <v>2.1</v>
      </c>
      <c r="I91" s="19" t="str">
        <f>_xlfn.CONCAT(tbResults[[#This Row],[Season]],".",tbResults[[#This Row],[Stage]],".",TEXT(tbResults[[#This Row],[Week]],"00"))</f>
        <v>2.1.11</v>
      </c>
      <c r="J91" s="19" t="str">
        <f>_xlfn.CONCAT(tbResults[[#This Row],[Week Title]],".",TEXT(tbResults[[#This Row],[Match]],"00"))</f>
        <v>2.1.11.03</v>
      </c>
      <c r="K91" s="20" t="str">
        <f>_xlfn.CONCAT(tbResults[[#This Row],[Game Title]], " ", tbResults[[#This Row],[Player1]], " vs ", tbResults[[#This Row],[Player2]] )</f>
        <v>2.1.11.03.1 Psygib vs DaHanG</v>
      </c>
      <c r="L91" s="6" t="s">
        <v>30</v>
      </c>
      <c r="M91" s="6" t="s">
        <v>42</v>
      </c>
      <c r="N91" s="6" t="s">
        <v>19</v>
      </c>
      <c r="O91" s="6" t="s">
        <v>55</v>
      </c>
      <c r="P91" s="6" t="s">
        <v>35</v>
      </c>
      <c r="Q91" s="8">
        <v>3</v>
      </c>
      <c r="R91" s="8">
        <v>19</v>
      </c>
      <c r="S91" s="8" t="s">
        <v>81</v>
      </c>
      <c r="T91" s="16" t="s">
        <v>30</v>
      </c>
      <c r="U91" s="16" t="s">
        <v>44</v>
      </c>
      <c r="V91" s="46" t="str">
        <f>IF(tbResults[[#This Row],[Player1 Score]]&gt;tbResults[[#This Row],[Player2 Score]],tbResults[[#This Row],[Player1]],tbResults[[#This Row],[Player2]])</f>
        <v>DaHanG</v>
      </c>
      <c r="W91" s="48" t="str">
        <f>IF(tbResults[[#This Row],[Player1 Score]]&gt;tbResults[[#This Row],[Player2 Score]],tbResults[[#This Row],[Player2]],tbResults[[#This Row],[Player1]])</f>
        <v>Psygib</v>
      </c>
      <c r="X91" s="11" t="str">
        <f>IF(tbResults[[#This Row],[Winner]]=tbResults[[#This Row],[Player1]],tbResults[[#This Row],[Player1 Pick]],tbResults[[#This Row],[Player2 Pick]])</f>
        <v>Doom</v>
      </c>
      <c r="Y91" s="11" t="str">
        <f>IF(tbResults[[#This Row],[Loser]]=tbResults[[#This Row],[Player1]],tbResults[[#This Row],[Player1 Pick]],tbResults[[#This Row],[Player2 Pick]])</f>
        <v>Athena</v>
      </c>
      <c r="Z91" s="32">
        <f>SUM(tbResults[[#This Row],[Player1 Score]],tbResults[[#This Row],[Player2 Score]])</f>
        <v>22</v>
      </c>
      <c r="AA91" s="32">
        <f>ABS(tbResults[[#This Row],[Player1 Score]]-tbResults[[#This Row],[Player2 Score]])</f>
        <v>16</v>
      </c>
      <c r="AB91" s="37">
        <f>IF(tbResults[[#This Row],[Player1 Score]]&gt;tbResults[[#This Row],[Player2 Score]],tbResults[[#This Row],[Player1 Score]],tbResults[[#This Row],[Player2 Score]])</f>
        <v>19</v>
      </c>
      <c r="AC91" s="37">
        <f>IF(tbResults[[#This Row],[Player1 Score]]&lt;tbResults[[#This Row],[Player2 Score]],tbResults[[#This Row],[Player1 Score]],tbResults[[#This Row],[Player2 Score]])</f>
        <v>3</v>
      </c>
    </row>
    <row r="92" spans="2:29" s="3" customFormat="1" ht="30" customHeight="1" x14ac:dyDescent="0.3">
      <c r="B92" s="20" t="str">
        <f>_xlfn.CONCAT(tbResults[[#This Row],[Series Title]],".",tbResults[[#This Row],[Game]])</f>
        <v>2.1.11.03.2</v>
      </c>
      <c r="C92" s="15">
        <v>2</v>
      </c>
      <c r="D92" s="15">
        <v>1</v>
      </c>
      <c r="E92" s="15">
        <v>11</v>
      </c>
      <c r="F92" s="15">
        <v>3</v>
      </c>
      <c r="G92" s="15">
        <v>2</v>
      </c>
      <c r="H92" s="19" t="str">
        <f>_xlfn.CONCAT(tbResults[[#This Row],[Season]],".",tbResults[[#This Row],[Stage]])</f>
        <v>2.1</v>
      </c>
      <c r="I92" s="19" t="str">
        <f>_xlfn.CONCAT(tbResults[[#This Row],[Season]],".",tbResults[[#This Row],[Stage]],".",TEXT(tbResults[[#This Row],[Week]],"00"))</f>
        <v>2.1.11</v>
      </c>
      <c r="J92" s="19" t="str">
        <f>_xlfn.CONCAT(tbResults[[#This Row],[Week Title]],".",TEXT(tbResults[[#This Row],[Match]],"00"))</f>
        <v>2.1.11.03</v>
      </c>
      <c r="K92" s="20" t="str">
        <f>_xlfn.CONCAT(tbResults[[#This Row],[Game Title]], " ", tbResults[[#This Row],[Player1]], " vs ", tbResults[[#This Row],[Player2]] )</f>
        <v>2.1.11.03.2 Psygib vs DaHanG</v>
      </c>
      <c r="L92" s="6" t="s">
        <v>30</v>
      </c>
      <c r="M92" s="6" t="s">
        <v>42</v>
      </c>
      <c r="N92" s="6" t="s">
        <v>32</v>
      </c>
      <c r="O92" s="6" t="s">
        <v>21</v>
      </c>
      <c r="P92" s="6" t="s">
        <v>22</v>
      </c>
      <c r="Q92" s="8">
        <v>2</v>
      </c>
      <c r="R92" s="8">
        <v>14</v>
      </c>
      <c r="S92" s="8" t="s">
        <v>81</v>
      </c>
      <c r="T92" s="16" t="s">
        <v>42</v>
      </c>
      <c r="U92" s="16" t="s">
        <v>24</v>
      </c>
      <c r="V92" s="46" t="str">
        <f>IF(tbResults[[#This Row],[Player1 Score]]&gt;tbResults[[#This Row],[Player2 Score]],tbResults[[#This Row],[Player1]],tbResults[[#This Row],[Player2]])</f>
        <v>DaHanG</v>
      </c>
      <c r="W92" s="48" t="str">
        <f>IF(tbResults[[#This Row],[Player1 Score]]&gt;tbResults[[#This Row],[Player2 Score]],tbResults[[#This Row],[Player2]],tbResults[[#This Row],[Player1]])</f>
        <v>Psygib</v>
      </c>
      <c r="X92" s="11" t="str">
        <f>IF(tbResults[[#This Row],[Winner]]=tbResults[[#This Row],[Player1]],tbResults[[#This Row],[Player1 Pick]],tbResults[[#This Row],[Player2 Pick]])</f>
        <v>Strogg</v>
      </c>
      <c r="Y92" s="11" t="str">
        <f>IF(tbResults[[#This Row],[Loser]]=tbResults[[#This Row],[Player1]],tbResults[[#This Row],[Player1 Pick]],tbResults[[#This Row],[Player2 Pick]])</f>
        <v>Ranger</v>
      </c>
      <c r="Z92" s="32">
        <f>SUM(tbResults[[#This Row],[Player1 Score]],tbResults[[#This Row],[Player2 Score]])</f>
        <v>16</v>
      </c>
      <c r="AA92" s="32">
        <f>ABS(tbResults[[#This Row],[Player1 Score]]-tbResults[[#This Row],[Player2 Score]])</f>
        <v>12</v>
      </c>
      <c r="AB92" s="37">
        <f>IF(tbResults[[#This Row],[Player1 Score]]&gt;tbResults[[#This Row],[Player2 Score]],tbResults[[#This Row],[Player1 Score]],tbResults[[#This Row],[Player2 Score]])</f>
        <v>14</v>
      </c>
      <c r="AC92" s="37">
        <f>IF(tbResults[[#This Row],[Player1 Score]]&lt;tbResults[[#This Row],[Player2 Score]],tbResults[[#This Row],[Player1 Score]],tbResults[[#This Row],[Player2 Score]])</f>
        <v>2</v>
      </c>
    </row>
    <row r="93" spans="2:29" s="3" customFormat="1" ht="30" customHeight="1" x14ac:dyDescent="0.3">
      <c r="B93" s="20" t="str">
        <f>_xlfn.CONCAT(tbResults[[#This Row],[Series Title]],".",tbResults[[#This Row],[Game]])</f>
        <v>2.1.11.03.3</v>
      </c>
      <c r="C93" s="15">
        <v>2</v>
      </c>
      <c r="D93" s="15">
        <v>1</v>
      </c>
      <c r="E93" s="15">
        <v>11</v>
      </c>
      <c r="F93" s="15">
        <v>3</v>
      </c>
      <c r="G93" s="15">
        <v>3</v>
      </c>
      <c r="H93" s="19" t="str">
        <f>_xlfn.CONCAT(tbResults[[#This Row],[Season]],".",tbResults[[#This Row],[Stage]])</f>
        <v>2.1</v>
      </c>
      <c r="I93" s="19" t="str">
        <f>_xlfn.CONCAT(tbResults[[#This Row],[Season]],".",tbResults[[#This Row],[Stage]],".",TEXT(tbResults[[#This Row],[Week]],"00"))</f>
        <v>2.1.11</v>
      </c>
      <c r="J93" s="19" t="str">
        <f>_xlfn.CONCAT(tbResults[[#This Row],[Week Title]],".",TEXT(tbResults[[#This Row],[Match]],"00"))</f>
        <v>2.1.11.03</v>
      </c>
      <c r="K93" s="20" t="str">
        <f>_xlfn.CONCAT(tbResults[[#This Row],[Game Title]], " ", tbResults[[#This Row],[Player1]], " vs ", tbResults[[#This Row],[Player2]] )</f>
        <v>2.1.11.03.3 Psygib vs DaHanG</v>
      </c>
      <c r="L93" s="6" t="s">
        <v>30</v>
      </c>
      <c r="M93" s="6" t="s">
        <v>42</v>
      </c>
      <c r="N93" s="6" t="s">
        <v>26</v>
      </c>
      <c r="O93" s="6" t="s">
        <v>39</v>
      </c>
      <c r="P93" s="6" t="s">
        <v>37</v>
      </c>
      <c r="Q93" s="8">
        <v>6</v>
      </c>
      <c r="R93" s="8">
        <v>14</v>
      </c>
      <c r="S93" s="8" t="s">
        <v>81</v>
      </c>
      <c r="T93" s="16" t="s">
        <v>30</v>
      </c>
      <c r="U93" s="16" t="s">
        <v>25</v>
      </c>
      <c r="V93" s="46" t="str">
        <f>IF(tbResults[[#This Row],[Player1 Score]]&gt;tbResults[[#This Row],[Player2 Score]],tbResults[[#This Row],[Player1]],tbResults[[#This Row],[Player2]])</f>
        <v>DaHanG</v>
      </c>
      <c r="W93" s="48" t="str">
        <f>IF(tbResults[[#This Row],[Player1 Score]]&gt;tbResults[[#This Row],[Player2 Score]],tbResults[[#This Row],[Player2]],tbResults[[#This Row],[Player1]])</f>
        <v>Psygib</v>
      </c>
      <c r="X93" s="11" t="str">
        <f>IF(tbResults[[#This Row],[Winner]]=tbResults[[#This Row],[Player1]],tbResults[[#This Row],[Player1 Pick]],tbResults[[#This Row],[Player2 Pick]])</f>
        <v>Eisen</v>
      </c>
      <c r="Y93" s="11" t="str">
        <f>IF(tbResults[[#This Row],[Loser]]=tbResults[[#This Row],[Player1]],tbResults[[#This Row],[Player1 Pick]],tbResults[[#This Row],[Player2 Pick]])</f>
        <v>Anarki</v>
      </c>
      <c r="Z93" s="32">
        <f>SUM(tbResults[[#This Row],[Player1 Score]],tbResults[[#This Row],[Player2 Score]])</f>
        <v>20</v>
      </c>
      <c r="AA93" s="32">
        <f>ABS(tbResults[[#This Row],[Player1 Score]]-tbResults[[#This Row],[Player2 Score]])</f>
        <v>8</v>
      </c>
      <c r="AB93" s="37">
        <f>IF(tbResults[[#This Row],[Player1 Score]]&gt;tbResults[[#This Row],[Player2 Score]],tbResults[[#This Row],[Player1 Score]],tbResults[[#This Row],[Player2 Score]])</f>
        <v>14</v>
      </c>
      <c r="AC93" s="37">
        <f>IF(tbResults[[#This Row],[Player1 Score]]&lt;tbResults[[#This Row],[Player2 Score]],tbResults[[#This Row],[Player1 Score]],tbResults[[#This Row],[Player2 Score]])</f>
        <v>6</v>
      </c>
    </row>
    <row r="94" spans="2:29" s="3" customFormat="1" ht="30" customHeight="1" x14ac:dyDescent="0.3">
      <c r="B94" s="20" t="str">
        <f>_xlfn.CONCAT(tbResults[[#This Row],[Series Title]],".",tbResults[[#This Row],[Game]])</f>
        <v>2.1.11.04.1</v>
      </c>
      <c r="C94" s="15">
        <v>2</v>
      </c>
      <c r="D94" s="15">
        <v>1</v>
      </c>
      <c r="E94" s="15">
        <v>11</v>
      </c>
      <c r="F94" s="15">
        <v>4</v>
      </c>
      <c r="G94" s="15">
        <v>1</v>
      </c>
      <c r="H94" s="19" t="str">
        <f>_xlfn.CONCAT(tbResults[[#This Row],[Season]],".",tbResults[[#This Row],[Stage]])</f>
        <v>2.1</v>
      </c>
      <c r="I94" s="19" t="str">
        <f>_xlfn.CONCAT(tbResults[[#This Row],[Season]],".",tbResults[[#This Row],[Stage]],".",TEXT(tbResults[[#This Row],[Week]],"00"))</f>
        <v>2.1.11</v>
      </c>
      <c r="J94" s="19" t="str">
        <f>_xlfn.CONCAT(tbResults[[#This Row],[Week Title]],".",TEXT(tbResults[[#This Row],[Match]],"00"))</f>
        <v>2.1.11.04</v>
      </c>
      <c r="K94" s="20" t="str">
        <f>_xlfn.CONCAT(tbResults[[#This Row],[Game Title]], " ", tbResults[[#This Row],[Player1]], " vs ", tbResults[[#This Row],[Player2]] )</f>
        <v>2.1.11.04.1 maxter vs Rapha</v>
      </c>
      <c r="L94" s="6" t="s">
        <v>41</v>
      </c>
      <c r="M94" s="6" t="s">
        <v>47</v>
      </c>
      <c r="N94" s="6" t="s">
        <v>19</v>
      </c>
      <c r="O94" s="6" t="s">
        <v>25</v>
      </c>
      <c r="P94" s="6" t="s">
        <v>35</v>
      </c>
      <c r="Q94" s="8">
        <v>4</v>
      </c>
      <c r="R94" s="8">
        <v>12</v>
      </c>
      <c r="S94" s="8" t="s">
        <v>81</v>
      </c>
      <c r="T94" s="16" t="s">
        <v>47</v>
      </c>
      <c r="U94" s="16" t="s">
        <v>55</v>
      </c>
      <c r="V94" s="46" t="str">
        <f>IF(tbResults[[#This Row],[Player1 Score]]&gt;tbResults[[#This Row],[Player2 Score]],tbResults[[#This Row],[Player1]],tbResults[[#This Row],[Player2]])</f>
        <v>Rapha</v>
      </c>
      <c r="W94" s="48" t="str">
        <f>IF(tbResults[[#This Row],[Player1 Score]]&gt;tbResults[[#This Row],[Player2 Score]],tbResults[[#This Row],[Player2]],tbResults[[#This Row],[Player1]])</f>
        <v>maxter</v>
      </c>
      <c r="X94" s="11" t="str">
        <f>IF(tbResults[[#This Row],[Winner]]=tbResults[[#This Row],[Player1]],tbResults[[#This Row],[Player1 Pick]],tbResults[[#This Row],[Player2 Pick]])</f>
        <v>Doom</v>
      </c>
      <c r="Y94" s="11" t="str">
        <f>IF(tbResults[[#This Row],[Loser]]=tbResults[[#This Row],[Player1]],tbResults[[#This Row],[Player1 Pick]],tbResults[[#This Row],[Player2 Pick]])</f>
        <v>Sorlag</v>
      </c>
      <c r="Z94" s="32">
        <f>SUM(tbResults[[#This Row],[Player1 Score]],tbResults[[#This Row],[Player2 Score]])</f>
        <v>16</v>
      </c>
      <c r="AA94" s="32">
        <f>ABS(tbResults[[#This Row],[Player1 Score]]-tbResults[[#This Row],[Player2 Score]])</f>
        <v>8</v>
      </c>
      <c r="AB94" s="37">
        <f>IF(tbResults[[#This Row],[Player1 Score]]&gt;tbResults[[#This Row],[Player2 Score]],tbResults[[#This Row],[Player1 Score]],tbResults[[#This Row],[Player2 Score]])</f>
        <v>12</v>
      </c>
      <c r="AC94" s="37">
        <f>IF(tbResults[[#This Row],[Player1 Score]]&lt;tbResults[[#This Row],[Player2 Score]],tbResults[[#This Row],[Player1 Score]],tbResults[[#This Row],[Player2 Score]])</f>
        <v>4</v>
      </c>
    </row>
    <row r="95" spans="2:29" s="3" customFormat="1" ht="30" customHeight="1" x14ac:dyDescent="0.3">
      <c r="B95" s="20" t="str">
        <f>_xlfn.CONCAT(tbResults[[#This Row],[Series Title]],".",tbResults[[#This Row],[Game]])</f>
        <v>2.1.11.04.2</v>
      </c>
      <c r="C95" s="15">
        <v>2</v>
      </c>
      <c r="D95" s="15">
        <v>1</v>
      </c>
      <c r="E95" s="15">
        <v>11</v>
      </c>
      <c r="F95" s="15">
        <v>4</v>
      </c>
      <c r="G95" s="15">
        <v>2</v>
      </c>
      <c r="H95" s="19" t="str">
        <f>_xlfn.CONCAT(tbResults[[#This Row],[Season]],".",tbResults[[#This Row],[Stage]])</f>
        <v>2.1</v>
      </c>
      <c r="I95" s="19" t="str">
        <f>_xlfn.CONCAT(tbResults[[#This Row],[Season]],".",tbResults[[#This Row],[Stage]],".",TEXT(tbResults[[#This Row],[Week]],"00"))</f>
        <v>2.1.11</v>
      </c>
      <c r="J95" s="19" t="str">
        <f>_xlfn.CONCAT(tbResults[[#This Row],[Week Title]],".",TEXT(tbResults[[#This Row],[Match]],"00"))</f>
        <v>2.1.11.04</v>
      </c>
      <c r="K95" s="20" t="str">
        <f>_xlfn.CONCAT(tbResults[[#This Row],[Game Title]], " ", tbResults[[#This Row],[Player1]], " vs ", tbResults[[#This Row],[Player2]] )</f>
        <v>2.1.11.04.2 maxter vs Rapha</v>
      </c>
      <c r="L95" s="6" t="s">
        <v>41</v>
      </c>
      <c r="M95" s="6" t="s">
        <v>47</v>
      </c>
      <c r="N95" s="6" t="s">
        <v>40</v>
      </c>
      <c r="O95" s="6" t="s">
        <v>21</v>
      </c>
      <c r="P95" s="6" t="s">
        <v>38</v>
      </c>
      <c r="Q95" s="8">
        <v>1</v>
      </c>
      <c r="R95" s="8">
        <v>12</v>
      </c>
      <c r="S95" s="8" t="s">
        <v>81</v>
      </c>
      <c r="T95" s="16" t="s">
        <v>41</v>
      </c>
      <c r="U95" s="16" t="s">
        <v>39</v>
      </c>
      <c r="V95" s="46" t="str">
        <f>IF(tbResults[[#This Row],[Player1 Score]]&gt;tbResults[[#This Row],[Player2 Score]],tbResults[[#This Row],[Player1]],tbResults[[#This Row],[Player2]])</f>
        <v>Rapha</v>
      </c>
      <c r="W95" s="48" t="str">
        <f>IF(tbResults[[#This Row],[Player1 Score]]&gt;tbResults[[#This Row],[Player2 Score]],tbResults[[#This Row],[Player2]],tbResults[[#This Row],[Player1]])</f>
        <v>maxter</v>
      </c>
      <c r="X95" s="11" t="str">
        <f>IF(tbResults[[#This Row],[Winner]]=tbResults[[#This Row],[Player1]],tbResults[[#This Row],[Player1 Pick]],tbResults[[#This Row],[Player2 Pick]])</f>
        <v>Nyx</v>
      </c>
      <c r="Y95" s="11" t="str">
        <f>IF(tbResults[[#This Row],[Loser]]=tbResults[[#This Row],[Player1]],tbResults[[#This Row],[Player1 Pick]],tbResults[[#This Row],[Player2 Pick]])</f>
        <v>Ranger</v>
      </c>
      <c r="Z95" s="32">
        <f>SUM(tbResults[[#This Row],[Player1 Score]],tbResults[[#This Row],[Player2 Score]])</f>
        <v>13</v>
      </c>
      <c r="AA95" s="32">
        <f>ABS(tbResults[[#This Row],[Player1 Score]]-tbResults[[#This Row],[Player2 Score]])</f>
        <v>11</v>
      </c>
      <c r="AB95" s="37">
        <f>IF(tbResults[[#This Row],[Player1 Score]]&gt;tbResults[[#This Row],[Player2 Score]],tbResults[[#This Row],[Player1 Score]],tbResults[[#This Row],[Player2 Score]])</f>
        <v>12</v>
      </c>
      <c r="AC95" s="37">
        <f>IF(tbResults[[#This Row],[Player1 Score]]&lt;tbResults[[#This Row],[Player2 Score]],tbResults[[#This Row],[Player1 Score]],tbResults[[#This Row],[Player2 Score]])</f>
        <v>1</v>
      </c>
    </row>
    <row r="96" spans="2:29" s="3" customFormat="1" ht="30" customHeight="1" x14ac:dyDescent="0.3">
      <c r="B96" s="20" t="str">
        <f>_xlfn.CONCAT(tbResults[[#This Row],[Series Title]],".",tbResults[[#This Row],[Game]])</f>
        <v>2.1.11.04.3</v>
      </c>
      <c r="C96" s="15">
        <v>2</v>
      </c>
      <c r="D96" s="15">
        <v>1</v>
      </c>
      <c r="E96" s="15">
        <v>11</v>
      </c>
      <c r="F96" s="15">
        <v>4</v>
      </c>
      <c r="G96" s="15">
        <v>3</v>
      </c>
      <c r="H96" s="19" t="str">
        <f>_xlfn.CONCAT(tbResults[[#This Row],[Season]],".",tbResults[[#This Row],[Stage]])</f>
        <v>2.1</v>
      </c>
      <c r="I96" s="19" t="str">
        <f>_xlfn.CONCAT(tbResults[[#This Row],[Season]],".",tbResults[[#This Row],[Stage]],".",TEXT(tbResults[[#This Row],[Week]],"00"))</f>
        <v>2.1.11</v>
      </c>
      <c r="J96" s="19" t="str">
        <f>_xlfn.CONCAT(tbResults[[#This Row],[Week Title]],".",TEXT(tbResults[[#This Row],[Match]],"00"))</f>
        <v>2.1.11.04</v>
      </c>
      <c r="K96" s="20" t="str">
        <f>_xlfn.CONCAT(tbResults[[#This Row],[Game Title]], " ", tbResults[[#This Row],[Player1]], " vs ", tbResults[[#This Row],[Player2]] )</f>
        <v>2.1.11.04.3 maxter vs Rapha</v>
      </c>
      <c r="L96" s="6" t="s">
        <v>41</v>
      </c>
      <c r="M96" s="6" t="s">
        <v>47</v>
      </c>
      <c r="N96" s="6" t="s">
        <v>178</v>
      </c>
      <c r="O96" s="6" t="s">
        <v>36</v>
      </c>
      <c r="P96" s="6" t="s">
        <v>22</v>
      </c>
      <c r="Q96" s="8">
        <v>1</v>
      </c>
      <c r="R96" s="8">
        <v>3</v>
      </c>
      <c r="S96" s="8" t="s">
        <v>81</v>
      </c>
      <c r="T96" s="16" t="s">
        <v>47</v>
      </c>
      <c r="U96" s="16" t="s">
        <v>24</v>
      </c>
      <c r="V96" s="46" t="str">
        <f>IF(tbResults[[#This Row],[Player1 Score]]&gt;tbResults[[#This Row],[Player2 Score]],tbResults[[#This Row],[Player1]],tbResults[[#This Row],[Player2]])</f>
        <v>Rapha</v>
      </c>
      <c r="W96" s="48" t="str">
        <f>IF(tbResults[[#This Row],[Player1 Score]]&gt;tbResults[[#This Row],[Player2 Score]],tbResults[[#This Row],[Player2]],tbResults[[#This Row],[Player1]])</f>
        <v>maxter</v>
      </c>
      <c r="X96" s="11" t="str">
        <f>IF(tbResults[[#This Row],[Winner]]=tbResults[[#This Row],[Player1]],tbResults[[#This Row],[Player1 Pick]],tbResults[[#This Row],[Player2 Pick]])</f>
        <v>Strogg</v>
      </c>
      <c r="Y96" s="11" t="str">
        <f>IF(tbResults[[#This Row],[Loser]]=tbResults[[#This Row],[Player1]],tbResults[[#This Row],[Player1 Pick]],tbResults[[#This Row],[Player2 Pick]])</f>
        <v>Visor</v>
      </c>
      <c r="Z96" s="32">
        <f>SUM(tbResults[[#This Row],[Player1 Score]],tbResults[[#This Row],[Player2 Score]])</f>
        <v>4</v>
      </c>
      <c r="AA96" s="32">
        <f>ABS(tbResults[[#This Row],[Player1 Score]]-tbResults[[#This Row],[Player2 Score]])</f>
        <v>2</v>
      </c>
      <c r="AB96" s="37">
        <f>IF(tbResults[[#This Row],[Player1 Score]]&gt;tbResults[[#This Row],[Player2 Score]],tbResults[[#This Row],[Player1 Score]],tbResults[[#This Row],[Player2 Score]])</f>
        <v>3</v>
      </c>
      <c r="AC96" s="37">
        <f>IF(tbResults[[#This Row],[Player1 Score]]&lt;tbResults[[#This Row],[Player2 Score]],tbResults[[#This Row],[Player1 Score]],tbResults[[#This Row],[Player2 Score]])</f>
        <v>1</v>
      </c>
    </row>
    <row r="97" spans="2:29" s="3" customFormat="1" ht="30" customHeight="1" x14ac:dyDescent="0.3">
      <c r="B97" s="20" t="str">
        <f>_xlfn.CONCAT(tbResults[[#This Row],[Series Title]],".",tbResults[[#This Row],[Game]])</f>
        <v>2.1.11.05.1</v>
      </c>
      <c r="C97" s="15">
        <v>2</v>
      </c>
      <c r="D97" s="15">
        <v>1</v>
      </c>
      <c r="E97" s="15">
        <v>11</v>
      </c>
      <c r="F97" s="15">
        <v>5</v>
      </c>
      <c r="G97" s="15">
        <v>1</v>
      </c>
      <c r="H97" s="19" t="str">
        <f>_xlfn.CONCAT(tbResults[[#This Row],[Season]],".",tbResults[[#This Row],[Stage]])</f>
        <v>2.1</v>
      </c>
      <c r="I97" s="19" t="str">
        <f>_xlfn.CONCAT(tbResults[[#This Row],[Season]],".",tbResults[[#This Row],[Stage]],".",TEXT(tbResults[[#This Row],[Week]],"00"))</f>
        <v>2.1.11</v>
      </c>
      <c r="J97" s="19" t="str">
        <f>_xlfn.CONCAT(tbResults[[#This Row],[Week Title]],".",TEXT(tbResults[[#This Row],[Match]],"00"))</f>
        <v>2.1.11.05</v>
      </c>
      <c r="K97" s="20" t="str">
        <f>_xlfn.CONCAT(tbResults[[#This Row],[Game Title]], " ", tbResults[[#This Row],[Player1]], " vs ", tbResults[[#This Row],[Player2]] )</f>
        <v>2.1.11.05.1 Av3k vs spart1e</v>
      </c>
      <c r="L97" s="6" t="s">
        <v>52</v>
      </c>
      <c r="M97" s="6" t="s">
        <v>50</v>
      </c>
      <c r="N97" s="6" t="s">
        <v>177</v>
      </c>
      <c r="O97" s="6" t="s">
        <v>38</v>
      </c>
      <c r="P97" s="6" t="s">
        <v>36</v>
      </c>
      <c r="Q97" s="8">
        <v>5</v>
      </c>
      <c r="R97" s="8">
        <v>10</v>
      </c>
      <c r="S97" s="8" t="s">
        <v>81</v>
      </c>
      <c r="T97" s="16" t="s">
        <v>52</v>
      </c>
      <c r="U97" s="16" t="s">
        <v>37</v>
      </c>
      <c r="V97" s="46" t="str">
        <f>IF(tbResults[[#This Row],[Player1 Score]]&gt;tbResults[[#This Row],[Player2 Score]],tbResults[[#This Row],[Player1]],tbResults[[#This Row],[Player2]])</f>
        <v>spart1e</v>
      </c>
      <c r="W97" s="48" t="str">
        <f>IF(tbResults[[#This Row],[Player1 Score]]&gt;tbResults[[#This Row],[Player2 Score]],tbResults[[#This Row],[Player2]],tbResults[[#This Row],[Player1]])</f>
        <v>Av3k</v>
      </c>
      <c r="X97" s="11" t="str">
        <f>IF(tbResults[[#This Row],[Winner]]=tbResults[[#This Row],[Player1]],tbResults[[#This Row],[Player1 Pick]],tbResults[[#This Row],[Player2 Pick]])</f>
        <v>Visor</v>
      </c>
      <c r="Y97" s="11" t="str">
        <f>IF(tbResults[[#This Row],[Loser]]=tbResults[[#This Row],[Player1]],tbResults[[#This Row],[Player1 Pick]],tbResults[[#This Row],[Player2 Pick]])</f>
        <v>Nyx</v>
      </c>
      <c r="Z97" s="32">
        <f>SUM(tbResults[[#This Row],[Player1 Score]],tbResults[[#This Row],[Player2 Score]])</f>
        <v>15</v>
      </c>
      <c r="AA97" s="32">
        <f>ABS(tbResults[[#This Row],[Player1 Score]]-tbResults[[#This Row],[Player2 Score]])</f>
        <v>5</v>
      </c>
      <c r="AB97" s="37">
        <f>IF(tbResults[[#This Row],[Player1 Score]]&gt;tbResults[[#This Row],[Player2 Score]],tbResults[[#This Row],[Player1 Score]],tbResults[[#This Row],[Player2 Score]])</f>
        <v>10</v>
      </c>
      <c r="AC97" s="37">
        <f>IF(tbResults[[#This Row],[Player1 Score]]&lt;tbResults[[#This Row],[Player2 Score]],tbResults[[#This Row],[Player1 Score]],tbResults[[#This Row],[Player2 Score]])</f>
        <v>5</v>
      </c>
    </row>
    <row r="98" spans="2:29" s="3" customFormat="1" ht="30" customHeight="1" x14ac:dyDescent="0.3">
      <c r="B98" s="20" t="str">
        <f>_xlfn.CONCAT(tbResults[[#This Row],[Series Title]],".",tbResults[[#This Row],[Game]])</f>
        <v>2.1.11.05.2</v>
      </c>
      <c r="C98" s="15">
        <v>2</v>
      </c>
      <c r="D98" s="15">
        <v>1</v>
      </c>
      <c r="E98" s="15">
        <v>11</v>
      </c>
      <c r="F98" s="15">
        <v>5</v>
      </c>
      <c r="G98" s="15">
        <v>2</v>
      </c>
      <c r="H98" s="19" t="str">
        <f>_xlfn.CONCAT(tbResults[[#This Row],[Season]],".",tbResults[[#This Row],[Stage]])</f>
        <v>2.1</v>
      </c>
      <c r="I98" s="19" t="str">
        <f>_xlfn.CONCAT(tbResults[[#This Row],[Season]],".",tbResults[[#This Row],[Stage]],".",TEXT(tbResults[[#This Row],[Week]],"00"))</f>
        <v>2.1.11</v>
      </c>
      <c r="J98" s="19" t="str">
        <f>_xlfn.CONCAT(tbResults[[#This Row],[Week Title]],".",TEXT(tbResults[[#This Row],[Match]],"00"))</f>
        <v>2.1.11.05</v>
      </c>
      <c r="K98" s="20" t="str">
        <f>_xlfn.CONCAT(tbResults[[#This Row],[Game Title]], " ", tbResults[[#This Row],[Player1]], " vs ", tbResults[[#This Row],[Player2]] )</f>
        <v>2.1.11.05.2 Av3k vs spart1e</v>
      </c>
      <c r="L98" s="6" t="s">
        <v>52</v>
      </c>
      <c r="M98" s="6" t="s">
        <v>50</v>
      </c>
      <c r="N98" s="6" t="s">
        <v>32</v>
      </c>
      <c r="O98" s="6" t="s">
        <v>22</v>
      </c>
      <c r="P98" s="6" t="s">
        <v>34</v>
      </c>
      <c r="Q98" s="8">
        <v>12</v>
      </c>
      <c r="R98" s="8">
        <v>6</v>
      </c>
      <c r="S98" s="8" t="s">
        <v>81</v>
      </c>
      <c r="T98" s="16" t="s">
        <v>50</v>
      </c>
      <c r="U98" s="16" t="s">
        <v>25</v>
      </c>
      <c r="V98" s="46" t="str">
        <f>IF(tbResults[[#This Row],[Player1 Score]]&gt;tbResults[[#This Row],[Player2 Score]],tbResults[[#This Row],[Player1]],tbResults[[#This Row],[Player2]])</f>
        <v>Av3k</v>
      </c>
      <c r="W98" s="48" t="str">
        <f>IF(tbResults[[#This Row],[Player1 Score]]&gt;tbResults[[#This Row],[Player2 Score]],tbResults[[#This Row],[Player2]],tbResults[[#This Row],[Player1]])</f>
        <v>spart1e</v>
      </c>
      <c r="X98" s="11" t="str">
        <f>IF(tbResults[[#This Row],[Winner]]=tbResults[[#This Row],[Player1]],tbResults[[#This Row],[Player1 Pick]],tbResults[[#This Row],[Player2 Pick]])</f>
        <v>Strogg</v>
      </c>
      <c r="Y98" s="11" t="str">
        <f>IF(tbResults[[#This Row],[Loser]]=tbResults[[#This Row],[Player1]],tbResults[[#This Row],[Player1 Pick]],tbResults[[#This Row],[Player2 Pick]])</f>
        <v>Galena</v>
      </c>
      <c r="Z98" s="32">
        <f>SUM(tbResults[[#This Row],[Player1 Score]],tbResults[[#This Row],[Player2 Score]])</f>
        <v>18</v>
      </c>
      <c r="AA98" s="32">
        <f>ABS(tbResults[[#This Row],[Player1 Score]]-tbResults[[#This Row],[Player2 Score]])</f>
        <v>6</v>
      </c>
      <c r="AB98" s="37">
        <f>IF(tbResults[[#This Row],[Player1 Score]]&gt;tbResults[[#This Row],[Player2 Score]],tbResults[[#This Row],[Player1 Score]],tbResults[[#This Row],[Player2 Score]])</f>
        <v>12</v>
      </c>
      <c r="AC98" s="37">
        <f>IF(tbResults[[#This Row],[Player1 Score]]&lt;tbResults[[#This Row],[Player2 Score]],tbResults[[#This Row],[Player1 Score]],tbResults[[#This Row],[Player2 Score]])</f>
        <v>6</v>
      </c>
    </row>
    <row r="99" spans="2:29" s="3" customFormat="1" ht="30" customHeight="1" x14ac:dyDescent="0.3">
      <c r="B99" s="20" t="str">
        <f>_xlfn.CONCAT(tbResults[[#This Row],[Series Title]],".",tbResults[[#This Row],[Game]])</f>
        <v>2.1.11.05.3</v>
      </c>
      <c r="C99" s="15">
        <v>2</v>
      </c>
      <c r="D99" s="15">
        <v>1</v>
      </c>
      <c r="E99" s="15">
        <v>11</v>
      </c>
      <c r="F99" s="15">
        <v>5</v>
      </c>
      <c r="G99" s="15">
        <v>3</v>
      </c>
      <c r="H99" s="19" t="str">
        <f>_xlfn.CONCAT(tbResults[[#This Row],[Season]],".",tbResults[[#This Row],[Stage]])</f>
        <v>2.1</v>
      </c>
      <c r="I99" s="19" t="str">
        <f>_xlfn.CONCAT(tbResults[[#This Row],[Season]],".",tbResults[[#This Row],[Stage]],".",TEXT(tbResults[[#This Row],[Week]],"00"))</f>
        <v>2.1.11</v>
      </c>
      <c r="J99" s="19" t="str">
        <f>_xlfn.CONCAT(tbResults[[#This Row],[Week Title]],".",TEXT(tbResults[[#This Row],[Match]],"00"))</f>
        <v>2.1.11.05</v>
      </c>
      <c r="K99" s="20" t="str">
        <f>_xlfn.CONCAT(tbResults[[#This Row],[Game Title]], " ", tbResults[[#This Row],[Player1]], " vs ", tbResults[[#This Row],[Player2]] )</f>
        <v>2.1.11.05.3 Av3k vs spart1e</v>
      </c>
      <c r="L99" s="6" t="s">
        <v>52</v>
      </c>
      <c r="M99" s="6" t="s">
        <v>50</v>
      </c>
      <c r="N99" s="6" t="s">
        <v>26</v>
      </c>
      <c r="O99" s="6" t="s">
        <v>27</v>
      </c>
      <c r="P99" s="6" t="s">
        <v>35</v>
      </c>
      <c r="Q99" s="8">
        <v>5</v>
      </c>
      <c r="R99" s="8">
        <v>6</v>
      </c>
      <c r="S99" s="8" t="s">
        <v>82</v>
      </c>
      <c r="T99" s="16" t="s">
        <v>52</v>
      </c>
      <c r="U99" s="16" t="s">
        <v>21</v>
      </c>
      <c r="V99" s="46" t="str">
        <f>IF(tbResults[[#This Row],[Player1 Score]]&gt;tbResults[[#This Row],[Player2 Score]],tbResults[[#This Row],[Player1]],tbResults[[#This Row],[Player2]])</f>
        <v>spart1e</v>
      </c>
      <c r="W99" s="48" t="str">
        <f>IF(tbResults[[#This Row],[Player1 Score]]&gt;tbResults[[#This Row],[Player2 Score]],tbResults[[#This Row],[Player2]],tbResults[[#This Row],[Player1]])</f>
        <v>Av3k</v>
      </c>
      <c r="X99" s="11" t="str">
        <f>IF(tbResults[[#This Row],[Winner]]=tbResults[[#This Row],[Player1]],tbResults[[#This Row],[Player1 Pick]],tbResults[[#This Row],[Player2 Pick]])</f>
        <v>Doom</v>
      </c>
      <c r="Y99" s="11" t="str">
        <f>IF(tbResults[[#This Row],[Loser]]=tbResults[[#This Row],[Player1]],tbResults[[#This Row],[Player1 Pick]],tbResults[[#This Row],[Player2 Pick]])</f>
        <v>Keel</v>
      </c>
      <c r="Z99" s="32">
        <f>SUM(tbResults[[#This Row],[Player1 Score]],tbResults[[#This Row],[Player2 Score]])</f>
        <v>11</v>
      </c>
      <c r="AA99" s="32">
        <f>ABS(tbResults[[#This Row],[Player1 Score]]-tbResults[[#This Row],[Player2 Score]])</f>
        <v>1</v>
      </c>
      <c r="AB99" s="37">
        <f>IF(tbResults[[#This Row],[Player1 Score]]&gt;tbResults[[#This Row],[Player2 Score]],tbResults[[#This Row],[Player1 Score]],tbResults[[#This Row],[Player2 Score]])</f>
        <v>6</v>
      </c>
      <c r="AC99" s="37">
        <f>IF(tbResults[[#This Row],[Player1 Score]]&lt;tbResults[[#This Row],[Player2 Score]],tbResults[[#This Row],[Player1 Score]],tbResults[[#This Row],[Player2 Score]])</f>
        <v>5</v>
      </c>
    </row>
    <row r="100" spans="2:29" s="3" customFormat="1" ht="30" customHeight="1" x14ac:dyDescent="0.3">
      <c r="B100" s="20" t="str">
        <f>_xlfn.CONCAT(tbResults[[#This Row],[Series Title]],".",tbResults[[#This Row],[Game]])</f>
        <v>2.1.11.06.1</v>
      </c>
      <c r="C100" s="15">
        <v>2</v>
      </c>
      <c r="D100" s="15">
        <v>1</v>
      </c>
      <c r="E100" s="15">
        <v>11</v>
      </c>
      <c r="F100" s="15">
        <v>6</v>
      </c>
      <c r="G100" s="15">
        <v>1</v>
      </c>
      <c r="H100" s="19" t="str">
        <f>_xlfn.CONCAT(tbResults[[#This Row],[Season]],".",tbResults[[#This Row],[Stage]])</f>
        <v>2.1</v>
      </c>
      <c r="I100" s="19" t="str">
        <f>_xlfn.CONCAT(tbResults[[#This Row],[Season]],".",tbResults[[#This Row],[Stage]],".",TEXT(tbResults[[#This Row],[Week]],"00"))</f>
        <v>2.1.11</v>
      </c>
      <c r="J100" s="19" t="str">
        <f>_xlfn.CONCAT(tbResults[[#This Row],[Week Title]],".",TEXT(tbResults[[#This Row],[Match]],"00"))</f>
        <v>2.1.11.06</v>
      </c>
      <c r="K100" s="20" t="str">
        <f>_xlfn.CONCAT(tbResults[[#This Row],[Game Title]], " ", tbResults[[#This Row],[Player1]], " vs ", tbResults[[#This Row],[Player2]] )</f>
        <v>2.1.11.06.1 Vengeurr vs Cypher</v>
      </c>
      <c r="L100" s="6" t="s">
        <v>13</v>
      </c>
      <c r="M100" s="6" t="s">
        <v>14</v>
      </c>
      <c r="N100" s="6" t="s">
        <v>32</v>
      </c>
      <c r="O100" s="6" t="s">
        <v>35</v>
      </c>
      <c r="P100" s="6" t="s">
        <v>22</v>
      </c>
      <c r="Q100" s="8">
        <v>6</v>
      </c>
      <c r="R100" s="8">
        <v>5</v>
      </c>
      <c r="S100" s="8" t="s">
        <v>82</v>
      </c>
      <c r="T100" s="16" t="s">
        <v>14</v>
      </c>
      <c r="U100" s="16" t="s">
        <v>39</v>
      </c>
      <c r="V100" s="46" t="str">
        <f>IF(tbResults[[#This Row],[Player1 Score]]&gt;tbResults[[#This Row],[Player2 Score]],tbResults[[#This Row],[Player1]],tbResults[[#This Row],[Player2]])</f>
        <v>Vengeurr</v>
      </c>
      <c r="W100" s="48" t="str">
        <f>IF(tbResults[[#This Row],[Player1 Score]]&gt;tbResults[[#This Row],[Player2 Score]],tbResults[[#This Row],[Player2]],tbResults[[#This Row],[Player1]])</f>
        <v>Cypher</v>
      </c>
      <c r="X100" s="11" t="str">
        <f>IF(tbResults[[#This Row],[Winner]]=tbResults[[#This Row],[Player1]],tbResults[[#This Row],[Player1 Pick]],tbResults[[#This Row],[Player2 Pick]])</f>
        <v>Doom</v>
      </c>
      <c r="Y100" s="11" t="str">
        <f>IF(tbResults[[#This Row],[Loser]]=tbResults[[#This Row],[Player1]],tbResults[[#This Row],[Player1 Pick]],tbResults[[#This Row],[Player2 Pick]])</f>
        <v>Strogg</v>
      </c>
      <c r="Z100" s="32">
        <f>SUM(tbResults[[#This Row],[Player1 Score]],tbResults[[#This Row],[Player2 Score]])</f>
        <v>11</v>
      </c>
      <c r="AA100" s="32">
        <f>ABS(tbResults[[#This Row],[Player1 Score]]-tbResults[[#This Row],[Player2 Score]])</f>
        <v>1</v>
      </c>
      <c r="AB100" s="37">
        <f>IF(tbResults[[#This Row],[Player1 Score]]&gt;tbResults[[#This Row],[Player2 Score]],tbResults[[#This Row],[Player1 Score]],tbResults[[#This Row],[Player2 Score]])</f>
        <v>6</v>
      </c>
      <c r="AC100" s="37">
        <f>IF(tbResults[[#This Row],[Player1 Score]]&lt;tbResults[[#This Row],[Player2 Score]],tbResults[[#This Row],[Player1 Score]],tbResults[[#This Row],[Player2 Score]])</f>
        <v>5</v>
      </c>
    </row>
    <row r="101" spans="2:29" s="3" customFormat="1" ht="30" customHeight="1" x14ac:dyDescent="0.3">
      <c r="B101" s="20" t="str">
        <f>_xlfn.CONCAT(tbResults[[#This Row],[Series Title]],".",tbResults[[#This Row],[Game]])</f>
        <v>2.1.11.06.2</v>
      </c>
      <c r="C101" s="15">
        <v>2</v>
      </c>
      <c r="D101" s="15">
        <v>1</v>
      </c>
      <c r="E101" s="15">
        <v>11</v>
      </c>
      <c r="F101" s="15">
        <v>6</v>
      </c>
      <c r="G101" s="15">
        <v>2</v>
      </c>
      <c r="H101" s="19" t="str">
        <f>_xlfn.CONCAT(tbResults[[#This Row],[Season]],".",tbResults[[#This Row],[Stage]])</f>
        <v>2.1</v>
      </c>
      <c r="I101" s="19" t="str">
        <f>_xlfn.CONCAT(tbResults[[#This Row],[Season]],".",tbResults[[#This Row],[Stage]],".",TEXT(tbResults[[#This Row],[Week]],"00"))</f>
        <v>2.1.11</v>
      </c>
      <c r="J101" s="19" t="str">
        <f>_xlfn.CONCAT(tbResults[[#This Row],[Week Title]],".",TEXT(tbResults[[#This Row],[Match]],"00"))</f>
        <v>2.1.11.06</v>
      </c>
      <c r="K101" s="20" t="str">
        <f>_xlfn.CONCAT(tbResults[[#This Row],[Game Title]], " ", tbResults[[#This Row],[Player1]], " vs ", tbResults[[#This Row],[Player2]] )</f>
        <v>2.1.11.06.2 Vengeurr vs Cypher</v>
      </c>
      <c r="L101" s="6" t="s">
        <v>13</v>
      </c>
      <c r="M101" s="6" t="s">
        <v>14</v>
      </c>
      <c r="N101" s="6" t="s">
        <v>26</v>
      </c>
      <c r="O101" s="6" t="s">
        <v>37</v>
      </c>
      <c r="P101" s="6" t="s">
        <v>27</v>
      </c>
      <c r="Q101" s="8">
        <v>4</v>
      </c>
      <c r="R101" s="8">
        <v>3</v>
      </c>
      <c r="S101" s="8" t="s">
        <v>81</v>
      </c>
      <c r="T101" s="16" t="s">
        <v>13</v>
      </c>
      <c r="U101" s="16" t="s">
        <v>38</v>
      </c>
      <c r="V101" s="46" t="str">
        <f>IF(tbResults[[#This Row],[Player1 Score]]&gt;tbResults[[#This Row],[Player2 Score]],tbResults[[#This Row],[Player1]],tbResults[[#This Row],[Player2]])</f>
        <v>Vengeurr</v>
      </c>
      <c r="W101" s="48" t="str">
        <f>IF(tbResults[[#This Row],[Player1 Score]]&gt;tbResults[[#This Row],[Player2 Score]],tbResults[[#This Row],[Player2]],tbResults[[#This Row],[Player1]])</f>
        <v>Cypher</v>
      </c>
      <c r="X101" s="11" t="str">
        <f>IF(tbResults[[#This Row],[Winner]]=tbResults[[#This Row],[Player1]],tbResults[[#This Row],[Player1 Pick]],tbResults[[#This Row],[Player2 Pick]])</f>
        <v>Eisen</v>
      </c>
      <c r="Y101" s="11" t="str">
        <f>IF(tbResults[[#This Row],[Loser]]=tbResults[[#This Row],[Player1]],tbResults[[#This Row],[Player1 Pick]],tbResults[[#This Row],[Player2 Pick]])</f>
        <v>Keel</v>
      </c>
      <c r="Z101" s="32">
        <f>SUM(tbResults[[#This Row],[Player1 Score]],tbResults[[#This Row],[Player2 Score]])</f>
        <v>7</v>
      </c>
      <c r="AA101" s="32">
        <f>ABS(tbResults[[#This Row],[Player1 Score]]-tbResults[[#This Row],[Player2 Score]])</f>
        <v>1</v>
      </c>
      <c r="AB101" s="37">
        <f>IF(tbResults[[#This Row],[Player1 Score]]&gt;tbResults[[#This Row],[Player2 Score]],tbResults[[#This Row],[Player1 Score]],tbResults[[#This Row],[Player2 Score]])</f>
        <v>4</v>
      </c>
      <c r="AC101" s="37">
        <f>IF(tbResults[[#This Row],[Player1 Score]]&lt;tbResults[[#This Row],[Player2 Score]],tbResults[[#This Row],[Player1 Score]],tbResults[[#This Row],[Player2 Score]])</f>
        <v>3</v>
      </c>
    </row>
    <row r="102" spans="2:29" s="3" customFormat="1" ht="30" customHeight="1" x14ac:dyDescent="0.3">
      <c r="B102" s="20" t="str">
        <f>_xlfn.CONCAT(tbResults[[#This Row],[Series Title]],".",tbResults[[#This Row],[Game]])</f>
        <v>2.1.11.06.3</v>
      </c>
      <c r="C102" s="15">
        <v>2</v>
      </c>
      <c r="D102" s="15">
        <v>1</v>
      </c>
      <c r="E102" s="15">
        <v>11</v>
      </c>
      <c r="F102" s="15">
        <v>6</v>
      </c>
      <c r="G102" s="15">
        <v>3</v>
      </c>
      <c r="H102" s="19" t="str">
        <f>_xlfn.CONCAT(tbResults[[#This Row],[Season]],".",tbResults[[#This Row],[Stage]])</f>
        <v>2.1</v>
      </c>
      <c r="I102" s="19" t="str">
        <f>_xlfn.CONCAT(tbResults[[#This Row],[Season]],".",tbResults[[#This Row],[Stage]],".",TEXT(tbResults[[#This Row],[Week]],"00"))</f>
        <v>2.1.11</v>
      </c>
      <c r="J102" s="19" t="str">
        <f>_xlfn.CONCAT(tbResults[[#This Row],[Week Title]],".",TEXT(tbResults[[#This Row],[Match]],"00"))</f>
        <v>2.1.11.06</v>
      </c>
      <c r="K102" s="20" t="str">
        <f>_xlfn.CONCAT(tbResults[[#This Row],[Game Title]], " ", tbResults[[#This Row],[Player1]], " vs ", tbResults[[#This Row],[Player2]] )</f>
        <v>2.1.11.06.3 Vengeurr vs Cypher</v>
      </c>
      <c r="L102" s="6" t="s">
        <v>13</v>
      </c>
      <c r="M102" s="6" t="s">
        <v>14</v>
      </c>
      <c r="N102" s="6" t="s">
        <v>23</v>
      </c>
      <c r="O102" s="6"/>
      <c r="P102" s="6" t="s">
        <v>24</v>
      </c>
      <c r="Q102" s="8">
        <v>2</v>
      </c>
      <c r="R102" s="8">
        <v>8</v>
      </c>
      <c r="S102" s="8" t="s">
        <v>81</v>
      </c>
      <c r="T102" s="16" t="s">
        <v>14</v>
      </c>
      <c r="U102" s="16" t="s">
        <v>55</v>
      </c>
      <c r="V102" s="46" t="str">
        <f>IF(tbResults[[#This Row],[Player1 Score]]&gt;tbResults[[#This Row],[Player2 Score]],tbResults[[#This Row],[Player1]],tbResults[[#This Row],[Player2]])</f>
        <v>Cypher</v>
      </c>
      <c r="W102" s="48" t="str">
        <f>IF(tbResults[[#This Row],[Player1 Score]]&gt;tbResults[[#This Row],[Player2 Score]],tbResults[[#This Row],[Player2]],tbResults[[#This Row],[Player1]])</f>
        <v>Vengeurr</v>
      </c>
      <c r="X102" s="11" t="str">
        <f>IF(tbResults[[#This Row],[Winner]]=tbResults[[#This Row],[Player1]],tbResults[[#This Row],[Player1 Pick]],tbResults[[#This Row],[Player2 Pick]])</f>
        <v>Slash</v>
      </c>
      <c r="Y102" s="11">
        <f>IF(tbResults[[#This Row],[Loser]]=tbResults[[#This Row],[Player1]],tbResults[[#This Row],[Player1 Pick]],tbResults[[#This Row],[Player2 Pick]])</f>
        <v>0</v>
      </c>
      <c r="Z102" s="32">
        <f>SUM(tbResults[[#This Row],[Player1 Score]],tbResults[[#This Row],[Player2 Score]])</f>
        <v>10</v>
      </c>
      <c r="AA102" s="32">
        <f>ABS(tbResults[[#This Row],[Player1 Score]]-tbResults[[#This Row],[Player2 Score]])</f>
        <v>6</v>
      </c>
      <c r="AB102" s="37">
        <f>IF(tbResults[[#This Row],[Player1 Score]]&gt;tbResults[[#This Row],[Player2 Score]],tbResults[[#This Row],[Player1 Score]],tbResults[[#This Row],[Player2 Score]])</f>
        <v>8</v>
      </c>
      <c r="AC102" s="37">
        <f>IF(tbResults[[#This Row],[Player1 Score]]&lt;tbResults[[#This Row],[Player2 Score]],tbResults[[#This Row],[Player1 Score]],tbResults[[#This Row],[Player2 Score]])</f>
        <v>2</v>
      </c>
    </row>
    <row r="103" spans="2:29" s="3" customFormat="1" ht="30" customHeight="1" x14ac:dyDescent="0.3">
      <c r="B103" s="20" t="str">
        <f>_xlfn.CONCAT(tbResults[[#This Row],[Series Title]],".",tbResults[[#This Row],[Game]])</f>
        <v>2.1.12.01.1</v>
      </c>
      <c r="C103" s="15">
        <v>2</v>
      </c>
      <c r="D103" s="15">
        <v>1</v>
      </c>
      <c r="E103" s="15">
        <v>12</v>
      </c>
      <c r="F103" s="15">
        <v>1</v>
      </c>
      <c r="G103" s="15">
        <v>1</v>
      </c>
      <c r="H103" s="19" t="str">
        <f>_xlfn.CONCAT(tbResults[[#This Row],[Season]],".",tbResults[[#This Row],[Stage]])</f>
        <v>2.1</v>
      </c>
      <c r="I103" s="19" t="str">
        <f>_xlfn.CONCAT(tbResults[[#This Row],[Season]],".",tbResults[[#This Row],[Stage]],".",TEXT(tbResults[[#This Row],[Week]],"00"))</f>
        <v>2.1.12</v>
      </c>
      <c r="J103" s="19" t="str">
        <f>_xlfn.CONCAT(tbResults[[#This Row],[Week Title]],".",TEXT(tbResults[[#This Row],[Match]],"00"))</f>
        <v>2.1.12.01</v>
      </c>
      <c r="K103" s="20" t="str">
        <f>_xlfn.CONCAT(tbResults[[#This Row],[Game Title]], " ", tbResults[[#This Row],[Player1]], " vs ", tbResults[[#This Row],[Player2]] )</f>
        <v>2.1.12.01.1 cnz vs Base</v>
      </c>
      <c r="L103" s="6" t="s">
        <v>54</v>
      </c>
      <c r="M103" s="6" t="s">
        <v>51</v>
      </c>
      <c r="N103" s="6" t="s">
        <v>178</v>
      </c>
      <c r="O103" s="6" t="s">
        <v>39</v>
      </c>
      <c r="P103" s="6" t="s">
        <v>55</v>
      </c>
      <c r="Q103" s="8">
        <v>2</v>
      </c>
      <c r="R103" s="8">
        <v>5</v>
      </c>
      <c r="S103" s="8" t="s">
        <v>81</v>
      </c>
      <c r="T103" s="16" t="s">
        <v>51</v>
      </c>
      <c r="U103" s="16" t="s">
        <v>38</v>
      </c>
      <c r="V103" s="46" t="str">
        <f>IF(tbResults[[#This Row],[Player1 Score]]&gt;tbResults[[#This Row],[Player2 Score]],tbResults[[#This Row],[Player1]],tbResults[[#This Row],[Player2]])</f>
        <v>Base</v>
      </c>
      <c r="W103" s="48" t="str">
        <f>IF(tbResults[[#This Row],[Player1 Score]]&gt;tbResults[[#This Row],[Player2 Score]],tbResults[[#This Row],[Player2]],tbResults[[#This Row],[Player1]])</f>
        <v>cnz</v>
      </c>
      <c r="X103" s="11" t="str">
        <f>IF(tbResults[[#This Row],[Winner]]=tbResults[[#This Row],[Player1]],tbResults[[#This Row],[Player1 Pick]],tbResults[[#This Row],[Player2 Pick]])</f>
        <v>Athena</v>
      </c>
      <c r="Y103" s="11" t="str">
        <f>IF(tbResults[[#This Row],[Loser]]=tbResults[[#This Row],[Player1]],tbResults[[#This Row],[Player1 Pick]],tbResults[[#This Row],[Player2 Pick]])</f>
        <v>Anarki</v>
      </c>
      <c r="Z103" s="32">
        <f>SUM(tbResults[[#This Row],[Player1 Score]],tbResults[[#This Row],[Player2 Score]])</f>
        <v>7</v>
      </c>
      <c r="AA103" s="32">
        <f>ABS(tbResults[[#This Row],[Player1 Score]]-tbResults[[#This Row],[Player2 Score]])</f>
        <v>3</v>
      </c>
      <c r="AB103" s="37">
        <f>IF(tbResults[[#This Row],[Player1 Score]]&gt;tbResults[[#This Row],[Player2 Score]],tbResults[[#This Row],[Player1 Score]],tbResults[[#This Row],[Player2 Score]])</f>
        <v>5</v>
      </c>
      <c r="AC103" s="37">
        <f>IF(tbResults[[#This Row],[Player1 Score]]&lt;tbResults[[#This Row],[Player2 Score]],tbResults[[#This Row],[Player1 Score]],tbResults[[#This Row],[Player2 Score]])</f>
        <v>2</v>
      </c>
    </row>
    <row r="104" spans="2:29" s="3" customFormat="1" ht="30" customHeight="1" x14ac:dyDescent="0.3">
      <c r="B104" s="20" t="str">
        <f>_xlfn.CONCAT(tbResults[[#This Row],[Series Title]],".",tbResults[[#This Row],[Game]])</f>
        <v>2.1.12.01.2</v>
      </c>
      <c r="C104" s="15">
        <v>2</v>
      </c>
      <c r="D104" s="15">
        <v>1</v>
      </c>
      <c r="E104" s="15">
        <v>12</v>
      </c>
      <c r="F104" s="15">
        <v>1</v>
      </c>
      <c r="G104" s="15">
        <v>2</v>
      </c>
      <c r="H104" s="19" t="str">
        <f>_xlfn.CONCAT(tbResults[[#This Row],[Season]],".",tbResults[[#This Row],[Stage]])</f>
        <v>2.1</v>
      </c>
      <c r="I104" s="19" t="str">
        <f>_xlfn.CONCAT(tbResults[[#This Row],[Season]],".",tbResults[[#This Row],[Stage]],".",TEXT(tbResults[[#This Row],[Week]],"00"))</f>
        <v>2.1.12</v>
      </c>
      <c r="J104" s="19" t="str">
        <f>_xlfn.CONCAT(tbResults[[#This Row],[Week Title]],".",TEXT(tbResults[[#This Row],[Match]],"00"))</f>
        <v>2.1.12.01</v>
      </c>
      <c r="K104" s="20" t="str">
        <f>_xlfn.CONCAT(tbResults[[#This Row],[Game Title]], " ", tbResults[[#This Row],[Player1]], " vs ", tbResults[[#This Row],[Player2]] )</f>
        <v>2.1.12.01.2 cnz vs Base</v>
      </c>
      <c r="L104" s="6" t="s">
        <v>54</v>
      </c>
      <c r="M104" s="6" t="s">
        <v>51</v>
      </c>
      <c r="N104" s="6" t="s">
        <v>26</v>
      </c>
      <c r="O104" s="6" t="s">
        <v>21</v>
      </c>
      <c r="P104" s="6" t="s">
        <v>34</v>
      </c>
      <c r="Q104" s="8">
        <v>4</v>
      </c>
      <c r="R104" s="8">
        <v>2</v>
      </c>
      <c r="S104" s="8" t="s">
        <v>81</v>
      </c>
      <c r="T104" s="16" t="s">
        <v>54</v>
      </c>
      <c r="U104" s="16" t="s">
        <v>37</v>
      </c>
      <c r="V104" s="46" t="str">
        <f>IF(tbResults[[#This Row],[Player1 Score]]&gt;tbResults[[#This Row],[Player2 Score]],tbResults[[#This Row],[Player1]],tbResults[[#This Row],[Player2]])</f>
        <v>cnz</v>
      </c>
      <c r="W104" s="48" t="str">
        <f>IF(tbResults[[#This Row],[Player1 Score]]&gt;tbResults[[#This Row],[Player2 Score]],tbResults[[#This Row],[Player2]],tbResults[[#This Row],[Player1]])</f>
        <v>Base</v>
      </c>
      <c r="X104" s="11" t="str">
        <f>IF(tbResults[[#This Row],[Winner]]=tbResults[[#This Row],[Player1]],tbResults[[#This Row],[Player1 Pick]],tbResults[[#This Row],[Player2 Pick]])</f>
        <v>Ranger</v>
      </c>
      <c r="Y104" s="11" t="str">
        <f>IF(tbResults[[#This Row],[Loser]]=tbResults[[#This Row],[Player1]],tbResults[[#This Row],[Player1 Pick]],tbResults[[#This Row],[Player2 Pick]])</f>
        <v>Galena</v>
      </c>
      <c r="Z104" s="32">
        <f>SUM(tbResults[[#This Row],[Player1 Score]],tbResults[[#This Row],[Player2 Score]])</f>
        <v>6</v>
      </c>
      <c r="AA104" s="32">
        <f>ABS(tbResults[[#This Row],[Player1 Score]]-tbResults[[#This Row],[Player2 Score]])</f>
        <v>2</v>
      </c>
      <c r="AB104" s="37">
        <f>IF(tbResults[[#This Row],[Player1 Score]]&gt;tbResults[[#This Row],[Player2 Score]],tbResults[[#This Row],[Player1 Score]],tbResults[[#This Row],[Player2 Score]])</f>
        <v>4</v>
      </c>
      <c r="AC104" s="37">
        <f>IF(tbResults[[#This Row],[Player1 Score]]&lt;tbResults[[#This Row],[Player2 Score]],tbResults[[#This Row],[Player1 Score]],tbResults[[#This Row],[Player2 Score]])</f>
        <v>2</v>
      </c>
    </row>
    <row r="105" spans="2:29" s="3" customFormat="1" ht="30" customHeight="1" x14ac:dyDescent="0.3">
      <c r="B105" s="20" t="str">
        <f>_xlfn.CONCAT(tbResults[[#This Row],[Series Title]],".",tbResults[[#This Row],[Game]])</f>
        <v>2.1.12.01.3</v>
      </c>
      <c r="C105" s="15">
        <v>2</v>
      </c>
      <c r="D105" s="15">
        <v>1</v>
      </c>
      <c r="E105" s="15">
        <v>12</v>
      </c>
      <c r="F105" s="15">
        <v>1</v>
      </c>
      <c r="G105" s="15">
        <v>3</v>
      </c>
      <c r="H105" s="19" t="str">
        <f>_xlfn.CONCAT(tbResults[[#This Row],[Season]],".",tbResults[[#This Row],[Stage]])</f>
        <v>2.1</v>
      </c>
      <c r="I105" s="19" t="str">
        <f>_xlfn.CONCAT(tbResults[[#This Row],[Season]],".",tbResults[[#This Row],[Stage]],".",TEXT(tbResults[[#This Row],[Week]],"00"))</f>
        <v>2.1.12</v>
      </c>
      <c r="J105" s="19" t="str">
        <f>_xlfn.CONCAT(tbResults[[#This Row],[Week Title]],".",TEXT(tbResults[[#This Row],[Match]],"00"))</f>
        <v>2.1.12.01</v>
      </c>
      <c r="K105" s="20" t="str">
        <f>_xlfn.CONCAT(tbResults[[#This Row],[Game Title]], " ", tbResults[[#This Row],[Player1]], " vs ", tbResults[[#This Row],[Player2]] )</f>
        <v>2.1.12.01.3 cnz vs Base</v>
      </c>
      <c r="L105" s="6" t="s">
        <v>54</v>
      </c>
      <c r="M105" s="6" t="s">
        <v>51</v>
      </c>
      <c r="N105" s="6" t="s">
        <v>23</v>
      </c>
      <c r="O105" s="6" t="s">
        <v>25</v>
      </c>
      <c r="P105" s="6" t="s">
        <v>35</v>
      </c>
      <c r="Q105" s="8">
        <v>4</v>
      </c>
      <c r="R105" s="8">
        <v>5</v>
      </c>
      <c r="S105" s="8" t="s">
        <v>81</v>
      </c>
      <c r="T105" s="16" t="s">
        <v>51</v>
      </c>
      <c r="U105" s="16" t="s">
        <v>36</v>
      </c>
      <c r="V105" s="46" t="str">
        <f>IF(tbResults[[#This Row],[Player1 Score]]&gt;tbResults[[#This Row],[Player2 Score]],tbResults[[#This Row],[Player1]],tbResults[[#This Row],[Player2]])</f>
        <v>Base</v>
      </c>
      <c r="W105" s="48" t="str">
        <f>IF(tbResults[[#This Row],[Player1 Score]]&gt;tbResults[[#This Row],[Player2 Score]],tbResults[[#This Row],[Player2]],tbResults[[#This Row],[Player1]])</f>
        <v>cnz</v>
      </c>
      <c r="X105" s="11" t="str">
        <f>IF(tbResults[[#This Row],[Winner]]=tbResults[[#This Row],[Player1]],tbResults[[#This Row],[Player1 Pick]],tbResults[[#This Row],[Player2 Pick]])</f>
        <v>Doom</v>
      </c>
      <c r="Y105" s="11" t="str">
        <f>IF(tbResults[[#This Row],[Loser]]=tbResults[[#This Row],[Player1]],tbResults[[#This Row],[Player1 Pick]],tbResults[[#This Row],[Player2 Pick]])</f>
        <v>Sorlag</v>
      </c>
      <c r="Z105" s="32">
        <f>SUM(tbResults[[#This Row],[Player1 Score]],tbResults[[#This Row],[Player2 Score]])</f>
        <v>9</v>
      </c>
      <c r="AA105" s="32">
        <f>ABS(tbResults[[#This Row],[Player1 Score]]-tbResults[[#This Row],[Player2 Score]])</f>
        <v>1</v>
      </c>
      <c r="AB105" s="37">
        <f>IF(tbResults[[#This Row],[Player1 Score]]&gt;tbResults[[#This Row],[Player2 Score]],tbResults[[#This Row],[Player1 Score]],tbResults[[#This Row],[Player2 Score]])</f>
        <v>5</v>
      </c>
      <c r="AC105" s="37">
        <f>IF(tbResults[[#This Row],[Player1 Score]]&lt;tbResults[[#This Row],[Player2 Score]],tbResults[[#This Row],[Player1 Score]],tbResults[[#This Row],[Player2 Score]])</f>
        <v>4</v>
      </c>
    </row>
    <row r="106" spans="2:29" s="3" customFormat="1" ht="30" customHeight="1" x14ac:dyDescent="0.3">
      <c r="B106" s="20" t="str">
        <f>_xlfn.CONCAT(tbResults[[#This Row],[Series Title]],".",tbResults[[#This Row],[Game]])</f>
        <v>2.1.12.02.1</v>
      </c>
      <c r="C106" s="15">
        <v>2</v>
      </c>
      <c r="D106" s="15">
        <v>1</v>
      </c>
      <c r="E106" s="15">
        <v>12</v>
      </c>
      <c r="F106" s="15">
        <v>2</v>
      </c>
      <c r="G106" s="15">
        <v>1</v>
      </c>
      <c r="H106" s="19" t="str">
        <f>_xlfn.CONCAT(tbResults[[#This Row],[Season]],".",tbResults[[#This Row],[Stage]])</f>
        <v>2.1</v>
      </c>
      <c r="I106" s="19" t="str">
        <f>_xlfn.CONCAT(tbResults[[#This Row],[Season]],".",tbResults[[#This Row],[Stage]],".",TEXT(tbResults[[#This Row],[Week]],"00"))</f>
        <v>2.1.12</v>
      </c>
      <c r="J106" s="19" t="str">
        <f>_xlfn.CONCAT(tbResults[[#This Row],[Week Title]],".",TEXT(tbResults[[#This Row],[Match]],"00"))</f>
        <v>2.1.12.02</v>
      </c>
      <c r="K106" s="20" t="str">
        <f>_xlfn.CONCAT(tbResults[[#This Row],[Game Title]], " ", tbResults[[#This Row],[Player1]], " vs ", tbResults[[#This Row],[Player2]] )</f>
        <v>2.1.12.02.1 Zenaku vs Dramis</v>
      </c>
      <c r="L106" s="6" t="s">
        <v>29</v>
      </c>
      <c r="M106" s="6" t="s">
        <v>12</v>
      </c>
      <c r="N106" s="6" t="s">
        <v>26</v>
      </c>
      <c r="O106" s="6" t="s">
        <v>27</v>
      </c>
      <c r="P106" s="6" t="s">
        <v>24</v>
      </c>
      <c r="Q106" s="8">
        <v>2</v>
      </c>
      <c r="R106" s="8">
        <v>8</v>
      </c>
      <c r="S106" s="8" t="s">
        <v>81</v>
      </c>
      <c r="T106" s="16" t="s">
        <v>29</v>
      </c>
      <c r="U106" s="16" t="s">
        <v>44</v>
      </c>
      <c r="V106" s="46" t="str">
        <f>IF(tbResults[[#This Row],[Player1 Score]]&gt;tbResults[[#This Row],[Player2 Score]],tbResults[[#This Row],[Player1]],tbResults[[#This Row],[Player2]])</f>
        <v>Dramis</v>
      </c>
      <c r="W106" s="48" t="str">
        <f>IF(tbResults[[#This Row],[Player1 Score]]&gt;tbResults[[#This Row],[Player2 Score]],tbResults[[#This Row],[Player2]],tbResults[[#This Row],[Player1]])</f>
        <v>Zenaku</v>
      </c>
      <c r="X106" s="11" t="str">
        <f>IF(tbResults[[#This Row],[Winner]]=tbResults[[#This Row],[Player1]],tbResults[[#This Row],[Player1 Pick]],tbResults[[#This Row],[Player2 Pick]])</f>
        <v>Slash</v>
      </c>
      <c r="Y106" s="11" t="str">
        <f>IF(tbResults[[#This Row],[Loser]]=tbResults[[#This Row],[Player1]],tbResults[[#This Row],[Player1 Pick]],tbResults[[#This Row],[Player2 Pick]])</f>
        <v>Keel</v>
      </c>
      <c r="Z106" s="32">
        <f>SUM(tbResults[[#This Row],[Player1 Score]],tbResults[[#This Row],[Player2 Score]])</f>
        <v>10</v>
      </c>
      <c r="AA106" s="32">
        <f>ABS(tbResults[[#This Row],[Player1 Score]]-tbResults[[#This Row],[Player2 Score]])</f>
        <v>6</v>
      </c>
      <c r="AB106" s="37">
        <f>IF(tbResults[[#This Row],[Player1 Score]]&gt;tbResults[[#This Row],[Player2 Score]],tbResults[[#This Row],[Player1 Score]],tbResults[[#This Row],[Player2 Score]])</f>
        <v>8</v>
      </c>
      <c r="AC106" s="37">
        <f>IF(tbResults[[#This Row],[Player1 Score]]&lt;tbResults[[#This Row],[Player2 Score]],tbResults[[#This Row],[Player1 Score]],tbResults[[#This Row],[Player2 Score]])</f>
        <v>2</v>
      </c>
    </row>
    <row r="107" spans="2:29" s="3" customFormat="1" ht="30" customHeight="1" x14ac:dyDescent="0.3">
      <c r="B107" s="20" t="str">
        <f>_xlfn.CONCAT(tbResults[[#This Row],[Series Title]],".",tbResults[[#This Row],[Game]])</f>
        <v>2.1.12.02.2</v>
      </c>
      <c r="C107" s="15">
        <v>2</v>
      </c>
      <c r="D107" s="15">
        <v>1</v>
      </c>
      <c r="E107" s="15">
        <v>12</v>
      </c>
      <c r="F107" s="15">
        <v>2</v>
      </c>
      <c r="G107" s="15">
        <v>2</v>
      </c>
      <c r="H107" s="19" t="str">
        <f>_xlfn.CONCAT(tbResults[[#This Row],[Season]],".",tbResults[[#This Row],[Stage]])</f>
        <v>2.1</v>
      </c>
      <c r="I107" s="19" t="str">
        <f>_xlfn.CONCAT(tbResults[[#This Row],[Season]],".",tbResults[[#This Row],[Stage]],".",TEXT(tbResults[[#This Row],[Week]],"00"))</f>
        <v>2.1.12</v>
      </c>
      <c r="J107" s="19" t="str">
        <f>_xlfn.CONCAT(tbResults[[#This Row],[Week Title]],".",TEXT(tbResults[[#This Row],[Match]],"00"))</f>
        <v>2.1.12.02</v>
      </c>
      <c r="K107" s="20" t="str">
        <f>_xlfn.CONCAT(tbResults[[#This Row],[Game Title]], " ", tbResults[[#This Row],[Player1]], " vs ", tbResults[[#This Row],[Player2]] )</f>
        <v>2.1.12.02.2 Zenaku vs Dramis</v>
      </c>
      <c r="L107" s="6" t="s">
        <v>29</v>
      </c>
      <c r="M107" s="6" t="s">
        <v>12</v>
      </c>
      <c r="N107" s="6" t="s">
        <v>40</v>
      </c>
      <c r="O107" s="6" t="s">
        <v>55</v>
      </c>
      <c r="P107" s="6" t="s">
        <v>22</v>
      </c>
      <c r="Q107" s="8">
        <v>5</v>
      </c>
      <c r="R107" s="8">
        <v>14</v>
      </c>
      <c r="S107" s="8" t="s">
        <v>81</v>
      </c>
      <c r="T107" s="16" t="s">
        <v>12</v>
      </c>
      <c r="U107" s="16" t="s">
        <v>35</v>
      </c>
      <c r="V107" s="46" t="str">
        <f>IF(tbResults[[#This Row],[Player1 Score]]&gt;tbResults[[#This Row],[Player2 Score]],tbResults[[#This Row],[Player1]],tbResults[[#This Row],[Player2]])</f>
        <v>Dramis</v>
      </c>
      <c r="W107" s="48" t="str">
        <f>IF(tbResults[[#This Row],[Player1 Score]]&gt;tbResults[[#This Row],[Player2 Score]],tbResults[[#This Row],[Player2]],tbResults[[#This Row],[Player1]])</f>
        <v>Zenaku</v>
      </c>
      <c r="X107" s="11" t="str">
        <f>IF(tbResults[[#This Row],[Winner]]=tbResults[[#This Row],[Player1]],tbResults[[#This Row],[Player1 Pick]],tbResults[[#This Row],[Player2 Pick]])</f>
        <v>Strogg</v>
      </c>
      <c r="Y107" s="11" t="str">
        <f>IF(tbResults[[#This Row],[Loser]]=tbResults[[#This Row],[Player1]],tbResults[[#This Row],[Player1 Pick]],tbResults[[#This Row],[Player2 Pick]])</f>
        <v>Athena</v>
      </c>
      <c r="Z107" s="32">
        <f>SUM(tbResults[[#This Row],[Player1 Score]],tbResults[[#This Row],[Player2 Score]])</f>
        <v>19</v>
      </c>
      <c r="AA107" s="32">
        <f>ABS(tbResults[[#This Row],[Player1 Score]]-tbResults[[#This Row],[Player2 Score]])</f>
        <v>9</v>
      </c>
      <c r="AB107" s="37">
        <f>IF(tbResults[[#This Row],[Player1 Score]]&gt;tbResults[[#This Row],[Player2 Score]],tbResults[[#This Row],[Player1 Score]],tbResults[[#This Row],[Player2 Score]])</f>
        <v>14</v>
      </c>
      <c r="AC107" s="37">
        <f>IF(tbResults[[#This Row],[Player1 Score]]&lt;tbResults[[#This Row],[Player2 Score]],tbResults[[#This Row],[Player1 Score]],tbResults[[#This Row],[Player2 Score]])</f>
        <v>5</v>
      </c>
    </row>
    <row r="108" spans="2:29" s="3" customFormat="1" ht="30" customHeight="1" x14ac:dyDescent="0.3">
      <c r="B108" s="20" t="str">
        <f>_xlfn.CONCAT(tbResults[[#This Row],[Series Title]],".",tbResults[[#This Row],[Game]])</f>
        <v>2.1.12.02.3</v>
      </c>
      <c r="C108" s="15">
        <v>2</v>
      </c>
      <c r="D108" s="15">
        <v>1</v>
      </c>
      <c r="E108" s="15">
        <v>12</v>
      </c>
      <c r="F108" s="15">
        <v>2</v>
      </c>
      <c r="G108" s="15">
        <v>3</v>
      </c>
      <c r="H108" s="19" t="str">
        <f>_xlfn.CONCAT(tbResults[[#This Row],[Season]],".",tbResults[[#This Row],[Stage]])</f>
        <v>2.1</v>
      </c>
      <c r="I108" s="19" t="str">
        <f>_xlfn.CONCAT(tbResults[[#This Row],[Season]],".",tbResults[[#This Row],[Stage]],".",TEXT(tbResults[[#This Row],[Week]],"00"))</f>
        <v>2.1.12</v>
      </c>
      <c r="J108" s="19" t="str">
        <f>_xlfn.CONCAT(tbResults[[#This Row],[Week Title]],".",TEXT(tbResults[[#This Row],[Match]],"00"))</f>
        <v>2.1.12.02</v>
      </c>
      <c r="K108" s="20" t="str">
        <f>_xlfn.CONCAT(tbResults[[#This Row],[Game Title]], " ", tbResults[[#This Row],[Player1]], " vs ", tbResults[[#This Row],[Player2]] )</f>
        <v>2.1.12.02.3 Zenaku vs Dramis</v>
      </c>
      <c r="L108" s="6" t="s">
        <v>29</v>
      </c>
      <c r="M108" s="6" t="s">
        <v>12</v>
      </c>
      <c r="N108" s="6" t="s">
        <v>19</v>
      </c>
      <c r="O108" s="6" t="s">
        <v>21</v>
      </c>
      <c r="P108" s="6" t="s">
        <v>34</v>
      </c>
      <c r="Q108" s="8">
        <v>8</v>
      </c>
      <c r="R108" s="8">
        <v>4</v>
      </c>
      <c r="S108" s="8" t="s">
        <v>81</v>
      </c>
      <c r="T108" s="16" t="s">
        <v>29</v>
      </c>
      <c r="U108" s="16" t="s">
        <v>38</v>
      </c>
      <c r="V108" s="46" t="str">
        <f>IF(tbResults[[#This Row],[Player1 Score]]&gt;tbResults[[#This Row],[Player2 Score]],tbResults[[#This Row],[Player1]],tbResults[[#This Row],[Player2]])</f>
        <v>Zenaku</v>
      </c>
      <c r="W108" s="48" t="str">
        <f>IF(tbResults[[#This Row],[Player1 Score]]&gt;tbResults[[#This Row],[Player2 Score]],tbResults[[#This Row],[Player2]],tbResults[[#This Row],[Player1]])</f>
        <v>Dramis</v>
      </c>
      <c r="X108" s="11" t="str">
        <f>IF(tbResults[[#This Row],[Winner]]=tbResults[[#This Row],[Player1]],tbResults[[#This Row],[Player1 Pick]],tbResults[[#This Row],[Player2 Pick]])</f>
        <v>Ranger</v>
      </c>
      <c r="Y108" s="11" t="str">
        <f>IF(tbResults[[#This Row],[Loser]]=tbResults[[#This Row],[Player1]],tbResults[[#This Row],[Player1 Pick]],tbResults[[#This Row],[Player2 Pick]])</f>
        <v>Galena</v>
      </c>
      <c r="Z108" s="32">
        <f>SUM(tbResults[[#This Row],[Player1 Score]],tbResults[[#This Row],[Player2 Score]])</f>
        <v>12</v>
      </c>
      <c r="AA108" s="32">
        <f>ABS(tbResults[[#This Row],[Player1 Score]]-tbResults[[#This Row],[Player2 Score]])</f>
        <v>4</v>
      </c>
      <c r="AB108" s="37">
        <f>IF(tbResults[[#This Row],[Player1 Score]]&gt;tbResults[[#This Row],[Player2 Score]],tbResults[[#This Row],[Player1 Score]],tbResults[[#This Row],[Player2 Score]])</f>
        <v>8</v>
      </c>
      <c r="AC108" s="37">
        <f>IF(tbResults[[#This Row],[Player1 Score]]&lt;tbResults[[#This Row],[Player2 Score]],tbResults[[#This Row],[Player1 Score]],tbResults[[#This Row],[Player2 Score]])</f>
        <v>4</v>
      </c>
    </row>
    <row r="109" spans="2:29" s="3" customFormat="1" ht="30" customHeight="1" x14ac:dyDescent="0.3">
      <c r="B109" s="20" t="str">
        <f>_xlfn.CONCAT(tbResults[[#This Row],[Series Title]],".",tbResults[[#This Row],[Game]])</f>
        <v>2.1.12.03.1</v>
      </c>
      <c r="C109" s="15">
        <v>2</v>
      </c>
      <c r="D109" s="15">
        <v>1</v>
      </c>
      <c r="E109" s="15">
        <v>12</v>
      </c>
      <c r="F109" s="15">
        <v>3</v>
      </c>
      <c r="G109" s="15">
        <v>1</v>
      </c>
      <c r="H109" s="19" t="str">
        <f>_xlfn.CONCAT(tbResults[[#This Row],[Season]],".",tbResults[[#This Row],[Stage]])</f>
        <v>2.1</v>
      </c>
      <c r="I109" s="19" t="str">
        <f>_xlfn.CONCAT(tbResults[[#This Row],[Season]],".",tbResults[[#This Row],[Stage]],".",TEXT(tbResults[[#This Row],[Week]],"00"))</f>
        <v>2.1.12</v>
      </c>
      <c r="J109" s="19" t="str">
        <f>_xlfn.CONCAT(tbResults[[#This Row],[Week Title]],".",TEXT(tbResults[[#This Row],[Match]],"00"))</f>
        <v>2.1.12.03</v>
      </c>
      <c r="K109" s="20" t="str">
        <f>_xlfn.CONCAT(tbResults[[#This Row],[Game Title]], " ", tbResults[[#This Row],[Player1]], " vs ", tbResults[[#This Row],[Player2]] )</f>
        <v>2.1.12.03.1 Raisy vs coollerz</v>
      </c>
      <c r="L109" s="6" t="s">
        <v>49</v>
      </c>
      <c r="M109" s="6" t="s">
        <v>48</v>
      </c>
      <c r="N109" s="6" t="s">
        <v>178</v>
      </c>
      <c r="O109" s="6" t="s">
        <v>38</v>
      </c>
      <c r="P109" s="6" t="s">
        <v>39</v>
      </c>
      <c r="Q109" s="8">
        <v>6</v>
      </c>
      <c r="R109" s="8">
        <v>5</v>
      </c>
      <c r="S109" s="8" t="s">
        <v>81</v>
      </c>
      <c r="T109" s="16" t="s">
        <v>49</v>
      </c>
      <c r="U109" s="16" t="s">
        <v>35</v>
      </c>
      <c r="V109" s="46" t="str">
        <f>IF(tbResults[[#This Row],[Player1 Score]]&gt;tbResults[[#This Row],[Player2 Score]],tbResults[[#This Row],[Player1]],tbResults[[#This Row],[Player2]])</f>
        <v>Raisy</v>
      </c>
      <c r="W109" s="48" t="str">
        <f>IF(tbResults[[#This Row],[Player1 Score]]&gt;tbResults[[#This Row],[Player2 Score]],tbResults[[#This Row],[Player2]],tbResults[[#This Row],[Player1]])</f>
        <v>coollerz</v>
      </c>
      <c r="X109" s="11" t="str">
        <f>IF(tbResults[[#This Row],[Winner]]=tbResults[[#This Row],[Player1]],tbResults[[#This Row],[Player1 Pick]],tbResults[[#This Row],[Player2 Pick]])</f>
        <v>Nyx</v>
      </c>
      <c r="Y109" s="11" t="str">
        <f>IF(tbResults[[#This Row],[Loser]]=tbResults[[#This Row],[Player1]],tbResults[[#This Row],[Player1 Pick]],tbResults[[#This Row],[Player2 Pick]])</f>
        <v>Anarki</v>
      </c>
      <c r="Z109" s="32">
        <f>SUM(tbResults[[#This Row],[Player1 Score]],tbResults[[#This Row],[Player2 Score]])</f>
        <v>11</v>
      </c>
      <c r="AA109" s="32">
        <f>ABS(tbResults[[#This Row],[Player1 Score]]-tbResults[[#This Row],[Player2 Score]])</f>
        <v>1</v>
      </c>
      <c r="AB109" s="37">
        <f>IF(tbResults[[#This Row],[Player1 Score]]&gt;tbResults[[#This Row],[Player2 Score]],tbResults[[#This Row],[Player1 Score]],tbResults[[#This Row],[Player2 Score]])</f>
        <v>6</v>
      </c>
      <c r="AC109" s="37">
        <f>IF(tbResults[[#This Row],[Player1 Score]]&lt;tbResults[[#This Row],[Player2 Score]],tbResults[[#This Row],[Player1 Score]],tbResults[[#This Row],[Player2 Score]])</f>
        <v>5</v>
      </c>
    </row>
    <row r="110" spans="2:29" s="3" customFormat="1" ht="30" customHeight="1" x14ac:dyDescent="0.3">
      <c r="B110" s="20" t="str">
        <f>_xlfn.CONCAT(tbResults[[#This Row],[Series Title]],".",tbResults[[#This Row],[Game]])</f>
        <v>2.1.12.03.2</v>
      </c>
      <c r="C110" s="15">
        <v>2</v>
      </c>
      <c r="D110" s="15">
        <v>1</v>
      </c>
      <c r="E110" s="15">
        <v>12</v>
      </c>
      <c r="F110" s="15">
        <v>3</v>
      </c>
      <c r="G110" s="15">
        <v>2</v>
      </c>
      <c r="H110" s="19" t="str">
        <f>_xlfn.CONCAT(tbResults[[#This Row],[Season]],".",tbResults[[#This Row],[Stage]])</f>
        <v>2.1</v>
      </c>
      <c r="I110" s="19" t="str">
        <f>_xlfn.CONCAT(tbResults[[#This Row],[Season]],".",tbResults[[#This Row],[Stage]],".",TEXT(tbResults[[#This Row],[Week]],"00"))</f>
        <v>2.1.12</v>
      </c>
      <c r="J110" s="19" t="str">
        <f>_xlfn.CONCAT(tbResults[[#This Row],[Week Title]],".",TEXT(tbResults[[#This Row],[Match]],"00"))</f>
        <v>2.1.12.03</v>
      </c>
      <c r="K110" s="20" t="str">
        <f>_xlfn.CONCAT(tbResults[[#This Row],[Game Title]], " ", tbResults[[#This Row],[Player1]], " vs ", tbResults[[#This Row],[Player2]] )</f>
        <v>2.1.12.03.2 Raisy vs coollerz</v>
      </c>
      <c r="L110" s="6" t="s">
        <v>49</v>
      </c>
      <c r="M110" s="6" t="s">
        <v>48</v>
      </c>
      <c r="N110" s="6" t="s">
        <v>40</v>
      </c>
      <c r="O110" s="6" t="s">
        <v>28</v>
      </c>
      <c r="P110" s="6" t="s">
        <v>27</v>
      </c>
      <c r="Q110" s="8">
        <v>14</v>
      </c>
      <c r="R110" s="8">
        <v>10</v>
      </c>
      <c r="S110" s="8" t="s">
        <v>81</v>
      </c>
      <c r="T110" s="16" t="s">
        <v>48</v>
      </c>
      <c r="U110" s="16" t="s">
        <v>25</v>
      </c>
      <c r="V110" s="46" t="str">
        <f>IF(tbResults[[#This Row],[Player1 Score]]&gt;tbResults[[#This Row],[Player2 Score]],tbResults[[#This Row],[Player1]],tbResults[[#This Row],[Player2]])</f>
        <v>Raisy</v>
      </c>
      <c r="W110" s="48" t="str">
        <f>IF(tbResults[[#This Row],[Player1 Score]]&gt;tbResults[[#This Row],[Player2 Score]],tbResults[[#This Row],[Player2]],tbResults[[#This Row],[Player1]])</f>
        <v>coollerz</v>
      </c>
      <c r="X110" s="11" t="str">
        <f>IF(tbResults[[#This Row],[Winner]]=tbResults[[#This Row],[Player1]],tbResults[[#This Row],[Player1 Pick]],tbResults[[#This Row],[Player2 Pick]])</f>
        <v>BJ Blazkowicz</v>
      </c>
      <c r="Y110" s="11" t="str">
        <f>IF(tbResults[[#This Row],[Loser]]=tbResults[[#This Row],[Player1]],tbResults[[#This Row],[Player1 Pick]],tbResults[[#This Row],[Player2 Pick]])</f>
        <v>Keel</v>
      </c>
      <c r="Z110" s="32">
        <f>SUM(tbResults[[#This Row],[Player1 Score]],tbResults[[#This Row],[Player2 Score]])</f>
        <v>24</v>
      </c>
      <c r="AA110" s="32">
        <f>ABS(tbResults[[#This Row],[Player1 Score]]-tbResults[[#This Row],[Player2 Score]])</f>
        <v>4</v>
      </c>
      <c r="AB110" s="37">
        <f>IF(tbResults[[#This Row],[Player1 Score]]&gt;tbResults[[#This Row],[Player2 Score]],tbResults[[#This Row],[Player1 Score]],tbResults[[#This Row],[Player2 Score]])</f>
        <v>14</v>
      </c>
      <c r="AC110" s="37">
        <f>IF(tbResults[[#This Row],[Player1 Score]]&lt;tbResults[[#This Row],[Player2 Score]],tbResults[[#This Row],[Player1 Score]],tbResults[[#This Row],[Player2 Score]])</f>
        <v>10</v>
      </c>
    </row>
    <row r="111" spans="2:29" s="3" customFormat="1" ht="30" customHeight="1" x14ac:dyDescent="0.3">
      <c r="B111" s="20" t="str">
        <f>_xlfn.CONCAT(tbResults[[#This Row],[Series Title]],".",tbResults[[#This Row],[Game]])</f>
        <v>2.1.12.03.3</v>
      </c>
      <c r="C111" s="15">
        <v>2</v>
      </c>
      <c r="D111" s="15">
        <v>1</v>
      </c>
      <c r="E111" s="15">
        <v>12</v>
      </c>
      <c r="F111" s="15">
        <v>3</v>
      </c>
      <c r="G111" s="15">
        <v>3</v>
      </c>
      <c r="H111" s="19" t="str">
        <f>_xlfn.CONCAT(tbResults[[#This Row],[Season]],".",tbResults[[#This Row],[Stage]])</f>
        <v>2.1</v>
      </c>
      <c r="I111" s="19" t="str">
        <f>_xlfn.CONCAT(tbResults[[#This Row],[Season]],".",tbResults[[#This Row],[Stage]],".",TEXT(tbResults[[#This Row],[Week]],"00"))</f>
        <v>2.1.12</v>
      </c>
      <c r="J111" s="19" t="str">
        <f>_xlfn.CONCAT(tbResults[[#This Row],[Week Title]],".",TEXT(tbResults[[#This Row],[Match]],"00"))</f>
        <v>2.1.12.03</v>
      </c>
      <c r="K111" s="20" t="str">
        <f>_xlfn.CONCAT(tbResults[[#This Row],[Game Title]], " ", tbResults[[#This Row],[Player1]], " vs ", tbResults[[#This Row],[Player2]] )</f>
        <v>2.1.12.03.3 Raisy vs coollerz</v>
      </c>
      <c r="L111" s="6" t="s">
        <v>49</v>
      </c>
      <c r="M111" s="6" t="s">
        <v>48</v>
      </c>
      <c r="N111" s="6" t="s">
        <v>32</v>
      </c>
      <c r="O111" s="6" t="s">
        <v>22</v>
      </c>
      <c r="P111" s="6" t="s">
        <v>36</v>
      </c>
      <c r="Q111" s="8">
        <v>9</v>
      </c>
      <c r="R111" s="8">
        <v>13</v>
      </c>
      <c r="S111" s="8" t="s">
        <v>81</v>
      </c>
      <c r="T111" s="16" t="s">
        <v>49</v>
      </c>
      <c r="U111" s="16" t="s">
        <v>34</v>
      </c>
      <c r="V111" s="46" t="str">
        <f>IF(tbResults[[#This Row],[Player1 Score]]&gt;tbResults[[#This Row],[Player2 Score]],tbResults[[#This Row],[Player1]],tbResults[[#This Row],[Player2]])</f>
        <v>coollerz</v>
      </c>
      <c r="W111" s="48" t="str">
        <f>IF(tbResults[[#This Row],[Player1 Score]]&gt;tbResults[[#This Row],[Player2 Score]],tbResults[[#This Row],[Player2]],tbResults[[#This Row],[Player1]])</f>
        <v>Raisy</v>
      </c>
      <c r="X111" s="11" t="str">
        <f>IF(tbResults[[#This Row],[Winner]]=tbResults[[#This Row],[Player1]],tbResults[[#This Row],[Player1 Pick]],tbResults[[#This Row],[Player2 Pick]])</f>
        <v>Visor</v>
      </c>
      <c r="Y111" s="11" t="str">
        <f>IF(tbResults[[#This Row],[Loser]]=tbResults[[#This Row],[Player1]],tbResults[[#This Row],[Player1 Pick]],tbResults[[#This Row],[Player2 Pick]])</f>
        <v>Strogg</v>
      </c>
      <c r="Z111" s="32">
        <f>SUM(tbResults[[#This Row],[Player1 Score]],tbResults[[#This Row],[Player2 Score]])</f>
        <v>22</v>
      </c>
      <c r="AA111" s="32">
        <f>ABS(tbResults[[#This Row],[Player1 Score]]-tbResults[[#This Row],[Player2 Score]])</f>
        <v>4</v>
      </c>
      <c r="AB111" s="37">
        <f>IF(tbResults[[#This Row],[Player1 Score]]&gt;tbResults[[#This Row],[Player2 Score]],tbResults[[#This Row],[Player1 Score]],tbResults[[#This Row],[Player2 Score]])</f>
        <v>13</v>
      </c>
      <c r="AC111" s="37">
        <f>IF(tbResults[[#This Row],[Player1 Score]]&lt;tbResults[[#This Row],[Player2 Score]],tbResults[[#This Row],[Player1 Score]],tbResults[[#This Row],[Player2 Score]])</f>
        <v>9</v>
      </c>
    </row>
    <row r="112" spans="2:29" s="3" customFormat="1" ht="30" customHeight="1" x14ac:dyDescent="0.3">
      <c r="B112" s="20" t="str">
        <f>_xlfn.CONCAT(tbResults[[#This Row],[Series Title]],".",tbResults[[#This Row],[Game]])</f>
        <v>2.1.12.04.1</v>
      </c>
      <c r="C112" s="15">
        <v>2</v>
      </c>
      <c r="D112" s="15">
        <v>1</v>
      </c>
      <c r="E112" s="15">
        <v>12</v>
      </c>
      <c r="F112" s="15">
        <v>4</v>
      </c>
      <c r="G112" s="15">
        <v>1</v>
      </c>
      <c r="H112" s="19" t="str">
        <f>_xlfn.CONCAT(tbResults[[#This Row],[Season]],".",tbResults[[#This Row],[Stage]])</f>
        <v>2.1</v>
      </c>
      <c r="I112" s="19" t="str">
        <f>_xlfn.CONCAT(tbResults[[#This Row],[Season]],".",tbResults[[#This Row],[Stage]],".",TEXT(tbResults[[#This Row],[Week]],"00"))</f>
        <v>2.1.12</v>
      </c>
      <c r="J112" s="19" t="str">
        <f>_xlfn.CONCAT(tbResults[[#This Row],[Week Title]],".",TEXT(tbResults[[#This Row],[Match]],"00"))</f>
        <v>2.1.12.04</v>
      </c>
      <c r="K112" s="20" t="str">
        <f>_xlfn.CONCAT(tbResults[[#This Row],[Game Title]], " ", tbResults[[#This Row],[Player1]], " vs ", tbResults[[#This Row],[Player2]] )</f>
        <v>2.1.12.04.1 maxter vs Psygib</v>
      </c>
      <c r="L112" s="6" t="s">
        <v>41</v>
      </c>
      <c r="M112" s="6" t="s">
        <v>30</v>
      </c>
      <c r="N112" s="6" t="s">
        <v>40</v>
      </c>
      <c r="O112" s="6" t="s">
        <v>21</v>
      </c>
      <c r="P112" s="6" t="s">
        <v>55</v>
      </c>
      <c r="Q112" s="8">
        <v>16</v>
      </c>
      <c r="R112" s="8">
        <v>12</v>
      </c>
      <c r="S112" s="8" t="s">
        <v>81</v>
      </c>
      <c r="T112" s="16" t="s">
        <v>30</v>
      </c>
      <c r="U112" s="16" t="s">
        <v>35</v>
      </c>
      <c r="V112" s="46" t="str">
        <f>IF(tbResults[[#This Row],[Player1 Score]]&gt;tbResults[[#This Row],[Player2 Score]],tbResults[[#This Row],[Player1]],tbResults[[#This Row],[Player2]])</f>
        <v>maxter</v>
      </c>
      <c r="W112" s="48" t="str">
        <f>IF(tbResults[[#This Row],[Player1 Score]]&gt;tbResults[[#This Row],[Player2 Score]],tbResults[[#This Row],[Player2]],tbResults[[#This Row],[Player1]])</f>
        <v>Psygib</v>
      </c>
      <c r="X112" s="11" t="str">
        <f>IF(tbResults[[#This Row],[Winner]]=tbResults[[#This Row],[Player1]],tbResults[[#This Row],[Player1 Pick]],tbResults[[#This Row],[Player2 Pick]])</f>
        <v>Ranger</v>
      </c>
      <c r="Y112" s="11" t="str">
        <f>IF(tbResults[[#This Row],[Loser]]=tbResults[[#This Row],[Player1]],tbResults[[#This Row],[Player1 Pick]],tbResults[[#This Row],[Player2 Pick]])</f>
        <v>Athena</v>
      </c>
      <c r="Z112" s="32">
        <f>SUM(tbResults[[#This Row],[Player1 Score]],tbResults[[#This Row],[Player2 Score]])</f>
        <v>28</v>
      </c>
      <c r="AA112" s="32">
        <f>ABS(tbResults[[#This Row],[Player1 Score]]-tbResults[[#This Row],[Player2 Score]])</f>
        <v>4</v>
      </c>
      <c r="AB112" s="37">
        <f>IF(tbResults[[#This Row],[Player1 Score]]&gt;tbResults[[#This Row],[Player2 Score]],tbResults[[#This Row],[Player1 Score]],tbResults[[#This Row],[Player2 Score]])</f>
        <v>16</v>
      </c>
      <c r="AC112" s="37">
        <f>IF(tbResults[[#This Row],[Player1 Score]]&lt;tbResults[[#This Row],[Player2 Score]],tbResults[[#This Row],[Player1 Score]],tbResults[[#This Row],[Player2 Score]])</f>
        <v>12</v>
      </c>
    </row>
    <row r="113" spans="2:29" s="3" customFormat="1" ht="30" customHeight="1" x14ac:dyDescent="0.3">
      <c r="B113" s="20" t="str">
        <f>_xlfn.CONCAT(tbResults[[#This Row],[Series Title]],".",tbResults[[#This Row],[Game]])</f>
        <v>2.1.12.04.2</v>
      </c>
      <c r="C113" s="15">
        <v>2</v>
      </c>
      <c r="D113" s="15">
        <v>1</v>
      </c>
      <c r="E113" s="15">
        <v>12</v>
      </c>
      <c r="F113" s="15">
        <v>4</v>
      </c>
      <c r="G113" s="15">
        <v>2</v>
      </c>
      <c r="H113" s="19" t="str">
        <f>_xlfn.CONCAT(tbResults[[#This Row],[Season]],".",tbResults[[#This Row],[Stage]])</f>
        <v>2.1</v>
      </c>
      <c r="I113" s="19" t="str">
        <f>_xlfn.CONCAT(tbResults[[#This Row],[Season]],".",tbResults[[#This Row],[Stage]],".",TEXT(tbResults[[#This Row],[Week]],"00"))</f>
        <v>2.1.12</v>
      </c>
      <c r="J113" s="19" t="str">
        <f>_xlfn.CONCAT(tbResults[[#This Row],[Week Title]],".",TEXT(tbResults[[#This Row],[Match]],"00"))</f>
        <v>2.1.12.04</v>
      </c>
      <c r="K113" s="20" t="str">
        <f>_xlfn.CONCAT(tbResults[[#This Row],[Game Title]], " ", tbResults[[#This Row],[Player1]], " vs ", tbResults[[#This Row],[Player2]] )</f>
        <v>2.1.12.04.2 maxter vs Psygib</v>
      </c>
      <c r="L113" s="6" t="s">
        <v>41</v>
      </c>
      <c r="M113" s="6" t="s">
        <v>30</v>
      </c>
      <c r="N113" s="6" t="s">
        <v>26</v>
      </c>
      <c r="O113" s="6" t="s">
        <v>44</v>
      </c>
      <c r="P113" s="6" t="s">
        <v>37</v>
      </c>
      <c r="Q113" s="8">
        <v>11</v>
      </c>
      <c r="R113" s="8">
        <v>5</v>
      </c>
      <c r="S113" s="8" t="s">
        <v>81</v>
      </c>
      <c r="T113" s="16" t="s">
        <v>41</v>
      </c>
      <c r="U113" s="16" t="s">
        <v>39</v>
      </c>
      <c r="V113" s="46" t="str">
        <f>IF(tbResults[[#This Row],[Player1 Score]]&gt;tbResults[[#This Row],[Player2 Score]],tbResults[[#This Row],[Player1]],tbResults[[#This Row],[Player2]])</f>
        <v>maxter</v>
      </c>
      <c r="W113" s="48" t="str">
        <f>IF(tbResults[[#This Row],[Player1 Score]]&gt;tbResults[[#This Row],[Player2 Score]],tbResults[[#This Row],[Player2]],tbResults[[#This Row],[Player1]])</f>
        <v>Psygib</v>
      </c>
      <c r="X113" s="11" t="str">
        <f>IF(tbResults[[#This Row],[Winner]]=tbResults[[#This Row],[Player1]],tbResults[[#This Row],[Player1 Pick]],tbResults[[#This Row],[Player2 Pick]])</f>
        <v>Scalebearer</v>
      </c>
      <c r="Y113" s="11" t="str">
        <f>IF(tbResults[[#This Row],[Loser]]=tbResults[[#This Row],[Player1]],tbResults[[#This Row],[Player1 Pick]],tbResults[[#This Row],[Player2 Pick]])</f>
        <v>Eisen</v>
      </c>
      <c r="Z113" s="32">
        <f>SUM(tbResults[[#This Row],[Player1 Score]],tbResults[[#This Row],[Player2 Score]])</f>
        <v>16</v>
      </c>
      <c r="AA113" s="32">
        <f>ABS(tbResults[[#This Row],[Player1 Score]]-tbResults[[#This Row],[Player2 Score]])</f>
        <v>6</v>
      </c>
      <c r="AB113" s="37">
        <f>IF(tbResults[[#This Row],[Player1 Score]]&gt;tbResults[[#This Row],[Player2 Score]],tbResults[[#This Row],[Player1 Score]],tbResults[[#This Row],[Player2 Score]])</f>
        <v>11</v>
      </c>
      <c r="AC113" s="37">
        <f>IF(tbResults[[#This Row],[Player1 Score]]&lt;tbResults[[#This Row],[Player2 Score]],tbResults[[#This Row],[Player1 Score]],tbResults[[#This Row],[Player2 Score]])</f>
        <v>5</v>
      </c>
    </row>
    <row r="114" spans="2:29" s="3" customFormat="1" ht="30" customHeight="1" x14ac:dyDescent="0.3">
      <c r="B114" s="20" t="str">
        <f>_xlfn.CONCAT(tbResults[[#This Row],[Series Title]],".",tbResults[[#This Row],[Game]])</f>
        <v>2.1.12.04.3</v>
      </c>
      <c r="C114" s="15">
        <v>2</v>
      </c>
      <c r="D114" s="15">
        <v>1</v>
      </c>
      <c r="E114" s="15">
        <v>12</v>
      </c>
      <c r="F114" s="15">
        <v>4</v>
      </c>
      <c r="G114" s="15">
        <v>3</v>
      </c>
      <c r="H114" s="19" t="str">
        <f>_xlfn.CONCAT(tbResults[[#This Row],[Season]],".",tbResults[[#This Row],[Stage]])</f>
        <v>2.1</v>
      </c>
      <c r="I114" s="19" t="str">
        <f>_xlfn.CONCAT(tbResults[[#This Row],[Season]],".",tbResults[[#This Row],[Stage]],".",TEXT(tbResults[[#This Row],[Week]],"00"))</f>
        <v>2.1.12</v>
      </c>
      <c r="J114" s="19" t="str">
        <f>_xlfn.CONCAT(tbResults[[#This Row],[Week Title]],".",TEXT(tbResults[[#This Row],[Match]],"00"))</f>
        <v>2.1.12.04</v>
      </c>
      <c r="K114" s="20" t="str">
        <f>_xlfn.CONCAT(tbResults[[#This Row],[Game Title]], " ", tbResults[[#This Row],[Player1]], " vs ", tbResults[[#This Row],[Player2]] )</f>
        <v>2.1.12.04.3 maxter vs Psygib</v>
      </c>
      <c r="L114" s="6" t="s">
        <v>41</v>
      </c>
      <c r="M114" s="6" t="s">
        <v>30</v>
      </c>
      <c r="N114" s="6" t="s">
        <v>19</v>
      </c>
      <c r="O114" s="6" t="s">
        <v>36</v>
      </c>
      <c r="P114" s="6" t="s">
        <v>25</v>
      </c>
      <c r="Q114" s="8">
        <v>8</v>
      </c>
      <c r="R114" s="8">
        <v>9</v>
      </c>
      <c r="S114" s="8" t="s">
        <v>82</v>
      </c>
      <c r="T114" s="16" t="s">
        <v>30</v>
      </c>
      <c r="U114" s="16" t="s">
        <v>22</v>
      </c>
      <c r="V114" s="46" t="str">
        <f>IF(tbResults[[#This Row],[Player1 Score]]&gt;tbResults[[#This Row],[Player2 Score]],tbResults[[#This Row],[Player1]],tbResults[[#This Row],[Player2]])</f>
        <v>Psygib</v>
      </c>
      <c r="W114" s="48" t="str">
        <f>IF(tbResults[[#This Row],[Player1 Score]]&gt;tbResults[[#This Row],[Player2 Score]],tbResults[[#This Row],[Player2]],tbResults[[#This Row],[Player1]])</f>
        <v>maxter</v>
      </c>
      <c r="X114" s="11" t="str">
        <f>IF(tbResults[[#This Row],[Winner]]=tbResults[[#This Row],[Player1]],tbResults[[#This Row],[Player1 Pick]],tbResults[[#This Row],[Player2 Pick]])</f>
        <v>Sorlag</v>
      </c>
      <c r="Y114" s="11" t="str">
        <f>IF(tbResults[[#This Row],[Loser]]=tbResults[[#This Row],[Player1]],tbResults[[#This Row],[Player1 Pick]],tbResults[[#This Row],[Player2 Pick]])</f>
        <v>Visor</v>
      </c>
      <c r="Z114" s="32">
        <f>SUM(tbResults[[#This Row],[Player1 Score]],tbResults[[#This Row],[Player2 Score]])</f>
        <v>17</v>
      </c>
      <c r="AA114" s="32">
        <f>ABS(tbResults[[#This Row],[Player1 Score]]-tbResults[[#This Row],[Player2 Score]])</f>
        <v>1</v>
      </c>
      <c r="AB114" s="37">
        <f>IF(tbResults[[#This Row],[Player1 Score]]&gt;tbResults[[#This Row],[Player2 Score]],tbResults[[#This Row],[Player1 Score]],tbResults[[#This Row],[Player2 Score]])</f>
        <v>9</v>
      </c>
      <c r="AC114" s="37">
        <f>IF(tbResults[[#This Row],[Player1 Score]]&lt;tbResults[[#This Row],[Player2 Score]],tbResults[[#This Row],[Player1 Score]],tbResults[[#This Row],[Player2 Score]])</f>
        <v>8</v>
      </c>
    </row>
    <row r="115" spans="2:29" s="3" customFormat="1" ht="30" customHeight="1" x14ac:dyDescent="0.3">
      <c r="B115" s="20" t="str">
        <f>_xlfn.CONCAT(tbResults[[#This Row],[Series Title]],".",tbResults[[#This Row],[Game]])</f>
        <v>2.1.12.05.1</v>
      </c>
      <c r="C115" s="15">
        <v>2</v>
      </c>
      <c r="D115" s="15">
        <v>1</v>
      </c>
      <c r="E115" s="15">
        <v>12</v>
      </c>
      <c r="F115" s="15">
        <v>5</v>
      </c>
      <c r="G115" s="15">
        <v>1</v>
      </c>
      <c r="H115" s="19" t="str">
        <f>_xlfn.CONCAT(tbResults[[#This Row],[Season]],".",tbResults[[#This Row],[Stage]])</f>
        <v>2.1</v>
      </c>
      <c r="I115" s="19" t="str">
        <f>_xlfn.CONCAT(tbResults[[#This Row],[Season]],".",tbResults[[#This Row],[Stage]],".",TEXT(tbResults[[#This Row],[Week]],"00"))</f>
        <v>2.1.12</v>
      </c>
      <c r="J115" s="19" t="str">
        <f>_xlfn.CONCAT(tbResults[[#This Row],[Week Title]],".",TEXT(tbResults[[#This Row],[Match]],"00"))</f>
        <v>2.1.12.05</v>
      </c>
      <c r="K115" s="20" t="str">
        <f>_xlfn.CONCAT(tbResults[[#This Row],[Game Title]], " ", tbResults[[#This Row],[Player1]], " vs ", tbResults[[#This Row],[Player2]] )</f>
        <v>2.1.12.05.1 toxjq vs k1llsen</v>
      </c>
      <c r="L115" s="6" t="s">
        <v>199</v>
      </c>
      <c r="M115" s="6" t="s">
        <v>31</v>
      </c>
      <c r="N115" s="6" t="s">
        <v>19</v>
      </c>
      <c r="O115" s="6" t="s">
        <v>27</v>
      </c>
      <c r="P115" s="6" t="s">
        <v>35</v>
      </c>
      <c r="Q115" s="8">
        <v>4</v>
      </c>
      <c r="R115" s="8">
        <v>8</v>
      </c>
      <c r="S115" s="8" t="s">
        <v>81</v>
      </c>
      <c r="T115" s="16" t="s">
        <v>31</v>
      </c>
      <c r="U115" s="16" t="s">
        <v>38</v>
      </c>
      <c r="V115" s="46" t="str">
        <f>IF(tbResults[[#This Row],[Player1 Score]]&gt;tbResults[[#This Row],[Player2 Score]],tbResults[[#This Row],[Player1]],tbResults[[#This Row],[Player2]])</f>
        <v>k1llsen</v>
      </c>
      <c r="W115" s="48" t="str">
        <f>IF(tbResults[[#This Row],[Player1 Score]]&gt;tbResults[[#This Row],[Player2 Score]],tbResults[[#This Row],[Player2]],tbResults[[#This Row],[Player1]])</f>
        <v>toxjq</v>
      </c>
      <c r="X115" s="11" t="str">
        <f>IF(tbResults[[#This Row],[Winner]]=tbResults[[#This Row],[Player1]],tbResults[[#This Row],[Player1 Pick]],tbResults[[#This Row],[Player2 Pick]])</f>
        <v>Doom</v>
      </c>
      <c r="Y115" s="11" t="str">
        <f>IF(tbResults[[#This Row],[Loser]]=tbResults[[#This Row],[Player1]],tbResults[[#This Row],[Player1 Pick]],tbResults[[#This Row],[Player2 Pick]])</f>
        <v>Keel</v>
      </c>
      <c r="Z115" s="32">
        <f>SUM(tbResults[[#This Row],[Player1 Score]],tbResults[[#This Row],[Player2 Score]])</f>
        <v>12</v>
      </c>
      <c r="AA115" s="32">
        <f>ABS(tbResults[[#This Row],[Player1 Score]]-tbResults[[#This Row],[Player2 Score]])</f>
        <v>4</v>
      </c>
      <c r="AB115" s="37">
        <f>IF(tbResults[[#This Row],[Player1 Score]]&gt;tbResults[[#This Row],[Player2 Score]],tbResults[[#This Row],[Player1 Score]],tbResults[[#This Row],[Player2 Score]])</f>
        <v>8</v>
      </c>
      <c r="AC115" s="37">
        <f>IF(tbResults[[#This Row],[Player1 Score]]&lt;tbResults[[#This Row],[Player2 Score]],tbResults[[#This Row],[Player1 Score]],tbResults[[#This Row],[Player2 Score]])</f>
        <v>4</v>
      </c>
    </row>
    <row r="116" spans="2:29" s="3" customFormat="1" ht="30" customHeight="1" x14ac:dyDescent="0.3">
      <c r="B116" s="20" t="str">
        <f>_xlfn.CONCAT(tbResults[[#This Row],[Series Title]],".",tbResults[[#This Row],[Game]])</f>
        <v>2.1.12.05.2</v>
      </c>
      <c r="C116" s="15">
        <v>2</v>
      </c>
      <c r="D116" s="15">
        <v>1</v>
      </c>
      <c r="E116" s="15">
        <v>12</v>
      </c>
      <c r="F116" s="15">
        <v>5</v>
      </c>
      <c r="G116" s="15">
        <v>2</v>
      </c>
      <c r="H116" s="19" t="str">
        <f>_xlfn.CONCAT(tbResults[[#This Row],[Season]],".",tbResults[[#This Row],[Stage]])</f>
        <v>2.1</v>
      </c>
      <c r="I116" s="19" t="str">
        <f>_xlfn.CONCAT(tbResults[[#This Row],[Season]],".",tbResults[[#This Row],[Stage]],".",TEXT(tbResults[[#This Row],[Week]],"00"))</f>
        <v>2.1.12</v>
      </c>
      <c r="J116" s="19" t="str">
        <f>_xlfn.CONCAT(tbResults[[#This Row],[Week Title]],".",TEXT(tbResults[[#This Row],[Match]],"00"))</f>
        <v>2.1.12.05</v>
      </c>
      <c r="K116" s="20" t="str">
        <f>_xlfn.CONCAT(tbResults[[#This Row],[Game Title]], " ", tbResults[[#This Row],[Player1]], " vs ", tbResults[[#This Row],[Player2]] )</f>
        <v>2.1.12.05.2 toxjq vs k1llsen</v>
      </c>
      <c r="L116" s="6" t="s">
        <v>199</v>
      </c>
      <c r="M116" s="6" t="s">
        <v>31</v>
      </c>
      <c r="N116" s="6" t="s">
        <v>23</v>
      </c>
      <c r="O116" s="6" t="s">
        <v>34</v>
      </c>
      <c r="P116" s="6" t="s">
        <v>39</v>
      </c>
      <c r="Q116" s="8">
        <v>1</v>
      </c>
      <c r="R116" s="8">
        <v>2</v>
      </c>
      <c r="S116" s="8" t="s">
        <v>81</v>
      </c>
      <c r="T116" s="16" t="s">
        <v>199</v>
      </c>
      <c r="U116" s="16" t="s">
        <v>24</v>
      </c>
      <c r="V116" s="46" t="str">
        <f>IF(tbResults[[#This Row],[Player1 Score]]&gt;tbResults[[#This Row],[Player2 Score]],tbResults[[#This Row],[Player1]],tbResults[[#This Row],[Player2]])</f>
        <v>k1llsen</v>
      </c>
      <c r="W116" s="48" t="str">
        <f>IF(tbResults[[#This Row],[Player1 Score]]&gt;tbResults[[#This Row],[Player2 Score]],tbResults[[#This Row],[Player2]],tbResults[[#This Row],[Player1]])</f>
        <v>toxjq</v>
      </c>
      <c r="X116" s="11" t="str">
        <f>IF(tbResults[[#This Row],[Winner]]=tbResults[[#This Row],[Player1]],tbResults[[#This Row],[Player1 Pick]],tbResults[[#This Row],[Player2 Pick]])</f>
        <v>Anarki</v>
      </c>
      <c r="Y116" s="11" t="str">
        <f>IF(tbResults[[#This Row],[Loser]]=tbResults[[#This Row],[Player1]],tbResults[[#This Row],[Player1 Pick]],tbResults[[#This Row],[Player2 Pick]])</f>
        <v>Galena</v>
      </c>
      <c r="Z116" s="32">
        <f>SUM(tbResults[[#This Row],[Player1 Score]],tbResults[[#This Row],[Player2 Score]])</f>
        <v>3</v>
      </c>
      <c r="AA116" s="32">
        <f>ABS(tbResults[[#This Row],[Player1 Score]]-tbResults[[#This Row],[Player2 Score]])</f>
        <v>1</v>
      </c>
      <c r="AB116" s="37">
        <f>IF(tbResults[[#This Row],[Player1 Score]]&gt;tbResults[[#This Row],[Player2 Score]],tbResults[[#This Row],[Player1 Score]],tbResults[[#This Row],[Player2 Score]])</f>
        <v>2</v>
      </c>
      <c r="AC116" s="37">
        <f>IF(tbResults[[#This Row],[Player1 Score]]&lt;tbResults[[#This Row],[Player2 Score]],tbResults[[#This Row],[Player1 Score]],tbResults[[#This Row],[Player2 Score]])</f>
        <v>1</v>
      </c>
    </row>
    <row r="117" spans="2:29" s="3" customFormat="1" ht="30" customHeight="1" x14ac:dyDescent="0.3">
      <c r="B117" s="20" t="str">
        <f>_xlfn.CONCAT(tbResults[[#This Row],[Series Title]],".",tbResults[[#This Row],[Game]])</f>
        <v>2.1.12.05.3</v>
      </c>
      <c r="C117" s="15">
        <v>2</v>
      </c>
      <c r="D117" s="15">
        <v>1</v>
      </c>
      <c r="E117" s="15">
        <v>12</v>
      </c>
      <c r="F117" s="15">
        <v>5</v>
      </c>
      <c r="G117" s="15">
        <v>3</v>
      </c>
      <c r="H117" s="19" t="str">
        <f>_xlfn.CONCAT(tbResults[[#This Row],[Season]],".",tbResults[[#This Row],[Stage]])</f>
        <v>2.1</v>
      </c>
      <c r="I117" s="19" t="str">
        <f>_xlfn.CONCAT(tbResults[[#This Row],[Season]],".",tbResults[[#This Row],[Stage]],".",TEXT(tbResults[[#This Row],[Week]],"00"))</f>
        <v>2.1.12</v>
      </c>
      <c r="J117" s="19" t="str">
        <f>_xlfn.CONCAT(tbResults[[#This Row],[Week Title]],".",TEXT(tbResults[[#This Row],[Match]],"00"))</f>
        <v>2.1.12.05</v>
      </c>
      <c r="K117" s="20" t="str">
        <f>_xlfn.CONCAT(tbResults[[#This Row],[Game Title]], " ", tbResults[[#This Row],[Player1]], " vs ", tbResults[[#This Row],[Player2]] )</f>
        <v>2.1.12.05.3 toxjq vs k1llsen</v>
      </c>
      <c r="L117" s="6" t="s">
        <v>199</v>
      </c>
      <c r="M117" s="6" t="s">
        <v>31</v>
      </c>
      <c r="N117" s="6" t="s">
        <v>178</v>
      </c>
      <c r="O117" s="6" t="s">
        <v>37</v>
      </c>
      <c r="P117" s="6" t="s">
        <v>36</v>
      </c>
      <c r="Q117" s="8">
        <v>1</v>
      </c>
      <c r="R117" s="8">
        <v>10</v>
      </c>
      <c r="S117" s="8" t="s">
        <v>81</v>
      </c>
      <c r="T117" s="16" t="s">
        <v>31</v>
      </c>
      <c r="U117" s="16" t="s">
        <v>55</v>
      </c>
      <c r="V117" s="46" t="str">
        <f>IF(tbResults[[#This Row],[Player1 Score]]&gt;tbResults[[#This Row],[Player2 Score]],tbResults[[#This Row],[Player1]],tbResults[[#This Row],[Player2]])</f>
        <v>k1llsen</v>
      </c>
      <c r="W117" s="48" t="str">
        <f>IF(tbResults[[#This Row],[Player1 Score]]&gt;tbResults[[#This Row],[Player2 Score]],tbResults[[#This Row],[Player2]],tbResults[[#This Row],[Player1]])</f>
        <v>toxjq</v>
      </c>
      <c r="X117" s="11" t="str">
        <f>IF(tbResults[[#This Row],[Winner]]=tbResults[[#This Row],[Player1]],tbResults[[#This Row],[Player1 Pick]],tbResults[[#This Row],[Player2 Pick]])</f>
        <v>Visor</v>
      </c>
      <c r="Y117" s="11" t="str">
        <f>IF(tbResults[[#This Row],[Loser]]=tbResults[[#This Row],[Player1]],tbResults[[#This Row],[Player1 Pick]],tbResults[[#This Row],[Player2 Pick]])</f>
        <v>Eisen</v>
      </c>
      <c r="Z117" s="32">
        <f>SUM(tbResults[[#This Row],[Player1 Score]],tbResults[[#This Row],[Player2 Score]])</f>
        <v>11</v>
      </c>
      <c r="AA117" s="32">
        <f>ABS(tbResults[[#This Row],[Player1 Score]]-tbResults[[#This Row],[Player2 Score]])</f>
        <v>9</v>
      </c>
      <c r="AB117" s="37">
        <f>IF(tbResults[[#This Row],[Player1 Score]]&gt;tbResults[[#This Row],[Player2 Score]],tbResults[[#This Row],[Player1 Score]],tbResults[[#This Row],[Player2 Score]])</f>
        <v>10</v>
      </c>
      <c r="AC117" s="37">
        <f>IF(tbResults[[#This Row],[Player1 Score]]&lt;tbResults[[#This Row],[Player2 Score]],tbResults[[#This Row],[Player1 Score]],tbResults[[#This Row],[Player2 Score]])</f>
        <v>1</v>
      </c>
    </row>
    <row r="118" spans="2:29" s="3" customFormat="1" ht="30" customHeight="1" x14ac:dyDescent="0.3">
      <c r="B118" s="20" t="str">
        <f>_xlfn.CONCAT(tbResults[[#This Row],[Series Title]],".",tbResults[[#This Row],[Game]])</f>
        <v>2.1.12.06.1</v>
      </c>
      <c r="C118" s="15">
        <v>2</v>
      </c>
      <c r="D118" s="15">
        <v>1</v>
      </c>
      <c r="E118" s="15">
        <v>12</v>
      </c>
      <c r="F118" s="15">
        <v>6</v>
      </c>
      <c r="G118" s="15">
        <v>1</v>
      </c>
      <c r="H118" s="19" t="str">
        <f>_xlfn.CONCAT(tbResults[[#This Row],[Season]],".",tbResults[[#This Row],[Stage]])</f>
        <v>2.1</v>
      </c>
      <c r="I118" s="19" t="str">
        <f>_xlfn.CONCAT(tbResults[[#This Row],[Season]],".",tbResults[[#This Row],[Stage]],".",TEXT(tbResults[[#This Row],[Week]],"00"))</f>
        <v>2.1.12</v>
      </c>
      <c r="J118" s="19" t="str">
        <f>_xlfn.CONCAT(tbResults[[#This Row],[Week Title]],".",TEXT(tbResults[[#This Row],[Match]],"00"))</f>
        <v>2.1.12.06</v>
      </c>
      <c r="K118" s="20" t="str">
        <f>_xlfn.CONCAT(tbResults[[#This Row],[Game Title]], " ", tbResults[[#This Row],[Player1]], " vs ", tbResults[[#This Row],[Player2]] )</f>
        <v>2.1.12.06.1 cha1n vs Rapha</v>
      </c>
      <c r="L118" s="6" t="s">
        <v>53</v>
      </c>
      <c r="M118" s="6" t="s">
        <v>47</v>
      </c>
      <c r="N118" s="6" t="s">
        <v>178</v>
      </c>
      <c r="O118" s="6" t="s">
        <v>39</v>
      </c>
      <c r="P118" s="6" t="s">
        <v>24</v>
      </c>
      <c r="Q118" s="8">
        <v>1</v>
      </c>
      <c r="R118" s="8">
        <v>2</v>
      </c>
      <c r="S118" s="8" t="s">
        <v>81</v>
      </c>
      <c r="T118" s="16" t="s">
        <v>53</v>
      </c>
      <c r="U118" s="16" t="s">
        <v>55</v>
      </c>
      <c r="V118" s="46" t="str">
        <f>IF(tbResults[[#This Row],[Player1 Score]]&gt;tbResults[[#This Row],[Player2 Score]],tbResults[[#This Row],[Player1]],tbResults[[#This Row],[Player2]])</f>
        <v>Rapha</v>
      </c>
      <c r="W118" s="48" t="str">
        <f>IF(tbResults[[#This Row],[Player1 Score]]&gt;tbResults[[#This Row],[Player2 Score]],tbResults[[#This Row],[Player2]],tbResults[[#This Row],[Player1]])</f>
        <v>cha1n</v>
      </c>
      <c r="X118" s="11" t="str">
        <f>IF(tbResults[[#This Row],[Winner]]=tbResults[[#This Row],[Player1]],tbResults[[#This Row],[Player1 Pick]],tbResults[[#This Row],[Player2 Pick]])</f>
        <v>Slash</v>
      </c>
      <c r="Y118" s="11" t="str">
        <f>IF(tbResults[[#This Row],[Loser]]=tbResults[[#This Row],[Player1]],tbResults[[#This Row],[Player1 Pick]],tbResults[[#This Row],[Player2 Pick]])</f>
        <v>Anarki</v>
      </c>
      <c r="Z118" s="32">
        <f>SUM(tbResults[[#This Row],[Player1 Score]],tbResults[[#This Row],[Player2 Score]])</f>
        <v>3</v>
      </c>
      <c r="AA118" s="32">
        <f>ABS(tbResults[[#This Row],[Player1 Score]]-tbResults[[#This Row],[Player2 Score]])</f>
        <v>1</v>
      </c>
      <c r="AB118" s="37">
        <f>IF(tbResults[[#This Row],[Player1 Score]]&gt;tbResults[[#This Row],[Player2 Score]],tbResults[[#This Row],[Player1 Score]],tbResults[[#This Row],[Player2 Score]])</f>
        <v>2</v>
      </c>
      <c r="AC118" s="37">
        <f>IF(tbResults[[#This Row],[Player1 Score]]&lt;tbResults[[#This Row],[Player2 Score]],tbResults[[#This Row],[Player1 Score]],tbResults[[#This Row],[Player2 Score]])</f>
        <v>1</v>
      </c>
    </row>
    <row r="119" spans="2:29" s="3" customFormat="1" ht="30" customHeight="1" x14ac:dyDescent="0.3">
      <c r="B119" s="20" t="str">
        <f>_xlfn.CONCAT(tbResults[[#This Row],[Series Title]],".",tbResults[[#This Row],[Game]])</f>
        <v>2.1.12.06.2</v>
      </c>
      <c r="C119" s="15">
        <v>2</v>
      </c>
      <c r="D119" s="15">
        <v>1</v>
      </c>
      <c r="E119" s="15">
        <v>12</v>
      </c>
      <c r="F119" s="15">
        <v>6</v>
      </c>
      <c r="G119" s="15">
        <v>2</v>
      </c>
      <c r="H119" s="19" t="str">
        <f>_xlfn.CONCAT(tbResults[[#This Row],[Season]],".",tbResults[[#This Row],[Stage]])</f>
        <v>2.1</v>
      </c>
      <c r="I119" s="19" t="str">
        <f>_xlfn.CONCAT(tbResults[[#This Row],[Season]],".",tbResults[[#This Row],[Stage]],".",TEXT(tbResults[[#This Row],[Week]],"00"))</f>
        <v>2.1.12</v>
      </c>
      <c r="J119" s="19" t="str">
        <f>_xlfn.CONCAT(tbResults[[#This Row],[Week Title]],".",TEXT(tbResults[[#This Row],[Match]],"00"))</f>
        <v>2.1.12.06</v>
      </c>
      <c r="K119" s="20" t="str">
        <f>_xlfn.CONCAT(tbResults[[#This Row],[Game Title]], " ", tbResults[[#This Row],[Player1]], " vs ", tbResults[[#This Row],[Player2]] )</f>
        <v>2.1.12.06.2 cha1n vs Rapha</v>
      </c>
      <c r="L119" s="6" t="s">
        <v>53</v>
      </c>
      <c r="M119" s="6" t="s">
        <v>47</v>
      </c>
      <c r="N119" s="6" t="s">
        <v>26</v>
      </c>
      <c r="O119" s="6" t="s">
        <v>21</v>
      </c>
      <c r="P119" s="6" t="s">
        <v>25</v>
      </c>
      <c r="Q119" s="8">
        <v>5</v>
      </c>
      <c r="R119" s="8">
        <v>10</v>
      </c>
      <c r="S119" s="8" t="s">
        <v>81</v>
      </c>
      <c r="T119" s="16" t="s">
        <v>47</v>
      </c>
      <c r="U119" s="16" t="s">
        <v>22</v>
      </c>
      <c r="V119" s="46" t="str">
        <f>IF(tbResults[[#This Row],[Player1 Score]]&gt;tbResults[[#This Row],[Player2 Score]],tbResults[[#This Row],[Player1]],tbResults[[#This Row],[Player2]])</f>
        <v>Rapha</v>
      </c>
      <c r="W119" s="48" t="str">
        <f>IF(tbResults[[#This Row],[Player1 Score]]&gt;tbResults[[#This Row],[Player2 Score]],tbResults[[#This Row],[Player2]],tbResults[[#This Row],[Player1]])</f>
        <v>cha1n</v>
      </c>
      <c r="X119" s="11" t="str">
        <f>IF(tbResults[[#This Row],[Winner]]=tbResults[[#This Row],[Player1]],tbResults[[#This Row],[Player1 Pick]],tbResults[[#This Row],[Player2 Pick]])</f>
        <v>Sorlag</v>
      </c>
      <c r="Y119" s="11" t="str">
        <f>IF(tbResults[[#This Row],[Loser]]=tbResults[[#This Row],[Player1]],tbResults[[#This Row],[Player1 Pick]],tbResults[[#This Row],[Player2 Pick]])</f>
        <v>Ranger</v>
      </c>
      <c r="Z119" s="32">
        <f>SUM(tbResults[[#This Row],[Player1 Score]],tbResults[[#This Row],[Player2 Score]])</f>
        <v>15</v>
      </c>
      <c r="AA119" s="32">
        <f>ABS(tbResults[[#This Row],[Player1 Score]]-tbResults[[#This Row],[Player2 Score]])</f>
        <v>5</v>
      </c>
      <c r="AB119" s="37">
        <f>IF(tbResults[[#This Row],[Player1 Score]]&gt;tbResults[[#This Row],[Player2 Score]],tbResults[[#This Row],[Player1 Score]],tbResults[[#This Row],[Player2 Score]])</f>
        <v>10</v>
      </c>
      <c r="AC119" s="37">
        <f>IF(tbResults[[#This Row],[Player1 Score]]&lt;tbResults[[#This Row],[Player2 Score]],tbResults[[#This Row],[Player1 Score]],tbResults[[#This Row],[Player2 Score]])</f>
        <v>5</v>
      </c>
    </row>
    <row r="120" spans="2:29" s="3" customFormat="1" ht="30" customHeight="1" x14ac:dyDescent="0.3">
      <c r="B120" s="20" t="str">
        <f>_xlfn.CONCAT(tbResults[[#This Row],[Series Title]],".",tbResults[[#This Row],[Game]])</f>
        <v>2.1.12.06.3</v>
      </c>
      <c r="C120" s="15">
        <v>2</v>
      </c>
      <c r="D120" s="15">
        <v>1</v>
      </c>
      <c r="E120" s="15">
        <v>12</v>
      </c>
      <c r="F120" s="15">
        <v>6</v>
      </c>
      <c r="G120" s="15">
        <v>3</v>
      </c>
      <c r="H120" s="19" t="str">
        <f>_xlfn.CONCAT(tbResults[[#This Row],[Season]],".",tbResults[[#This Row],[Stage]])</f>
        <v>2.1</v>
      </c>
      <c r="I120" s="19" t="str">
        <f>_xlfn.CONCAT(tbResults[[#This Row],[Season]],".",tbResults[[#This Row],[Stage]],".",TEXT(tbResults[[#This Row],[Week]],"00"))</f>
        <v>2.1.12</v>
      </c>
      <c r="J120" s="19" t="str">
        <f>_xlfn.CONCAT(tbResults[[#This Row],[Week Title]],".",TEXT(tbResults[[#This Row],[Match]],"00"))</f>
        <v>2.1.12.06</v>
      </c>
      <c r="K120" s="20" t="str">
        <f>_xlfn.CONCAT(tbResults[[#This Row],[Game Title]], " ", tbResults[[#This Row],[Player1]], " vs ", tbResults[[#This Row],[Player2]] )</f>
        <v>2.1.12.06.3 cha1n vs Rapha</v>
      </c>
      <c r="L120" s="6" t="s">
        <v>53</v>
      </c>
      <c r="M120" s="6" t="s">
        <v>47</v>
      </c>
      <c r="N120" s="6" t="s">
        <v>19</v>
      </c>
      <c r="O120" s="6" t="s">
        <v>35</v>
      </c>
      <c r="P120" s="6" t="s">
        <v>38</v>
      </c>
      <c r="Q120" s="8">
        <v>7</v>
      </c>
      <c r="R120" s="8">
        <v>8</v>
      </c>
      <c r="S120" s="8" t="s">
        <v>81</v>
      </c>
      <c r="T120" s="16" t="s">
        <v>53</v>
      </c>
      <c r="U120" s="16" t="s">
        <v>92</v>
      </c>
      <c r="V120" s="46" t="str">
        <f>IF(tbResults[[#This Row],[Player1 Score]]&gt;tbResults[[#This Row],[Player2 Score]],tbResults[[#This Row],[Player1]],tbResults[[#This Row],[Player2]])</f>
        <v>Rapha</v>
      </c>
      <c r="W120" s="48" t="str">
        <f>IF(tbResults[[#This Row],[Player1 Score]]&gt;tbResults[[#This Row],[Player2 Score]],tbResults[[#This Row],[Player2]],tbResults[[#This Row],[Player1]])</f>
        <v>cha1n</v>
      </c>
      <c r="X120" s="11" t="str">
        <f>IF(tbResults[[#This Row],[Winner]]=tbResults[[#This Row],[Player1]],tbResults[[#This Row],[Player1 Pick]],tbResults[[#This Row],[Player2 Pick]])</f>
        <v>Nyx</v>
      </c>
      <c r="Y120" s="11" t="str">
        <f>IF(tbResults[[#This Row],[Loser]]=tbResults[[#This Row],[Player1]],tbResults[[#This Row],[Player1 Pick]],tbResults[[#This Row],[Player2 Pick]])</f>
        <v>Doom</v>
      </c>
      <c r="Z120" s="32">
        <f>SUM(tbResults[[#This Row],[Player1 Score]],tbResults[[#This Row],[Player2 Score]])</f>
        <v>15</v>
      </c>
      <c r="AA120" s="32">
        <f>ABS(tbResults[[#This Row],[Player1 Score]]-tbResults[[#This Row],[Player2 Score]])</f>
        <v>1</v>
      </c>
      <c r="AB120" s="37">
        <f>IF(tbResults[[#This Row],[Player1 Score]]&gt;tbResults[[#This Row],[Player2 Score]],tbResults[[#This Row],[Player1 Score]],tbResults[[#This Row],[Player2 Score]])</f>
        <v>8</v>
      </c>
      <c r="AC120" s="37">
        <f>IF(tbResults[[#This Row],[Player1 Score]]&lt;tbResults[[#This Row],[Player2 Score]],tbResults[[#This Row],[Player1 Score]],tbResults[[#This Row],[Player2 Score]])</f>
        <v>7</v>
      </c>
    </row>
    <row r="121" spans="2:29" s="3" customFormat="1" ht="30" customHeight="1" x14ac:dyDescent="0.3">
      <c r="B121" s="20" t="str">
        <f>_xlfn.CONCAT(tbResults[[#This Row],[Series Title]],".",tbResults[[#This Row],[Game]])</f>
        <v>2.1.13.01.1</v>
      </c>
      <c r="C121" s="15">
        <v>2</v>
      </c>
      <c r="D121" s="15">
        <v>1</v>
      </c>
      <c r="E121" s="15">
        <v>13</v>
      </c>
      <c r="F121" s="15">
        <v>1</v>
      </c>
      <c r="G121" s="15">
        <v>1</v>
      </c>
      <c r="H121" s="19" t="str">
        <f>_xlfn.CONCAT(tbResults[[#This Row],[Season]],".",tbResults[[#This Row],[Stage]])</f>
        <v>2.1</v>
      </c>
      <c r="I121" s="19" t="str">
        <f>_xlfn.CONCAT(tbResults[[#This Row],[Season]],".",tbResults[[#This Row],[Stage]],".",TEXT(tbResults[[#This Row],[Week]],"00"))</f>
        <v>2.1.13</v>
      </c>
      <c r="J121" s="19" t="str">
        <f>_xlfn.CONCAT(tbResults[[#This Row],[Week Title]],".",TEXT(tbResults[[#This Row],[Match]],"00"))</f>
        <v>2.1.13.01</v>
      </c>
      <c r="K121" s="20" t="str">
        <f>_xlfn.CONCAT(tbResults[[#This Row],[Game Title]], " ", tbResults[[#This Row],[Player1]], " vs ", tbResults[[#This Row],[Player2]] )</f>
        <v>2.1.13.01.1 spart1e vs Cypher</v>
      </c>
      <c r="L121" s="6" t="s">
        <v>50</v>
      </c>
      <c r="M121" s="6" t="s">
        <v>14</v>
      </c>
      <c r="N121" s="6" t="s">
        <v>40</v>
      </c>
      <c r="O121" s="6" t="s">
        <v>35</v>
      </c>
      <c r="P121" s="6" t="s">
        <v>55</v>
      </c>
      <c r="Q121" s="8">
        <v>8</v>
      </c>
      <c r="R121" s="8">
        <v>11</v>
      </c>
      <c r="S121" s="8" t="s">
        <v>81</v>
      </c>
      <c r="T121" s="16" t="s">
        <v>50</v>
      </c>
      <c r="U121" s="16" t="s">
        <v>38</v>
      </c>
      <c r="V121" s="46" t="str">
        <f>IF(tbResults[[#This Row],[Player1 Score]]&gt;tbResults[[#This Row],[Player2 Score]],tbResults[[#This Row],[Player1]],tbResults[[#This Row],[Player2]])</f>
        <v>Cypher</v>
      </c>
      <c r="W121" s="48" t="str">
        <f>IF(tbResults[[#This Row],[Player1 Score]]&gt;tbResults[[#This Row],[Player2 Score]],tbResults[[#This Row],[Player2]],tbResults[[#This Row],[Player1]])</f>
        <v>spart1e</v>
      </c>
      <c r="X121" s="11" t="str">
        <f>IF(tbResults[[#This Row],[Winner]]=tbResults[[#This Row],[Player1]],tbResults[[#This Row],[Player1 Pick]],tbResults[[#This Row],[Player2 Pick]])</f>
        <v>Athena</v>
      </c>
      <c r="Y121" s="11" t="str">
        <f>IF(tbResults[[#This Row],[Loser]]=tbResults[[#This Row],[Player1]],tbResults[[#This Row],[Player1 Pick]],tbResults[[#This Row],[Player2 Pick]])</f>
        <v>Doom</v>
      </c>
      <c r="Z121" s="32">
        <f>SUM(tbResults[[#This Row],[Player1 Score]],tbResults[[#This Row],[Player2 Score]])</f>
        <v>19</v>
      </c>
      <c r="AA121" s="32">
        <f>ABS(tbResults[[#This Row],[Player1 Score]]-tbResults[[#This Row],[Player2 Score]])</f>
        <v>3</v>
      </c>
      <c r="AB121" s="37">
        <f>IF(tbResults[[#This Row],[Player1 Score]]&gt;tbResults[[#This Row],[Player2 Score]],tbResults[[#This Row],[Player1 Score]],tbResults[[#This Row],[Player2 Score]])</f>
        <v>11</v>
      </c>
      <c r="AC121" s="37">
        <f>IF(tbResults[[#This Row],[Player1 Score]]&lt;tbResults[[#This Row],[Player2 Score]],tbResults[[#This Row],[Player1 Score]],tbResults[[#This Row],[Player2 Score]])</f>
        <v>8</v>
      </c>
    </row>
    <row r="122" spans="2:29" s="3" customFormat="1" ht="30" customHeight="1" x14ac:dyDescent="0.3">
      <c r="B122" s="20" t="str">
        <f>_xlfn.CONCAT(tbResults[[#This Row],[Series Title]],".",tbResults[[#This Row],[Game]])</f>
        <v>2.1.13.01.2</v>
      </c>
      <c r="C122" s="15">
        <v>2</v>
      </c>
      <c r="D122" s="15">
        <v>1</v>
      </c>
      <c r="E122" s="15">
        <v>13</v>
      </c>
      <c r="F122" s="15">
        <v>1</v>
      </c>
      <c r="G122" s="15">
        <v>2</v>
      </c>
      <c r="H122" s="19" t="str">
        <f>_xlfn.CONCAT(tbResults[[#This Row],[Season]],".",tbResults[[#This Row],[Stage]])</f>
        <v>2.1</v>
      </c>
      <c r="I122" s="19" t="str">
        <f>_xlfn.CONCAT(tbResults[[#This Row],[Season]],".",tbResults[[#This Row],[Stage]],".",TEXT(tbResults[[#This Row],[Week]],"00"))</f>
        <v>2.1.13</v>
      </c>
      <c r="J122" s="19" t="str">
        <f>_xlfn.CONCAT(tbResults[[#This Row],[Week Title]],".",TEXT(tbResults[[#This Row],[Match]],"00"))</f>
        <v>2.1.13.01</v>
      </c>
      <c r="K122" s="20" t="str">
        <f>_xlfn.CONCAT(tbResults[[#This Row],[Game Title]], " ", tbResults[[#This Row],[Player1]], " vs ", tbResults[[#This Row],[Player2]] )</f>
        <v>2.1.13.01.2 spart1e vs Cypher</v>
      </c>
      <c r="L122" s="6" t="s">
        <v>50</v>
      </c>
      <c r="M122" s="6" t="s">
        <v>14</v>
      </c>
      <c r="N122" s="6" t="s">
        <v>177</v>
      </c>
      <c r="O122" s="6" t="s">
        <v>36</v>
      </c>
      <c r="P122" s="6" t="s">
        <v>34</v>
      </c>
      <c r="Q122" s="8">
        <v>3</v>
      </c>
      <c r="R122" s="8">
        <v>8</v>
      </c>
      <c r="S122" s="8" t="s">
        <v>81</v>
      </c>
      <c r="T122" s="16" t="s">
        <v>14</v>
      </c>
      <c r="U122" s="16" t="s">
        <v>152</v>
      </c>
      <c r="V122" s="46" t="str">
        <f>IF(tbResults[[#This Row],[Player1 Score]]&gt;tbResults[[#This Row],[Player2 Score]],tbResults[[#This Row],[Player1]],tbResults[[#This Row],[Player2]])</f>
        <v>Cypher</v>
      </c>
      <c r="W122" s="48" t="str">
        <f>IF(tbResults[[#This Row],[Player1 Score]]&gt;tbResults[[#This Row],[Player2 Score]],tbResults[[#This Row],[Player2]],tbResults[[#This Row],[Player1]])</f>
        <v>spart1e</v>
      </c>
      <c r="X122" s="11" t="str">
        <f>IF(tbResults[[#This Row],[Winner]]=tbResults[[#This Row],[Player1]],tbResults[[#This Row],[Player1 Pick]],tbResults[[#This Row],[Player2 Pick]])</f>
        <v>Galena</v>
      </c>
      <c r="Y122" s="11" t="str">
        <f>IF(tbResults[[#This Row],[Loser]]=tbResults[[#This Row],[Player1]],tbResults[[#This Row],[Player1 Pick]],tbResults[[#This Row],[Player2 Pick]])</f>
        <v>Visor</v>
      </c>
      <c r="Z122" s="32">
        <f>SUM(tbResults[[#This Row],[Player1 Score]],tbResults[[#This Row],[Player2 Score]])</f>
        <v>11</v>
      </c>
      <c r="AA122" s="32">
        <f>ABS(tbResults[[#This Row],[Player1 Score]]-tbResults[[#This Row],[Player2 Score]])</f>
        <v>5</v>
      </c>
      <c r="AB122" s="37">
        <f>IF(tbResults[[#This Row],[Player1 Score]]&gt;tbResults[[#This Row],[Player2 Score]],tbResults[[#This Row],[Player1 Score]],tbResults[[#This Row],[Player2 Score]])</f>
        <v>8</v>
      </c>
      <c r="AC122" s="37">
        <f>IF(tbResults[[#This Row],[Player1 Score]]&lt;tbResults[[#This Row],[Player2 Score]],tbResults[[#This Row],[Player1 Score]],tbResults[[#This Row],[Player2 Score]])</f>
        <v>3</v>
      </c>
    </row>
    <row r="123" spans="2:29" s="3" customFormat="1" ht="30" customHeight="1" x14ac:dyDescent="0.3">
      <c r="B123" s="20" t="str">
        <f>_xlfn.CONCAT(tbResults[[#This Row],[Series Title]],".",tbResults[[#This Row],[Game]])</f>
        <v>2.1.13.01.3</v>
      </c>
      <c r="C123" s="15">
        <v>2</v>
      </c>
      <c r="D123" s="15">
        <v>1</v>
      </c>
      <c r="E123" s="15">
        <v>13</v>
      </c>
      <c r="F123" s="15">
        <v>1</v>
      </c>
      <c r="G123" s="15">
        <v>3</v>
      </c>
      <c r="H123" s="19" t="str">
        <f>_xlfn.CONCAT(tbResults[[#This Row],[Season]],".",tbResults[[#This Row],[Stage]])</f>
        <v>2.1</v>
      </c>
      <c r="I123" s="19" t="str">
        <f>_xlfn.CONCAT(tbResults[[#This Row],[Season]],".",tbResults[[#This Row],[Stage]],".",TEXT(tbResults[[#This Row],[Week]],"00"))</f>
        <v>2.1.13</v>
      </c>
      <c r="J123" s="19" t="str">
        <f>_xlfn.CONCAT(tbResults[[#This Row],[Week Title]],".",TEXT(tbResults[[#This Row],[Match]],"00"))</f>
        <v>2.1.13.01</v>
      </c>
      <c r="K123" s="20" t="str">
        <f>_xlfn.CONCAT(tbResults[[#This Row],[Game Title]], " ", tbResults[[#This Row],[Player1]], " vs ", tbResults[[#This Row],[Player2]] )</f>
        <v>2.1.13.01.3 spart1e vs Cypher</v>
      </c>
      <c r="L123" s="6" t="s">
        <v>50</v>
      </c>
      <c r="M123" s="6" t="s">
        <v>14</v>
      </c>
      <c r="N123" s="6" t="s">
        <v>23</v>
      </c>
      <c r="O123" s="6" t="s">
        <v>22</v>
      </c>
      <c r="P123" s="6" t="s">
        <v>24</v>
      </c>
      <c r="Q123" s="8">
        <v>5</v>
      </c>
      <c r="R123" s="8">
        <v>10</v>
      </c>
      <c r="S123" s="8" t="s">
        <v>81</v>
      </c>
      <c r="T123" s="16" t="s">
        <v>50</v>
      </c>
      <c r="U123" s="16" t="s">
        <v>25</v>
      </c>
      <c r="V123" s="46" t="str">
        <f>IF(tbResults[[#This Row],[Player1 Score]]&gt;tbResults[[#This Row],[Player2 Score]],tbResults[[#This Row],[Player1]],tbResults[[#This Row],[Player2]])</f>
        <v>Cypher</v>
      </c>
      <c r="W123" s="48" t="str">
        <f>IF(tbResults[[#This Row],[Player1 Score]]&gt;tbResults[[#This Row],[Player2 Score]],tbResults[[#This Row],[Player2]],tbResults[[#This Row],[Player1]])</f>
        <v>spart1e</v>
      </c>
      <c r="X123" s="11" t="str">
        <f>IF(tbResults[[#This Row],[Winner]]=tbResults[[#This Row],[Player1]],tbResults[[#This Row],[Player1 Pick]],tbResults[[#This Row],[Player2 Pick]])</f>
        <v>Slash</v>
      </c>
      <c r="Y123" s="11" t="str">
        <f>IF(tbResults[[#This Row],[Loser]]=tbResults[[#This Row],[Player1]],tbResults[[#This Row],[Player1 Pick]],tbResults[[#This Row],[Player2 Pick]])</f>
        <v>Strogg</v>
      </c>
      <c r="Z123" s="32">
        <f>SUM(tbResults[[#This Row],[Player1 Score]],tbResults[[#This Row],[Player2 Score]])</f>
        <v>15</v>
      </c>
      <c r="AA123" s="32">
        <f>ABS(tbResults[[#This Row],[Player1 Score]]-tbResults[[#This Row],[Player2 Score]])</f>
        <v>5</v>
      </c>
      <c r="AB123" s="37">
        <f>IF(tbResults[[#This Row],[Player1 Score]]&gt;tbResults[[#This Row],[Player2 Score]],tbResults[[#This Row],[Player1 Score]],tbResults[[#This Row],[Player2 Score]])</f>
        <v>10</v>
      </c>
      <c r="AC123" s="37">
        <f>IF(tbResults[[#This Row],[Player1 Score]]&lt;tbResults[[#This Row],[Player2 Score]],tbResults[[#This Row],[Player1 Score]],tbResults[[#This Row],[Player2 Score]])</f>
        <v>5</v>
      </c>
    </row>
    <row r="124" spans="2:29" s="3" customFormat="1" ht="30" customHeight="1" x14ac:dyDescent="0.3">
      <c r="B124" s="20" t="str">
        <f>_xlfn.CONCAT(tbResults[[#This Row],[Series Title]],".",tbResults[[#This Row],[Game]])</f>
        <v>2.1.13.02.1</v>
      </c>
      <c r="C124" s="15">
        <v>2</v>
      </c>
      <c r="D124" s="15">
        <v>1</v>
      </c>
      <c r="E124" s="15">
        <v>13</v>
      </c>
      <c r="F124" s="15">
        <v>2</v>
      </c>
      <c r="G124" s="15">
        <v>1</v>
      </c>
      <c r="H124" s="19" t="str">
        <f>_xlfn.CONCAT(tbResults[[#This Row],[Season]],".",tbResults[[#This Row],[Stage]])</f>
        <v>2.1</v>
      </c>
      <c r="I124" s="19" t="str">
        <f>_xlfn.CONCAT(tbResults[[#This Row],[Season]],".",tbResults[[#This Row],[Stage]],".",TEXT(tbResults[[#This Row],[Week]],"00"))</f>
        <v>2.1.13</v>
      </c>
      <c r="J124" s="19" t="str">
        <f>_xlfn.CONCAT(tbResults[[#This Row],[Week Title]],".",TEXT(tbResults[[#This Row],[Match]],"00"))</f>
        <v>2.1.13.02</v>
      </c>
      <c r="K124" s="20" t="str">
        <f>_xlfn.CONCAT(tbResults[[#This Row],[Game Title]], " ", tbResults[[#This Row],[Player1]], " vs ", tbResults[[#This Row],[Player2]] )</f>
        <v>2.1.13.02.1 dooi vs Zenaku</v>
      </c>
      <c r="L124" s="6" t="s">
        <v>5</v>
      </c>
      <c r="M124" s="6" t="s">
        <v>29</v>
      </c>
      <c r="N124" s="6" t="s">
        <v>19</v>
      </c>
      <c r="O124" s="6" t="s">
        <v>44</v>
      </c>
      <c r="P124" s="6" t="s">
        <v>37</v>
      </c>
      <c r="Q124" s="8">
        <v>13</v>
      </c>
      <c r="R124" s="8">
        <v>5</v>
      </c>
      <c r="S124" s="8" t="s">
        <v>81</v>
      </c>
      <c r="T124" s="16" t="s">
        <v>5</v>
      </c>
      <c r="U124" s="16" t="s">
        <v>35</v>
      </c>
      <c r="V124" s="46" t="str">
        <f>IF(tbResults[[#This Row],[Player1 Score]]&gt;tbResults[[#This Row],[Player2 Score]],tbResults[[#This Row],[Player1]],tbResults[[#This Row],[Player2]])</f>
        <v>dooi</v>
      </c>
      <c r="W124" s="48" t="str">
        <f>IF(tbResults[[#This Row],[Player1 Score]]&gt;tbResults[[#This Row],[Player2 Score]],tbResults[[#This Row],[Player2]],tbResults[[#This Row],[Player1]])</f>
        <v>Zenaku</v>
      </c>
      <c r="X124" s="11" t="str">
        <f>IF(tbResults[[#This Row],[Winner]]=tbResults[[#This Row],[Player1]],tbResults[[#This Row],[Player1 Pick]],tbResults[[#This Row],[Player2 Pick]])</f>
        <v>Scalebearer</v>
      </c>
      <c r="Y124" s="11" t="str">
        <f>IF(tbResults[[#This Row],[Loser]]=tbResults[[#This Row],[Player1]],tbResults[[#This Row],[Player1 Pick]],tbResults[[#This Row],[Player2 Pick]])</f>
        <v>Eisen</v>
      </c>
      <c r="Z124" s="32">
        <f>SUM(tbResults[[#This Row],[Player1 Score]],tbResults[[#This Row],[Player2 Score]])</f>
        <v>18</v>
      </c>
      <c r="AA124" s="32">
        <f>ABS(tbResults[[#This Row],[Player1 Score]]-tbResults[[#This Row],[Player2 Score]])</f>
        <v>8</v>
      </c>
      <c r="AB124" s="37">
        <f>IF(tbResults[[#This Row],[Player1 Score]]&gt;tbResults[[#This Row],[Player2 Score]],tbResults[[#This Row],[Player1 Score]],tbResults[[#This Row],[Player2 Score]])</f>
        <v>13</v>
      </c>
      <c r="AC124" s="37">
        <f>IF(tbResults[[#This Row],[Player1 Score]]&lt;tbResults[[#This Row],[Player2 Score]],tbResults[[#This Row],[Player1 Score]],tbResults[[#This Row],[Player2 Score]])</f>
        <v>5</v>
      </c>
    </row>
    <row r="125" spans="2:29" s="3" customFormat="1" ht="30" customHeight="1" x14ac:dyDescent="0.3">
      <c r="B125" s="20" t="str">
        <f>_xlfn.CONCAT(tbResults[[#This Row],[Series Title]],".",tbResults[[#This Row],[Game]])</f>
        <v>2.1.13.02.2</v>
      </c>
      <c r="C125" s="15">
        <v>2</v>
      </c>
      <c r="D125" s="15">
        <v>1</v>
      </c>
      <c r="E125" s="15">
        <v>13</v>
      </c>
      <c r="F125" s="15">
        <v>2</v>
      </c>
      <c r="G125" s="15">
        <v>2</v>
      </c>
      <c r="H125" s="19" t="str">
        <f>_xlfn.CONCAT(tbResults[[#This Row],[Season]],".",tbResults[[#This Row],[Stage]])</f>
        <v>2.1</v>
      </c>
      <c r="I125" s="19" t="str">
        <f>_xlfn.CONCAT(tbResults[[#This Row],[Season]],".",tbResults[[#This Row],[Stage]],".",TEXT(tbResults[[#This Row],[Week]],"00"))</f>
        <v>2.1.13</v>
      </c>
      <c r="J125" s="19" t="str">
        <f>_xlfn.CONCAT(tbResults[[#This Row],[Week Title]],".",TEXT(tbResults[[#This Row],[Match]],"00"))</f>
        <v>2.1.13.02</v>
      </c>
      <c r="K125" s="20" t="str">
        <f>_xlfn.CONCAT(tbResults[[#This Row],[Game Title]], " ", tbResults[[#This Row],[Player1]], " vs ", tbResults[[#This Row],[Player2]] )</f>
        <v>2.1.13.02.2 dooi vs Zenaku</v>
      </c>
      <c r="L125" s="6" t="s">
        <v>5</v>
      </c>
      <c r="M125" s="6" t="s">
        <v>29</v>
      </c>
      <c r="N125" s="6" t="s">
        <v>23</v>
      </c>
      <c r="O125" s="6" t="s">
        <v>25</v>
      </c>
      <c r="P125" s="6" t="s">
        <v>22</v>
      </c>
      <c r="Q125" s="8">
        <v>4</v>
      </c>
      <c r="R125" s="8">
        <v>5</v>
      </c>
      <c r="S125" s="8" t="s">
        <v>81</v>
      </c>
      <c r="T125" s="16" t="s">
        <v>29</v>
      </c>
      <c r="U125" s="16" t="s">
        <v>55</v>
      </c>
      <c r="V125" s="46" t="str">
        <f>IF(tbResults[[#This Row],[Player1 Score]]&gt;tbResults[[#This Row],[Player2 Score]],tbResults[[#This Row],[Player1]],tbResults[[#This Row],[Player2]])</f>
        <v>Zenaku</v>
      </c>
      <c r="W125" s="48" t="str">
        <f>IF(tbResults[[#This Row],[Player1 Score]]&gt;tbResults[[#This Row],[Player2 Score]],tbResults[[#This Row],[Player2]],tbResults[[#This Row],[Player1]])</f>
        <v>dooi</v>
      </c>
      <c r="X125" s="11" t="str">
        <f>IF(tbResults[[#This Row],[Winner]]=tbResults[[#This Row],[Player1]],tbResults[[#This Row],[Player1 Pick]],tbResults[[#This Row],[Player2 Pick]])</f>
        <v>Strogg</v>
      </c>
      <c r="Y125" s="11" t="str">
        <f>IF(tbResults[[#This Row],[Loser]]=tbResults[[#This Row],[Player1]],tbResults[[#This Row],[Player1 Pick]],tbResults[[#This Row],[Player2 Pick]])</f>
        <v>Sorlag</v>
      </c>
      <c r="Z125" s="32">
        <f>SUM(tbResults[[#This Row],[Player1 Score]],tbResults[[#This Row],[Player2 Score]])</f>
        <v>9</v>
      </c>
      <c r="AA125" s="32">
        <f>ABS(tbResults[[#This Row],[Player1 Score]]-tbResults[[#This Row],[Player2 Score]])</f>
        <v>1</v>
      </c>
      <c r="AB125" s="37">
        <f>IF(tbResults[[#This Row],[Player1 Score]]&gt;tbResults[[#This Row],[Player2 Score]],tbResults[[#This Row],[Player1 Score]],tbResults[[#This Row],[Player2 Score]])</f>
        <v>5</v>
      </c>
      <c r="AC125" s="37">
        <f>IF(tbResults[[#This Row],[Player1 Score]]&lt;tbResults[[#This Row],[Player2 Score]],tbResults[[#This Row],[Player1 Score]],tbResults[[#This Row],[Player2 Score]])</f>
        <v>4</v>
      </c>
    </row>
    <row r="126" spans="2:29" s="3" customFormat="1" ht="30" customHeight="1" x14ac:dyDescent="0.3">
      <c r="B126" s="20" t="str">
        <f>_xlfn.CONCAT(tbResults[[#This Row],[Series Title]],".",tbResults[[#This Row],[Game]])</f>
        <v>2.1.13.02.3</v>
      </c>
      <c r="C126" s="15">
        <v>2</v>
      </c>
      <c r="D126" s="15">
        <v>1</v>
      </c>
      <c r="E126" s="15">
        <v>13</v>
      </c>
      <c r="F126" s="15">
        <v>2</v>
      </c>
      <c r="G126" s="15">
        <v>3</v>
      </c>
      <c r="H126" s="19" t="str">
        <f>_xlfn.CONCAT(tbResults[[#This Row],[Season]],".",tbResults[[#This Row],[Stage]])</f>
        <v>2.1</v>
      </c>
      <c r="I126" s="19" t="str">
        <f>_xlfn.CONCAT(tbResults[[#This Row],[Season]],".",tbResults[[#This Row],[Stage]],".",TEXT(tbResults[[#This Row],[Week]],"00"))</f>
        <v>2.1.13</v>
      </c>
      <c r="J126" s="19" t="str">
        <f>_xlfn.CONCAT(tbResults[[#This Row],[Week Title]],".",TEXT(tbResults[[#This Row],[Match]],"00"))</f>
        <v>2.1.13.02</v>
      </c>
      <c r="K126" s="20" t="str">
        <f>_xlfn.CONCAT(tbResults[[#This Row],[Game Title]], " ", tbResults[[#This Row],[Player1]], " vs ", tbResults[[#This Row],[Player2]] )</f>
        <v>2.1.13.02.3 dooi vs Zenaku</v>
      </c>
      <c r="L126" s="6" t="s">
        <v>5</v>
      </c>
      <c r="M126" s="6" t="s">
        <v>29</v>
      </c>
      <c r="N126" s="6" t="s">
        <v>177</v>
      </c>
      <c r="O126" s="6" t="s">
        <v>21</v>
      </c>
      <c r="P126" s="6" t="s">
        <v>34</v>
      </c>
      <c r="Q126" s="8">
        <v>3</v>
      </c>
      <c r="R126" s="8">
        <v>6</v>
      </c>
      <c r="S126" s="8" t="s">
        <v>81</v>
      </c>
      <c r="T126" s="16" t="s">
        <v>5</v>
      </c>
      <c r="U126" s="16" t="s">
        <v>28</v>
      </c>
      <c r="V126" s="46" t="str">
        <f>IF(tbResults[[#This Row],[Player1 Score]]&gt;tbResults[[#This Row],[Player2 Score]],tbResults[[#This Row],[Player1]],tbResults[[#This Row],[Player2]])</f>
        <v>Zenaku</v>
      </c>
      <c r="W126" s="48" t="str">
        <f>IF(tbResults[[#This Row],[Player1 Score]]&gt;tbResults[[#This Row],[Player2 Score]],tbResults[[#This Row],[Player2]],tbResults[[#This Row],[Player1]])</f>
        <v>dooi</v>
      </c>
      <c r="X126" s="11" t="str">
        <f>IF(tbResults[[#This Row],[Winner]]=tbResults[[#This Row],[Player1]],tbResults[[#This Row],[Player1 Pick]],tbResults[[#This Row],[Player2 Pick]])</f>
        <v>Galena</v>
      </c>
      <c r="Y126" s="11" t="str">
        <f>IF(tbResults[[#This Row],[Loser]]=tbResults[[#This Row],[Player1]],tbResults[[#This Row],[Player1 Pick]],tbResults[[#This Row],[Player2 Pick]])</f>
        <v>Ranger</v>
      </c>
      <c r="Z126" s="32">
        <f>SUM(tbResults[[#This Row],[Player1 Score]],tbResults[[#This Row],[Player2 Score]])</f>
        <v>9</v>
      </c>
      <c r="AA126" s="32">
        <f>ABS(tbResults[[#This Row],[Player1 Score]]-tbResults[[#This Row],[Player2 Score]])</f>
        <v>3</v>
      </c>
      <c r="AB126" s="37">
        <f>IF(tbResults[[#This Row],[Player1 Score]]&gt;tbResults[[#This Row],[Player2 Score]],tbResults[[#This Row],[Player1 Score]],tbResults[[#This Row],[Player2 Score]])</f>
        <v>6</v>
      </c>
      <c r="AC126" s="37">
        <f>IF(tbResults[[#This Row],[Player1 Score]]&lt;tbResults[[#This Row],[Player2 Score]],tbResults[[#This Row],[Player1 Score]],tbResults[[#This Row],[Player2 Score]])</f>
        <v>3</v>
      </c>
    </row>
    <row r="127" spans="2:29" s="3" customFormat="1" ht="30" customHeight="1" x14ac:dyDescent="0.3">
      <c r="B127" s="20" t="str">
        <f>_xlfn.CONCAT(tbResults[[#This Row],[Series Title]],".",tbResults[[#This Row],[Game]])</f>
        <v>2.1.13.03.1</v>
      </c>
      <c r="C127" s="15">
        <v>2</v>
      </c>
      <c r="D127" s="15">
        <v>1</v>
      </c>
      <c r="E127" s="15">
        <v>13</v>
      </c>
      <c r="F127" s="15">
        <v>3</v>
      </c>
      <c r="G127" s="15">
        <v>1</v>
      </c>
      <c r="H127" s="19" t="str">
        <f>_xlfn.CONCAT(tbResults[[#This Row],[Season]],".",tbResults[[#This Row],[Stage]])</f>
        <v>2.1</v>
      </c>
      <c r="I127" s="19" t="str">
        <f>_xlfn.CONCAT(tbResults[[#This Row],[Season]],".",tbResults[[#This Row],[Stage]],".",TEXT(tbResults[[#This Row],[Week]],"00"))</f>
        <v>2.1.13</v>
      </c>
      <c r="J127" s="19" t="str">
        <f>_xlfn.CONCAT(tbResults[[#This Row],[Week Title]],".",TEXT(tbResults[[#This Row],[Match]],"00"))</f>
        <v>2.1.13.03</v>
      </c>
      <c r="K127" s="20" t="str">
        <f>_xlfn.CONCAT(tbResults[[#This Row],[Game Title]], " ", tbResults[[#This Row],[Player1]], " vs ", tbResults[[#This Row],[Player2]] )</f>
        <v>2.1.13.03.1 Av3k vs coollerz</v>
      </c>
      <c r="L127" s="6" t="s">
        <v>52</v>
      </c>
      <c r="M127" s="6" t="s">
        <v>48</v>
      </c>
      <c r="N127" s="6" t="s">
        <v>178</v>
      </c>
      <c r="O127" s="6" t="s">
        <v>55</v>
      </c>
      <c r="P127" s="6" t="s">
        <v>39</v>
      </c>
      <c r="Q127" s="8">
        <v>3</v>
      </c>
      <c r="R127" s="8">
        <v>9</v>
      </c>
      <c r="S127" s="8" t="s">
        <v>81</v>
      </c>
      <c r="T127" s="16" t="s">
        <v>48</v>
      </c>
      <c r="U127" s="16" t="s">
        <v>38</v>
      </c>
      <c r="V127" s="46" t="str">
        <f>IF(tbResults[[#This Row],[Player1 Score]]&gt;tbResults[[#This Row],[Player2 Score]],tbResults[[#This Row],[Player1]],tbResults[[#This Row],[Player2]])</f>
        <v>coollerz</v>
      </c>
      <c r="W127" s="48" t="str">
        <f>IF(tbResults[[#This Row],[Player1 Score]]&gt;tbResults[[#This Row],[Player2 Score]],tbResults[[#This Row],[Player2]],tbResults[[#This Row],[Player1]])</f>
        <v>Av3k</v>
      </c>
      <c r="X127" s="11" t="str">
        <f>IF(tbResults[[#This Row],[Winner]]=tbResults[[#This Row],[Player1]],tbResults[[#This Row],[Player1 Pick]],tbResults[[#This Row],[Player2 Pick]])</f>
        <v>Anarki</v>
      </c>
      <c r="Y127" s="11" t="str">
        <f>IF(tbResults[[#This Row],[Loser]]=tbResults[[#This Row],[Player1]],tbResults[[#This Row],[Player1 Pick]],tbResults[[#This Row],[Player2 Pick]])</f>
        <v>Athena</v>
      </c>
      <c r="Z127" s="32">
        <f>SUM(tbResults[[#This Row],[Player1 Score]],tbResults[[#This Row],[Player2 Score]])</f>
        <v>12</v>
      </c>
      <c r="AA127" s="32">
        <f>ABS(tbResults[[#This Row],[Player1 Score]]-tbResults[[#This Row],[Player2 Score]])</f>
        <v>6</v>
      </c>
      <c r="AB127" s="37">
        <f>IF(tbResults[[#This Row],[Player1 Score]]&gt;tbResults[[#This Row],[Player2 Score]],tbResults[[#This Row],[Player1 Score]],tbResults[[#This Row],[Player2 Score]])</f>
        <v>9</v>
      </c>
      <c r="AC127" s="37">
        <f>IF(tbResults[[#This Row],[Player1 Score]]&lt;tbResults[[#This Row],[Player2 Score]],tbResults[[#This Row],[Player1 Score]],tbResults[[#This Row],[Player2 Score]])</f>
        <v>3</v>
      </c>
    </row>
    <row r="128" spans="2:29" s="3" customFormat="1" ht="30" customHeight="1" x14ac:dyDescent="0.3">
      <c r="B128" s="20" t="str">
        <f>_xlfn.CONCAT(tbResults[[#This Row],[Series Title]],".",tbResults[[#This Row],[Game]])</f>
        <v>2.1.13.03.2</v>
      </c>
      <c r="C128" s="15">
        <v>2</v>
      </c>
      <c r="D128" s="15">
        <v>1</v>
      </c>
      <c r="E128" s="15">
        <v>13</v>
      </c>
      <c r="F128" s="15">
        <v>3</v>
      </c>
      <c r="G128" s="15">
        <v>2</v>
      </c>
      <c r="H128" s="19" t="str">
        <f>_xlfn.CONCAT(tbResults[[#This Row],[Season]],".",tbResults[[#This Row],[Stage]])</f>
        <v>2.1</v>
      </c>
      <c r="I128" s="19" t="str">
        <f>_xlfn.CONCAT(tbResults[[#This Row],[Season]],".",tbResults[[#This Row],[Stage]],".",TEXT(tbResults[[#This Row],[Week]],"00"))</f>
        <v>2.1.13</v>
      </c>
      <c r="J128" s="19" t="str">
        <f>_xlfn.CONCAT(tbResults[[#This Row],[Week Title]],".",TEXT(tbResults[[#This Row],[Match]],"00"))</f>
        <v>2.1.13.03</v>
      </c>
      <c r="K128" s="20" t="str">
        <f>_xlfn.CONCAT(tbResults[[#This Row],[Game Title]], " ", tbResults[[#This Row],[Player1]], " vs ", tbResults[[#This Row],[Player2]] )</f>
        <v>2.1.13.03.2 Av3k vs coollerz</v>
      </c>
      <c r="L128" s="6" t="s">
        <v>52</v>
      </c>
      <c r="M128" s="6" t="s">
        <v>48</v>
      </c>
      <c r="N128" s="6" t="s">
        <v>32</v>
      </c>
      <c r="O128" s="6" t="s">
        <v>22</v>
      </c>
      <c r="P128" s="6" t="s">
        <v>25</v>
      </c>
      <c r="Q128" s="8">
        <v>6</v>
      </c>
      <c r="R128" s="8">
        <v>9</v>
      </c>
      <c r="S128" s="8" t="s">
        <v>81</v>
      </c>
      <c r="T128" s="16" t="s">
        <v>52</v>
      </c>
      <c r="U128" s="16" t="s">
        <v>34</v>
      </c>
      <c r="V128" s="46" t="str">
        <f>IF(tbResults[[#This Row],[Player1 Score]]&gt;tbResults[[#This Row],[Player2 Score]],tbResults[[#This Row],[Player1]],tbResults[[#This Row],[Player2]])</f>
        <v>coollerz</v>
      </c>
      <c r="W128" s="48" t="str">
        <f>IF(tbResults[[#This Row],[Player1 Score]]&gt;tbResults[[#This Row],[Player2 Score]],tbResults[[#This Row],[Player2]],tbResults[[#This Row],[Player1]])</f>
        <v>Av3k</v>
      </c>
      <c r="X128" s="11" t="str">
        <f>IF(tbResults[[#This Row],[Winner]]=tbResults[[#This Row],[Player1]],tbResults[[#This Row],[Player1 Pick]],tbResults[[#This Row],[Player2 Pick]])</f>
        <v>Sorlag</v>
      </c>
      <c r="Y128" s="11" t="str">
        <f>IF(tbResults[[#This Row],[Loser]]=tbResults[[#This Row],[Player1]],tbResults[[#This Row],[Player1 Pick]],tbResults[[#This Row],[Player2 Pick]])</f>
        <v>Strogg</v>
      </c>
      <c r="Z128" s="32">
        <f>SUM(tbResults[[#This Row],[Player1 Score]],tbResults[[#This Row],[Player2 Score]])</f>
        <v>15</v>
      </c>
      <c r="AA128" s="32">
        <f>ABS(tbResults[[#This Row],[Player1 Score]]-tbResults[[#This Row],[Player2 Score]])</f>
        <v>3</v>
      </c>
      <c r="AB128" s="37">
        <f>IF(tbResults[[#This Row],[Player1 Score]]&gt;tbResults[[#This Row],[Player2 Score]],tbResults[[#This Row],[Player1 Score]],tbResults[[#This Row],[Player2 Score]])</f>
        <v>9</v>
      </c>
      <c r="AC128" s="37">
        <f>IF(tbResults[[#This Row],[Player1 Score]]&lt;tbResults[[#This Row],[Player2 Score]],tbResults[[#This Row],[Player1 Score]],tbResults[[#This Row],[Player2 Score]])</f>
        <v>6</v>
      </c>
    </row>
    <row r="129" spans="2:29" s="3" customFormat="1" ht="30" customHeight="1" x14ac:dyDescent="0.3">
      <c r="B129" s="20" t="str">
        <f>_xlfn.CONCAT(tbResults[[#This Row],[Series Title]],".",tbResults[[#This Row],[Game]])</f>
        <v>2.1.13.03.3</v>
      </c>
      <c r="C129" s="15">
        <v>2</v>
      </c>
      <c r="D129" s="15">
        <v>1</v>
      </c>
      <c r="E129" s="15">
        <v>13</v>
      </c>
      <c r="F129" s="15">
        <v>3</v>
      </c>
      <c r="G129" s="15">
        <v>3</v>
      </c>
      <c r="H129" s="19" t="str">
        <f>_xlfn.CONCAT(tbResults[[#This Row],[Season]],".",tbResults[[#This Row],[Stage]])</f>
        <v>2.1</v>
      </c>
      <c r="I129" s="19" t="str">
        <f>_xlfn.CONCAT(tbResults[[#This Row],[Season]],".",tbResults[[#This Row],[Stage]],".",TEXT(tbResults[[#This Row],[Week]],"00"))</f>
        <v>2.1.13</v>
      </c>
      <c r="J129" s="19" t="str">
        <f>_xlfn.CONCAT(tbResults[[#This Row],[Week Title]],".",TEXT(tbResults[[#This Row],[Match]],"00"))</f>
        <v>2.1.13.03</v>
      </c>
      <c r="K129" s="20" t="str">
        <f>_xlfn.CONCAT(tbResults[[#This Row],[Game Title]], " ", tbResults[[#This Row],[Player1]], " vs ", tbResults[[#This Row],[Player2]] )</f>
        <v>2.1.13.03.3 Av3k vs coollerz</v>
      </c>
      <c r="L129" s="6" t="s">
        <v>52</v>
      </c>
      <c r="M129" s="6" t="s">
        <v>48</v>
      </c>
      <c r="N129" s="6" t="s">
        <v>26</v>
      </c>
      <c r="O129" s="6" t="s">
        <v>37</v>
      </c>
      <c r="P129" s="6" t="s">
        <v>21</v>
      </c>
      <c r="Q129" s="8">
        <v>8</v>
      </c>
      <c r="R129" s="8">
        <v>5</v>
      </c>
      <c r="S129" s="8" t="s">
        <v>81</v>
      </c>
      <c r="T129" s="16" t="s">
        <v>48</v>
      </c>
      <c r="U129" s="16" t="s">
        <v>37</v>
      </c>
      <c r="V129" s="46" t="str">
        <f>IF(tbResults[[#This Row],[Player1 Score]]&gt;tbResults[[#This Row],[Player2 Score]],tbResults[[#This Row],[Player1]],tbResults[[#This Row],[Player2]])</f>
        <v>Av3k</v>
      </c>
      <c r="W129" s="48" t="str">
        <f>IF(tbResults[[#This Row],[Player1 Score]]&gt;tbResults[[#This Row],[Player2 Score]],tbResults[[#This Row],[Player2]],tbResults[[#This Row],[Player1]])</f>
        <v>coollerz</v>
      </c>
      <c r="X129" s="11" t="str">
        <f>IF(tbResults[[#This Row],[Winner]]=tbResults[[#This Row],[Player1]],tbResults[[#This Row],[Player1 Pick]],tbResults[[#This Row],[Player2 Pick]])</f>
        <v>Eisen</v>
      </c>
      <c r="Y129" s="11" t="str">
        <f>IF(tbResults[[#This Row],[Loser]]=tbResults[[#This Row],[Player1]],tbResults[[#This Row],[Player1 Pick]],tbResults[[#This Row],[Player2 Pick]])</f>
        <v>Ranger</v>
      </c>
      <c r="Z129" s="32">
        <f>SUM(tbResults[[#This Row],[Player1 Score]],tbResults[[#This Row],[Player2 Score]])</f>
        <v>13</v>
      </c>
      <c r="AA129" s="32">
        <f>ABS(tbResults[[#This Row],[Player1 Score]]-tbResults[[#This Row],[Player2 Score]])</f>
        <v>3</v>
      </c>
      <c r="AB129" s="37">
        <f>IF(tbResults[[#This Row],[Player1 Score]]&gt;tbResults[[#This Row],[Player2 Score]],tbResults[[#This Row],[Player1 Score]],tbResults[[#This Row],[Player2 Score]])</f>
        <v>8</v>
      </c>
      <c r="AC129" s="37">
        <f>IF(tbResults[[#This Row],[Player1 Score]]&lt;tbResults[[#This Row],[Player2 Score]],tbResults[[#This Row],[Player1 Score]],tbResults[[#This Row],[Player2 Score]])</f>
        <v>5</v>
      </c>
    </row>
    <row r="130" spans="2:29" s="3" customFormat="1" ht="30" customHeight="1" x14ac:dyDescent="0.3">
      <c r="B130" s="20" t="str">
        <f>_xlfn.CONCAT(tbResults[[#This Row],[Series Title]],".",tbResults[[#This Row],[Game]])</f>
        <v>2.1.13.04.1</v>
      </c>
      <c r="C130" s="15">
        <v>2</v>
      </c>
      <c r="D130" s="15">
        <v>1</v>
      </c>
      <c r="E130" s="15">
        <v>13</v>
      </c>
      <c r="F130" s="15">
        <v>4</v>
      </c>
      <c r="G130" s="15">
        <v>1</v>
      </c>
      <c r="H130" s="19" t="str">
        <f>_xlfn.CONCAT(tbResults[[#This Row],[Season]],".",tbResults[[#This Row],[Stage]])</f>
        <v>2.1</v>
      </c>
      <c r="I130" s="19" t="str">
        <f>_xlfn.CONCAT(tbResults[[#This Row],[Season]],".",tbResults[[#This Row],[Stage]],".",TEXT(tbResults[[#This Row],[Week]],"00"))</f>
        <v>2.1.13</v>
      </c>
      <c r="J130" s="19" t="str">
        <f>_xlfn.CONCAT(tbResults[[#This Row],[Week Title]],".",TEXT(tbResults[[#This Row],[Match]],"00"))</f>
        <v>2.1.13.04</v>
      </c>
      <c r="K130" s="20" t="str">
        <f>_xlfn.CONCAT(tbResults[[#This Row],[Game Title]], " ", tbResults[[#This Row],[Player1]], " vs ", tbResults[[#This Row],[Player2]] )</f>
        <v>2.1.13.04.1 Dramis vs Effortless</v>
      </c>
      <c r="L130" s="6" t="s">
        <v>12</v>
      </c>
      <c r="M130" s="6" t="s">
        <v>6</v>
      </c>
      <c r="N130" s="6" t="s">
        <v>19</v>
      </c>
      <c r="O130" s="6" t="s">
        <v>55</v>
      </c>
      <c r="P130" s="6" t="s">
        <v>25</v>
      </c>
      <c r="Q130" s="8">
        <v>8</v>
      </c>
      <c r="R130" s="8">
        <v>7</v>
      </c>
      <c r="S130" s="8" t="s">
        <v>82</v>
      </c>
      <c r="T130" s="16" t="s">
        <v>12</v>
      </c>
      <c r="U130" s="16" t="s">
        <v>22</v>
      </c>
      <c r="V130" s="46" t="str">
        <f>IF(tbResults[[#This Row],[Player1 Score]]&gt;tbResults[[#This Row],[Player2 Score]],tbResults[[#This Row],[Player1]],tbResults[[#This Row],[Player2]])</f>
        <v>Dramis</v>
      </c>
      <c r="W130" s="48" t="str">
        <f>IF(tbResults[[#This Row],[Player1 Score]]&gt;tbResults[[#This Row],[Player2 Score]],tbResults[[#This Row],[Player2]],tbResults[[#This Row],[Player1]])</f>
        <v>Effortless</v>
      </c>
      <c r="X130" s="11" t="str">
        <f>IF(tbResults[[#This Row],[Winner]]=tbResults[[#This Row],[Player1]],tbResults[[#This Row],[Player1 Pick]],tbResults[[#This Row],[Player2 Pick]])</f>
        <v>Athena</v>
      </c>
      <c r="Y130" s="11" t="str">
        <f>IF(tbResults[[#This Row],[Loser]]=tbResults[[#This Row],[Player1]],tbResults[[#This Row],[Player1 Pick]],tbResults[[#This Row],[Player2 Pick]])</f>
        <v>Sorlag</v>
      </c>
      <c r="Z130" s="32">
        <f>SUM(tbResults[[#This Row],[Player1 Score]],tbResults[[#This Row],[Player2 Score]])</f>
        <v>15</v>
      </c>
      <c r="AA130" s="32">
        <f>ABS(tbResults[[#This Row],[Player1 Score]]-tbResults[[#This Row],[Player2 Score]])</f>
        <v>1</v>
      </c>
      <c r="AB130" s="37">
        <f>IF(tbResults[[#This Row],[Player1 Score]]&gt;tbResults[[#This Row],[Player2 Score]],tbResults[[#This Row],[Player1 Score]],tbResults[[#This Row],[Player2 Score]])</f>
        <v>8</v>
      </c>
      <c r="AC130" s="37">
        <f>IF(tbResults[[#This Row],[Player1 Score]]&lt;tbResults[[#This Row],[Player2 Score]],tbResults[[#This Row],[Player1 Score]],tbResults[[#This Row],[Player2 Score]])</f>
        <v>7</v>
      </c>
    </row>
    <row r="131" spans="2:29" s="3" customFormat="1" ht="30" customHeight="1" x14ac:dyDescent="0.3">
      <c r="B131" s="20" t="str">
        <f>_xlfn.CONCAT(tbResults[[#This Row],[Series Title]],".",tbResults[[#This Row],[Game]])</f>
        <v>2.1.13.04.2</v>
      </c>
      <c r="C131" s="15">
        <v>2</v>
      </c>
      <c r="D131" s="15">
        <v>1</v>
      </c>
      <c r="E131" s="15">
        <v>13</v>
      </c>
      <c r="F131" s="15">
        <v>4</v>
      </c>
      <c r="G131" s="15">
        <v>2</v>
      </c>
      <c r="H131" s="19" t="str">
        <f>_xlfn.CONCAT(tbResults[[#This Row],[Season]],".",tbResults[[#This Row],[Stage]])</f>
        <v>2.1</v>
      </c>
      <c r="I131" s="19" t="str">
        <f>_xlfn.CONCAT(tbResults[[#This Row],[Season]],".",tbResults[[#This Row],[Stage]],".",TEXT(tbResults[[#This Row],[Week]],"00"))</f>
        <v>2.1.13</v>
      </c>
      <c r="J131" s="19" t="str">
        <f>_xlfn.CONCAT(tbResults[[#This Row],[Week Title]],".",TEXT(tbResults[[#This Row],[Match]],"00"))</f>
        <v>2.1.13.04</v>
      </c>
      <c r="K131" s="20" t="str">
        <f>_xlfn.CONCAT(tbResults[[#This Row],[Game Title]], " ", tbResults[[#This Row],[Player1]], " vs ", tbResults[[#This Row],[Player2]] )</f>
        <v>2.1.13.04.2 Dramis vs Effortless</v>
      </c>
      <c r="L131" s="6" t="s">
        <v>12</v>
      </c>
      <c r="M131" s="6" t="s">
        <v>6</v>
      </c>
      <c r="N131" s="6" t="s">
        <v>26</v>
      </c>
      <c r="O131" s="6" t="s">
        <v>27</v>
      </c>
      <c r="P131" s="6" t="s">
        <v>24</v>
      </c>
      <c r="Q131" s="8">
        <v>7</v>
      </c>
      <c r="R131" s="8">
        <v>5</v>
      </c>
      <c r="S131" s="8" t="s">
        <v>81</v>
      </c>
      <c r="T131" s="16" t="s">
        <v>6</v>
      </c>
      <c r="U131" s="16" t="s">
        <v>34</v>
      </c>
      <c r="V131" s="46" t="str">
        <f>IF(tbResults[[#This Row],[Player1 Score]]&gt;tbResults[[#This Row],[Player2 Score]],tbResults[[#This Row],[Player1]],tbResults[[#This Row],[Player2]])</f>
        <v>Dramis</v>
      </c>
      <c r="W131" s="48" t="str">
        <f>IF(tbResults[[#This Row],[Player1 Score]]&gt;tbResults[[#This Row],[Player2 Score]],tbResults[[#This Row],[Player2]],tbResults[[#This Row],[Player1]])</f>
        <v>Effortless</v>
      </c>
      <c r="X131" s="11" t="str">
        <f>IF(tbResults[[#This Row],[Winner]]=tbResults[[#This Row],[Player1]],tbResults[[#This Row],[Player1 Pick]],tbResults[[#This Row],[Player2 Pick]])</f>
        <v>Keel</v>
      </c>
      <c r="Y131" s="11" t="str">
        <f>IF(tbResults[[#This Row],[Loser]]=tbResults[[#This Row],[Player1]],tbResults[[#This Row],[Player1 Pick]],tbResults[[#This Row],[Player2 Pick]])</f>
        <v>Slash</v>
      </c>
      <c r="Z131" s="32">
        <f>SUM(tbResults[[#This Row],[Player1 Score]],tbResults[[#This Row],[Player2 Score]])</f>
        <v>12</v>
      </c>
      <c r="AA131" s="32">
        <f>ABS(tbResults[[#This Row],[Player1 Score]]-tbResults[[#This Row],[Player2 Score]])</f>
        <v>2</v>
      </c>
      <c r="AB131" s="37">
        <f>IF(tbResults[[#This Row],[Player1 Score]]&gt;tbResults[[#This Row],[Player2 Score]],tbResults[[#This Row],[Player1 Score]],tbResults[[#This Row],[Player2 Score]])</f>
        <v>7</v>
      </c>
      <c r="AC131" s="37">
        <f>IF(tbResults[[#This Row],[Player1 Score]]&lt;tbResults[[#This Row],[Player2 Score]],tbResults[[#This Row],[Player1 Score]],tbResults[[#This Row],[Player2 Score]])</f>
        <v>5</v>
      </c>
    </row>
    <row r="132" spans="2:29" s="3" customFormat="1" ht="30" customHeight="1" x14ac:dyDescent="0.3">
      <c r="B132" s="20" t="str">
        <f>_xlfn.CONCAT(tbResults[[#This Row],[Series Title]],".",tbResults[[#This Row],[Game]])</f>
        <v>2.1.13.04.3</v>
      </c>
      <c r="C132" s="15">
        <v>2</v>
      </c>
      <c r="D132" s="15">
        <v>1</v>
      </c>
      <c r="E132" s="15">
        <v>13</v>
      </c>
      <c r="F132" s="15">
        <v>4</v>
      </c>
      <c r="G132" s="15">
        <v>3</v>
      </c>
      <c r="H132" s="19" t="str">
        <f>_xlfn.CONCAT(tbResults[[#This Row],[Season]],".",tbResults[[#This Row],[Stage]])</f>
        <v>2.1</v>
      </c>
      <c r="I132" s="19" t="str">
        <f>_xlfn.CONCAT(tbResults[[#This Row],[Season]],".",tbResults[[#This Row],[Stage]],".",TEXT(tbResults[[#This Row],[Week]],"00"))</f>
        <v>2.1.13</v>
      </c>
      <c r="J132" s="19" t="str">
        <f>_xlfn.CONCAT(tbResults[[#This Row],[Week Title]],".",TEXT(tbResults[[#This Row],[Match]],"00"))</f>
        <v>2.1.13.04</v>
      </c>
      <c r="K132" s="20" t="str">
        <f>_xlfn.CONCAT(tbResults[[#This Row],[Game Title]], " ", tbResults[[#This Row],[Player1]], " vs ", tbResults[[#This Row],[Player2]] )</f>
        <v>2.1.13.04.3 Dramis vs Effortless</v>
      </c>
      <c r="L132" s="6" t="s">
        <v>12</v>
      </c>
      <c r="M132" s="6" t="s">
        <v>6</v>
      </c>
      <c r="N132" s="6" t="s">
        <v>23</v>
      </c>
      <c r="O132" s="6" t="s">
        <v>44</v>
      </c>
      <c r="P132" s="6" t="s">
        <v>38</v>
      </c>
      <c r="Q132" s="8">
        <v>6</v>
      </c>
      <c r="R132" s="8">
        <v>8</v>
      </c>
      <c r="S132" s="8" t="s">
        <v>81</v>
      </c>
      <c r="T132" s="16" t="s">
        <v>12</v>
      </c>
      <c r="U132" s="16" t="s">
        <v>21</v>
      </c>
      <c r="V132" s="46" t="str">
        <f>IF(tbResults[[#This Row],[Player1 Score]]&gt;tbResults[[#This Row],[Player2 Score]],tbResults[[#This Row],[Player1]],tbResults[[#This Row],[Player2]])</f>
        <v>Effortless</v>
      </c>
      <c r="W132" s="48" t="str">
        <f>IF(tbResults[[#This Row],[Player1 Score]]&gt;tbResults[[#This Row],[Player2 Score]],tbResults[[#This Row],[Player2]],tbResults[[#This Row],[Player1]])</f>
        <v>Dramis</v>
      </c>
      <c r="X132" s="11" t="str">
        <f>IF(tbResults[[#This Row],[Winner]]=tbResults[[#This Row],[Player1]],tbResults[[#This Row],[Player1 Pick]],tbResults[[#This Row],[Player2 Pick]])</f>
        <v>Nyx</v>
      </c>
      <c r="Y132" s="11" t="str">
        <f>IF(tbResults[[#This Row],[Loser]]=tbResults[[#This Row],[Player1]],tbResults[[#This Row],[Player1 Pick]],tbResults[[#This Row],[Player2 Pick]])</f>
        <v>Scalebearer</v>
      </c>
      <c r="Z132" s="32">
        <f>SUM(tbResults[[#This Row],[Player1 Score]],tbResults[[#This Row],[Player2 Score]])</f>
        <v>14</v>
      </c>
      <c r="AA132" s="32">
        <f>ABS(tbResults[[#This Row],[Player1 Score]]-tbResults[[#This Row],[Player2 Score]])</f>
        <v>2</v>
      </c>
      <c r="AB132" s="37">
        <f>IF(tbResults[[#This Row],[Player1 Score]]&gt;tbResults[[#This Row],[Player2 Score]],tbResults[[#This Row],[Player1 Score]],tbResults[[#This Row],[Player2 Score]])</f>
        <v>8</v>
      </c>
      <c r="AC132" s="37">
        <f>IF(tbResults[[#This Row],[Player1 Score]]&lt;tbResults[[#This Row],[Player2 Score]],tbResults[[#This Row],[Player1 Score]],tbResults[[#This Row],[Player2 Score]])</f>
        <v>6</v>
      </c>
    </row>
    <row r="133" spans="2:29" s="3" customFormat="1" ht="30" customHeight="1" x14ac:dyDescent="0.3">
      <c r="B133" s="20" t="str">
        <f>_xlfn.CONCAT(tbResults[[#This Row],[Series Title]],".",tbResults[[#This Row],[Game]])</f>
        <v>2.1.13.05.1</v>
      </c>
      <c r="C133" s="15">
        <v>2</v>
      </c>
      <c r="D133" s="15">
        <v>1</v>
      </c>
      <c r="E133" s="15">
        <v>13</v>
      </c>
      <c r="F133" s="15">
        <v>5</v>
      </c>
      <c r="G133" s="15">
        <v>1</v>
      </c>
      <c r="H133" s="19" t="str">
        <f>_xlfn.CONCAT(tbResults[[#This Row],[Season]],".",tbResults[[#This Row],[Stage]])</f>
        <v>2.1</v>
      </c>
      <c r="I133" s="19" t="str">
        <f>_xlfn.CONCAT(tbResults[[#This Row],[Season]],".",tbResults[[#This Row],[Stage]],".",TEXT(tbResults[[#This Row],[Week]],"00"))</f>
        <v>2.1.13</v>
      </c>
      <c r="J133" s="19" t="str">
        <f>_xlfn.CONCAT(tbResults[[#This Row],[Week Title]],".",TEXT(tbResults[[#This Row],[Match]],"00"))</f>
        <v>2.1.13.05</v>
      </c>
      <c r="K133" s="20" t="str">
        <f>_xlfn.CONCAT(tbResults[[#This Row],[Game Title]], " ", tbResults[[#This Row],[Player1]], " vs ", tbResults[[#This Row],[Player2]] )</f>
        <v>2.1.13.05.1 k1llsen vs Raisy</v>
      </c>
      <c r="L133" s="6" t="s">
        <v>31</v>
      </c>
      <c r="M133" s="6" t="s">
        <v>49</v>
      </c>
      <c r="N133" s="6" t="s">
        <v>178</v>
      </c>
      <c r="O133" s="6" t="s">
        <v>55</v>
      </c>
      <c r="P133" s="6" t="s">
        <v>92</v>
      </c>
      <c r="Q133" s="8">
        <v>4</v>
      </c>
      <c r="R133" s="8">
        <v>12</v>
      </c>
      <c r="S133" s="8" t="s">
        <v>81</v>
      </c>
      <c r="T133" s="16" t="s">
        <v>49</v>
      </c>
      <c r="U133" s="16" t="s">
        <v>38</v>
      </c>
      <c r="V133" s="46" t="str">
        <f>IF(tbResults[[#This Row],[Player1 Score]]&gt;tbResults[[#This Row],[Player2 Score]],tbResults[[#This Row],[Player1]],tbResults[[#This Row],[Player2]])</f>
        <v>Raisy</v>
      </c>
      <c r="W133" s="48" t="str">
        <f>IF(tbResults[[#This Row],[Player1 Score]]&gt;tbResults[[#This Row],[Player2 Score]],tbResults[[#This Row],[Player2]],tbResults[[#This Row],[Player1]])</f>
        <v>k1llsen</v>
      </c>
      <c r="X133" s="11" t="str">
        <f>IF(tbResults[[#This Row],[Winner]]=tbResults[[#This Row],[Player1]],tbResults[[#This Row],[Player1 Pick]],tbResults[[#This Row],[Player2 Pick]])</f>
        <v>Clutch</v>
      </c>
      <c r="Y133" s="11" t="str">
        <f>IF(tbResults[[#This Row],[Loser]]=tbResults[[#This Row],[Player1]],tbResults[[#This Row],[Player1 Pick]],tbResults[[#This Row],[Player2 Pick]])</f>
        <v>Athena</v>
      </c>
      <c r="Z133" s="32">
        <f>SUM(tbResults[[#This Row],[Player1 Score]],tbResults[[#This Row],[Player2 Score]])</f>
        <v>16</v>
      </c>
      <c r="AA133" s="32">
        <f>ABS(tbResults[[#This Row],[Player1 Score]]-tbResults[[#This Row],[Player2 Score]])</f>
        <v>8</v>
      </c>
      <c r="AB133" s="37">
        <f>IF(tbResults[[#This Row],[Player1 Score]]&gt;tbResults[[#This Row],[Player2 Score]],tbResults[[#This Row],[Player1 Score]],tbResults[[#This Row],[Player2 Score]])</f>
        <v>12</v>
      </c>
      <c r="AC133" s="37">
        <f>IF(tbResults[[#This Row],[Player1 Score]]&lt;tbResults[[#This Row],[Player2 Score]],tbResults[[#This Row],[Player1 Score]],tbResults[[#This Row],[Player2 Score]])</f>
        <v>4</v>
      </c>
    </row>
    <row r="134" spans="2:29" s="3" customFormat="1" ht="30" customHeight="1" x14ac:dyDescent="0.3">
      <c r="B134" s="20" t="str">
        <f>_xlfn.CONCAT(tbResults[[#This Row],[Series Title]],".",tbResults[[#This Row],[Game]])</f>
        <v>2.1.13.05.2</v>
      </c>
      <c r="C134" s="15">
        <v>2</v>
      </c>
      <c r="D134" s="15">
        <v>1</v>
      </c>
      <c r="E134" s="15">
        <v>13</v>
      </c>
      <c r="F134" s="15">
        <v>5</v>
      </c>
      <c r="G134" s="15">
        <v>2</v>
      </c>
      <c r="H134" s="19" t="str">
        <f>_xlfn.CONCAT(tbResults[[#This Row],[Season]],".",tbResults[[#This Row],[Stage]])</f>
        <v>2.1</v>
      </c>
      <c r="I134" s="19" t="str">
        <f>_xlfn.CONCAT(tbResults[[#This Row],[Season]],".",tbResults[[#This Row],[Stage]],".",TEXT(tbResults[[#This Row],[Week]],"00"))</f>
        <v>2.1.13</v>
      </c>
      <c r="J134" s="19" t="str">
        <f>_xlfn.CONCAT(tbResults[[#This Row],[Week Title]],".",TEXT(tbResults[[#This Row],[Match]],"00"))</f>
        <v>2.1.13.05</v>
      </c>
      <c r="K134" s="20" t="str">
        <f>_xlfn.CONCAT(tbResults[[#This Row],[Game Title]], " ", tbResults[[#This Row],[Player1]], " vs ", tbResults[[#This Row],[Player2]] )</f>
        <v>2.1.13.05.2 k1llsen vs Raisy</v>
      </c>
      <c r="L134" s="6" t="s">
        <v>31</v>
      </c>
      <c r="M134" s="6" t="s">
        <v>49</v>
      </c>
      <c r="N134" s="6" t="s">
        <v>40</v>
      </c>
      <c r="O134" s="6" t="s">
        <v>21</v>
      </c>
      <c r="P134" s="6" t="s">
        <v>34</v>
      </c>
      <c r="Q134" s="8">
        <v>19</v>
      </c>
      <c r="R134" s="8">
        <v>9</v>
      </c>
      <c r="S134" s="8" t="s">
        <v>81</v>
      </c>
      <c r="T134" s="16" t="s">
        <v>31</v>
      </c>
      <c r="U134" s="16" t="s">
        <v>35</v>
      </c>
      <c r="V134" s="46" t="str">
        <f>IF(tbResults[[#This Row],[Player1 Score]]&gt;tbResults[[#This Row],[Player2 Score]],tbResults[[#This Row],[Player1]],tbResults[[#This Row],[Player2]])</f>
        <v>k1llsen</v>
      </c>
      <c r="W134" s="48" t="str">
        <f>IF(tbResults[[#This Row],[Player1 Score]]&gt;tbResults[[#This Row],[Player2 Score]],tbResults[[#This Row],[Player2]],tbResults[[#This Row],[Player1]])</f>
        <v>Raisy</v>
      </c>
      <c r="X134" s="11" t="str">
        <f>IF(tbResults[[#This Row],[Winner]]=tbResults[[#This Row],[Player1]],tbResults[[#This Row],[Player1 Pick]],tbResults[[#This Row],[Player2 Pick]])</f>
        <v>Ranger</v>
      </c>
      <c r="Y134" s="11" t="str">
        <f>IF(tbResults[[#This Row],[Loser]]=tbResults[[#This Row],[Player1]],tbResults[[#This Row],[Player1 Pick]],tbResults[[#This Row],[Player2 Pick]])</f>
        <v>Galena</v>
      </c>
      <c r="Z134" s="32">
        <f>SUM(tbResults[[#This Row],[Player1 Score]],tbResults[[#This Row],[Player2 Score]])</f>
        <v>28</v>
      </c>
      <c r="AA134" s="32">
        <f>ABS(tbResults[[#This Row],[Player1 Score]]-tbResults[[#This Row],[Player2 Score]])</f>
        <v>10</v>
      </c>
      <c r="AB134" s="37">
        <f>IF(tbResults[[#This Row],[Player1 Score]]&gt;tbResults[[#This Row],[Player2 Score]],tbResults[[#This Row],[Player1 Score]],tbResults[[#This Row],[Player2 Score]])</f>
        <v>19</v>
      </c>
      <c r="AC134" s="37">
        <f>IF(tbResults[[#This Row],[Player1 Score]]&lt;tbResults[[#This Row],[Player2 Score]],tbResults[[#This Row],[Player1 Score]],tbResults[[#This Row],[Player2 Score]])</f>
        <v>9</v>
      </c>
    </row>
    <row r="135" spans="2:29" s="3" customFormat="1" ht="30" customHeight="1" x14ac:dyDescent="0.3">
      <c r="B135" s="20" t="str">
        <f>_xlfn.CONCAT(tbResults[[#This Row],[Series Title]],".",tbResults[[#This Row],[Game]])</f>
        <v>2.1.13.05.3</v>
      </c>
      <c r="C135" s="15">
        <v>2</v>
      </c>
      <c r="D135" s="15">
        <v>1</v>
      </c>
      <c r="E135" s="15">
        <v>13</v>
      </c>
      <c r="F135" s="15">
        <v>5</v>
      </c>
      <c r="G135" s="15">
        <v>3</v>
      </c>
      <c r="H135" s="19" t="str">
        <f>_xlfn.CONCAT(tbResults[[#This Row],[Season]],".",tbResults[[#This Row],[Stage]])</f>
        <v>2.1</v>
      </c>
      <c r="I135" s="19" t="str">
        <f>_xlfn.CONCAT(tbResults[[#This Row],[Season]],".",tbResults[[#This Row],[Stage]],".",TEXT(tbResults[[#This Row],[Week]],"00"))</f>
        <v>2.1.13</v>
      </c>
      <c r="J135" s="19" t="str">
        <f>_xlfn.CONCAT(tbResults[[#This Row],[Week Title]],".",TEXT(tbResults[[#This Row],[Match]],"00"))</f>
        <v>2.1.13.05</v>
      </c>
      <c r="K135" s="20" t="str">
        <f>_xlfn.CONCAT(tbResults[[#This Row],[Game Title]], " ", tbResults[[#This Row],[Player1]], " vs ", tbResults[[#This Row],[Player2]] )</f>
        <v>2.1.13.05.3 k1llsen vs Raisy</v>
      </c>
      <c r="L135" s="6" t="s">
        <v>31</v>
      </c>
      <c r="M135" s="6" t="s">
        <v>49</v>
      </c>
      <c r="N135" s="6" t="s">
        <v>26</v>
      </c>
      <c r="O135" s="6" t="s">
        <v>36</v>
      </c>
      <c r="P135" s="6" t="s">
        <v>25</v>
      </c>
      <c r="Q135" s="8">
        <v>6</v>
      </c>
      <c r="R135" s="8">
        <v>8</v>
      </c>
      <c r="S135" s="8" t="s">
        <v>81</v>
      </c>
      <c r="T135" s="16" t="s">
        <v>49</v>
      </c>
      <c r="U135" s="16" t="s">
        <v>21</v>
      </c>
      <c r="V135" s="46" t="str">
        <f>IF(tbResults[[#This Row],[Player1 Score]]&gt;tbResults[[#This Row],[Player2 Score]],tbResults[[#This Row],[Player1]],tbResults[[#This Row],[Player2]])</f>
        <v>Raisy</v>
      </c>
      <c r="W135" s="48" t="str">
        <f>IF(tbResults[[#This Row],[Player1 Score]]&gt;tbResults[[#This Row],[Player2 Score]],tbResults[[#This Row],[Player2]],tbResults[[#This Row],[Player1]])</f>
        <v>k1llsen</v>
      </c>
      <c r="X135" s="11" t="str">
        <f>IF(tbResults[[#This Row],[Winner]]=tbResults[[#This Row],[Player1]],tbResults[[#This Row],[Player1 Pick]],tbResults[[#This Row],[Player2 Pick]])</f>
        <v>Sorlag</v>
      </c>
      <c r="Y135" s="11" t="str">
        <f>IF(tbResults[[#This Row],[Loser]]=tbResults[[#This Row],[Player1]],tbResults[[#This Row],[Player1 Pick]],tbResults[[#This Row],[Player2 Pick]])</f>
        <v>Visor</v>
      </c>
      <c r="Z135" s="32">
        <f>SUM(tbResults[[#This Row],[Player1 Score]],tbResults[[#This Row],[Player2 Score]])</f>
        <v>14</v>
      </c>
      <c r="AA135" s="32">
        <f>ABS(tbResults[[#This Row],[Player1 Score]]-tbResults[[#This Row],[Player2 Score]])</f>
        <v>2</v>
      </c>
      <c r="AB135" s="37">
        <f>IF(tbResults[[#This Row],[Player1 Score]]&gt;tbResults[[#This Row],[Player2 Score]],tbResults[[#This Row],[Player1 Score]],tbResults[[#This Row],[Player2 Score]])</f>
        <v>8</v>
      </c>
      <c r="AC135" s="37">
        <f>IF(tbResults[[#This Row],[Player1 Score]]&lt;tbResults[[#This Row],[Player2 Score]],tbResults[[#This Row],[Player1 Score]],tbResults[[#This Row],[Player2 Score]])</f>
        <v>6</v>
      </c>
    </row>
    <row r="136" spans="2:29" s="3" customFormat="1" ht="30" customHeight="1" x14ac:dyDescent="0.3">
      <c r="B136" s="20" t="str">
        <f>_xlfn.CONCAT(tbResults[[#This Row],[Series Title]],".",tbResults[[#This Row],[Game]])</f>
        <v>2.1.13.06.1</v>
      </c>
      <c r="C136" s="15">
        <v>2</v>
      </c>
      <c r="D136" s="15">
        <v>1</v>
      </c>
      <c r="E136" s="15">
        <v>13</v>
      </c>
      <c r="F136" s="15">
        <v>6</v>
      </c>
      <c r="G136" s="15">
        <v>1</v>
      </c>
      <c r="H136" s="19" t="str">
        <f>_xlfn.CONCAT(tbResults[[#This Row],[Season]],".",tbResults[[#This Row],[Stage]])</f>
        <v>2.1</v>
      </c>
      <c r="I136" s="19" t="str">
        <f>_xlfn.CONCAT(tbResults[[#This Row],[Season]],".",tbResults[[#This Row],[Stage]],".",TEXT(tbResults[[#This Row],[Week]],"00"))</f>
        <v>2.1.13</v>
      </c>
      <c r="J136" s="19" t="str">
        <f>_xlfn.CONCAT(tbResults[[#This Row],[Week Title]],".",TEXT(tbResults[[#This Row],[Match]],"00"))</f>
        <v>2.1.13.06</v>
      </c>
      <c r="K136" s="20" t="str">
        <f>_xlfn.CONCAT(tbResults[[#This Row],[Game Title]], " ", tbResults[[#This Row],[Player1]], " vs ", tbResults[[#This Row],[Player2]] )</f>
        <v>2.1.13.06.1 Base vs Vengeurr</v>
      </c>
      <c r="L136" s="6" t="s">
        <v>51</v>
      </c>
      <c r="M136" s="6" t="s">
        <v>13</v>
      </c>
      <c r="N136" s="6" t="s">
        <v>40</v>
      </c>
      <c r="O136" s="6" t="s">
        <v>38</v>
      </c>
      <c r="P136" s="6" t="s">
        <v>21</v>
      </c>
      <c r="Q136" s="8">
        <v>8</v>
      </c>
      <c r="R136" s="8">
        <v>7</v>
      </c>
      <c r="S136" s="8" t="s">
        <v>82</v>
      </c>
      <c r="T136" s="16" t="s">
        <v>51</v>
      </c>
      <c r="U136" s="16" t="s">
        <v>35</v>
      </c>
      <c r="V136" s="46" t="str">
        <f>IF(tbResults[[#This Row],[Player1 Score]]&gt;tbResults[[#This Row],[Player2 Score]],tbResults[[#This Row],[Player1]],tbResults[[#This Row],[Player2]])</f>
        <v>Base</v>
      </c>
      <c r="W136" s="48" t="str">
        <f>IF(tbResults[[#This Row],[Player1 Score]]&gt;tbResults[[#This Row],[Player2 Score]],tbResults[[#This Row],[Player2]],tbResults[[#This Row],[Player1]])</f>
        <v>Vengeurr</v>
      </c>
      <c r="X136" s="11" t="str">
        <f>IF(tbResults[[#This Row],[Winner]]=tbResults[[#This Row],[Player1]],tbResults[[#This Row],[Player1 Pick]],tbResults[[#This Row],[Player2 Pick]])</f>
        <v>Nyx</v>
      </c>
      <c r="Y136" s="11" t="str">
        <f>IF(tbResults[[#This Row],[Loser]]=tbResults[[#This Row],[Player1]],tbResults[[#This Row],[Player1 Pick]],tbResults[[#This Row],[Player2 Pick]])</f>
        <v>Ranger</v>
      </c>
      <c r="Z136" s="32">
        <f>SUM(tbResults[[#This Row],[Player1 Score]],tbResults[[#This Row],[Player2 Score]])</f>
        <v>15</v>
      </c>
      <c r="AA136" s="32">
        <f>ABS(tbResults[[#This Row],[Player1 Score]]-tbResults[[#This Row],[Player2 Score]])</f>
        <v>1</v>
      </c>
      <c r="AB136" s="37">
        <f>IF(tbResults[[#This Row],[Player1 Score]]&gt;tbResults[[#This Row],[Player2 Score]],tbResults[[#This Row],[Player1 Score]],tbResults[[#This Row],[Player2 Score]])</f>
        <v>8</v>
      </c>
      <c r="AC136" s="37">
        <f>IF(tbResults[[#This Row],[Player1 Score]]&lt;tbResults[[#This Row],[Player2 Score]],tbResults[[#This Row],[Player1 Score]],tbResults[[#This Row],[Player2 Score]])</f>
        <v>7</v>
      </c>
    </row>
    <row r="137" spans="2:29" s="3" customFormat="1" ht="30" customHeight="1" x14ac:dyDescent="0.3">
      <c r="B137" s="20" t="str">
        <f>_xlfn.CONCAT(tbResults[[#This Row],[Series Title]],".",tbResults[[#This Row],[Game]])</f>
        <v>2.1.13.06.2</v>
      </c>
      <c r="C137" s="15">
        <v>2</v>
      </c>
      <c r="D137" s="15">
        <v>1</v>
      </c>
      <c r="E137" s="15">
        <v>13</v>
      </c>
      <c r="F137" s="15">
        <v>6</v>
      </c>
      <c r="G137" s="15">
        <v>2</v>
      </c>
      <c r="H137" s="19" t="str">
        <f>_xlfn.CONCAT(tbResults[[#This Row],[Season]],".",tbResults[[#This Row],[Stage]])</f>
        <v>2.1</v>
      </c>
      <c r="I137" s="19" t="str">
        <f>_xlfn.CONCAT(tbResults[[#This Row],[Season]],".",tbResults[[#This Row],[Stage]],".",TEXT(tbResults[[#This Row],[Week]],"00"))</f>
        <v>2.1.13</v>
      </c>
      <c r="J137" s="19" t="str">
        <f>_xlfn.CONCAT(tbResults[[#This Row],[Week Title]],".",TEXT(tbResults[[#This Row],[Match]],"00"))</f>
        <v>2.1.13.06</v>
      </c>
      <c r="K137" s="20" t="str">
        <f>_xlfn.CONCAT(tbResults[[#This Row],[Game Title]], " ", tbResults[[#This Row],[Player1]], " vs ", tbResults[[#This Row],[Player2]] )</f>
        <v>2.1.13.06.2 Base vs Vengeurr</v>
      </c>
      <c r="L137" s="6" t="s">
        <v>51</v>
      </c>
      <c r="M137" s="6" t="s">
        <v>13</v>
      </c>
      <c r="N137" s="6" t="s">
        <v>26</v>
      </c>
      <c r="O137" s="6" t="s">
        <v>39</v>
      </c>
      <c r="P137" s="6" t="s">
        <v>34</v>
      </c>
      <c r="Q137" s="8">
        <v>2</v>
      </c>
      <c r="R137" s="8">
        <v>7</v>
      </c>
      <c r="S137" s="8" t="s">
        <v>81</v>
      </c>
      <c r="T137" s="16" t="s">
        <v>13</v>
      </c>
      <c r="U137" s="16" t="s">
        <v>37</v>
      </c>
      <c r="V137" s="46" t="str">
        <f>IF(tbResults[[#This Row],[Player1 Score]]&gt;tbResults[[#This Row],[Player2 Score]],tbResults[[#This Row],[Player1]],tbResults[[#This Row],[Player2]])</f>
        <v>Vengeurr</v>
      </c>
      <c r="W137" s="48" t="str">
        <f>IF(tbResults[[#This Row],[Player1 Score]]&gt;tbResults[[#This Row],[Player2 Score]],tbResults[[#This Row],[Player2]],tbResults[[#This Row],[Player1]])</f>
        <v>Base</v>
      </c>
      <c r="X137" s="11" t="str">
        <f>IF(tbResults[[#This Row],[Winner]]=tbResults[[#This Row],[Player1]],tbResults[[#This Row],[Player1 Pick]],tbResults[[#This Row],[Player2 Pick]])</f>
        <v>Galena</v>
      </c>
      <c r="Y137" s="11" t="str">
        <f>IF(tbResults[[#This Row],[Loser]]=tbResults[[#This Row],[Player1]],tbResults[[#This Row],[Player1 Pick]],tbResults[[#This Row],[Player2 Pick]])</f>
        <v>Anarki</v>
      </c>
      <c r="Z137" s="32">
        <f>SUM(tbResults[[#This Row],[Player1 Score]],tbResults[[#This Row],[Player2 Score]])</f>
        <v>9</v>
      </c>
      <c r="AA137" s="32">
        <f>ABS(tbResults[[#This Row],[Player1 Score]]-tbResults[[#This Row],[Player2 Score]])</f>
        <v>5</v>
      </c>
      <c r="AB137" s="37">
        <f>IF(tbResults[[#This Row],[Player1 Score]]&gt;tbResults[[#This Row],[Player2 Score]],tbResults[[#This Row],[Player1 Score]],tbResults[[#This Row],[Player2 Score]])</f>
        <v>7</v>
      </c>
      <c r="AC137" s="37">
        <f>IF(tbResults[[#This Row],[Player1 Score]]&lt;tbResults[[#This Row],[Player2 Score]],tbResults[[#This Row],[Player1 Score]],tbResults[[#This Row],[Player2 Score]])</f>
        <v>2</v>
      </c>
    </row>
    <row r="138" spans="2:29" s="3" customFormat="1" ht="30" customHeight="1" x14ac:dyDescent="0.3">
      <c r="B138" s="20" t="str">
        <f>_xlfn.CONCAT(tbResults[[#This Row],[Series Title]],".",tbResults[[#This Row],[Game]])</f>
        <v>2.1.13.06.3</v>
      </c>
      <c r="C138" s="15">
        <v>2</v>
      </c>
      <c r="D138" s="15">
        <v>1</v>
      </c>
      <c r="E138" s="15">
        <v>13</v>
      </c>
      <c r="F138" s="15">
        <v>6</v>
      </c>
      <c r="G138" s="15">
        <v>3</v>
      </c>
      <c r="H138" s="19" t="str">
        <f>_xlfn.CONCAT(tbResults[[#This Row],[Season]],".",tbResults[[#This Row],[Stage]])</f>
        <v>2.1</v>
      </c>
      <c r="I138" s="19" t="str">
        <f>_xlfn.CONCAT(tbResults[[#This Row],[Season]],".",tbResults[[#This Row],[Stage]],".",TEXT(tbResults[[#This Row],[Week]],"00"))</f>
        <v>2.1.13</v>
      </c>
      <c r="J138" s="19" t="str">
        <f>_xlfn.CONCAT(tbResults[[#This Row],[Week Title]],".",TEXT(tbResults[[#This Row],[Match]],"00"))</f>
        <v>2.1.13.06</v>
      </c>
      <c r="K138" s="20" t="str">
        <f>_xlfn.CONCAT(tbResults[[#This Row],[Game Title]], " ", tbResults[[#This Row],[Player1]], " vs ", tbResults[[#This Row],[Player2]] )</f>
        <v>2.1.13.06.3 Base vs Vengeurr</v>
      </c>
      <c r="L138" s="6" t="s">
        <v>51</v>
      </c>
      <c r="M138" s="6" t="s">
        <v>13</v>
      </c>
      <c r="N138" s="6" t="s">
        <v>19</v>
      </c>
      <c r="O138" s="6" t="s">
        <v>55</v>
      </c>
      <c r="P138" s="6" t="s">
        <v>22</v>
      </c>
      <c r="Q138" s="8">
        <v>5</v>
      </c>
      <c r="R138" s="8">
        <v>4</v>
      </c>
      <c r="S138" s="8" t="s">
        <v>82</v>
      </c>
      <c r="T138" s="16" t="s">
        <v>51</v>
      </c>
      <c r="U138" s="16" t="s">
        <v>28</v>
      </c>
      <c r="V138" s="46" t="str">
        <f>IF(tbResults[[#This Row],[Player1 Score]]&gt;tbResults[[#This Row],[Player2 Score]],tbResults[[#This Row],[Player1]],tbResults[[#This Row],[Player2]])</f>
        <v>Base</v>
      </c>
      <c r="W138" s="48" t="str">
        <f>IF(tbResults[[#This Row],[Player1 Score]]&gt;tbResults[[#This Row],[Player2 Score]],tbResults[[#This Row],[Player2]],tbResults[[#This Row],[Player1]])</f>
        <v>Vengeurr</v>
      </c>
      <c r="X138" s="11" t="str">
        <f>IF(tbResults[[#This Row],[Winner]]=tbResults[[#This Row],[Player1]],tbResults[[#This Row],[Player1 Pick]],tbResults[[#This Row],[Player2 Pick]])</f>
        <v>Athena</v>
      </c>
      <c r="Y138" s="11" t="str">
        <f>IF(tbResults[[#This Row],[Loser]]=tbResults[[#This Row],[Player1]],tbResults[[#This Row],[Player1 Pick]],tbResults[[#This Row],[Player2 Pick]])</f>
        <v>Strogg</v>
      </c>
      <c r="Z138" s="32">
        <f>SUM(tbResults[[#This Row],[Player1 Score]],tbResults[[#This Row],[Player2 Score]])</f>
        <v>9</v>
      </c>
      <c r="AA138" s="32">
        <f>ABS(tbResults[[#This Row],[Player1 Score]]-tbResults[[#This Row],[Player2 Score]])</f>
        <v>1</v>
      </c>
      <c r="AB138" s="37">
        <f>IF(tbResults[[#This Row],[Player1 Score]]&gt;tbResults[[#This Row],[Player2 Score]],tbResults[[#This Row],[Player1 Score]],tbResults[[#This Row],[Player2 Score]])</f>
        <v>5</v>
      </c>
      <c r="AC138" s="37">
        <f>IF(tbResults[[#This Row],[Player1 Score]]&lt;tbResults[[#This Row],[Player2 Score]],tbResults[[#This Row],[Player1 Score]],tbResults[[#This Row],[Player2 Score]])</f>
        <v>4</v>
      </c>
    </row>
    <row r="139" spans="2:29" s="3" customFormat="1" ht="30" customHeight="1" x14ac:dyDescent="0.3">
      <c r="B139" s="20" t="str">
        <f>_xlfn.CONCAT(tbResults[[#This Row],[Series Title]],".",tbResults[[#This Row],[Game]])</f>
        <v>2.1.13.07.1</v>
      </c>
      <c r="C139" s="15">
        <v>2</v>
      </c>
      <c r="D139" s="15">
        <v>1</v>
      </c>
      <c r="E139" s="15">
        <v>13</v>
      </c>
      <c r="F139" s="15">
        <v>7</v>
      </c>
      <c r="G139" s="15">
        <v>1</v>
      </c>
      <c r="H139" s="19" t="str">
        <f>_xlfn.CONCAT(tbResults[[#This Row],[Season]],".",tbResults[[#This Row],[Stage]])</f>
        <v>2.1</v>
      </c>
      <c r="I139" s="19" t="str">
        <f>_xlfn.CONCAT(tbResults[[#This Row],[Season]],".",tbResults[[#This Row],[Stage]],".",TEXT(tbResults[[#This Row],[Week]],"00"))</f>
        <v>2.1.13</v>
      </c>
      <c r="J139" s="19" t="str">
        <f>_xlfn.CONCAT(tbResults[[#This Row],[Week Title]],".",TEXT(tbResults[[#This Row],[Match]],"00"))</f>
        <v>2.1.13.07</v>
      </c>
      <c r="K139" s="20" t="str">
        <f>_xlfn.CONCAT(tbResults[[#This Row],[Game Title]], " ", tbResults[[#This Row],[Player1]], " vs ", tbResults[[#This Row],[Player2]] )</f>
        <v>2.1.13.07.1 DaHanG vs Rapha</v>
      </c>
      <c r="L139" s="6" t="s">
        <v>42</v>
      </c>
      <c r="M139" s="6" t="s">
        <v>47</v>
      </c>
      <c r="N139" s="6" t="s">
        <v>40</v>
      </c>
      <c r="O139" s="6" t="s">
        <v>22</v>
      </c>
      <c r="P139" s="6" t="s">
        <v>35</v>
      </c>
      <c r="Q139" s="8">
        <v>5</v>
      </c>
      <c r="R139" s="8">
        <v>23</v>
      </c>
      <c r="S139" s="8" t="s">
        <v>81</v>
      </c>
      <c r="T139" s="16" t="s">
        <v>47</v>
      </c>
      <c r="U139" s="16" t="s">
        <v>21</v>
      </c>
      <c r="V139" s="46" t="str">
        <f>IF(tbResults[[#This Row],[Player1 Score]]&gt;tbResults[[#This Row],[Player2 Score]],tbResults[[#This Row],[Player1]],tbResults[[#This Row],[Player2]])</f>
        <v>Rapha</v>
      </c>
      <c r="W139" s="48" t="str">
        <f>IF(tbResults[[#This Row],[Player1 Score]]&gt;tbResults[[#This Row],[Player2 Score]],tbResults[[#This Row],[Player2]],tbResults[[#This Row],[Player1]])</f>
        <v>DaHanG</v>
      </c>
      <c r="X139" s="11" t="str">
        <f>IF(tbResults[[#This Row],[Winner]]=tbResults[[#This Row],[Player1]],tbResults[[#This Row],[Player1 Pick]],tbResults[[#This Row],[Player2 Pick]])</f>
        <v>Doom</v>
      </c>
      <c r="Y139" s="11" t="str">
        <f>IF(tbResults[[#This Row],[Loser]]=tbResults[[#This Row],[Player1]],tbResults[[#This Row],[Player1 Pick]],tbResults[[#This Row],[Player2 Pick]])</f>
        <v>Strogg</v>
      </c>
      <c r="Z139" s="32">
        <f>SUM(tbResults[[#This Row],[Player1 Score]],tbResults[[#This Row],[Player2 Score]])</f>
        <v>28</v>
      </c>
      <c r="AA139" s="32">
        <f>ABS(tbResults[[#This Row],[Player1 Score]]-tbResults[[#This Row],[Player2 Score]])</f>
        <v>18</v>
      </c>
      <c r="AB139" s="37">
        <f>IF(tbResults[[#This Row],[Player1 Score]]&gt;tbResults[[#This Row],[Player2 Score]],tbResults[[#This Row],[Player1 Score]],tbResults[[#This Row],[Player2 Score]])</f>
        <v>23</v>
      </c>
      <c r="AC139" s="37">
        <f>IF(tbResults[[#This Row],[Player1 Score]]&lt;tbResults[[#This Row],[Player2 Score]],tbResults[[#This Row],[Player1 Score]],tbResults[[#This Row],[Player2 Score]])</f>
        <v>5</v>
      </c>
    </row>
    <row r="140" spans="2:29" s="3" customFormat="1" ht="30" customHeight="1" x14ac:dyDescent="0.3">
      <c r="B140" s="20" t="str">
        <f>_xlfn.CONCAT(tbResults[[#This Row],[Series Title]],".",tbResults[[#This Row],[Game]])</f>
        <v>2.1.13.07.2</v>
      </c>
      <c r="C140" s="15">
        <v>2</v>
      </c>
      <c r="D140" s="15">
        <v>1</v>
      </c>
      <c r="E140" s="15">
        <v>13</v>
      </c>
      <c r="F140" s="15">
        <v>7</v>
      </c>
      <c r="G140" s="15">
        <v>2</v>
      </c>
      <c r="H140" s="19" t="str">
        <f>_xlfn.CONCAT(tbResults[[#This Row],[Season]],".",tbResults[[#This Row],[Stage]])</f>
        <v>2.1</v>
      </c>
      <c r="I140" s="19" t="str">
        <f>_xlfn.CONCAT(tbResults[[#This Row],[Season]],".",tbResults[[#This Row],[Stage]],".",TEXT(tbResults[[#This Row],[Week]],"00"))</f>
        <v>2.1.13</v>
      </c>
      <c r="J140" s="19" t="str">
        <f>_xlfn.CONCAT(tbResults[[#This Row],[Week Title]],".",TEXT(tbResults[[#This Row],[Match]],"00"))</f>
        <v>2.1.13.07</v>
      </c>
      <c r="K140" s="20" t="str">
        <f>_xlfn.CONCAT(tbResults[[#This Row],[Game Title]], " ", tbResults[[#This Row],[Player1]], " vs ", tbResults[[#This Row],[Player2]] )</f>
        <v>2.1.13.07.2 DaHanG vs Rapha</v>
      </c>
      <c r="L140" s="6" t="s">
        <v>42</v>
      </c>
      <c r="M140" s="6" t="s">
        <v>47</v>
      </c>
      <c r="N140" s="6" t="s">
        <v>32</v>
      </c>
      <c r="O140" s="6" t="s">
        <v>37</v>
      </c>
      <c r="P140" s="6" t="s">
        <v>27</v>
      </c>
      <c r="Q140" s="8">
        <v>11</v>
      </c>
      <c r="R140" s="8">
        <v>15</v>
      </c>
      <c r="S140" s="8" t="s">
        <v>81</v>
      </c>
      <c r="T140" s="16" t="s">
        <v>42</v>
      </c>
      <c r="U140" s="16" t="s">
        <v>28</v>
      </c>
      <c r="V140" s="46" t="str">
        <f>IF(tbResults[[#This Row],[Player1 Score]]&gt;tbResults[[#This Row],[Player2 Score]],tbResults[[#This Row],[Player1]],tbResults[[#This Row],[Player2]])</f>
        <v>Rapha</v>
      </c>
      <c r="W140" s="48" t="str">
        <f>IF(tbResults[[#This Row],[Player1 Score]]&gt;tbResults[[#This Row],[Player2 Score]],tbResults[[#This Row],[Player2]],tbResults[[#This Row],[Player1]])</f>
        <v>DaHanG</v>
      </c>
      <c r="X140" s="11" t="str">
        <f>IF(tbResults[[#This Row],[Winner]]=tbResults[[#This Row],[Player1]],tbResults[[#This Row],[Player1 Pick]],tbResults[[#This Row],[Player2 Pick]])</f>
        <v>Keel</v>
      </c>
      <c r="Y140" s="11" t="str">
        <f>IF(tbResults[[#This Row],[Loser]]=tbResults[[#This Row],[Player1]],tbResults[[#This Row],[Player1 Pick]],tbResults[[#This Row],[Player2 Pick]])</f>
        <v>Eisen</v>
      </c>
      <c r="Z140" s="32">
        <f>SUM(tbResults[[#This Row],[Player1 Score]],tbResults[[#This Row],[Player2 Score]])</f>
        <v>26</v>
      </c>
      <c r="AA140" s="32">
        <f>ABS(tbResults[[#This Row],[Player1 Score]]-tbResults[[#This Row],[Player2 Score]])</f>
        <v>4</v>
      </c>
      <c r="AB140" s="37">
        <f>IF(tbResults[[#This Row],[Player1 Score]]&gt;tbResults[[#This Row],[Player2 Score]],tbResults[[#This Row],[Player1 Score]],tbResults[[#This Row],[Player2 Score]])</f>
        <v>15</v>
      </c>
      <c r="AC140" s="37">
        <f>IF(tbResults[[#This Row],[Player1 Score]]&lt;tbResults[[#This Row],[Player2 Score]],tbResults[[#This Row],[Player1 Score]],tbResults[[#This Row],[Player2 Score]])</f>
        <v>11</v>
      </c>
    </row>
    <row r="141" spans="2:29" s="3" customFormat="1" ht="30" customHeight="1" x14ac:dyDescent="0.3">
      <c r="B141" s="20" t="str">
        <f>_xlfn.CONCAT(tbResults[[#This Row],[Series Title]],".",tbResults[[#This Row],[Game]])</f>
        <v>2.1.13.07.3</v>
      </c>
      <c r="C141" s="15">
        <v>2</v>
      </c>
      <c r="D141" s="15">
        <v>1</v>
      </c>
      <c r="E141" s="15">
        <v>13</v>
      </c>
      <c r="F141" s="15">
        <v>7</v>
      </c>
      <c r="G141" s="15">
        <v>3</v>
      </c>
      <c r="H141" s="19" t="str">
        <f>_xlfn.CONCAT(tbResults[[#This Row],[Season]],".",tbResults[[#This Row],[Stage]])</f>
        <v>2.1</v>
      </c>
      <c r="I141" s="19" t="str">
        <f>_xlfn.CONCAT(tbResults[[#This Row],[Season]],".",tbResults[[#This Row],[Stage]],".",TEXT(tbResults[[#This Row],[Week]],"00"))</f>
        <v>2.1.13</v>
      </c>
      <c r="J141" s="19" t="str">
        <f>_xlfn.CONCAT(tbResults[[#This Row],[Week Title]],".",TEXT(tbResults[[#This Row],[Match]],"00"))</f>
        <v>2.1.13.07</v>
      </c>
      <c r="K141" s="20" t="str">
        <f>_xlfn.CONCAT(tbResults[[#This Row],[Game Title]], " ", tbResults[[#This Row],[Player1]], " vs ", tbResults[[#This Row],[Player2]] )</f>
        <v>2.1.13.07.3 DaHanG vs Rapha</v>
      </c>
      <c r="L141" s="6" t="s">
        <v>42</v>
      </c>
      <c r="M141" s="6" t="s">
        <v>47</v>
      </c>
      <c r="N141" s="6" t="s">
        <v>23</v>
      </c>
      <c r="O141" s="6" t="s">
        <v>36</v>
      </c>
      <c r="P141" s="6" t="s">
        <v>24</v>
      </c>
      <c r="Q141" s="8">
        <v>6</v>
      </c>
      <c r="R141" s="8">
        <v>11</v>
      </c>
      <c r="S141" s="8" t="s">
        <v>81</v>
      </c>
      <c r="T141" s="16" t="s">
        <v>47</v>
      </c>
      <c r="U141" s="16" t="s">
        <v>25</v>
      </c>
      <c r="V141" s="46" t="str">
        <f>IF(tbResults[[#This Row],[Player1 Score]]&gt;tbResults[[#This Row],[Player2 Score]],tbResults[[#This Row],[Player1]],tbResults[[#This Row],[Player2]])</f>
        <v>Rapha</v>
      </c>
      <c r="W141" s="48" t="str">
        <f>IF(tbResults[[#This Row],[Player1 Score]]&gt;tbResults[[#This Row],[Player2 Score]],tbResults[[#This Row],[Player2]],tbResults[[#This Row],[Player1]])</f>
        <v>DaHanG</v>
      </c>
      <c r="X141" s="11" t="str">
        <f>IF(tbResults[[#This Row],[Winner]]=tbResults[[#This Row],[Player1]],tbResults[[#This Row],[Player1 Pick]],tbResults[[#This Row],[Player2 Pick]])</f>
        <v>Slash</v>
      </c>
      <c r="Y141" s="11" t="str">
        <f>IF(tbResults[[#This Row],[Loser]]=tbResults[[#This Row],[Player1]],tbResults[[#This Row],[Player1 Pick]],tbResults[[#This Row],[Player2 Pick]])</f>
        <v>Visor</v>
      </c>
      <c r="Z141" s="32">
        <f>SUM(tbResults[[#This Row],[Player1 Score]],tbResults[[#This Row],[Player2 Score]])</f>
        <v>17</v>
      </c>
      <c r="AA141" s="32">
        <f>ABS(tbResults[[#This Row],[Player1 Score]]-tbResults[[#This Row],[Player2 Score]])</f>
        <v>5</v>
      </c>
      <c r="AB141" s="37">
        <f>IF(tbResults[[#This Row],[Player1 Score]]&gt;tbResults[[#This Row],[Player2 Score]],tbResults[[#This Row],[Player1 Score]],tbResults[[#This Row],[Player2 Score]])</f>
        <v>11</v>
      </c>
      <c r="AC141" s="37">
        <f>IF(tbResults[[#This Row],[Player1 Score]]&lt;tbResults[[#This Row],[Player2 Score]],tbResults[[#This Row],[Player1 Score]],tbResults[[#This Row],[Player2 Score]])</f>
        <v>6</v>
      </c>
    </row>
    <row r="142" spans="2:29" s="3" customFormat="1" ht="30" customHeight="1" x14ac:dyDescent="0.3">
      <c r="B142" s="20" t="str">
        <f>_xlfn.CONCAT(tbResults[[#This Row],[Series Title]],".",tbResults[[#This Row],[Game]])</f>
        <v>2.2.01.01.1</v>
      </c>
      <c r="C142" s="15">
        <v>2</v>
      </c>
      <c r="D142" s="15">
        <v>2</v>
      </c>
      <c r="E142" s="15">
        <v>1</v>
      </c>
      <c r="F142" s="15">
        <v>1</v>
      </c>
      <c r="G142" s="15">
        <v>1</v>
      </c>
      <c r="H142" s="19" t="str">
        <f>_xlfn.CONCAT(tbResults[[#This Row],[Season]],".",tbResults[[#This Row],[Stage]])</f>
        <v>2.2</v>
      </c>
      <c r="I142" s="19" t="str">
        <f>_xlfn.CONCAT(tbResults[[#This Row],[Season]],".",tbResults[[#This Row],[Stage]],".",TEXT(tbResults[[#This Row],[Week]],"00"))</f>
        <v>2.2.01</v>
      </c>
      <c r="J142" s="19" t="str">
        <f>_xlfn.CONCAT(tbResults[[#This Row],[Week Title]],".",TEXT(tbResults[[#This Row],[Match]],"00"))</f>
        <v>2.2.01.01</v>
      </c>
      <c r="K142" s="20" t="str">
        <f>_xlfn.CONCAT(tbResults[[#This Row],[Game Title]], " ", tbResults[[#This Row],[Player1]], " vs ", tbResults[[#This Row],[Player2]] )</f>
        <v>2.2.01.01.1 spart1e vs Vengeurr</v>
      </c>
      <c r="L142" s="6" t="s">
        <v>50</v>
      </c>
      <c r="M142" s="6" t="s">
        <v>13</v>
      </c>
      <c r="N142" s="6" t="s">
        <v>26</v>
      </c>
      <c r="O142" s="6" t="s">
        <v>34</v>
      </c>
      <c r="P142" s="6" t="s">
        <v>37</v>
      </c>
      <c r="Q142" s="8">
        <v>3</v>
      </c>
      <c r="R142" s="8">
        <v>7</v>
      </c>
      <c r="S142" s="8" t="s">
        <v>81</v>
      </c>
      <c r="T142" s="16" t="s">
        <v>13</v>
      </c>
      <c r="U142" s="16" t="s">
        <v>21</v>
      </c>
      <c r="V142" s="46" t="str">
        <f>IF(tbResults[[#This Row],[Player1 Score]]&gt;tbResults[[#This Row],[Player2 Score]],tbResults[[#This Row],[Player1]],tbResults[[#This Row],[Player2]])</f>
        <v>Vengeurr</v>
      </c>
      <c r="W142" s="48" t="str">
        <f>IF(tbResults[[#This Row],[Player1 Score]]&gt;tbResults[[#This Row],[Player2 Score]],tbResults[[#This Row],[Player2]],tbResults[[#This Row],[Player1]])</f>
        <v>spart1e</v>
      </c>
      <c r="X142" s="11" t="str">
        <f>IF(tbResults[[#This Row],[Winner]]=tbResults[[#This Row],[Player1]],tbResults[[#This Row],[Player1 Pick]],tbResults[[#This Row],[Player2 Pick]])</f>
        <v>Eisen</v>
      </c>
      <c r="Y142" s="11" t="str">
        <f>IF(tbResults[[#This Row],[Loser]]=tbResults[[#This Row],[Player1]],tbResults[[#This Row],[Player1 Pick]],tbResults[[#This Row],[Player2 Pick]])</f>
        <v>Galena</v>
      </c>
      <c r="Z142" s="32">
        <f>SUM(tbResults[[#This Row],[Player1 Score]],tbResults[[#This Row],[Player2 Score]])</f>
        <v>10</v>
      </c>
      <c r="AA142" s="32">
        <f>ABS(tbResults[[#This Row],[Player1 Score]]-tbResults[[#This Row],[Player2 Score]])</f>
        <v>4</v>
      </c>
      <c r="AB142" s="37">
        <f>IF(tbResults[[#This Row],[Player1 Score]]&gt;tbResults[[#This Row],[Player2 Score]],tbResults[[#This Row],[Player1 Score]],tbResults[[#This Row],[Player2 Score]])</f>
        <v>7</v>
      </c>
      <c r="AC142" s="37">
        <f>IF(tbResults[[#This Row],[Player1 Score]]&lt;tbResults[[#This Row],[Player2 Score]],tbResults[[#This Row],[Player1 Score]],tbResults[[#This Row],[Player2 Score]])</f>
        <v>3</v>
      </c>
    </row>
    <row r="143" spans="2:29" s="3" customFormat="1" ht="30" customHeight="1" x14ac:dyDescent="0.3">
      <c r="B143" s="20" t="str">
        <f>_xlfn.CONCAT(tbResults[[#This Row],[Series Title]],".",tbResults[[#This Row],[Game]])</f>
        <v>2.2.01.01.2</v>
      </c>
      <c r="C143" s="15">
        <v>2</v>
      </c>
      <c r="D143" s="15">
        <v>2</v>
      </c>
      <c r="E143" s="15">
        <v>1</v>
      </c>
      <c r="F143" s="15">
        <v>1</v>
      </c>
      <c r="G143" s="15">
        <v>2</v>
      </c>
      <c r="H143" s="19" t="str">
        <f>_xlfn.CONCAT(tbResults[[#This Row],[Season]],".",tbResults[[#This Row],[Stage]])</f>
        <v>2.2</v>
      </c>
      <c r="I143" s="19" t="str">
        <f>_xlfn.CONCAT(tbResults[[#This Row],[Season]],".",tbResults[[#This Row],[Stage]],".",TEXT(tbResults[[#This Row],[Week]],"00"))</f>
        <v>2.2.01</v>
      </c>
      <c r="J143" s="19" t="str">
        <f>_xlfn.CONCAT(tbResults[[#This Row],[Week Title]],".",TEXT(tbResults[[#This Row],[Match]],"00"))</f>
        <v>2.2.01.01</v>
      </c>
      <c r="K143" s="20" t="str">
        <f>_xlfn.CONCAT(tbResults[[#This Row],[Game Title]], " ", tbResults[[#This Row],[Player1]], " vs ", tbResults[[#This Row],[Player2]] )</f>
        <v>2.2.01.01.2 spart1e vs Vengeurr</v>
      </c>
      <c r="L143" s="6" t="s">
        <v>50</v>
      </c>
      <c r="M143" s="6" t="s">
        <v>13</v>
      </c>
      <c r="N143" s="6" t="s">
        <v>19</v>
      </c>
      <c r="O143" s="6" t="s">
        <v>22</v>
      </c>
      <c r="P143" s="6" t="s">
        <v>55</v>
      </c>
      <c r="Q143" s="8">
        <v>10</v>
      </c>
      <c r="R143" s="8">
        <v>14</v>
      </c>
      <c r="S143" s="8" t="s">
        <v>81</v>
      </c>
      <c r="T143" s="16" t="s">
        <v>50</v>
      </c>
      <c r="U143" s="16" t="s">
        <v>35</v>
      </c>
      <c r="V143" s="46" t="str">
        <f>IF(tbResults[[#This Row],[Player1 Score]]&gt;tbResults[[#This Row],[Player2 Score]],tbResults[[#This Row],[Player1]],tbResults[[#This Row],[Player2]])</f>
        <v>Vengeurr</v>
      </c>
      <c r="W143" s="48" t="str">
        <f>IF(tbResults[[#This Row],[Player1 Score]]&gt;tbResults[[#This Row],[Player2 Score]],tbResults[[#This Row],[Player2]],tbResults[[#This Row],[Player1]])</f>
        <v>spart1e</v>
      </c>
      <c r="X143" s="11" t="str">
        <f>IF(tbResults[[#This Row],[Winner]]=tbResults[[#This Row],[Player1]],tbResults[[#This Row],[Player1 Pick]],tbResults[[#This Row],[Player2 Pick]])</f>
        <v>Athena</v>
      </c>
      <c r="Y143" s="11" t="str">
        <f>IF(tbResults[[#This Row],[Loser]]=tbResults[[#This Row],[Player1]],tbResults[[#This Row],[Player1 Pick]],tbResults[[#This Row],[Player2 Pick]])</f>
        <v>Strogg</v>
      </c>
      <c r="Z143" s="32">
        <f>SUM(tbResults[[#This Row],[Player1 Score]],tbResults[[#This Row],[Player2 Score]])</f>
        <v>24</v>
      </c>
      <c r="AA143" s="32">
        <f>ABS(tbResults[[#This Row],[Player1 Score]]-tbResults[[#This Row],[Player2 Score]])</f>
        <v>4</v>
      </c>
      <c r="AB143" s="37">
        <f>IF(tbResults[[#This Row],[Player1 Score]]&gt;tbResults[[#This Row],[Player2 Score]],tbResults[[#This Row],[Player1 Score]],tbResults[[#This Row],[Player2 Score]])</f>
        <v>14</v>
      </c>
      <c r="AC143" s="37">
        <f>IF(tbResults[[#This Row],[Player1 Score]]&lt;tbResults[[#This Row],[Player2 Score]],tbResults[[#This Row],[Player1 Score]],tbResults[[#This Row],[Player2 Score]])</f>
        <v>10</v>
      </c>
    </row>
    <row r="144" spans="2:29" s="3" customFormat="1" ht="30" customHeight="1" x14ac:dyDescent="0.3">
      <c r="B144" s="20" t="str">
        <f>_xlfn.CONCAT(tbResults[[#This Row],[Series Title]],".",tbResults[[#This Row],[Game]])</f>
        <v>2.2.01.01.3</v>
      </c>
      <c r="C144" s="15">
        <v>2</v>
      </c>
      <c r="D144" s="15">
        <v>2</v>
      </c>
      <c r="E144" s="15">
        <v>1</v>
      </c>
      <c r="F144" s="15">
        <v>1</v>
      </c>
      <c r="G144" s="15">
        <v>3</v>
      </c>
      <c r="H144" s="19" t="str">
        <f>_xlfn.CONCAT(tbResults[[#This Row],[Season]],".",tbResults[[#This Row],[Stage]])</f>
        <v>2.2</v>
      </c>
      <c r="I144" s="19" t="str">
        <f>_xlfn.CONCAT(tbResults[[#This Row],[Season]],".",tbResults[[#This Row],[Stage]],".",TEXT(tbResults[[#This Row],[Week]],"00"))</f>
        <v>2.2.01</v>
      </c>
      <c r="J144" s="19" t="str">
        <f>_xlfn.CONCAT(tbResults[[#This Row],[Week Title]],".",TEXT(tbResults[[#This Row],[Match]],"00"))</f>
        <v>2.2.01.01</v>
      </c>
      <c r="K144" s="20" t="str">
        <f>_xlfn.CONCAT(tbResults[[#This Row],[Game Title]], " ", tbResults[[#This Row],[Player1]], " vs ", tbResults[[#This Row],[Player2]] )</f>
        <v>2.2.01.01.3 spart1e vs Vengeurr</v>
      </c>
      <c r="L144" s="6" t="s">
        <v>50</v>
      </c>
      <c r="M144" s="6" t="s">
        <v>13</v>
      </c>
      <c r="N144" s="6" t="s">
        <v>43</v>
      </c>
      <c r="O144" s="6" t="s">
        <v>28</v>
      </c>
      <c r="P144" s="6" t="s">
        <v>25</v>
      </c>
      <c r="Q144" s="8">
        <v>8</v>
      </c>
      <c r="R144" s="8">
        <v>9</v>
      </c>
      <c r="S144" s="8" t="s">
        <v>81</v>
      </c>
      <c r="T144" s="16" t="s">
        <v>13</v>
      </c>
      <c r="U144" s="16" t="s">
        <v>24</v>
      </c>
      <c r="V144" s="46" t="str">
        <f>IF(tbResults[[#This Row],[Player1 Score]]&gt;tbResults[[#This Row],[Player2 Score]],tbResults[[#This Row],[Player1]],tbResults[[#This Row],[Player2]])</f>
        <v>Vengeurr</v>
      </c>
      <c r="W144" s="48" t="str">
        <f>IF(tbResults[[#This Row],[Player1 Score]]&gt;tbResults[[#This Row],[Player2 Score]],tbResults[[#This Row],[Player2]],tbResults[[#This Row],[Player1]])</f>
        <v>spart1e</v>
      </c>
      <c r="X144" s="11" t="str">
        <f>IF(tbResults[[#This Row],[Winner]]=tbResults[[#This Row],[Player1]],tbResults[[#This Row],[Player1 Pick]],tbResults[[#This Row],[Player2 Pick]])</f>
        <v>Sorlag</v>
      </c>
      <c r="Y144" s="11" t="str">
        <f>IF(tbResults[[#This Row],[Loser]]=tbResults[[#This Row],[Player1]],tbResults[[#This Row],[Player1 Pick]],tbResults[[#This Row],[Player2 Pick]])</f>
        <v>BJ Blazkowicz</v>
      </c>
      <c r="Z144" s="32">
        <f>SUM(tbResults[[#This Row],[Player1 Score]],tbResults[[#This Row],[Player2 Score]])</f>
        <v>17</v>
      </c>
      <c r="AA144" s="32">
        <f>ABS(tbResults[[#This Row],[Player1 Score]]-tbResults[[#This Row],[Player2 Score]])</f>
        <v>1</v>
      </c>
      <c r="AB144" s="37">
        <f>IF(tbResults[[#This Row],[Player1 Score]]&gt;tbResults[[#This Row],[Player2 Score]],tbResults[[#This Row],[Player1 Score]],tbResults[[#This Row],[Player2 Score]])</f>
        <v>9</v>
      </c>
      <c r="AC144" s="37">
        <f>IF(tbResults[[#This Row],[Player1 Score]]&lt;tbResults[[#This Row],[Player2 Score]],tbResults[[#This Row],[Player1 Score]],tbResults[[#This Row],[Player2 Score]])</f>
        <v>8</v>
      </c>
    </row>
    <row r="145" spans="2:29" s="3" customFormat="1" ht="30" customHeight="1" x14ac:dyDescent="0.3">
      <c r="B145" s="20" t="str">
        <f>_xlfn.CONCAT(tbResults[[#This Row],[Series Title]],".",tbResults[[#This Row],[Game]])</f>
        <v>2.2.01.02.1</v>
      </c>
      <c r="C145" s="15">
        <v>2</v>
      </c>
      <c r="D145" s="15">
        <v>2</v>
      </c>
      <c r="E145" s="15">
        <v>1</v>
      </c>
      <c r="F145" s="15">
        <v>2</v>
      </c>
      <c r="G145" s="15">
        <v>1</v>
      </c>
      <c r="H145" s="19" t="str">
        <f>_xlfn.CONCAT(tbResults[[#This Row],[Season]],".",tbResults[[#This Row],[Stage]])</f>
        <v>2.2</v>
      </c>
      <c r="I145" s="19" t="str">
        <f>_xlfn.CONCAT(tbResults[[#This Row],[Season]],".",tbResults[[#This Row],[Stage]],".",TEXT(tbResults[[#This Row],[Week]],"00"))</f>
        <v>2.2.01</v>
      </c>
      <c r="J145" s="19" t="str">
        <f>_xlfn.CONCAT(tbResults[[#This Row],[Week Title]],".",TEXT(tbResults[[#This Row],[Match]],"00"))</f>
        <v>2.2.01.02</v>
      </c>
      <c r="K145" s="20" t="str">
        <f>_xlfn.CONCAT(tbResults[[#This Row],[Game Title]], " ", tbResults[[#This Row],[Player1]], " vs ", tbResults[[#This Row],[Player2]] )</f>
        <v>2.2.01.02.1 Effortless vs DaHanG</v>
      </c>
      <c r="L145" s="6" t="s">
        <v>6</v>
      </c>
      <c r="M145" s="6" t="s">
        <v>42</v>
      </c>
      <c r="N145" s="6" t="s">
        <v>19</v>
      </c>
      <c r="O145" s="6" t="s">
        <v>34</v>
      </c>
      <c r="P145" s="6" t="s">
        <v>35</v>
      </c>
      <c r="Q145" s="8">
        <v>2</v>
      </c>
      <c r="R145" s="8">
        <v>12</v>
      </c>
      <c r="S145" s="8" t="s">
        <v>81</v>
      </c>
      <c r="T145" s="16" t="s">
        <v>6</v>
      </c>
      <c r="U145" s="16" t="s">
        <v>55</v>
      </c>
      <c r="V145" s="46" t="str">
        <f>IF(tbResults[[#This Row],[Player1 Score]]&gt;tbResults[[#This Row],[Player2 Score]],tbResults[[#This Row],[Player1]],tbResults[[#This Row],[Player2]])</f>
        <v>DaHanG</v>
      </c>
      <c r="W145" s="48" t="str">
        <f>IF(tbResults[[#This Row],[Player1 Score]]&gt;tbResults[[#This Row],[Player2 Score]],tbResults[[#This Row],[Player2]],tbResults[[#This Row],[Player1]])</f>
        <v>Effortless</v>
      </c>
      <c r="X145" s="11" t="str">
        <f>IF(tbResults[[#This Row],[Winner]]=tbResults[[#This Row],[Player1]],tbResults[[#This Row],[Player1 Pick]],tbResults[[#This Row],[Player2 Pick]])</f>
        <v>Doom</v>
      </c>
      <c r="Y145" s="11" t="str">
        <f>IF(tbResults[[#This Row],[Loser]]=tbResults[[#This Row],[Player1]],tbResults[[#This Row],[Player1 Pick]],tbResults[[#This Row],[Player2 Pick]])</f>
        <v>Galena</v>
      </c>
      <c r="Z145" s="32">
        <f>SUM(tbResults[[#This Row],[Player1 Score]],tbResults[[#This Row],[Player2 Score]])</f>
        <v>14</v>
      </c>
      <c r="AA145" s="32">
        <f>ABS(tbResults[[#This Row],[Player1 Score]]-tbResults[[#This Row],[Player2 Score]])</f>
        <v>10</v>
      </c>
      <c r="AB145" s="37">
        <f>IF(tbResults[[#This Row],[Player1 Score]]&gt;tbResults[[#This Row],[Player2 Score]],tbResults[[#This Row],[Player1 Score]],tbResults[[#This Row],[Player2 Score]])</f>
        <v>12</v>
      </c>
      <c r="AC145" s="37">
        <f>IF(tbResults[[#This Row],[Player1 Score]]&lt;tbResults[[#This Row],[Player2 Score]],tbResults[[#This Row],[Player1 Score]],tbResults[[#This Row],[Player2 Score]])</f>
        <v>2</v>
      </c>
    </row>
    <row r="146" spans="2:29" s="3" customFormat="1" ht="30" customHeight="1" x14ac:dyDescent="0.3">
      <c r="B146" s="20" t="str">
        <f>_xlfn.CONCAT(tbResults[[#This Row],[Series Title]],".",tbResults[[#This Row],[Game]])</f>
        <v>2.2.01.02.2</v>
      </c>
      <c r="C146" s="15">
        <v>2</v>
      </c>
      <c r="D146" s="15">
        <v>2</v>
      </c>
      <c r="E146" s="15">
        <v>1</v>
      </c>
      <c r="F146" s="15">
        <v>2</v>
      </c>
      <c r="G146" s="15">
        <v>2</v>
      </c>
      <c r="H146" s="19" t="str">
        <f>_xlfn.CONCAT(tbResults[[#This Row],[Season]],".",tbResults[[#This Row],[Stage]])</f>
        <v>2.2</v>
      </c>
      <c r="I146" s="19" t="str">
        <f>_xlfn.CONCAT(tbResults[[#This Row],[Season]],".",tbResults[[#This Row],[Stage]],".",TEXT(tbResults[[#This Row],[Week]],"00"))</f>
        <v>2.2.01</v>
      </c>
      <c r="J146" s="19" t="str">
        <f>_xlfn.CONCAT(tbResults[[#This Row],[Week Title]],".",TEXT(tbResults[[#This Row],[Match]],"00"))</f>
        <v>2.2.01.02</v>
      </c>
      <c r="K146" s="20" t="str">
        <f>_xlfn.CONCAT(tbResults[[#This Row],[Game Title]], " ", tbResults[[#This Row],[Player1]], " vs ", tbResults[[#This Row],[Player2]] )</f>
        <v>2.2.01.02.2 Effortless vs DaHanG</v>
      </c>
      <c r="L146" s="6" t="s">
        <v>6</v>
      </c>
      <c r="M146" s="6" t="s">
        <v>42</v>
      </c>
      <c r="N146" s="6" t="s">
        <v>43</v>
      </c>
      <c r="O146" s="6" t="s">
        <v>27</v>
      </c>
      <c r="P146" s="6" t="s">
        <v>21</v>
      </c>
      <c r="Q146" s="8">
        <v>4</v>
      </c>
      <c r="R146" s="8">
        <v>7</v>
      </c>
      <c r="S146" s="8" t="s">
        <v>81</v>
      </c>
      <c r="T146" s="16" t="s">
        <v>42</v>
      </c>
      <c r="U146" s="16" t="s">
        <v>28</v>
      </c>
      <c r="V146" s="46" t="str">
        <f>IF(tbResults[[#This Row],[Player1 Score]]&gt;tbResults[[#This Row],[Player2 Score]],tbResults[[#This Row],[Player1]],tbResults[[#This Row],[Player2]])</f>
        <v>DaHanG</v>
      </c>
      <c r="W146" s="48" t="str">
        <f>IF(tbResults[[#This Row],[Player1 Score]]&gt;tbResults[[#This Row],[Player2 Score]],tbResults[[#This Row],[Player2]],tbResults[[#This Row],[Player1]])</f>
        <v>Effortless</v>
      </c>
      <c r="X146" s="11" t="str">
        <f>IF(tbResults[[#This Row],[Winner]]=tbResults[[#This Row],[Player1]],tbResults[[#This Row],[Player1 Pick]],tbResults[[#This Row],[Player2 Pick]])</f>
        <v>Ranger</v>
      </c>
      <c r="Y146" s="11" t="str">
        <f>IF(tbResults[[#This Row],[Loser]]=tbResults[[#This Row],[Player1]],tbResults[[#This Row],[Player1 Pick]],tbResults[[#This Row],[Player2 Pick]])</f>
        <v>Keel</v>
      </c>
      <c r="Z146" s="32">
        <f>SUM(tbResults[[#This Row],[Player1 Score]],tbResults[[#This Row],[Player2 Score]])</f>
        <v>11</v>
      </c>
      <c r="AA146" s="32">
        <f>ABS(tbResults[[#This Row],[Player1 Score]]-tbResults[[#This Row],[Player2 Score]])</f>
        <v>3</v>
      </c>
      <c r="AB146" s="37">
        <f>IF(tbResults[[#This Row],[Player1 Score]]&gt;tbResults[[#This Row],[Player2 Score]],tbResults[[#This Row],[Player1 Score]],tbResults[[#This Row],[Player2 Score]])</f>
        <v>7</v>
      </c>
      <c r="AC146" s="37">
        <f>IF(tbResults[[#This Row],[Player1 Score]]&lt;tbResults[[#This Row],[Player2 Score]],tbResults[[#This Row],[Player1 Score]],tbResults[[#This Row],[Player2 Score]])</f>
        <v>4</v>
      </c>
    </row>
    <row r="147" spans="2:29" s="3" customFormat="1" ht="30" customHeight="1" x14ac:dyDescent="0.3">
      <c r="B147" s="20" t="str">
        <f>_xlfn.CONCAT(tbResults[[#This Row],[Series Title]],".",tbResults[[#This Row],[Game]])</f>
        <v>2.2.01.02.3</v>
      </c>
      <c r="C147" s="15">
        <v>2</v>
      </c>
      <c r="D147" s="15">
        <v>2</v>
      </c>
      <c r="E147" s="15">
        <v>1</v>
      </c>
      <c r="F147" s="15">
        <v>2</v>
      </c>
      <c r="G147" s="15">
        <v>3</v>
      </c>
      <c r="H147" s="19" t="str">
        <f>_xlfn.CONCAT(tbResults[[#This Row],[Season]],".",tbResults[[#This Row],[Stage]])</f>
        <v>2.2</v>
      </c>
      <c r="I147" s="19" t="str">
        <f>_xlfn.CONCAT(tbResults[[#This Row],[Season]],".",tbResults[[#This Row],[Stage]],".",TEXT(tbResults[[#This Row],[Week]],"00"))</f>
        <v>2.2.01</v>
      </c>
      <c r="J147" s="19" t="str">
        <f>_xlfn.CONCAT(tbResults[[#This Row],[Week Title]],".",TEXT(tbResults[[#This Row],[Match]],"00"))</f>
        <v>2.2.01.02</v>
      </c>
      <c r="K147" s="20" t="str">
        <f>_xlfn.CONCAT(tbResults[[#This Row],[Game Title]], " ", tbResults[[#This Row],[Player1]], " vs ", tbResults[[#This Row],[Player2]] )</f>
        <v>2.2.01.02.3 Effortless vs DaHanG</v>
      </c>
      <c r="L147" s="6" t="s">
        <v>6</v>
      </c>
      <c r="M147" s="6" t="s">
        <v>42</v>
      </c>
      <c r="N147" s="6" t="s">
        <v>32</v>
      </c>
      <c r="O147" s="6" t="s">
        <v>37</v>
      </c>
      <c r="P147" s="6" t="s">
        <v>36</v>
      </c>
      <c r="Q147" s="8">
        <v>4</v>
      </c>
      <c r="R147" s="8">
        <v>11</v>
      </c>
      <c r="S147" s="8" t="s">
        <v>81</v>
      </c>
      <c r="T147" s="16" t="s">
        <v>6</v>
      </c>
      <c r="U147" s="16" t="s">
        <v>22</v>
      </c>
      <c r="V147" s="46" t="str">
        <f>IF(tbResults[[#This Row],[Player1 Score]]&gt;tbResults[[#This Row],[Player2 Score]],tbResults[[#This Row],[Player1]],tbResults[[#This Row],[Player2]])</f>
        <v>DaHanG</v>
      </c>
      <c r="W147" s="48" t="str">
        <f>IF(tbResults[[#This Row],[Player1 Score]]&gt;tbResults[[#This Row],[Player2 Score]],tbResults[[#This Row],[Player2]],tbResults[[#This Row],[Player1]])</f>
        <v>Effortless</v>
      </c>
      <c r="X147" s="11" t="str">
        <f>IF(tbResults[[#This Row],[Winner]]=tbResults[[#This Row],[Player1]],tbResults[[#This Row],[Player1 Pick]],tbResults[[#This Row],[Player2 Pick]])</f>
        <v>Visor</v>
      </c>
      <c r="Y147" s="11" t="str">
        <f>IF(tbResults[[#This Row],[Loser]]=tbResults[[#This Row],[Player1]],tbResults[[#This Row],[Player1 Pick]],tbResults[[#This Row],[Player2 Pick]])</f>
        <v>Eisen</v>
      </c>
      <c r="Z147" s="32">
        <f>SUM(tbResults[[#This Row],[Player1 Score]],tbResults[[#This Row],[Player2 Score]])</f>
        <v>15</v>
      </c>
      <c r="AA147" s="32">
        <f>ABS(tbResults[[#This Row],[Player1 Score]]-tbResults[[#This Row],[Player2 Score]])</f>
        <v>7</v>
      </c>
      <c r="AB147" s="37">
        <f>IF(tbResults[[#This Row],[Player1 Score]]&gt;tbResults[[#This Row],[Player2 Score]],tbResults[[#This Row],[Player1 Score]],tbResults[[#This Row],[Player2 Score]])</f>
        <v>11</v>
      </c>
      <c r="AC147" s="37">
        <f>IF(tbResults[[#This Row],[Player1 Score]]&lt;tbResults[[#This Row],[Player2 Score]],tbResults[[#This Row],[Player1 Score]],tbResults[[#This Row],[Player2 Score]])</f>
        <v>4</v>
      </c>
    </row>
    <row r="148" spans="2:29" s="3" customFormat="1" ht="30" customHeight="1" x14ac:dyDescent="0.3">
      <c r="B148" s="20" t="str">
        <f>_xlfn.CONCAT(tbResults[[#This Row],[Series Title]],".",tbResults[[#This Row],[Game]])</f>
        <v>2.2.01.03.1</v>
      </c>
      <c r="C148" s="15">
        <v>2</v>
      </c>
      <c r="D148" s="15">
        <v>2</v>
      </c>
      <c r="E148" s="15">
        <v>1</v>
      </c>
      <c r="F148" s="15">
        <v>3</v>
      </c>
      <c r="G148" s="15">
        <v>1</v>
      </c>
      <c r="H148" s="19" t="str">
        <f>_xlfn.CONCAT(tbResults[[#This Row],[Season]],".",tbResults[[#This Row],[Stage]])</f>
        <v>2.2</v>
      </c>
      <c r="I148" s="19" t="str">
        <f>_xlfn.CONCAT(tbResults[[#This Row],[Season]],".",tbResults[[#This Row],[Stage]],".",TEXT(tbResults[[#This Row],[Week]],"00"))</f>
        <v>2.2.01</v>
      </c>
      <c r="J148" s="19" t="str">
        <f>_xlfn.CONCAT(tbResults[[#This Row],[Week Title]],".",TEXT(tbResults[[#This Row],[Match]],"00"))</f>
        <v>2.2.01.03</v>
      </c>
      <c r="K148" s="20" t="str">
        <f>_xlfn.CONCAT(tbResults[[#This Row],[Game Title]], " ", tbResults[[#This Row],[Player1]], " vs ", tbResults[[#This Row],[Player2]] )</f>
        <v>2.2.01.03.1 dooi vs Zenaku</v>
      </c>
      <c r="L148" s="6" t="s">
        <v>5</v>
      </c>
      <c r="M148" s="6" t="s">
        <v>29</v>
      </c>
      <c r="N148" s="6" t="s">
        <v>26</v>
      </c>
      <c r="O148" s="6" t="s">
        <v>25</v>
      </c>
      <c r="P148" s="6" t="s">
        <v>27</v>
      </c>
      <c r="Q148" s="8">
        <v>2</v>
      </c>
      <c r="R148" s="8">
        <v>8</v>
      </c>
      <c r="S148" s="8" t="s">
        <v>81</v>
      </c>
      <c r="T148" s="16" t="s">
        <v>5</v>
      </c>
      <c r="U148" s="16" t="s">
        <v>44</v>
      </c>
      <c r="V148" s="46" t="str">
        <f>IF(tbResults[[#This Row],[Player1 Score]]&gt;tbResults[[#This Row],[Player2 Score]],tbResults[[#This Row],[Player1]],tbResults[[#This Row],[Player2]])</f>
        <v>Zenaku</v>
      </c>
      <c r="W148" s="48" t="str">
        <f>IF(tbResults[[#This Row],[Player1 Score]]&gt;tbResults[[#This Row],[Player2 Score]],tbResults[[#This Row],[Player2]],tbResults[[#This Row],[Player1]])</f>
        <v>dooi</v>
      </c>
      <c r="X148" s="11" t="str">
        <f>IF(tbResults[[#This Row],[Winner]]=tbResults[[#This Row],[Player1]],tbResults[[#This Row],[Player1 Pick]],tbResults[[#This Row],[Player2 Pick]])</f>
        <v>Keel</v>
      </c>
      <c r="Y148" s="11" t="str">
        <f>IF(tbResults[[#This Row],[Loser]]=tbResults[[#This Row],[Player1]],tbResults[[#This Row],[Player1 Pick]],tbResults[[#This Row],[Player2 Pick]])</f>
        <v>Sorlag</v>
      </c>
      <c r="Z148" s="32">
        <f>SUM(tbResults[[#This Row],[Player1 Score]],tbResults[[#This Row],[Player2 Score]])</f>
        <v>10</v>
      </c>
      <c r="AA148" s="32">
        <f>ABS(tbResults[[#This Row],[Player1 Score]]-tbResults[[#This Row],[Player2 Score]])</f>
        <v>6</v>
      </c>
      <c r="AB148" s="37">
        <f>IF(tbResults[[#This Row],[Player1 Score]]&gt;tbResults[[#This Row],[Player2 Score]],tbResults[[#This Row],[Player1 Score]],tbResults[[#This Row],[Player2 Score]])</f>
        <v>8</v>
      </c>
      <c r="AC148" s="37">
        <f>IF(tbResults[[#This Row],[Player1 Score]]&lt;tbResults[[#This Row],[Player2 Score]],tbResults[[#This Row],[Player1 Score]],tbResults[[#This Row],[Player2 Score]])</f>
        <v>2</v>
      </c>
    </row>
    <row r="149" spans="2:29" s="3" customFormat="1" ht="30" customHeight="1" x14ac:dyDescent="0.3">
      <c r="B149" s="20" t="str">
        <f>_xlfn.CONCAT(tbResults[[#This Row],[Series Title]],".",tbResults[[#This Row],[Game]])</f>
        <v>2.2.01.03.2</v>
      </c>
      <c r="C149" s="15">
        <v>2</v>
      </c>
      <c r="D149" s="15">
        <v>2</v>
      </c>
      <c r="E149" s="15">
        <v>1</v>
      </c>
      <c r="F149" s="15">
        <v>3</v>
      </c>
      <c r="G149" s="15">
        <v>2</v>
      </c>
      <c r="H149" s="19" t="str">
        <f>_xlfn.CONCAT(tbResults[[#This Row],[Season]],".",tbResults[[#This Row],[Stage]])</f>
        <v>2.2</v>
      </c>
      <c r="I149" s="19" t="str">
        <f>_xlfn.CONCAT(tbResults[[#This Row],[Season]],".",tbResults[[#This Row],[Stage]],".",TEXT(tbResults[[#This Row],[Week]],"00"))</f>
        <v>2.2.01</v>
      </c>
      <c r="J149" s="19" t="str">
        <f>_xlfn.CONCAT(tbResults[[#This Row],[Week Title]],".",TEXT(tbResults[[#This Row],[Match]],"00"))</f>
        <v>2.2.01.03</v>
      </c>
      <c r="K149" s="20" t="str">
        <f>_xlfn.CONCAT(tbResults[[#This Row],[Game Title]], " ", tbResults[[#This Row],[Player1]], " vs ", tbResults[[#This Row],[Player2]] )</f>
        <v>2.2.01.03.2 dooi vs Zenaku</v>
      </c>
      <c r="L149" s="6" t="s">
        <v>5</v>
      </c>
      <c r="M149" s="6" t="s">
        <v>29</v>
      </c>
      <c r="N149" s="6" t="s">
        <v>19</v>
      </c>
      <c r="O149" s="6" t="s">
        <v>35</v>
      </c>
      <c r="P149" s="6" t="s">
        <v>21</v>
      </c>
      <c r="Q149" s="8">
        <v>6</v>
      </c>
      <c r="R149" s="8">
        <v>11</v>
      </c>
      <c r="S149" s="8" t="s">
        <v>81</v>
      </c>
      <c r="T149" s="16" t="s">
        <v>29</v>
      </c>
      <c r="U149" s="16" t="s">
        <v>39</v>
      </c>
      <c r="V149" s="46" t="str">
        <f>IF(tbResults[[#This Row],[Player1 Score]]&gt;tbResults[[#This Row],[Player2 Score]],tbResults[[#This Row],[Player1]],tbResults[[#This Row],[Player2]])</f>
        <v>Zenaku</v>
      </c>
      <c r="W149" s="48" t="str">
        <f>IF(tbResults[[#This Row],[Player1 Score]]&gt;tbResults[[#This Row],[Player2 Score]],tbResults[[#This Row],[Player2]],tbResults[[#This Row],[Player1]])</f>
        <v>dooi</v>
      </c>
      <c r="X149" s="11" t="str">
        <f>IF(tbResults[[#This Row],[Winner]]=tbResults[[#This Row],[Player1]],tbResults[[#This Row],[Player1 Pick]],tbResults[[#This Row],[Player2 Pick]])</f>
        <v>Ranger</v>
      </c>
      <c r="Y149" s="11" t="str">
        <f>IF(tbResults[[#This Row],[Loser]]=tbResults[[#This Row],[Player1]],tbResults[[#This Row],[Player1 Pick]],tbResults[[#This Row],[Player2 Pick]])</f>
        <v>Doom</v>
      </c>
      <c r="Z149" s="32">
        <f>SUM(tbResults[[#This Row],[Player1 Score]],tbResults[[#This Row],[Player2 Score]])</f>
        <v>17</v>
      </c>
      <c r="AA149" s="32">
        <f>ABS(tbResults[[#This Row],[Player1 Score]]-tbResults[[#This Row],[Player2 Score]])</f>
        <v>5</v>
      </c>
      <c r="AB149" s="37">
        <f>IF(tbResults[[#This Row],[Player1 Score]]&gt;tbResults[[#This Row],[Player2 Score]],tbResults[[#This Row],[Player1 Score]],tbResults[[#This Row],[Player2 Score]])</f>
        <v>11</v>
      </c>
      <c r="AC149" s="37">
        <f>IF(tbResults[[#This Row],[Player1 Score]]&lt;tbResults[[#This Row],[Player2 Score]],tbResults[[#This Row],[Player1 Score]],tbResults[[#This Row],[Player2 Score]])</f>
        <v>6</v>
      </c>
    </row>
    <row r="150" spans="2:29" s="3" customFormat="1" ht="30" customHeight="1" x14ac:dyDescent="0.3">
      <c r="B150" s="20" t="str">
        <f>_xlfn.CONCAT(tbResults[[#This Row],[Series Title]],".",tbResults[[#This Row],[Game]])</f>
        <v>2.2.01.03.3</v>
      </c>
      <c r="C150" s="15">
        <v>2</v>
      </c>
      <c r="D150" s="15">
        <v>2</v>
      </c>
      <c r="E150" s="15">
        <v>1</v>
      </c>
      <c r="F150" s="15">
        <v>3</v>
      </c>
      <c r="G150" s="15">
        <v>3</v>
      </c>
      <c r="H150" s="19" t="str">
        <f>_xlfn.CONCAT(tbResults[[#This Row],[Season]],".",tbResults[[#This Row],[Stage]])</f>
        <v>2.2</v>
      </c>
      <c r="I150" s="19" t="str">
        <f>_xlfn.CONCAT(tbResults[[#This Row],[Season]],".",tbResults[[#This Row],[Stage]],".",TEXT(tbResults[[#This Row],[Week]],"00"))</f>
        <v>2.2.01</v>
      </c>
      <c r="J150" s="19" t="str">
        <f>_xlfn.CONCAT(tbResults[[#This Row],[Week Title]],".",TEXT(tbResults[[#This Row],[Match]],"00"))</f>
        <v>2.2.01.03</v>
      </c>
      <c r="K150" s="20" t="str">
        <f>_xlfn.CONCAT(tbResults[[#This Row],[Game Title]], " ", tbResults[[#This Row],[Player1]], " vs ", tbResults[[#This Row],[Player2]] )</f>
        <v>2.2.01.03.3 dooi vs Zenaku</v>
      </c>
      <c r="L150" s="6" t="s">
        <v>5</v>
      </c>
      <c r="M150" s="6" t="s">
        <v>29</v>
      </c>
      <c r="N150" s="6" t="s">
        <v>23</v>
      </c>
      <c r="O150" s="6" t="s">
        <v>55</v>
      </c>
      <c r="P150" s="6" t="s">
        <v>22</v>
      </c>
      <c r="Q150" s="8">
        <v>2</v>
      </c>
      <c r="R150" s="8">
        <v>13</v>
      </c>
      <c r="S150" s="8" t="s">
        <v>81</v>
      </c>
      <c r="T150" s="16" t="s">
        <v>5</v>
      </c>
      <c r="U150" s="16" t="s">
        <v>24</v>
      </c>
      <c r="V150" s="46" t="str">
        <f>IF(tbResults[[#This Row],[Player1 Score]]&gt;tbResults[[#This Row],[Player2 Score]],tbResults[[#This Row],[Player1]],tbResults[[#This Row],[Player2]])</f>
        <v>Zenaku</v>
      </c>
      <c r="W150" s="48" t="str">
        <f>IF(tbResults[[#This Row],[Player1 Score]]&gt;tbResults[[#This Row],[Player2 Score]],tbResults[[#This Row],[Player2]],tbResults[[#This Row],[Player1]])</f>
        <v>dooi</v>
      </c>
      <c r="X150" s="11" t="str">
        <f>IF(tbResults[[#This Row],[Winner]]=tbResults[[#This Row],[Player1]],tbResults[[#This Row],[Player1 Pick]],tbResults[[#This Row],[Player2 Pick]])</f>
        <v>Strogg</v>
      </c>
      <c r="Y150" s="11" t="str">
        <f>IF(tbResults[[#This Row],[Loser]]=tbResults[[#This Row],[Player1]],tbResults[[#This Row],[Player1 Pick]],tbResults[[#This Row],[Player2 Pick]])</f>
        <v>Athena</v>
      </c>
      <c r="Z150" s="32">
        <f>SUM(tbResults[[#This Row],[Player1 Score]],tbResults[[#This Row],[Player2 Score]])</f>
        <v>15</v>
      </c>
      <c r="AA150" s="32">
        <f>ABS(tbResults[[#This Row],[Player1 Score]]-tbResults[[#This Row],[Player2 Score]])</f>
        <v>11</v>
      </c>
      <c r="AB150" s="37">
        <f>IF(tbResults[[#This Row],[Player1 Score]]&gt;tbResults[[#This Row],[Player2 Score]],tbResults[[#This Row],[Player1 Score]],tbResults[[#This Row],[Player2 Score]])</f>
        <v>13</v>
      </c>
      <c r="AC150" s="37">
        <f>IF(tbResults[[#This Row],[Player1 Score]]&lt;tbResults[[#This Row],[Player2 Score]],tbResults[[#This Row],[Player1 Score]],tbResults[[#This Row],[Player2 Score]])</f>
        <v>2</v>
      </c>
    </row>
    <row r="151" spans="2:29" s="3" customFormat="1" ht="30" customHeight="1" x14ac:dyDescent="0.3">
      <c r="B151" s="20" t="str">
        <f>_xlfn.CONCAT(tbResults[[#This Row],[Series Title]],".",tbResults[[#This Row],[Game]])</f>
        <v>2.2.01.04.1</v>
      </c>
      <c r="C151" s="15">
        <v>2</v>
      </c>
      <c r="D151" s="15">
        <v>2</v>
      </c>
      <c r="E151" s="15">
        <v>1</v>
      </c>
      <c r="F151" s="15">
        <v>4</v>
      </c>
      <c r="G151" s="15">
        <v>1</v>
      </c>
      <c r="H151" s="19" t="str">
        <f>_xlfn.CONCAT(tbResults[[#This Row],[Season]],".",tbResults[[#This Row],[Stage]])</f>
        <v>2.2</v>
      </c>
      <c r="I151" s="19" t="str">
        <f>_xlfn.CONCAT(tbResults[[#This Row],[Season]],".",tbResults[[#This Row],[Stage]],".",TEXT(tbResults[[#This Row],[Week]],"00"))</f>
        <v>2.2.01</v>
      </c>
      <c r="J151" s="19" t="str">
        <f>_xlfn.CONCAT(tbResults[[#This Row],[Week Title]],".",TEXT(tbResults[[#This Row],[Match]],"00"))</f>
        <v>2.2.01.04</v>
      </c>
      <c r="K151" s="20" t="str">
        <f>_xlfn.CONCAT(tbResults[[#This Row],[Game Title]], " ", tbResults[[#This Row],[Player1]], " vs ", tbResults[[#This Row],[Player2]] )</f>
        <v>2.2.01.04.1 Cypher vs Av3k</v>
      </c>
      <c r="L151" s="6" t="s">
        <v>14</v>
      </c>
      <c r="M151" s="6" t="s">
        <v>52</v>
      </c>
      <c r="N151" s="6" t="s">
        <v>26</v>
      </c>
      <c r="O151" s="6" t="s">
        <v>21</v>
      </c>
      <c r="P151" s="6" t="s">
        <v>37</v>
      </c>
      <c r="Q151" s="8">
        <v>6</v>
      </c>
      <c r="R151" s="8">
        <v>10</v>
      </c>
      <c r="S151" s="8" t="s">
        <v>81</v>
      </c>
      <c r="T151" s="16" t="s">
        <v>14</v>
      </c>
      <c r="U151" s="16" t="s">
        <v>25</v>
      </c>
      <c r="V151" s="46" t="str">
        <f>IF(tbResults[[#This Row],[Player1 Score]]&gt;tbResults[[#This Row],[Player2 Score]],tbResults[[#This Row],[Player1]],tbResults[[#This Row],[Player2]])</f>
        <v>Av3k</v>
      </c>
      <c r="W151" s="48" t="str">
        <f>IF(tbResults[[#This Row],[Player1 Score]]&gt;tbResults[[#This Row],[Player2 Score]],tbResults[[#This Row],[Player2]],tbResults[[#This Row],[Player1]])</f>
        <v>Cypher</v>
      </c>
      <c r="X151" s="11" t="str">
        <f>IF(tbResults[[#This Row],[Winner]]=tbResults[[#This Row],[Player1]],tbResults[[#This Row],[Player1 Pick]],tbResults[[#This Row],[Player2 Pick]])</f>
        <v>Eisen</v>
      </c>
      <c r="Y151" s="11" t="str">
        <f>IF(tbResults[[#This Row],[Loser]]=tbResults[[#This Row],[Player1]],tbResults[[#This Row],[Player1 Pick]],tbResults[[#This Row],[Player2 Pick]])</f>
        <v>Ranger</v>
      </c>
      <c r="Z151" s="32">
        <f>SUM(tbResults[[#This Row],[Player1 Score]],tbResults[[#This Row],[Player2 Score]])</f>
        <v>16</v>
      </c>
      <c r="AA151" s="32">
        <f>ABS(tbResults[[#This Row],[Player1 Score]]-tbResults[[#This Row],[Player2 Score]])</f>
        <v>4</v>
      </c>
      <c r="AB151" s="37">
        <f>IF(tbResults[[#This Row],[Player1 Score]]&gt;tbResults[[#This Row],[Player2 Score]],tbResults[[#This Row],[Player1 Score]],tbResults[[#This Row],[Player2 Score]])</f>
        <v>10</v>
      </c>
      <c r="AC151" s="37">
        <f>IF(tbResults[[#This Row],[Player1 Score]]&lt;tbResults[[#This Row],[Player2 Score]],tbResults[[#This Row],[Player1 Score]],tbResults[[#This Row],[Player2 Score]])</f>
        <v>6</v>
      </c>
    </row>
    <row r="152" spans="2:29" s="3" customFormat="1" ht="30" customHeight="1" x14ac:dyDescent="0.3">
      <c r="B152" s="20" t="str">
        <f>_xlfn.CONCAT(tbResults[[#This Row],[Series Title]],".",tbResults[[#This Row],[Game]])</f>
        <v>2.2.01.04.2</v>
      </c>
      <c r="C152" s="15">
        <v>2</v>
      </c>
      <c r="D152" s="15">
        <v>2</v>
      </c>
      <c r="E152" s="15">
        <v>1</v>
      </c>
      <c r="F152" s="15">
        <v>4</v>
      </c>
      <c r="G152" s="15">
        <v>2</v>
      </c>
      <c r="H152" s="19" t="str">
        <f>_xlfn.CONCAT(tbResults[[#This Row],[Season]],".",tbResults[[#This Row],[Stage]])</f>
        <v>2.2</v>
      </c>
      <c r="I152" s="19" t="str">
        <f>_xlfn.CONCAT(tbResults[[#This Row],[Season]],".",tbResults[[#This Row],[Stage]],".",TEXT(tbResults[[#This Row],[Week]],"00"))</f>
        <v>2.2.01</v>
      </c>
      <c r="J152" s="19" t="str">
        <f>_xlfn.CONCAT(tbResults[[#This Row],[Week Title]],".",TEXT(tbResults[[#This Row],[Match]],"00"))</f>
        <v>2.2.01.04</v>
      </c>
      <c r="K152" s="20" t="str">
        <f>_xlfn.CONCAT(tbResults[[#This Row],[Game Title]], " ", tbResults[[#This Row],[Player1]], " vs ", tbResults[[#This Row],[Player2]] )</f>
        <v>2.2.01.04.2 Cypher vs Av3k</v>
      </c>
      <c r="L152" s="6" t="s">
        <v>14</v>
      </c>
      <c r="M152" s="6" t="s">
        <v>52</v>
      </c>
      <c r="N152" s="6" t="s">
        <v>32</v>
      </c>
      <c r="O152" s="6" t="s">
        <v>34</v>
      </c>
      <c r="P152" s="6" t="s">
        <v>22</v>
      </c>
      <c r="Q152" s="8">
        <v>17</v>
      </c>
      <c r="R152" s="8">
        <v>10</v>
      </c>
      <c r="S152" s="8" t="s">
        <v>81</v>
      </c>
      <c r="T152" s="16" t="s">
        <v>52</v>
      </c>
      <c r="U152" s="16" t="s">
        <v>39</v>
      </c>
      <c r="V152" s="46" t="str">
        <f>IF(tbResults[[#This Row],[Player1 Score]]&gt;tbResults[[#This Row],[Player2 Score]],tbResults[[#This Row],[Player1]],tbResults[[#This Row],[Player2]])</f>
        <v>Cypher</v>
      </c>
      <c r="W152" s="48" t="str">
        <f>IF(tbResults[[#This Row],[Player1 Score]]&gt;tbResults[[#This Row],[Player2 Score]],tbResults[[#This Row],[Player2]],tbResults[[#This Row],[Player1]])</f>
        <v>Av3k</v>
      </c>
      <c r="X152" s="11" t="str">
        <f>IF(tbResults[[#This Row],[Winner]]=tbResults[[#This Row],[Player1]],tbResults[[#This Row],[Player1 Pick]],tbResults[[#This Row],[Player2 Pick]])</f>
        <v>Galena</v>
      </c>
      <c r="Y152" s="11" t="str">
        <f>IF(tbResults[[#This Row],[Loser]]=tbResults[[#This Row],[Player1]],tbResults[[#This Row],[Player1 Pick]],tbResults[[#This Row],[Player2 Pick]])</f>
        <v>Strogg</v>
      </c>
      <c r="Z152" s="32">
        <f>SUM(tbResults[[#This Row],[Player1 Score]],tbResults[[#This Row],[Player2 Score]])</f>
        <v>27</v>
      </c>
      <c r="AA152" s="32">
        <f>ABS(tbResults[[#This Row],[Player1 Score]]-tbResults[[#This Row],[Player2 Score]])</f>
        <v>7</v>
      </c>
      <c r="AB152" s="37">
        <f>IF(tbResults[[#This Row],[Player1 Score]]&gt;tbResults[[#This Row],[Player2 Score]],tbResults[[#This Row],[Player1 Score]],tbResults[[#This Row],[Player2 Score]])</f>
        <v>17</v>
      </c>
      <c r="AC152" s="37">
        <f>IF(tbResults[[#This Row],[Player1 Score]]&lt;tbResults[[#This Row],[Player2 Score]],tbResults[[#This Row],[Player1 Score]],tbResults[[#This Row],[Player2 Score]])</f>
        <v>10</v>
      </c>
    </row>
    <row r="153" spans="2:29" s="3" customFormat="1" ht="30" customHeight="1" x14ac:dyDescent="0.3">
      <c r="B153" s="20" t="str">
        <f>_xlfn.CONCAT(tbResults[[#This Row],[Series Title]],".",tbResults[[#This Row],[Game]])</f>
        <v>2.2.01.04.3</v>
      </c>
      <c r="C153" s="15">
        <v>2</v>
      </c>
      <c r="D153" s="15">
        <v>2</v>
      </c>
      <c r="E153" s="15">
        <v>1</v>
      </c>
      <c r="F153" s="15">
        <v>4</v>
      </c>
      <c r="G153" s="15">
        <v>3</v>
      </c>
      <c r="H153" s="19" t="str">
        <f>_xlfn.CONCAT(tbResults[[#This Row],[Season]],".",tbResults[[#This Row],[Stage]])</f>
        <v>2.2</v>
      </c>
      <c r="I153" s="19" t="str">
        <f>_xlfn.CONCAT(tbResults[[#This Row],[Season]],".",tbResults[[#This Row],[Stage]],".",TEXT(tbResults[[#This Row],[Week]],"00"))</f>
        <v>2.2.01</v>
      </c>
      <c r="J153" s="19" t="str">
        <f>_xlfn.CONCAT(tbResults[[#This Row],[Week Title]],".",TEXT(tbResults[[#This Row],[Match]],"00"))</f>
        <v>2.2.01.04</v>
      </c>
      <c r="K153" s="20" t="str">
        <f>_xlfn.CONCAT(tbResults[[#This Row],[Game Title]], " ", tbResults[[#This Row],[Player1]], " vs ", tbResults[[#This Row],[Player2]] )</f>
        <v>2.2.01.04.3 Cypher vs Av3k</v>
      </c>
      <c r="L153" s="6" t="s">
        <v>14</v>
      </c>
      <c r="M153" s="6" t="s">
        <v>52</v>
      </c>
      <c r="N153" s="6" t="s">
        <v>19</v>
      </c>
      <c r="O153" s="6" t="s">
        <v>55</v>
      </c>
      <c r="P153" s="6" t="s">
        <v>38</v>
      </c>
      <c r="Q153" s="8">
        <v>3</v>
      </c>
      <c r="R153" s="8">
        <v>5</v>
      </c>
      <c r="S153" s="8" t="s">
        <v>81</v>
      </c>
      <c r="T153" s="16" t="s">
        <v>14</v>
      </c>
      <c r="U153" s="16" t="s">
        <v>35</v>
      </c>
      <c r="V153" s="46" t="str">
        <f>IF(tbResults[[#This Row],[Player1 Score]]&gt;tbResults[[#This Row],[Player2 Score]],tbResults[[#This Row],[Player1]],tbResults[[#This Row],[Player2]])</f>
        <v>Av3k</v>
      </c>
      <c r="W153" s="48" t="str">
        <f>IF(tbResults[[#This Row],[Player1 Score]]&gt;tbResults[[#This Row],[Player2 Score]],tbResults[[#This Row],[Player2]],tbResults[[#This Row],[Player1]])</f>
        <v>Cypher</v>
      </c>
      <c r="X153" s="11" t="str">
        <f>IF(tbResults[[#This Row],[Winner]]=tbResults[[#This Row],[Player1]],tbResults[[#This Row],[Player1 Pick]],tbResults[[#This Row],[Player2 Pick]])</f>
        <v>Nyx</v>
      </c>
      <c r="Y153" s="11" t="str">
        <f>IF(tbResults[[#This Row],[Loser]]=tbResults[[#This Row],[Player1]],tbResults[[#This Row],[Player1 Pick]],tbResults[[#This Row],[Player2 Pick]])</f>
        <v>Athena</v>
      </c>
      <c r="Z153" s="32">
        <f>SUM(tbResults[[#This Row],[Player1 Score]],tbResults[[#This Row],[Player2 Score]])</f>
        <v>8</v>
      </c>
      <c r="AA153" s="32">
        <f>ABS(tbResults[[#This Row],[Player1 Score]]-tbResults[[#This Row],[Player2 Score]])</f>
        <v>2</v>
      </c>
      <c r="AB153" s="37">
        <f>IF(tbResults[[#This Row],[Player1 Score]]&gt;tbResults[[#This Row],[Player2 Score]],tbResults[[#This Row],[Player1 Score]],tbResults[[#This Row],[Player2 Score]])</f>
        <v>5</v>
      </c>
      <c r="AC153" s="37">
        <f>IF(tbResults[[#This Row],[Player1 Score]]&lt;tbResults[[#This Row],[Player2 Score]],tbResults[[#This Row],[Player1 Score]],tbResults[[#This Row],[Player2 Score]])</f>
        <v>3</v>
      </c>
    </row>
    <row r="154" spans="2:29" s="3" customFormat="1" ht="30" customHeight="1" x14ac:dyDescent="0.3">
      <c r="B154" s="20" t="str">
        <f>_xlfn.CONCAT(tbResults[[#This Row],[Series Title]],".",tbResults[[#This Row],[Game]])</f>
        <v>2.2.01.05.1</v>
      </c>
      <c r="C154" s="15">
        <v>2</v>
      </c>
      <c r="D154" s="15">
        <v>2</v>
      </c>
      <c r="E154" s="15">
        <v>1</v>
      </c>
      <c r="F154" s="15">
        <v>5</v>
      </c>
      <c r="G154" s="15">
        <v>1</v>
      </c>
      <c r="H154" s="19" t="str">
        <f>_xlfn.CONCAT(tbResults[[#This Row],[Season]],".",tbResults[[#This Row],[Stage]])</f>
        <v>2.2</v>
      </c>
      <c r="I154" s="19" t="str">
        <f>_xlfn.CONCAT(tbResults[[#This Row],[Season]],".",tbResults[[#This Row],[Stage]],".",TEXT(tbResults[[#This Row],[Week]],"00"))</f>
        <v>2.2.01</v>
      </c>
      <c r="J154" s="19" t="str">
        <f>_xlfn.CONCAT(tbResults[[#This Row],[Week Title]],".",TEXT(tbResults[[#This Row],[Match]],"00"))</f>
        <v>2.2.01.05</v>
      </c>
      <c r="K154" s="20" t="str">
        <f>_xlfn.CONCAT(tbResults[[#This Row],[Game Title]], " ", tbResults[[#This Row],[Player1]], " vs ", tbResults[[#This Row],[Player2]] )</f>
        <v>2.2.01.05.1 Nosfa vs cha1n</v>
      </c>
      <c r="L154" s="6" t="s">
        <v>11</v>
      </c>
      <c r="M154" s="6" t="s">
        <v>53</v>
      </c>
      <c r="N154" s="6" t="s">
        <v>26</v>
      </c>
      <c r="O154" s="6" t="s">
        <v>22</v>
      </c>
      <c r="P154" s="6" t="s">
        <v>34</v>
      </c>
      <c r="Q154" s="8">
        <v>5</v>
      </c>
      <c r="R154" s="8">
        <v>3</v>
      </c>
      <c r="S154" s="8" t="s">
        <v>81</v>
      </c>
      <c r="T154" s="16" t="s">
        <v>53</v>
      </c>
      <c r="U154" s="16" t="s">
        <v>55</v>
      </c>
      <c r="V154" s="46" t="str">
        <f>IF(tbResults[[#This Row],[Player1 Score]]&gt;tbResults[[#This Row],[Player2 Score]],tbResults[[#This Row],[Player1]],tbResults[[#This Row],[Player2]])</f>
        <v>Nosfa</v>
      </c>
      <c r="W154" s="48" t="str">
        <f>IF(tbResults[[#This Row],[Player1 Score]]&gt;tbResults[[#This Row],[Player2 Score]],tbResults[[#This Row],[Player2]],tbResults[[#This Row],[Player1]])</f>
        <v>cha1n</v>
      </c>
      <c r="X154" s="11" t="str">
        <f>IF(tbResults[[#This Row],[Winner]]=tbResults[[#This Row],[Player1]],tbResults[[#This Row],[Player1 Pick]],tbResults[[#This Row],[Player2 Pick]])</f>
        <v>Strogg</v>
      </c>
      <c r="Y154" s="11" t="str">
        <f>IF(tbResults[[#This Row],[Loser]]=tbResults[[#This Row],[Player1]],tbResults[[#This Row],[Player1 Pick]],tbResults[[#This Row],[Player2 Pick]])</f>
        <v>Galena</v>
      </c>
      <c r="Z154" s="32">
        <f>SUM(tbResults[[#This Row],[Player1 Score]],tbResults[[#This Row],[Player2 Score]])</f>
        <v>8</v>
      </c>
      <c r="AA154" s="32">
        <f>ABS(tbResults[[#This Row],[Player1 Score]]-tbResults[[#This Row],[Player2 Score]])</f>
        <v>2</v>
      </c>
      <c r="AB154" s="37">
        <f>IF(tbResults[[#This Row],[Player1 Score]]&gt;tbResults[[#This Row],[Player2 Score]],tbResults[[#This Row],[Player1 Score]],tbResults[[#This Row],[Player2 Score]])</f>
        <v>5</v>
      </c>
      <c r="AC154" s="37">
        <f>IF(tbResults[[#This Row],[Player1 Score]]&lt;tbResults[[#This Row],[Player2 Score]],tbResults[[#This Row],[Player1 Score]],tbResults[[#This Row],[Player2 Score]])</f>
        <v>3</v>
      </c>
    </row>
    <row r="155" spans="2:29" s="3" customFormat="1" ht="30" customHeight="1" x14ac:dyDescent="0.3">
      <c r="B155" s="20" t="str">
        <f>_xlfn.CONCAT(tbResults[[#This Row],[Series Title]],".",tbResults[[#This Row],[Game]])</f>
        <v>2.2.01.05.2</v>
      </c>
      <c r="C155" s="15">
        <v>2</v>
      </c>
      <c r="D155" s="15">
        <v>2</v>
      </c>
      <c r="E155" s="15">
        <v>1</v>
      </c>
      <c r="F155" s="15">
        <v>5</v>
      </c>
      <c r="G155" s="15">
        <v>2</v>
      </c>
      <c r="H155" s="19" t="str">
        <f>_xlfn.CONCAT(tbResults[[#This Row],[Season]],".",tbResults[[#This Row],[Stage]])</f>
        <v>2.2</v>
      </c>
      <c r="I155" s="19" t="str">
        <f>_xlfn.CONCAT(tbResults[[#This Row],[Season]],".",tbResults[[#This Row],[Stage]],".",TEXT(tbResults[[#This Row],[Week]],"00"))</f>
        <v>2.2.01</v>
      </c>
      <c r="J155" s="19" t="str">
        <f>_xlfn.CONCAT(tbResults[[#This Row],[Week Title]],".",TEXT(tbResults[[#This Row],[Match]],"00"))</f>
        <v>2.2.01.05</v>
      </c>
      <c r="K155" s="20" t="str">
        <f>_xlfn.CONCAT(tbResults[[#This Row],[Game Title]], " ", tbResults[[#This Row],[Player1]], " vs ", tbResults[[#This Row],[Player2]] )</f>
        <v>2.2.01.05.2 Nosfa vs cha1n</v>
      </c>
      <c r="L155" s="6" t="s">
        <v>11</v>
      </c>
      <c r="M155" s="6" t="s">
        <v>53</v>
      </c>
      <c r="N155" s="6" t="s">
        <v>43</v>
      </c>
      <c r="O155" s="6" t="s">
        <v>21</v>
      </c>
      <c r="P155" s="6" t="s">
        <v>27</v>
      </c>
      <c r="Q155" s="8">
        <v>11</v>
      </c>
      <c r="R155" s="8">
        <v>14</v>
      </c>
      <c r="S155" s="8" t="s">
        <v>81</v>
      </c>
      <c r="T155" s="16" t="s">
        <v>11</v>
      </c>
      <c r="U155" s="16" t="s">
        <v>25</v>
      </c>
      <c r="V155" s="46" t="str">
        <f>IF(tbResults[[#This Row],[Player1 Score]]&gt;tbResults[[#This Row],[Player2 Score]],tbResults[[#This Row],[Player1]],tbResults[[#This Row],[Player2]])</f>
        <v>cha1n</v>
      </c>
      <c r="W155" s="48" t="str">
        <f>IF(tbResults[[#This Row],[Player1 Score]]&gt;tbResults[[#This Row],[Player2 Score]],tbResults[[#This Row],[Player2]],tbResults[[#This Row],[Player1]])</f>
        <v>Nosfa</v>
      </c>
      <c r="X155" s="11" t="str">
        <f>IF(tbResults[[#This Row],[Winner]]=tbResults[[#This Row],[Player1]],tbResults[[#This Row],[Player1 Pick]],tbResults[[#This Row],[Player2 Pick]])</f>
        <v>Keel</v>
      </c>
      <c r="Y155" s="11" t="str">
        <f>IF(tbResults[[#This Row],[Loser]]=tbResults[[#This Row],[Player1]],tbResults[[#This Row],[Player1 Pick]],tbResults[[#This Row],[Player2 Pick]])</f>
        <v>Ranger</v>
      </c>
      <c r="Z155" s="32">
        <f>SUM(tbResults[[#This Row],[Player1 Score]],tbResults[[#This Row],[Player2 Score]])</f>
        <v>25</v>
      </c>
      <c r="AA155" s="32">
        <f>ABS(tbResults[[#This Row],[Player1 Score]]-tbResults[[#This Row],[Player2 Score]])</f>
        <v>3</v>
      </c>
      <c r="AB155" s="37">
        <f>IF(tbResults[[#This Row],[Player1 Score]]&gt;tbResults[[#This Row],[Player2 Score]],tbResults[[#This Row],[Player1 Score]],tbResults[[#This Row],[Player2 Score]])</f>
        <v>14</v>
      </c>
      <c r="AC155" s="37">
        <f>IF(tbResults[[#This Row],[Player1 Score]]&lt;tbResults[[#This Row],[Player2 Score]],tbResults[[#This Row],[Player1 Score]],tbResults[[#This Row],[Player2 Score]])</f>
        <v>11</v>
      </c>
    </row>
    <row r="156" spans="2:29" s="3" customFormat="1" ht="30" customHeight="1" x14ac:dyDescent="0.3">
      <c r="B156" s="20" t="str">
        <f>_xlfn.CONCAT(tbResults[[#This Row],[Series Title]],".",tbResults[[#This Row],[Game]])</f>
        <v>2.2.01.05.3</v>
      </c>
      <c r="C156" s="15">
        <v>2</v>
      </c>
      <c r="D156" s="15">
        <v>2</v>
      </c>
      <c r="E156" s="15">
        <v>1</v>
      </c>
      <c r="F156" s="15">
        <v>5</v>
      </c>
      <c r="G156" s="15">
        <v>3</v>
      </c>
      <c r="H156" s="19" t="str">
        <f>_xlfn.CONCAT(tbResults[[#This Row],[Season]],".",tbResults[[#This Row],[Stage]])</f>
        <v>2.2</v>
      </c>
      <c r="I156" s="19" t="str">
        <f>_xlfn.CONCAT(tbResults[[#This Row],[Season]],".",tbResults[[#This Row],[Stage]],".",TEXT(tbResults[[#This Row],[Week]],"00"))</f>
        <v>2.2.01</v>
      </c>
      <c r="J156" s="19" t="str">
        <f>_xlfn.CONCAT(tbResults[[#This Row],[Week Title]],".",TEXT(tbResults[[#This Row],[Match]],"00"))</f>
        <v>2.2.01.05</v>
      </c>
      <c r="K156" s="20" t="str">
        <f>_xlfn.CONCAT(tbResults[[#This Row],[Game Title]], " ", tbResults[[#This Row],[Player1]], " vs ", tbResults[[#This Row],[Player2]] )</f>
        <v>2.2.01.05.3 Nosfa vs cha1n</v>
      </c>
      <c r="L156" s="6" t="s">
        <v>11</v>
      </c>
      <c r="M156" s="6" t="s">
        <v>53</v>
      </c>
      <c r="N156" s="6" t="s">
        <v>32</v>
      </c>
      <c r="O156" s="6" t="s">
        <v>28</v>
      </c>
      <c r="P156" s="6" t="s">
        <v>35</v>
      </c>
      <c r="Q156" s="8">
        <v>10</v>
      </c>
      <c r="R156" s="8">
        <v>6</v>
      </c>
      <c r="S156" s="8" t="s">
        <v>81</v>
      </c>
      <c r="T156" s="16" t="s">
        <v>53</v>
      </c>
      <c r="U156" s="16" t="s">
        <v>24</v>
      </c>
      <c r="V156" s="46" t="str">
        <f>IF(tbResults[[#This Row],[Player1 Score]]&gt;tbResults[[#This Row],[Player2 Score]],tbResults[[#This Row],[Player1]],tbResults[[#This Row],[Player2]])</f>
        <v>Nosfa</v>
      </c>
      <c r="W156" s="48" t="str">
        <f>IF(tbResults[[#This Row],[Player1 Score]]&gt;tbResults[[#This Row],[Player2 Score]],tbResults[[#This Row],[Player2]],tbResults[[#This Row],[Player1]])</f>
        <v>cha1n</v>
      </c>
      <c r="X156" s="11" t="str">
        <f>IF(tbResults[[#This Row],[Winner]]=tbResults[[#This Row],[Player1]],tbResults[[#This Row],[Player1 Pick]],tbResults[[#This Row],[Player2 Pick]])</f>
        <v>BJ Blazkowicz</v>
      </c>
      <c r="Y156" s="11" t="str">
        <f>IF(tbResults[[#This Row],[Loser]]=tbResults[[#This Row],[Player1]],tbResults[[#This Row],[Player1 Pick]],tbResults[[#This Row],[Player2 Pick]])</f>
        <v>Doom</v>
      </c>
      <c r="Z156" s="32">
        <f>SUM(tbResults[[#This Row],[Player1 Score]],tbResults[[#This Row],[Player2 Score]])</f>
        <v>16</v>
      </c>
      <c r="AA156" s="32">
        <f>ABS(tbResults[[#This Row],[Player1 Score]]-tbResults[[#This Row],[Player2 Score]])</f>
        <v>4</v>
      </c>
      <c r="AB156" s="37">
        <f>IF(tbResults[[#This Row],[Player1 Score]]&gt;tbResults[[#This Row],[Player2 Score]],tbResults[[#This Row],[Player1 Score]],tbResults[[#This Row],[Player2 Score]])</f>
        <v>10</v>
      </c>
      <c r="AC156" s="37">
        <f>IF(tbResults[[#This Row],[Player1 Score]]&lt;tbResults[[#This Row],[Player2 Score]],tbResults[[#This Row],[Player1 Score]],tbResults[[#This Row],[Player2 Score]])</f>
        <v>6</v>
      </c>
    </row>
    <row r="157" spans="2:29" s="3" customFormat="1" ht="30" customHeight="1" x14ac:dyDescent="0.3">
      <c r="B157" s="20" t="str">
        <f>_xlfn.CONCAT(tbResults[[#This Row],[Series Title]],".",tbResults[[#This Row],[Game]])</f>
        <v>2.2.01.06.1</v>
      </c>
      <c r="C157" s="15">
        <v>2</v>
      </c>
      <c r="D157" s="15">
        <v>2</v>
      </c>
      <c r="E157" s="15">
        <v>1</v>
      </c>
      <c r="F157" s="15">
        <v>6</v>
      </c>
      <c r="G157" s="15">
        <v>1</v>
      </c>
      <c r="H157" s="19" t="str">
        <f>_xlfn.CONCAT(tbResults[[#This Row],[Season]],".",tbResults[[#This Row],[Stage]])</f>
        <v>2.2</v>
      </c>
      <c r="I157" s="19" t="str">
        <f>_xlfn.CONCAT(tbResults[[#This Row],[Season]],".",tbResults[[#This Row],[Stage]],".",TEXT(tbResults[[#This Row],[Week]],"00"))</f>
        <v>2.2.01</v>
      </c>
      <c r="J157" s="19" t="str">
        <f>_xlfn.CONCAT(tbResults[[#This Row],[Week Title]],".",TEXT(tbResults[[#This Row],[Match]],"00"))</f>
        <v>2.2.01.06</v>
      </c>
      <c r="K157" s="20" t="str">
        <f>_xlfn.CONCAT(tbResults[[#This Row],[Game Title]], " ", tbResults[[#This Row],[Player1]], " vs ", tbResults[[#This Row],[Player2]] )</f>
        <v>2.2.01.06.1 Raisy vs Garpy</v>
      </c>
      <c r="L157" s="6" t="s">
        <v>49</v>
      </c>
      <c r="M157" s="6" t="s">
        <v>101</v>
      </c>
      <c r="N157" s="6" t="s">
        <v>19</v>
      </c>
      <c r="O157" s="6" t="s">
        <v>92</v>
      </c>
      <c r="P157" s="6" t="s">
        <v>21</v>
      </c>
      <c r="Q157" s="8">
        <v>17</v>
      </c>
      <c r="R157" s="8">
        <v>4</v>
      </c>
      <c r="S157" s="8" t="s">
        <v>81</v>
      </c>
      <c r="T157" s="16" t="s">
        <v>101</v>
      </c>
      <c r="U157" s="16" t="s">
        <v>25</v>
      </c>
      <c r="V157" s="46" t="str">
        <f>IF(tbResults[[#This Row],[Player1 Score]]&gt;tbResults[[#This Row],[Player2 Score]],tbResults[[#This Row],[Player1]],tbResults[[#This Row],[Player2]])</f>
        <v>Raisy</v>
      </c>
      <c r="W157" s="48" t="str">
        <f>IF(tbResults[[#This Row],[Player1 Score]]&gt;tbResults[[#This Row],[Player2 Score]],tbResults[[#This Row],[Player2]],tbResults[[#This Row],[Player1]])</f>
        <v>Garpy</v>
      </c>
      <c r="X157" s="11" t="str">
        <f>IF(tbResults[[#This Row],[Winner]]=tbResults[[#This Row],[Player1]],tbResults[[#This Row],[Player1 Pick]],tbResults[[#This Row],[Player2 Pick]])</f>
        <v>Clutch</v>
      </c>
      <c r="Y157" s="11" t="str">
        <f>IF(tbResults[[#This Row],[Loser]]=tbResults[[#This Row],[Player1]],tbResults[[#This Row],[Player1 Pick]],tbResults[[#This Row],[Player2 Pick]])</f>
        <v>Ranger</v>
      </c>
      <c r="Z157" s="32">
        <f>SUM(tbResults[[#This Row],[Player1 Score]],tbResults[[#This Row],[Player2 Score]])</f>
        <v>21</v>
      </c>
      <c r="AA157" s="32">
        <f>ABS(tbResults[[#This Row],[Player1 Score]]-tbResults[[#This Row],[Player2 Score]])</f>
        <v>13</v>
      </c>
      <c r="AB157" s="37">
        <f>IF(tbResults[[#This Row],[Player1 Score]]&gt;tbResults[[#This Row],[Player2 Score]],tbResults[[#This Row],[Player1 Score]],tbResults[[#This Row],[Player2 Score]])</f>
        <v>17</v>
      </c>
      <c r="AC157" s="37">
        <f>IF(tbResults[[#This Row],[Player1 Score]]&lt;tbResults[[#This Row],[Player2 Score]],tbResults[[#This Row],[Player1 Score]],tbResults[[#This Row],[Player2 Score]])</f>
        <v>4</v>
      </c>
    </row>
    <row r="158" spans="2:29" s="3" customFormat="1" ht="30" customHeight="1" x14ac:dyDescent="0.3">
      <c r="B158" s="20" t="str">
        <f>_xlfn.CONCAT(tbResults[[#This Row],[Series Title]],".",tbResults[[#This Row],[Game]])</f>
        <v>2.2.01.06.2</v>
      </c>
      <c r="C158" s="15">
        <v>2</v>
      </c>
      <c r="D158" s="15">
        <v>2</v>
      </c>
      <c r="E158" s="15">
        <v>1</v>
      </c>
      <c r="F158" s="15">
        <v>6</v>
      </c>
      <c r="G158" s="15">
        <v>2</v>
      </c>
      <c r="H158" s="19" t="str">
        <f>_xlfn.CONCAT(tbResults[[#This Row],[Season]],".",tbResults[[#This Row],[Stage]])</f>
        <v>2.2</v>
      </c>
      <c r="I158" s="19" t="str">
        <f>_xlfn.CONCAT(tbResults[[#This Row],[Season]],".",tbResults[[#This Row],[Stage]],".",TEXT(tbResults[[#This Row],[Week]],"00"))</f>
        <v>2.2.01</v>
      </c>
      <c r="J158" s="19" t="str">
        <f>_xlfn.CONCAT(tbResults[[#This Row],[Week Title]],".",TEXT(tbResults[[#This Row],[Match]],"00"))</f>
        <v>2.2.01.06</v>
      </c>
      <c r="K158" s="20" t="str">
        <f>_xlfn.CONCAT(tbResults[[#This Row],[Game Title]], " ", tbResults[[#This Row],[Player1]], " vs ", tbResults[[#This Row],[Player2]] )</f>
        <v>2.2.01.06.2 Raisy vs Garpy</v>
      </c>
      <c r="L158" s="6" t="s">
        <v>49</v>
      </c>
      <c r="M158" s="6" t="s">
        <v>101</v>
      </c>
      <c r="N158" s="6" t="s">
        <v>26</v>
      </c>
      <c r="O158" s="6" t="s">
        <v>27</v>
      </c>
      <c r="P158" s="6" t="s">
        <v>44</v>
      </c>
      <c r="Q158" s="8">
        <v>8</v>
      </c>
      <c r="R158" s="8">
        <v>5</v>
      </c>
      <c r="S158" s="8" t="s">
        <v>81</v>
      </c>
      <c r="T158" s="16" t="s">
        <v>49</v>
      </c>
      <c r="U158" s="16" t="s">
        <v>38</v>
      </c>
      <c r="V158" s="46" t="str">
        <f>IF(tbResults[[#This Row],[Player1 Score]]&gt;tbResults[[#This Row],[Player2 Score]],tbResults[[#This Row],[Player1]],tbResults[[#This Row],[Player2]])</f>
        <v>Raisy</v>
      </c>
      <c r="W158" s="48" t="str">
        <f>IF(tbResults[[#This Row],[Player1 Score]]&gt;tbResults[[#This Row],[Player2 Score]],tbResults[[#This Row],[Player2]],tbResults[[#This Row],[Player1]])</f>
        <v>Garpy</v>
      </c>
      <c r="X158" s="11" t="str">
        <f>IF(tbResults[[#This Row],[Winner]]=tbResults[[#This Row],[Player1]],tbResults[[#This Row],[Player1 Pick]],tbResults[[#This Row],[Player2 Pick]])</f>
        <v>Keel</v>
      </c>
      <c r="Y158" s="11" t="str">
        <f>IF(tbResults[[#This Row],[Loser]]=tbResults[[#This Row],[Player1]],tbResults[[#This Row],[Player1 Pick]],tbResults[[#This Row],[Player2 Pick]])</f>
        <v>Scalebearer</v>
      </c>
      <c r="Z158" s="32">
        <f>SUM(tbResults[[#This Row],[Player1 Score]],tbResults[[#This Row],[Player2 Score]])</f>
        <v>13</v>
      </c>
      <c r="AA158" s="32">
        <f>ABS(tbResults[[#This Row],[Player1 Score]]-tbResults[[#This Row],[Player2 Score]])</f>
        <v>3</v>
      </c>
      <c r="AB158" s="37">
        <f>IF(tbResults[[#This Row],[Player1 Score]]&gt;tbResults[[#This Row],[Player2 Score]],tbResults[[#This Row],[Player1 Score]],tbResults[[#This Row],[Player2 Score]])</f>
        <v>8</v>
      </c>
      <c r="AC158" s="37">
        <f>IF(tbResults[[#This Row],[Player1 Score]]&lt;tbResults[[#This Row],[Player2 Score]],tbResults[[#This Row],[Player1 Score]],tbResults[[#This Row],[Player2 Score]])</f>
        <v>5</v>
      </c>
    </row>
    <row r="159" spans="2:29" s="3" customFormat="1" ht="30" customHeight="1" x14ac:dyDescent="0.3">
      <c r="B159" s="20" t="str">
        <f>_xlfn.CONCAT(tbResults[[#This Row],[Series Title]],".",tbResults[[#This Row],[Game]])</f>
        <v>2.2.01.06.3</v>
      </c>
      <c r="C159" s="15">
        <v>2</v>
      </c>
      <c r="D159" s="15">
        <v>2</v>
      </c>
      <c r="E159" s="15">
        <v>1</v>
      </c>
      <c r="F159" s="15">
        <v>6</v>
      </c>
      <c r="G159" s="15">
        <v>3</v>
      </c>
      <c r="H159" s="19" t="str">
        <f>_xlfn.CONCAT(tbResults[[#This Row],[Season]],".",tbResults[[#This Row],[Stage]])</f>
        <v>2.2</v>
      </c>
      <c r="I159" s="19" t="str">
        <f>_xlfn.CONCAT(tbResults[[#This Row],[Season]],".",tbResults[[#This Row],[Stage]],".",TEXT(tbResults[[#This Row],[Week]],"00"))</f>
        <v>2.2.01</v>
      </c>
      <c r="J159" s="19" t="str">
        <f>_xlfn.CONCAT(tbResults[[#This Row],[Week Title]],".",TEXT(tbResults[[#This Row],[Match]],"00"))</f>
        <v>2.2.01.06</v>
      </c>
      <c r="K159" s="20" t="str">
        <f>_xlfn.CONCAT(tbResults[[#This Row],[Game Title]], " ", tbResults[[#This Row],[Player1]], " vs ", tbResults[[#This Row],[Player2]] )</f>
        <v>2.2.01.06.3 Raisy vs Garpy</v>
      </c>
      <c r="L159" s="6" t="s">
        <v>49</v>
      </c>
      <c r="M159" s="6" t="s">
        <v>101</v>
      </c>
      <c r="N159" s="6" t="s">
        <v>32</v>
      </c>
      <c r="O159" s="6" t="s">
        <v>34</v>
      </c>
      <c r="P159" s="6" t="s">
        <v>35</v>
      </c>
      <c r="Q159" s="8">
        <v>10</v>
      </c>
      <c r="R159" s="8">
        <v>4</v>
      </c>
      <c r="S159" s="8" t="s">
        <v>81</v>
      </c>
      <c r="T159" s="16" t="s">
        <v>101</v>
      </c>
      <c r="U159" s="16" t="s">
        <v>22</v>
      </c>
      <c r="V159" s="46" t="str">
        <f>IF(tbResults[[#This Row],[Player1 Score]]&gt;tbResults[[#This Row],[Player2 Score]],tbResults[[#This Row],[Player1]],tbResults[[#This Row],[Player2]])</f>
        <v>Raisy</v>
      </c>
      <c r="W159" s="48" t="str">
        <f>IF(tbResults[[#This Row],[Player1 Score]]&gt;tbResults[[#This Row],[Player2 Score]],tbResults[[#This Row],[Player2]],tbResults[[#This Row],[Player1]])</f>
        <v>Garpy</v>
      </c>
      <c r="X159" s="11" t="str">
        <f>IF(tbResults[[#This Row],[Winner]]=tbResults[[#This Row],[Player1]],tbResults[[#This Row],[Player1 Pick]],tbResults[[#This Row],[Player2 Pick]])</f>
        <v>Galena</v>
      </c>
      <c r="Y159" s="11" t="str">
        <f>IF(tbResults[[#This Row],[Loser]]=tbResults[[#This Row],[Player1]],tbResults[[#This Row],[Player1 Pick]],tbResults[[#This Row],[Player2 Pick]])</f>
        <v>Doom</v>
      </c>
      <c r="Z159" s="32">
        <f>SUM(tbResults[[#This Row],[Player1 Score]],tbResults[[#This Row],[Player2 Score]])</f>
        <v>14</v>
      </c>
      <c r="AA159" s="32">
        <f>ABS(tbResults[[#This Row],[Player1 Score]]-tbResults[[#This Row],[Player2 Score]])</f>
        <v>6</v>
      </c>
      <c r="AB159" s="37">
        <f>IF(tbResults[[#This Row],[Player1 Score]]&gt;tbResults[[#This Row],[Player2 Score]],tbResults[[#This Row],[Player1 Score]],tbResults[[#This Row],[Player2 Score]])</f>
        <v>10</v>
      </c>
      <c r="AC159" s="37">
        <f>IF(tbResults[[#This Row],[Player1 Score]]&lt;tbResults[[#This Row],[Player2 Score]],tbResults[[#This Row],[Player1 Score]],tbResults[[#This Row],[Player2 Score]])</f>
        <v>4</v>
      </c>
    </row>
    <row r="160" spans="2:29" s="3" customFormat="1" ht="30" customHeight="1" x14ac:dyDescent="0.3">
      <c r="B160" s="20" t="str">
        <f>_xlfn.CONCAT(tbResults[[#This Row],[Series Title]],".",tbResults[[#This Row],[Game]])</f>
        <v>2.2.01.07.1</v>
      </c>
      <c r="C160" s="15">
        <v>2</v>
      </c>
      <c r="D160" s="15">
        <v>2</v>
      </c>
      <c r="E160" s="15">
        <v>1</v>
      </c>
      <c r="F160" s="15">
        <v>7</v>
      </c>
      <c r="G160" s="15">
        <v>1</v>
      </c>
      <c r="H160" s="19" t="str">
        <f>_xlfn.CONCAT(tbResults[[#This Row],[Season]],".",tbResults[[#This Row],[Stage]])</f>
        <v>2.2</v>
      </c>
      <c r="I160" s="19" t="str">
        <f>_xlfn.CONCAT(tbResults[[#This Row],[Season]],".",tbResults[[#This Row],[Stage]],".",TEXT(tbResults[[#This Row],[Week]],"00"))</f>
        <v>2.2.01</v>
      </c>
      <c r="J160" s="19" t="str">
        <f>_xlfn.CONCAT(tbResults[[#This Row],[Week Title]],".",TEXT(tbResults[[#This Row],[Match]],"00"))</f>
        <v>2.2.01.07</v>
      </c>
      <c r="K160" s="20" t="str">
        <f>_xlfn.CONCAT(tbResults[[#This Row],[Game Title]], " ", tbResults[[#This Row],[Player1]], " vs ", tbResults[[#This Row],[Player2]] )</f>
        <v>2.2.01.07.1 Rapha vs Psygib</v>
      </c>
      <c r="L160" s="6" t="s">
        <v>47</v>
      </c>
      <c r="M160" s="6" t="s">
        <v>30</v>
      </c>
      <c r="N160" s="6" t="s">
        <v>19</v>
      </c>
      <c r="O160" s="6" t="s">
        <v>35</v>
      </c>
      <c r="P160" s="6" t="s">
        <v>55</v>
      </c>
      <c r="Q160" s="8">
        <v>15</v>
      </c>
      <c r="R160" s="8">
        <v>3</v>
      </c>
      <c r="S160" s="8" t="s">
        <v>81</v>
      </c>
      <c r="T160" s="16" t="s">
        <v>47</v>
      </c>
      <c r="U160" s="16" t="s">
        <v>27</v>
      </c>
      <c r="V160" s="46" t="str">
        <f>IF(tbResults[[#This Row],[Player1 Score]]&gt;tbResults[[#This Row],[Player2 Score]],tbResults[[#This Row],[Player1]],tbResults[[#This Row],[Player2]])</f>
        <v>Rapha</v>
      </c>
      <c r="W160" s="48" t="str">
        <f>IF(tbResults[[#This Row],[Player1 Score]]&gt;tbResults[[#This Row],[Player2 Score]],tbResults[[#This Row],[Player2]],tbResults[[#This Row],[Player1]])</f>
        <v>Psygib</v>
      </c>
      <c r="X160" s="11" t="str">
        <f>IF(tbResults[[#This Row],[Winner]]=tbResults[[#This Row],[Player1]],tbResults[[#This Row],[Player1 Pick]],tbResults[[#This Row],[Player2 Pick]])</f>
        <v>Doom</v>
      </c>
      <c r="Y160" s="11" t="str">
        <f>IF(tbResults[[#This Row],[Loser]]=tbResults[[#This Row],[Player1]],tbResults[[#This Row],[Player1 Pick]],tbResults[[#This Row],[Player2 Pick]])</f>
        <v>Athena</v>
      </c>
      <c r="Z160" s="32">
        <f>SUM(tbResults[[#This Row],[Player1 Score]],tbResults[[#This Row],[Player2 Score]])</f>
        <v>18</v>
      </c>
      <c r="AA160" s="32">
        <f>ABS(tbResults[[#This Row],[Player1 Score]]-tbResults[[#This Row],[Player2 Score]])</f>
        <v>12</v>
      </c>
      <c r="AB160" s="37">
        <f>IF(tbResults[[#This Row],[Player1 Score]]&gt;tbResults[[#This Row],[Player2 Score]],tbResults[[#This Row],[Player1 Score]],tbResults[[#This Row],[Player2 Score]])</f>
        <v>15</v>
      </c>
      <c r="AC160" s="37">
        <f>IF(tbResults[[#This Row],[Player1 Score]]&lt;tbResults[[#This Row],[Player2 Score]],tbResults[[#This Row],[Player1 Score]],tbResults[[#This Row],[Player2 Score]])</f>
        <v>3</v>
      </c>
    </row>
    <row r="161" spans="2:29" s="3" customFormat="1" ht="30" customHeight="1" x14ac:dyDescent="0.3">
      <c r="B161" s="20" t="str">
        <f>_xlfn.CONCAT(tbResults[[#This Row],[Series Title]],".",tbResults[[#This Row],[Game]])</f>
        <v>2.2.01.07.2</v>
      </c>
      <c r="C161" s="15">
        <v>2</v>
      </c>
      <c r="D161" s="15">
        <v>2</v>
      </c>
      <c r="E161" s="15">
        <v>1</v>
      </c>
      <c r="F161" s="15">
        <v>7</v>
      </c>
      <c r="G161" s="15">
        <v>2</v>
      </c>
      <c r="H161" s="19" t="str">
        <f>_xlfn.CONCAT(tbResults[[#This Row],[Season]],".",tbResults[[#This Row],[Stage]])</f>
        <v>2.2</v>
      </c>
      <c r="I161" s="19" t="str">
        <f>_xlfn.CONCAT(tbResults[[#This Row],[Season]],".",tbResults[[#This Row],[Stage]],".",TEXT(tbResults[[#This Row],[Week]],"00"))</f>
        <v>2.2.01</v>
      </c>
      <c r="J161" s="19" t="str">
        <f>_xlfn.CONCAT(tbResults[[#This Row],[Week Title]],".",TEXT(tbResults[[#This Row],[Match]],"00"))</f>
        <v>2.2.01.07</v>
      </c>
      <c r="K161" s="20" t="str">
        <f>_xlfn.CONCAT(tbResults[[#This Row],[Game Title]], " ", tbResults[[#This Row],[Player1]], " vs ", tbResults[[#This Row],[Player2]] )</f>
        <v>2.2.01.07.2 Rapha vs Psygib</v>
      </c>
      <c r="L161" s="6" t="s">
        <v>47</v>
      </c>
      <c r="M161" s="6" t="s">
        <v>30</v>
      </c>
      <c r="N161" s="6" t="s">
        <v>32</v>
      </c>
      <c r="O161" s="6" t="s">
        <v>22</v>
      </c>
      <c r="P161" s="6" t="s">
        <v>39</v>
      </c>
      <c r="Q161" s="8">
        <v>19</v>
      </c>
      <c r="R161" s="8">
        <v>8</v>
      </c>
      <c r="S161" s="8" t="s">
        <v>81</v>
      </c>
      <c r="T161" s="16" t="s">
        <v>30</v>
      </c>
      <c r="U161" s="16" t="s">
        <v>44</v>
      </c>
      <c r="V161" s="46" t="str">
        <f>IF(tbResults[[#This Row],[Player1 Score]]&gt;tbResults[[#This Row],[Player2 Score]],tbResults[[#This Row],[Player1]],tbResults[[#This Row],[Player2]])</f>
        <v>Rapha</v>
      </c>
      <c r="W161" s="48" t="str">
        <f>IF(tbResults[[#This Row],[Player1 Score]]&gt;tbResults[[#This Row],[Player2 Score]],tbResults[[#This Row],[Player2]],tbResults[[#This Row],[Player1]])</f>
        <v>Psygib</v>
      </c>
      <c r="X161" s="11" t="str">
        <f>IF(tbResults[[#This Row],[Winner]]=tbResults[[#This Row],[Player1]],tbResults[[#This Row],[Player1 Pick]],tbResults[[#This Row],[Player2 Pick]])</f>
        <v>Strogg</v>
      </c>
      <c r="Y161" s="11" t="str">
        <f>IF(tbResults[[#This Row],[Loser]]=tbResults[[#This Row],[Player1]],tbResults[[#This Row],[Player1 Pick]],tbResults[[#This Row],[Player2 Pick]])</f>
        <v>Anarki</v>
      </c>
      <c r="Z161" s="32">
        <f>SUM(tbResults[[#This Row],[Player1 Score]],tbResults[[#This Row],[Player2 Score]])</f>
        <v>27</v>
      </c>
      <c r="AA161" s="32">
        <f>ABS(tbResults[[#This Row],[Player1 Score]]-tbResults[[#This Row],[Player2 Score]])</f>
        <v>11</v>
      </c>
      <c r="AB161" s="37">
        <f>IF(tbResults[[#This Row],[Player1 Score]]&gt;tbResults[[#This Row],[Player2 Score]],tbResults[[#This Row],[Player1 Score]],tbResults[[#This Row],[Player2 Score]])</f>
        <v>19</v>
      </c>
      <c r="AC161" s="37">
        <f>IF(tbResults[[#This Row],[Player1 Score]]&lt;tbResults[[#This Row],[Player2 Score]],tbResults[[#This Row],[Player1 Score]],tbResults[[#This Row],[Player2 Score]])</f>
        <v>8</v>
      </c>
    </row>
    <row r="162" spans="2:29" s="3" customFormat="1" ht="30" customHeight="1" x14ac:dyDescent="0.3">
      <c r="B162" s="20" t="str">
        <f>_xlfn.CONCAT(tbResults[[#This Row],[Series Title]],".",tbResults[[#This Row],[Game]])</f>
        <v>2.2.01.07.3</v>
      </c>
      <c r="C162" s="15">
        <v>2</v>
      </c>
      <c r="D162" s="15">
        <v>2</v>
      </c>
      <c r="E162" s="15">
        <v>1</v>
      </c>
      <c r="F162" s="15">
        <v>7</v>
      </c>
      <c r="G162" s="15">
        <v>3</v>
      </c>
      <c r="H162" s="19" t="str">
        <f>_xlfn.CONCAT(tbResults[[#This Row],[Season]],".",tbResults[[#This Row],[Stage]])</f>
        <v>2.2</v>
      </c>
      <c r="I162" s="19" t="str">
        <f>_xlfn.CONCAT(tbResults[[#This Row],[Season]],".",tbResults[[#This Row],[Stage]],".",TEXT(tbResults[[#This Row],[Week]],"00"))</f>
        <v>2.2.01</v>
      </c>
      <c r="J162" s="19" t="str">
        <f>_xlfn.CONCAT(tbResults[[#This Row],[Week Title]],".",TEXT(tbResults[[#This Row],[Match]],"00"))</f>
        <v>2.2.01.07</v>
      </c>
      <c r="K162" s="20" t="str">
        <f>_xlfn.CONCAT(tbResults[[#This Row],[Game Title]], " ", tbResults[[#This Row],[Player1]], " vs ", tbResults[[#This Row],[Player2]] )</f>
        <v>2.2.01.07.3 Rapha vs Psygib</v>
      </c>
      <c r="L162" s="6" t="s">
        <v>47</v>
      </c>
      <c r="M162" s="6" t="s">
        <v>30</v>
      </c>
      <c r="N162" s="6" t="s">
        <v>40</v>
      </c>
      <c r="O162" s="6" t="s">
        <v>21</v>
      </c>
      <c r="P162" s="6" t="s">
        <v>28</v>
      </c>
      <c r="Q162" s="8">
        <v>23</v>
      </c>
      <c r="R162" s="8">
        <v>5</v>
      </c>
      <c r="S162" s="8" t="s">
        <v>81</v>
      </c>
      <c r="T162" s="16" t="s">
        <v>47</v>
      </c>
      <c r="U162" s="16" t="s">
        <v>38</v>
      </c>
      <c r="V162" s="46" t="str">
        <f>IF(tbResults[[#This Row],[Player1 Score]]&gt;tbResults[[#This Row],[Player2 Score]],tbResults[[#This Row],[Player1]],tbResults[[#This Row],[Player2]])</f>
        <v>Rapha</v>
      </c>
      <c r="W162" s="48" t="str">
        <f>IF(tbResults[[#This Row],[Player1 Score]]&gt;tbResults[[#This Row],[Player2 Score]],tbResults[[#This Row],[Player2]],tbResults[[#This Row],[Player1]])</f>
        <v>Psygib</v>
      </c>
      <c r="X162" s="11" t="str">
        <f>IF(tbResults[[#This Row],[Winner]]=tbResults[[#This Row],[Player1]],tbResults[[#This Row],[Player1 Pick]],tbResults[[#This Row],[Player2 Pick]])</f>
        <v>Ranger</v>
      </c>
      <c r="Y162" s="11" t="str">
        <f>IF(tbResults[[#This Row],[Loser]]=tbResults[[#This Row],[Player1]],tbResults[[#This Row],[Player1 Pick]],tbResults[[#This Row],[Player2 Pick]])</f>
        <v>BJ Blazkowicz</v>
      </c>
      <c r="Z162" s="32">
        <f>SUM(tbResults[[#This Row],[Player1 Score]],tbResults[[#This Row],[Player2 Score]])</f>
        <v>28</v>
      </c>
      <c r="AA162" s="32">
        <f>ABS(tbResults[[#This Row],[Player1 Score]]-tbResults[[#This Row],[Player2 Score]])</f>
        <v>18</v>
      </c>
      <c r="AB162" s="37">
        <f>IF(tbResults[[#This Row],[Player1 Score]]&gt;tbResults[[#This Row],[Player2 Score]],tbResults[[#This Row],[Player1 Score]],tbResults[[#This Row],[Player2 Score]])</f>
        <v>23</v>
      </c>
      <c r="AC162" s="37">
        <f>IF(tbResults[[#This Row],[Player1 Score]]&lt;tbResults[[#This Row],[Player2 Score]],tbResults[[#This Row],[Player1 Score]],tbResults[[#This Row],[Player2 Score]])</f>
        <v>5</v>
      </c>
    </row>
    <row r="163" spans="2:29" s="3" customFormat="1" ht="30" customHeight="1" x14ac:dyDescent="0.3">
      <c r="B163" s="20" t="str">
        <f>_xlfn.CONCAT(tbResults[[#This Row],[Series Title]],".",tbResults[[#This Row],[Game]])</f>
        <v>2.2.02.01.1</v>
      </c>
      <c r="C163" s="15">
        <v>2</v>
      </c>
      <c r="D163" s="15">
        <v>2</v>
      </c>
      <c r="E163" s="15">
        <v>2</v>
      </c>
      <c r="F163" s="15">
        <v>1</v>
      </c>
      <c r="G163" s="15">
        <v>1</v>
      </c>
      <c r="H163" s="19" t="str">
        <f>_xlfn.CONCAT(tbResults[[#This Row],[Season]],".",tbResults[[#This Row],[Stage]])</f>
        <v>2.2</v>
      </c>
      <c r="I163" s="19" t="str">
        <f>_xlfn.CONCAT(tbResults[[#This Row],[Season]],".",tbResults[[#This Row],[Stage]],".",TEXT(tbResults[[#This Row],[Week]],"00"))</f>
        <v>2.2.02</v>
      </c>
      <c r="J163" s="19" t="str">
        <f>_xlfn.CONCAT(tbResults[[#This Row],[Week Title]],".",TEXT(tbResults[[#This Row],[Match]],"00"))</f>
        <v>2.2.02.01</v>
      </c>
      <c r="K163" s="20" t="str">
        <f>_xlfn.CONCAT(tbResults[[#This Row],[Game Title]], " ", tbResults[[#This Row],[Player1]], " vs ", tbResults[[#This Row],[Player2]] )</f>
        <v>2.2.02.01.1 Base vs Garpy</v>
      </c>
      <c r="L163" s="6" t="s">
        <v>51</v>
      </c>
      <c r="M163" s="6" t="s">
        <v>101</v>
      </c>
      <c r="N163" s="6" t="s">
        <v>40</v>
      </c>
      <c r="O163" s="6" t="s">
        <v>27</v>
      </c>
      <c r="P163" s="6" t="s">
        <v>25</v>
      </c>
      <c r="Q163" s="8">
        <v>9</v>
      </c>
      <c r="R163" s="8">
        <v>8</v>
      </c>
      <c r="S163" s="8" t="s">
        <v>82</v>
      </c>
      <c r="T163" s="16" t="s">
        <v>51</v>
      </c>
      <c r="U163" s="16" t="s">
        <v>35</v>
      </c>
      <c r="V163" s="46" t="str">
        <f>IF(tbResults[[#This Row],[Player1 Score]]&gt;tbResults[[#This Row],[Player2 Score]],tbResults[[#This Row],[Player1]],tbResults[[#This Row],[Player2]])</f>
        <v>Base</v>
      </c>
      <c r="W163" s="48" t="str">
        <f>IF(tbResults[[#This Row],[Player1 Score]]&gt;tbResults[[#This Row],[Player2 Score]],tbResults[[#This Row],[Player2]],tbResults[[#This Row],[Player1]])</f>
        <v>Garpy</v>
      </c>
      <c r="X163" s="11" t="str">
        <f>IF(tbResults[[#This Row],[Winner]]=tbResults[[#This Row],[Player1]],tbResults[[#This Row],[Player1 Pick]],tbResults[[#This Row],[Player2 Pick]])</f>
        <v>Keel</v>
      </c>
      <c r="Y163" s="11" t="str">
        <f>IF(tbResults[[#This Row],[Loser]]=tbResults[[#This Row],[Player1]],tbResults[[#This Row],[Player1 Pick]],tbResults[[#This Row],[Player2 Pick]])</f>
        <v>Sorlag</v>
      </c>
      <c r="Z163" s="32">
        <f>SUM(tbResults[[#This Row],[Player1 Score]],tbResults[[#This Row],[Player2 Score]])</f>
        <v>17</v>
      </c>
      <c r="AA163" s="32">
        <f>ABS(tbResults[[#This Row],[Player1 Score]]-tbResults[[#This Row],[Player2 Score]])</f>
        <v>1</v>
      </c>
      <c r="AB163" s="37">
        <f>IF(tbResults[[#This Row],[Player1 Score]]&gt;tbResults[[#This Row],[Player2 Score]],tbResults[[#This Row],[Player1 Score]],tbResults[[#This Row],[Player2 Score]])</f>
        <v>9</v>
      </c>
      <c r="AC163" s="37">
        <f>IF(tbResults[[#This Row],[Player1 Score]]&lt;tbResults[[#This Row],[Player2 Score]],tbResults[[#This Row],[Player1 Score]],tbResults[[#This Row],[Player2 Score]])</f>
        <v>8</v>
      </c>
    </row>
    <row r="164" spans="2:29" s="3" customFormat="1" ht="30" customHeight="1" x14ac:dyDescent="0.3">
      <c r="B164" s="20" t="str">
        <f>_xlfn.CONCAT(tbResults[[#This Row],[Series Title]],".",tbResults[[#This Row],[Game]])</f>
        <v>2.2.02.01.2</v>
      </c>
      <c r="C164" s="15">
        <v>2</v>
      </c>
      <c r="D164" s="15">
        <v>2</v>
      </c>
      <c r="E164" s="15">
        <v>2</v>
      </c>
      <c r="F164" s="15">
        <v>1</v>
      </c>
      <c r="G164" s="15">
        <v>2</v>
      </c>
      <c r="H164" s="19" t="str">
        <f>_xlfn.CONCAT(tbResults[[#This Row],[Season]],".",tbResults[[#This Row],[Stage]])</f>
        <v>2.2</v>
      </c>
      <c r="I164" s="19" t="str">
        <f>_xlfn.CONCAT(tbResults[[#This Row],[Season]],".",tbResults[[#This Row],[Stage]],".",TEXT(tbResults[[#This Row],[Week]],"00"))</f>
        <v>2.2.02</v>
      </c>
      <c r="J164" s="19" t="str">
        <f>_xlfn.CONCAT(tbResults[[#This Row],[Week Title]],".",TEXT(tbResults[[#This Row],[Match]],"00"))</f>
        <v>2.2.02.01</v>
      </c>
      <c r="K164" s="20" t="str">
        <f>_xlfn.CONCAT(tbResults[[#This Row],[Game Title]], " ", tbResults[[#This Row],[Player1]], " vs ", tbResults[[#This Row],[Player2]] )</f>
        <v>2.2.02.01.2 Base vs Garpy</v>
      </c>
      <c r="L164" s="6" t="s">
        <v>51</v>
      </c>
      <c r="M164" s="6" t="s">
        <v>101</v>
      </c>
      <c r="N164" s="6" t="s">
        <v>43</v>
      </c>
      <c r="O164" s="6" t="s">
        <v>28</v>
      </c>
      <c r="P164" s="6" t="s">
        <v>34</v>
      </c>
      <c r="Q164" s="8">
        <v>5</v>
      </c>
      <c r="R164" s="8">
        <v>3</v>
      </c>
      <c r="S164" s="8" t="s">
        <v>81</v>
      </c>
      <c r="T164" s="16" t="s">
        <v>101</v>
      </c>
      <c r="U164" s="16" t="s">
        <v>37</v>
      </c>
      <c r="V164" s="46" t="str">
        <f>IF(tbResults[[#This Row],[Player1 Score]]&gt;tbResults[[#This Row],[Player2 Score]],tbResults[[#This Row],[Player1]],tbResults[[#This Row],[Player2]])</f>
        <v>Base</v>
      </c>
      <c r="W164" s="48" t="str">
        <f>IF(tbResults[[#This Row],[Player1 Score]]&gt;tbResults[[#This Row],[Player2 Score]],tbResults[[#This Row],[Player2]],tbResults[[#This Row],[Player1]])</f>
        <v>Garpy</v>
      </c>
      <c r="X164" s="11" t="str">
        <f>IF(tbResults[[#This Row],[Winner]]=tbResults[[#This Row],[Player1]],tbResults[[#This Row],[Player1 Pick]],tbResults[[#This Row],[Player2 Pick]])</f>
        <v>BJ Blazkowicz</v>
      </c>
      <c r="Y164" s="11" t="str">
        <f>IF(tbResults[[#This Row],[Loser]]=tbResults[[#This Row],[Player1]],tbResults[[#This Row],[Player1 Pick]],tbResults[[#This Row],[Player2 Pick]])</f>
        <v>Galena</v>
      </c>
      <c r="Z164" s="32">
        <f>SUM(tbResults[[#This Row],[Player1 Score]],tbResults[[#This Row],[Player2 Score]])</f>
        <v>8</v>
      </c>
      <c r="AA164" s="32">
        <f>ABS(tbResults[[#This Row],[Player1 Score]]-tbResults[[#This Row],[Player2 Score]])</f>
        <v>2</v>
      </c>
      <c r="AB164" s="37">
        <f>IF(tbResults[[#This Row],[Player1 Score]]&gt;tbResults[[#This Row],[Player2 Score]],tbResults[[#This Row],[Player1 Score]],tbResults[[#This Row],[Player2 Score]])</f>
        <v>5</v>
      </c>
      <c r="AC164" s="37">
        <f>IF(tbResults[[#This Row],[Player1 Score]]&lt;tbResults[[#This Row],[Player2 Score]],tbResults[[#This Row],[Player1 Score]],tbResults[[#This Row],[Player2 Score]])</f>
        <v>3</v>
      </c>
    </row>
    <row r="165" spans="2:29" s="3" customFormat="1" ht="30" customHeight="1" x14ac:dyDescent="0.3">
      <c r="B165" s="20" t="str">
        <f>_xlfn.CONCAT(tbResults[[#This Row],[Series Title]],".",tbResults[[#This Row],[Game]])</f>
        <v>2.2.02.01.3</v>
      </c>
      <c r="C165" s="15">
        <v>2</v>
      </c>
      <c r="D165" s="15">
        <v>2</v>
      </c>
      <c r="E165" s="15">
        <v>2</v>
      </c>
      <c r="F165" s="15">
        <v>1</v>
      </c>
      <c r="G165" s="15">
        <v>3</v>
      </c>
      <c r="H165" s="19" t="str">
        <f>_xlfn.CONCAT(tbResults[[#This Row],[Season]],".",tbResults[[#This Row],[Stage]])</f>
        <v>2.2</v>
      </c>
      <c r="I165" s="19" t="str">
        <f>_xlfn.CONCAT(tbResults[[#This Row],[Season]],".",tbResults[[#This Row],[Stage]],".",TEXT(tbResults[[#This Row],[Week]],"00"))</f>
        <v>2.2.02</v>
      </c>
      <c r="J165" s="19" t="str">
        <f>_xlfn.CONCAT(tbResults[[#This Row],[Week Title]],".",TEXT(tbResults[[#This Row],[Match]],"00"))</f>
        <v>2.2.02.01</v>
      </c>
      <c r="K165" s="20" t="str">
        <f>_xlfn.CONCAT(tbResults[[#This Row],[Game Title]], " ", tbResults[[#This Row],[Player1]], " vs ", tbResults[[#This Row],[Player2]] )</f>
        <v>2.2.02.01.3 Base vs Garpy</v>
      </c>
      <c r="L165" s="6" t="s">
        <v>51</v>
      </c>
      <c r="M165" s="6" t="s">
        <v>101</v>
      </c>
      <c r="N165" s="6" t="s">
        <v>26</v>
      </c>
      <c r="O165" s="6" t="s">
        <v>39</v>
      </c>
      <c r="P165" s="6" t="s">
        <v>21</v>
      </c>
      <c r="Q165" s="8">
        <v>13</v>
      </c>
      <c r="R165" s="8">
        <v>6</v>
      </c>
      <c r="S165" s="8" t="s">
        <v>81</v>
      </c>
      <c r="T165" s="16" t="s">
        <v>51</v>
      </c>
      <c r="U165" s="16" t="s">
        <v>38</v>
      </c>
      <c r="V165" s="46" t="str">
        <f>IF(tbResults[[#This Row],[Player1 Score]]&gt;tbResults[[#This Row],[Player2 Score]],tbResults[[#This Row],[Player1]],tbResults[[#This Row],[Player2]])</f>
        <v>Base</v>
      </c>
      <c r="W165" s="48" t="str">
        <f>IF(tbResults[[#This Row],[Player1 Score]]&gt;tbResults[[#This Row],[Player2 Score]],tbResults[[#This Row],[Player2]],tbResults[[#This Row],[Player1]])</f>
        <v>Garpy</v>
      </c>
      <c r="X165" s="11" t="str">
        <f>IF(tbResults[[#This Row],[Winner]]=tbResults[[#This Row],[Player1]],tbResults[[#This Row],[Player1 Pick]],tbResults[[#This Row],[Player2 Pick]])</f>
        <v>Anarki</v>
      </c>
      <c r="Y165" s="11" t="str">
        <f>IF(tbResults[[#This Row],[Loser]]=tbResults[[#This Row],[Player1]],tbResults[[#This Row],[Player1 Pick]],tbResults[[#This Row],[Player2 Pick]])</f>
        <v>Ranger</v>
      </c>
      <c r="Z165" s="32">
        <f>SUM(tbResults[[#This Row],[Player1 Score]],tbResults[[#This Row],[Player2 Score]])</f>
        <v>19</v>
      </c>
      <c r="AA165" s="32">
        <f>ABS(tbResults[[#This Row],[Player1 Score]]-tbResults[[#This Row],[Player2 Score]])</f>
        <v>7</v>
      </c>
      <c r="AB165" s="37">
        <f>IF(tbResults[[#This Row],[Player1 Score]]&gt;tbResults[[#This Row],[Player2 Score]],tbResults[[#This Row],[Player1 Score]],tbResults[[#This Row],[Player2 Score]])</f>
        <v>13</v>
      </c>
      <c r="AC165" s="37">
        <f>IF(tbResults[[#This Row],[Player1 Score]]&lt;tbResults[[#This Row],[Player2 Score]],tbResults[[#This Row],[Player1 Score]],tbResults[[#This Row],[Player2 Score]])</f>
        <v>6</v>
      </c>
    </row>
    <row r="166" spans="2:29" s="3" customFormat="1" ht="30" customHeight="1" x14ac:dyDescent="0.3">
      <c r="B166" s="20" t="str">
        <f>_xlfn.CONCAT(tbResults[[#This Row],[Series Title]],".",tbResults[[#This Row],[Game]])</f>
        <v>2.2.02.02.1</v>
      </c>
      <c r="C166" s="15">
        <v>2</v>
      </c>
      <c r="D166" s="15">
        <v>2</v>
      </c>
      <c r="E166" s="15">
        <v>2</v>
      </c>
      <c r="F166" s="15">
        <v>2</v>
      </c>
      <c r="G166" s="15">
        <v>1</v>
      </c>
      <c r="H166" s="19" t="str">
        <f>_xlfn.CONCAT(tbResults[[#This Row],[Season]],".",tbResults[[#This Row],[Stage]])</f>
        <v>2.2</v>
      </c>
      <c r="I166" s="19" t="str">
        <f>_xlfn.CONCAT(tbResults[[#This Row],[Season]],".",tbResults[[#This Row],[Stage]],".",TEXT(tbResults[[#This Row],[Week]],"00"))</f>
        <v>2.2.02</v>
      </c>
      <c r="J166" s="19" t="str">
        <f>_xlfn.CONCAT(tbResults[[#This Row],[Week Title]],".",TEXT(tbResults[[#This Row],[Match]],"00"))</f>
        <v>2.2.02.02</v>
      </c>
      <c r="K166" s="20" t="str">
        <f>_xlfn.CONCAT(tbResults[[#This Row],[Game Title]], " ", tbResults[[#This Row],[Player1]], " vs ", tbResults[[#This Row],[Player2]] )</f>
        <v>2.2.02.02.1 Effortless vs cha1n</v>
      </c>
      <c r="L166" s="6" t="s">
        <v>6</v>
      </c>
      <c r="M166" s="6" t="s">
        <v>53</v>
      </c>
      <c r="N166" s="6" t="s">
        <v>33</v>
      </c>
      <c r="O166" s="6" t="s">
        <v>21</v>
      </c>
      <c r="P166" s="6" t="s">
        <v>34</v>
      </c>
      <c r="Q166" s="8">
        <v>3</v>
      </c>
      <c r="R166" s="8">
        <v>6</v>
      </c>
      <c r="S166" s="8" t="s">
        <v>81</v>
      </c>
      <c r="T166" s="16" t="s">
        <v>53</v>
      </c>
      <c r="U166" s="16" t="s">
        <v>55</v>
      </c>
      <c r="V166" s="46" t="str">
        <f>IF(tbResults[[#This Row],[Player1 Score]]&gt;tbResults[[#This Row],[Player2 Score]],tbResults[[#This Row],[Player1]],tbResults[[#This Row],[Player2]])</f>
        <v>cha1n</v>
      </c>
      <c r="W166" s="48" t="str">
        <f>IF(tbResults[[#This Row],[Player1 Score]]&gt;tbResults[[#This Row],[Player2 Score]],tbResults[[#This Row],[Player2]],tbResults[[#This Row],[Player1]])</f>
        <v>Effortless</v>
      </c>
      <c r="X166" s="11" t="str">
        <f>IF(tbResults[[#This Row],[Winner]]=tbResults[[#This Row],[Player1]],tbResults[[#This Row],[Player1 Pick]],tbResults[[#This Row],[Player2 Pick]])</f>
        <v>Galena</v>
      </c>
      <c r="Y166" s="11" t="str">
        <f>IF(tbResults[[#This Row],[Loser]]=tbResults[[#This Row],[Player1]],tbResults[[#This Row],[Player1 Pick]],tbResults[[#This Row],[Player2 Pick]])</f>
        <v>Ranger</v>
      </c>
      <c r="Z166" s="32">
        <f>SUM(tbResults[[#This Row],[Player1 Score]],tbResults[[#This Row],[Player2 Score]])</f>
        <v>9</v>
      </c>
      <c r="AA166" s="32">
        <f>ABS(tbResults[[#This Row],[Player1 Score]]-tbResults[[#This Row],[Player2 Score]])</f>
        <v>3</v>
      </c>
      <c r="AB166" s="37">
        <f>IF(tbResults[[#This Row],[Player1 Score]]&gt;tbResults[[#This Row],[Player2 Score]],tbResults[[#This Row],[Player1 Score]],tbResults[[#This Row],[Player2 Score]])</f>
        <v>6</v>
      </c>
      <c r="AC166" s="37">
        <f>IF(tbResults[[#This Row],[Player1 Score]]&lt;tbResults[[#This Row],[Player2 Score]],tbResults[[#This Row],[Player1 Score]],tbResults[[#This Row],[Player2 Score]])</f>
        <v>3</v>
      </c>
    </row>
    <row r="167" spans="2:29" s="3" customFormat="1" ht="30" customHeight="1" x14ac:dyDescent="0.3">
      <c r="B167" s="20" t="str">
        <f>_xlfn.CONCAT(tbResults[[#This Row],[Series Title]],".",tbResults[[#This Row],[Game]])</f>
        <v>2.2.02.02.2</v>
      </c>
      <c r="C167" s="15">
        <v>2</v>
      </c>
      <c r="D167" s="15">
        <v>2</v>
      </c>
      <c r="E167" s="15">
        <v>2</v>
      </c>
      <c r="F167" s="15">
        <v>2</v>
      </c>
      <c r="G167" s="15">
        <v>2</v>
      </c>
      <c r="H167" s="19" t="str">
        <f>_xlfn.CONCAT(tbResults[[#This Row],[Season]],".",tbResults[[#This Row],[Stage]])</f>
        <v>2.2</v>
      </c>
      <c r="I167" s="19" t="str">
        <f>_xlfn.CONCAT(tbResults[[#This Row],[Season]],".",tbResults[[#This Row],[Stage]],".",TEXT(tbResults[[#This Row],[Week]],"00"))</f>
        <v>2.2.02</v>
      </c>
      <c r="J167" s="19" t="str">
        <f>_xlfn.CONCAT(tbResults[[#This Row],[Week Title]],".",TEXT(tbResults[[#This Row],[Match]],"00"))</f>
        <v>2.2.02.02</v>
      </c>
      <c r="K167" s="20" t="str">
        <f>_xlfn.CONCAT(tbResults[[#This Row],[Game Title]], " ", tbResults[[#This Row],[Player1]], " vs ", tbResults[[#This Row],[Player2]] )</f>
        <v>2.2.02.02.2 Effortless vs cha1n</v>
      </c>
      <c r="L167" s="6" t="s">
        <v>6</v>
      </c>
      <c r="M167" s="6" t="s">
        <v>53</v>
      </c>
      <c r="N167" s="6" t="s">
        <v>19</v>
      </c>
      <c r="O167" s="6" t="s">
        <v>27</v>
      </c>
      <c r="P167" s="6" t="s">
        <v>22</v>
      </c>
      <c r="Q167" s="8">
        <v>7</v>
      </c>
      <c r="R167" s="8">
        <v>11</v>
      </c>
      <c r="S167" s="8" t="s">
        <v>81</v>
      </c>
      <c r="T167" s="16" t="s">
        <v>6</v>
      </c>
      <c r="U167" s="16" t="s">
        <v>35</v>
      </c>
      <c r="V167" s="46" t="str">
        <f>IF(tbResults[[#This Row],[Player1 Score]]&gt;tbResults[[#This Row],[Player2 Score]],tbResults[[#This Row],[Player1]],tbResults[[#This Row],[Player2]])</f>
        <v>cha1n</v>
      </c>
      <c r="W167" s="48" t="str">
        <f>IF(tbResults[[#This Row],[Player1 Score]]&gt;tbResults[[#This Row],[Player2 Score]],tbResults[[#This Row],[Player2]],tbResults[[#This Row],[Player1]])</f>
        <v>Effortless</v>
      </c>
      <c r="X167" s="11" t="str">
        <f>IF(tbResults[[#This Row],[Winner]]=tbResults[[#This Row],[Player1]],tbResults[[#This Row],[Player1 Pick]],tbResults[[#This Row],[Player2 Pick]])</f>
        <v>Strogg</v>
      </c>
      <c r="Y167" s="11" t="str">
        <f>IF(tbResults[[#This Row],[Loser]]=tbResults[[#This Row],[Player1]],tbResults[[#This Row],[Player1 Pick]],tbResults[[#This Row],[Player2 Pick]])</f>
        <v>Keel</v>
      </c>
      <c r="Z167" s="32">
        <f>SUM(tbResults[[#This Row],[Player1 Score]],tbResults[[#This Row],[Player2 Score]])</f>
        <v>18</v>
      </c>
      <c r="AA167" s="32">
        <f>ABS(tbResults[[#This Row],[Player1 Score]]-tbResults[[#This Row],[Player2 Score]])</f>
        <v>4</v>
      </c>
      <c r="AB167" s="37">
        <f>IF(tbResults[[#This Row],[Player1 Score]]&gt;tbResults[[#This Row],[Player2 Score]],tbResults[[#This Row],[Player1 Score]],tbResults[[#This Row],[Player2 Score]])</f>
        <v>11</v>
      </c>
      <c r="AC167" s="37">
        <f>IF(tbResults[[#This Row],[Player1 Score]]&lt;tbResults[[#This Row],[Player2 Score]],tbResults[[#This Row],[Player1 Score]],tbResults[[#This Row],[Player2 Score]])</f>
        <v>7</v>
      </c>
    </row>
    <row r="168" spans="2:29" s="3" customFormat="1" ht="30" customHeight="1" x14ac:dyDescent="0.3">
      <c r="B168" s="20" t="str">
        <f>_xlfn.CONCAT(tbResults[[#This Row],[Series Title]],".",tbResults[[#This Row],[Game]])</f>
        <v>2.2.02.02.3</v>
      </c>
      <c r="C168" s="15">
        <v>2</v>
      </c>
      <c r="D168" s="15">
        <v>2</v>
      </c>
      <c r="E168" s="15">
        <v>2</v>
      </c>
      <c r="F168" s="15">
        <v>2</v>
      </c>
      <c r="G168" s="15">
        <v>3</v>
      </c>
      <c r="H168" s="19" t="str">
        <f>_xlfn.CONCAT(tbResults[[#This Row],[Season]],".",tbResults[[#This Row],[Stage]])</f>
        <v>2.2</v>
      </c>
      <c r="I168" s="19" t="str">
        <f>_xlfn.CONCAT(tbResults[[#This Row],[Season]],".",tbResults[[#This Row],[Stage]],".",TEXT(tbResults[[#This Row],[Week]],"00"))</f>
        <v>2.2.02</v>
      </c>
      <c r="J168" s="19" t="str">
        <f>_xlfn.CONCAT(tbResults[[#This Row],[Week Title]],".",TEXT(tbResults[[#This Row],[Match]],"00"))</f>
        <v>2.2.02.02</v>
      </c>
      <c r="K168" s="20" t="str">
        <f>_xlfn.CONCAT(tbResults[[#This Row],[Game Title]], " ", tbResults[[#This Row],[Player1]], " vs ", tbResults[[#This Row],[Player2]] )</f>
        <v>2.2.02.02.3 Effortless vs cha1n</v>
      </c>
      <c r="L168" s="6" t="s">
        <v>6</v>
      </c>
      <c r="M168" s="6" t="s">
        <v>53</v>
      </c>
      <c r="N168" s="6" t="s">
        <v>43</v>
      </c>
      <c r="O168" s="6" t="s">
        <v>37</v>
      </c>
      <c r="P168" s="6" t="s">
        <v>28</v>
      </c>
      <c r="Q168" s="8">
        <v>4</v>
      </c>
      <c r="R168" s="8">
        <v>6</v>
      </c>
      <c r="S168" s="8" t="s">
        <v>81</v>
      </c>
      <c r="T168" s="16" t="s">
        <v>53</v>
      </c>
      <c r="U168" s="16" t="s">
        <v>25</v>
      </c>
      <c r="V168" s="46" t="str">
        <f>IF(tbResults[[#This Row],[Player1 Score]]&gt;tbResults[[#This Row],[Player2 Score]],tbResults[[#This Row],[Player1]],tbResults[[#This Row],[Player2]])</f>
        <v>cha1n</v>
      </c>
      <c r="W168" s="48" t="str">
        <f>IF(tbResults[[#This Row],[Player1 Score]]&gt;tbResults[[#This Row],[Player2 Score]],tbResults[[#This Row],[Player2]],tbResults[[#This Row],[Player1]])</f>
        <v>Effortless</v>
      </c>
      <c r="X168" s="11" t="str">
        <f>IF(tbResults[[#This Row],[Winner]]=tbResults[[#This Row],[Player1]],tbResults[[#This Row],[Player1 Pick]],tbResults[[#This Row],[Player2 Pick]])</f>
        <v>BJ Blazkowicz</v>
      </c>
      <c r="Y168" s="11" t="str">
        <f>IF(tbResults[[#This Row],[Loser]]=tbResults[[#This Row],[Player1]],tbResults[[#This Row],[Player1 Pick]],tbResults[[#This Row],[Player2 Pick]])</f>
        <v>Eisen</v>
      </c>
      <c r="Z168" s="32">
        <f>SUM(tbResults[[#This Row],[Player1 Score]],tbResults[[#This Row],[Player2 Score]])</f>
        <v>10</v>
      </c>
      <c r="AA168" s="32">
        <f>ABS(tbResults[[#This Row],[Player1 Score]]-tbResults[[#This Row],[Player2 Score]])</f>
        <v>2</v>
      </c>
      <c r="AB168" s="37">
        <f>IF(tbResults[[#This Row],[Player1 Score]]&gt;tbResults[[#This Row],[Player2 Score]],tbResults[[#This Row],[Player1 Score]],tbResults[[#This Row],[Player2 Score]])</f>
        <v>6</v>
      </c>
      <c r="AC168" s="37">
        <f>IF(tbResults[[#This Row],[Player1 Score]]&lt;tbResults[[#This Row],[Player2 Score]],tbResults[[#This Row],[Player1 Score]],tbResults[[#This Row],[Player2 Score]])</f>
        <v>4</v>
      </c>
    </row>
    <row r="169" spans="2:29" s="3" customFormat="1" ht="30" customHeight="1" x14ac:dyDescent="0.3">
      <c r="B169" s="20" t="str">
        <f>_xlfn.CONCAT(tbResults[[#This Row],[Series Title]],".",tbResults[[#This Row],[Game]])</f>
        <v>2.2.02.03.1</v>
      </c>
      <c r="C169" s="15">
        <v>2</v>
      </c>
      <c r="D169" s="15">
        <v>2</v>
      </c>
      <c r="E169" s="15">
        <v>2</v>
      </c>
      <c r="F169" s="15">
        <v>3</v>
      </c>
      <c r="G169" s="15">
        <v>1</v>
      </c>
      <c r="H169" s="19" t="str">
        <f>_xlfn.CONCAT(tbResults[[#This Row],[Season]],".",tbResults[[#This Row],[Stage]])</f>
        <v>2.2</v>
      </c>
      <c r="I169" s="19" t="str">
        <f>_xlfn.CONCAT(tbResults[[#This Row],[Season]],".",tbResults[[#This Row],[Stage]],".",TEXT(tbResults[[#This Row],[Week]],"00"))</f>
        <v>2.2.02</v>
      </c>
      <c r="J169" s="19" t="str">
        <f>_xlfn.CONCAT(tbResults[[#This Row],[Week Title]],".",TEXT(tbResults[[#This Row],[Match]],"00"))</f>
        <v>2.2.02.03</v>
      </c>
      <c r="K169" s="20" t="str">
        <f>_xlfn.CONCAT(tbResults[[#This Row],[Game Title]], " ", tbResults[[#This Row],[Player1]], " vs ", tbResults[[#This Row],[Player2]] )</f>
        <v>2.2.02.03.1 Av3k vs cnz</v>
      </c>
      <c r="L169" s="6" t="s">
        <v>52</v>
      </c>
      <c r="M169" s="6" t="s">
        <v>54</v>
      </c>
      <c r="N169" s="6" t="s">
        <v>23</v>
      </c>
      <c r="O169" s="6" t="s">
        <v>22</v>
      </c>
      <c r="P169" s="6" t="s">
        <v>21</v>
      </c>
      <c r="Q169" s="8">
        <v>6</v>
      </c>
      <c r="R169" s="8">
        <v>4</v>
      </c>
      <c r="S169" s="8" t="s">
        <v>81</v>
      </c>
      <c r="T169" s="16" t="s">
        <v>52</v>
      </c>
      <c r="U169" s="16" t="s">
        <v>55</v>
      </c>
      <c r="V169" s="46" t="str">
        <f>IF(tbResults[[#This Row],[Player1 Score]]&gt;tbResults[[#This Row],[Player2 Score]],tbResults[[#This Row],[Player1]],tbResults[[#This Row],[Player2]])</f>
        <v>Av3k</v>
      </c>
      <c r="W169" s="48" t="str">
        <f>IF(tbResults[[#This Row],[Player1 Score]]&gt;tbResults[[#This Row],[Player2 Score]],tbResults[[#This Row],[Player2]],tbResults[[#This Row],[Player1]])</f>
        <v>cnz</v>
      </c>
      <c r="X169" s="11" t="str">
        <f>IF(tbResults[[#This Row],[Winner]]=tbResults[[#This Row],[Player1]],tbResults[[#This Row],[Player1 Pick]],tbResults[[#This Row],[Player2 Pick]])</f>
        <v>Strogg</v>
      </c>
      <c r="Y169" s="11" t="str">
        <f>IF(tbResults[[#This Row],[Loser]]=tbResults[[#This Row],[Player1]],tbResults[[#This Row],[Player1 Pick]],tbResults[[#This Row],[Player2 Pick]])</f>
        <v>Ranger</v>
      </c>
      <c r="Z169" s="32">
        <f>SUM(tbResults[[#This Row],[Player1 Score]],tbResults[[#This Row],[Player2 Score]])</f>
        <v>10</v>
      </c>
      <c r="AA169" s="32">
        <f>ABS(tbResults[[#This Row],[Player1 Score]]-tbResults[[#This Row],[Player2 Score]])</f>
        <v>2</v>
      </c>
      <c r="AB169" s="37">
        <f>IF(tbResults[[#This Row],[Player1 Score]]&gt;tbResults[[#This Row],[Player2 Score]],tbResults[[#This Row],[Player1 Score]],tbResults[[#This Row],[Player2 Score]])</f>
        <v>6</v>
      </c>
      <c r="AC169" s="37">
        <f>IF(tbResults[[#This Row],[Player1 Score]]&lt;tbResults[[#This Row],[Player2 Score]],tbResults[[#This Row],[Player1 Score]],tbResults[[#This Row],[Player2 Score]])</f>
        <v>4</v>
      </c>
    </row>
    <row r="170" spans="2:29" s="3" customFormat="1" ht="30" customHeight="1" x14ac:dyDescent="0.3">
      <c r="B170" s="20" t="str">
        <f>_xlfn.CONCAT(tbResults[[#This Row],[Series Title]],".",tbResults[[#This Row],[Game]])</f>
        <v>2.2.02.03.2</v>
      </c>
      <c r="C170" s="15">
        <v>2</v>
      </c>
      <c r="D170" s="15">
        <v>2</v>
      </c>
      <c r="E170" s="15">
        <v>2</v>
      </c>
      <c r="F170" s="15">
        <v>3</v>
      </c>
      <c r="G170" s="15">
        <v>2</v>
      </c>
      <c r="H170" s="19" t="str">
        <f>_xlfn.CONCAT(tbResults[[#This Row],[Season]],".",tbResults[[#This Row],[Stage]])</f>
        <v>2.2</v>
      </c>
      <c r="I170" s="19" t="str">
        <f>_xlfn.CONCAT(tbResults[[#This Row],[Season]],".",tbResults[[#This Row],[Stage]],".",TEXT(tbResults[[#This Row],[Week]],"00"))</f>
        <v>2.2.02</v>
      </c>
      <c r="J170" s="19" t="str">
        <f>_xlfn.CONCAT(tbResults[[#This Row],[Week Title]],".",TEXT(tbResults[[#This Row],[Match]],"00"))</f>
        <v>2.2.02.03</v>
      </c>
      <c r="K170" s="20" t="str">
        <f>_xlfn.CONCAT(tbResults[[#This Row],[Game Title]], " ", tbResults[[#This Row],[Player1]], " vs ", tbResults[[#This Row],[Player2]] )</f>
        <v>2.2.02.03.2 Av3k vs cnz</v>
      </c>
      <c r="L170" s="6" t="s">
        <v>52</v>
      </c>
      <c r="M170" s="6" t="s">
        <v>54</v>
      </c>
      <c r="N170" s="6" t="s">
        <v>19</v>
      </c>
      <c r="O170" s="6" t="s">
        <v>37</v>
      </c>
      <c r="P170" s="6" t="s">
        <v>38</v>
      </c>
      <c r="Q170" s="8">
        <v>6</v>
      </c>
      <c r="R170" s="8">
        <v>5</v>
      </c>
      <c r="S170" s="8" t="s">
        <v>82</v>
      </c>
      <c r="T170" s="16" t="s">
        <v>54</v>
      </c>
      <c r="U170" s="16" t="s">
        <v>34</v>
      </c>
      <c r="V170" s="46" t="str">
        <f>IF(tbResults[[#This Row],[Player1 Score]]&gt;tbResults[[#This Row],[Player2 Score]],tbResults[[#This Row],[Player1]],tbResults[[#This Row],[Player2]])</f>
        <v>Av3k</v>
      </c>
      <c r="W170" s="48" t="str">
        <f>IF(tbResults[[#This Row],[Player1 Score]]&gt;tbResults[[#This Row],[Player2 Score]],tbResults[[#This Row],[Player2]],tbResults[[#This Row],[Player1]])</f>
        <v>cnz</v>
      </c>
      <c r="X170" s="11" t="str">
        <f>IF(tbResults[[#This Row],[Winner]]=tbResults[[#This Row],[Player1]],tbResults[[#This Row],[Player1 Pick]],tbResults[[#This Row],[Player2 Pick]])</f>
        <v>Eisen</v>
      </c>
      <c r="Y170" s="11" t="str">
        <f>IF(tbResults[[#This Row],[Loser]]=tbResults[[#This Row],[Player1]],tbResults[[#This Row],[Player1 Pick]],tbResults[[#This Row],[Player2 Pick]])</f>
        <v>Nyx</v>
      </c>
      <c r="Z170" s="32">
        <f>SUM(tbResults[[#This Row],[Player1 Score]],tbResults[[#This Row],[Player2 Score]])</f>
        <v>11</v>
      </c>
      <c r="AA170" s="32">
        <f>ABS(tbResults[[#This Row],[Player1 Score]]-tbResults[[#This Row],[Player2 Score]])</f>
        <v>1</v>
      </c>
      <c r="AB170" s="37">
        <f>IF(tbResults[[#This Row],[Player1 Score]]&gt;tbResults[[#This Row],[Player2 Score]],tbResults[[#This Row],[Player1 Score]],tbResults[[#This Row],[Player2 Score]])</f>
        <v>6</v>
      </c>
      <c r="AC170" s="37">
        <f>IF(tbResults[[#This Row],[Player1 Score]]&lt;tbResults[[#This Row],[Player2 Score]],tbResults[[#This Row],[Player1 Score]],tbResults[[#This Row],[Player2 Score]])</f>
        <v>5</v>
      </c>
    </row>
    <row r="171" spans="2:29" s="3" customFormat="1" ht="30" customHeight="1" x14ac:dyDescent="0.3">
      <c r="B171" s="20" t="str">
        <f>_xlfn.CONCAT(tbResults[[#This Row],[Series Title]],".",tbResults[[#This Row],[Game]])</f>
        <v>2.2.02.03.3</v>
      </c>
      <c r="C171" s="15">
        <v>2</v>
      </c>
      <c r="D171" s="15">
        <v>2</v>
      </c>
      <c r="E171" s="15">
        <v>2</v>
      </c>
      <c r="F171" s="15">
        <v>3</v>
      </c>
      <c r="G171" s="15">
        <v>3</v>
      </c>
      <c r="H171" s="19" t="str">
        <f>_xlfn.CONCAT(tbResults[[#This Row],[Season]],".",tbResults[[#This Row],[Stage]])</f>
        <v>2.2</v>
      </c>
      <c r="I171" s="19" t="str">
        <f>_xlfn.CONCAT(tbResults[[#This Row],[Season]],".",tbResults[[#This Row],[Stage]],".",TEXT(tbResults[[#This Row],[Week]],"00"))</f>
        <v>2.2.02</v>
      </c>
      <c r="J171" s="19" t="str">
        <f>_xlfn.CONCAT(tbResults[[#This Row],[Week Title]],".",TEXT(tbResults[[#This Row],[Match]],"00"))</f>
        <v>2.2.02.03</v>
      </c>
      <c r="K171" s="20" t="str">
        <f>_xlfn.CONCAT(tbResults[[#This Row],[Game Title]], " ", tbResults[[#This Row],[Player1]], " vs ", tbResults[[#This Row],[Player2]] )</f>
        <v>2.2.02.03.3 Av3k vs cnz</v>
      </c>
      <c r="L171" s="6" t="s">
        <v>52</v>
      </c>
      <c r="M171" s="6" t="s">
        <v>54</v>
      </c>
      <c r="N171" s="6" t="s">
        <v>43</v>
      </c>
      <c r="O171" s="6" t="s">
        <v>27</v>
      </c>
      <c r="P171" s="6" t="s">
        <v>44</v>
      </c>
      <c r="Q171" s="8">
        <v>19</v>
      </c>
      <c r="R171" s="8">
        <v>7</v>
      </c>
      <c r="S171" s="8" t="s">
        <v>81</v>
      </c>
      <c r="T171" s="16" t="s">
        <v>52</v>
      </c>
      <c r="U171" s="16" t="s">
        <v>44</v>
      </c>
      <c r="V171" s="46" t="str">
        <f>IF(tbResults[[#This Row],[Player1 Score]]&gt;tbResults[[#This Row],[Player2 Score]],tbResults[[#This Row],[Player1]],tbResults[[#This Row],[Player2]])</f>
        <v>Av3k</v>
      </c>
      <c r="W171" s="48" t="str">
        <f>IF(tbResults[[#This Row],[Player1 Score]]&gt;tbResults[[#This Row],[Player2 Score]],tbResults[[#This Row],[Player2]],tbResults[[#This Row],[Player1]])</f>
        <v>cnz</v>
      </c>
      <c r="X171" s="11" t="str">
        <f>IF(tbResults[[#This Row],[Winner]]=tbResults[[#This Row],[Player1]],tbResults[[#This Row],[Player1 Pick]],tbResults[[#This Row],[Player2 Pick]])</f>
        <v>Keel</v>
      </c>
      <c r="Y171" s="11" t="str">
        <f>IF(tbResults[[#This Row],[Loser]]=tbResults[[#This Row],[Player1]],tbResults[[#This Row],[Player1 Pick]],tbResults[[#This Row],[Player2 Pick]])</f>
        <v>Scalebearer</v>
      </c>
      <c r="Z171" s="32">
        <f>SUM(tbResults[[#This Row],[Player1 Score]],tbResults[[#This Row],[Player2 Score]])</f>
        <v>26</v>
      </c>
      <c r="AA171" s="32">
        <f>ABS(tbResults[[#This Row],[Player1 Score]]-tbResults[[#This Row],[Player2 Score]])</f>
        <v>12</v>
      </c>
      <c r="AB171" s="37">
        <f>IF(tbResults[[#This Row],[Player1 Score]]&gt;tbResults[[#This Row],[Player2 Score]],tbResults[[#This Row],[Player1 Score]],tbResults[[#This Row],[Player2 Score]])</f>
        <v>19</v>
      </c>
      <c r="AC171" s="37">
        <f>IF(tbResults[[#This Row],[Player1 Score]]&lt;tbResults[[#This Row],[Player2 Score]],tbResults[[#This Row],[Player1 Score]],tbResults[[#This Row],[Player2 Score]])</f>
        <v>7</v>
      </c>
    </row>
    <row r="172" spans="2:29" s="3" customFormat="1" ht="30" customHeight="1" x14ac:dyDescent="0.3">
      <c r="B172" s="20" t="str">
        <f>_xlfn.CONCAT(tbResults[[#This Row],[Series Title]],".",tbResults[[#This Row],[Game]])</f>
        <v>2.2.02.04.1</v>
      </c>
      <c r="C172" s="15">
        <v>2</v>
      </c>
      <c r="D172" s="15">
        <v>2</v>
      </c>
      <c r="E172" s="15">
        <v>2</v>
      </c>
      <c r="F172" s="15">
        <v>4</v>
      </c>
      <c r="G172" s="15">
        <v>1</v>
      </c>
      <c r="H172" s="19" t="str">
        <f>_xlfn.CONCAT(tbResults[[#This Row],[Season]],".",tbResults[[#This Row],[Stage]])</f>
        <v>2.2</v>
      </c>
      <c r="I172" s="19" t="str">
        <f>_xlfn.CONCAT(tbResults[[#This Row],[Season]],".",tbResults[[#This Row],[Stage]],".",TEXT(tbResults[[#This Row],[Week]],"00"))</f>
        <v>2.2.02</v>
      </c>
      <c r="J172" s="19" t="str">
        <f>_xlfn.CONCAT(tbResults[[#This Row],[Week Title]],".",TEXT(tbResults[[#This Row],[Match]],"00"))</f>
        <v>2.2.02.04</v>
      </c>
      <c r="K172" s="20" t="str">
        <f>_xlfn.CONCAT(tbResults[[#This Row],[Game Title]], " ", tbResults[[#This Row],[Player1]], " vs ", tbResults[[#This Row],[Player2]] )</f>
        <v>2.2.02.04.1 Psygib vs DaHanG</v>
      </c>
      <c r="L172" s="6" t="s">
        <v>30</v>
      </c>
      <c r="M172" s="6" t="s">
        <v>42</v>
      </c>
      <c r="N172" s="6" t="s">
        <v>40</v>
      </c>
      <c r="O172" s="6" t="s">
        <v>21</v>
      </c>
      <c r="P172" s="6" t="s">
        <v>35</v>
      </c>
      <c r="Q172" s="8">
        <v>5</v>
      </c>
      <c r="R172" s="8">
        <v>20</v>
      </c>
      <c r="S172" s="8" t="s">
        <v>81</v>
      </c>
      <c r="T172" s="16" t="s">
        <v>42</v>
      </c>
      <c r="U172" s="16" t="s">
        <v>22</v>
      </c>
      <c r="V172" s="46" t="str">
        <f>IF(tbResults[[#This Row],[Player1 Score]]&gt;tbResults[[#This Row],[Player2 Score]],tbResults[[#This Row],[Player1]],tbResults[[#This Row],[Player2]])</f>
        <v>DaHanG</v>
      </c>
      <c r="W172" s="48" t="str">
        <f>IF(tbResults[[#This Row],[Player1 Score]]&gt;tbResults[[#This Row],[Player2 Score]],tbResults[[#This Row],[Player2]],tbResults[[#This Row],[Player1]])</f>
        <v>Psygib</v>
      </c>
      <c r="X172" s="11" t="str">
        <f>IF(tbResults[[#This Row],[Winner]]=tbResults[[#This Row],[Player1]],tbResults[[#This Row],[Player1 Pick]],tbResults[[#This Row],[Player2 Pick]])</f>
        <v>Doom</v>
      </c>
      <c r="Y172" s="11" t="str">
        <f>IF(tbResults[[#This Row],[Loser]]=tbResults[[#This Row],[Player1]],tbResults[[#This Row],[Player1 Pick]],tbResults[[#This Row],[Player2 Pick]])</f>
        <v>Ranger</v>
      </c>
      <c r="Z172" s="32">
        <f>SUM(tbResults[[#This Row],[Player1 Score]],tbResults[[#This Row],[Player2 Score]])</f>
        <v>25</v>
      </c>
      <c r="AA172" s="32">
        <f>ABS(tbResults[[#This Row],[Player1 Score]]-tbResults[[#This Row],[Player2 Score]])</f>
        <v>15</v>
      </c>
      <c r="AB172" s="37">
        <f>IF(tbResults[[#This Row],[Player1 Score]]&gt;tbResults[[#This Row],[Player2 Score]],tbResults[[#This Row],[Player1 Score]],tbResults[[#This Row],[Player2 Score]])</f>
        <v>20</v>
      </c>
      <c r="AC172" s="37">
        <f>IF(tbResults[[#This Row],[Player1 Score]]&lt;tbResults[[#This Row],[Player2 Score]],tbResults[[#This Row],[Player1 Score]],tbResults[[#This Row],[Player2 Score]])</f>
        <v>5</v>
      </c>
    </row>
    <row r="173" spans="2:29" s="3" customFormat="1" ht="30" customHeight="1" x14ac:dyDescent="0.3">
      <c r="B173" s="20" t="str">
        <f>_xlfn.CONCAT(tbResults[[#This Row],[Series Title]],".",tbResults[[#This Row],[Game]])</f>
        <v>2.2.02.04.2</v>
      </c>
      <c r="C173" s="15">
        <v>2</v>
      </c>
      <c r="D173" s="15">
        <v>2</v>
      </c>
      <c r="E173" s="15">
        <v>2</v>
      </c>
      <c r="F173" s="15">
        <v>4</v>
      </c>
      <c r="G173" s="15">
        <v>2</v>
      </c>
      <c r="H173" s="19" t="str">
        <f>_xlfn.CONCAT(tbResults[[#This Row],[Season]],".",tbResults[[#This Row],[Stage]])</f>
        <v>2.2</v>
      </c>
      <c r="I173" s="19" t="str">
        <f>_xlfn.CONCAT(tbResults[[#This Row],[Season]],".",tbResults[[#This Row],[Stage]],".",TEXT(tbResults[[#This Row],[Week]],"00"))</f>
        <v>2.2.02</v>
      </c>
      <c r="J173" s="19" t="str">
        <f>_xlfn.CONCAT(tbResults[[#This Row],[Week Title]],".",TEXT(tbResults[[#This Row],[Match]],"00"))</f>
        <v>2.2.02.04</v>
      </c>
      <c r="K173" s="20" t="str">
        <f>_xlfn.CONCAT(tbResults[[#This Row],[Game Title]], " ", tbResults[[#This Row],[Player1]], " vs ", tbResults[[#This Row],[Player2]] )</f>
        <v>2.2.02.04.2 Psygib vs DaHanG</v>
      </c>
      <c r="L173" s="6" t="s">
        <v>30</v>
      </c>
      <c r="M173" s="6" t="s">
        <v>42</v>
      </c>
      <c r="N173" s="6" t="s">
        <v>19</v>
      </c>
      <c r="O173" s="6" t="s">
        <v>38</v>
      </c>
      <c r="P173" s="6" t="s">
        <v>37</v>
      </c>
      <c r="Q173" s="8">
        <v>7</v>
      </c>
      <c r="R173" s="8">
        <v>8</v>
      </c>
      <c r="S173" s="8" t="s">
        <v>81</v>
      </c>
      <c r="T173" s="16" t="s">
        <v>30</v>
      </c>
      <c r="U173" s="16" t="s">
        <v>55</v>
      </c>
      <c r="V173" s="46" t="str">
        <f>IF(tbResults[[#This Row],[Player1 Score]]&gt;tbResults[[#This Row],[Player2 Score]],tbResults[[#This Row],[Player1]],tbResults[[#This Row],[Player2]])</f>
        <v>DaHanG</v>
      </c>
      <c r="W173" s="48" t="str">
        <f>IF(tbResults[[#This Row],[Player1 Score]]&gt;tbResults[[#This Row],[Player2 Score]],tbResults[[#This Row],[Player2]],tbResults[[#This Row],[Player1]])</f>
        <v>Psygib</v>
      </c>
      <c r="X173" s="11" t="str">
        <f>IF(tbResults[[#This Row],[Winner]]=tbResults[[#This Row],[Player1]],tbResults[[#This Row],[Player1 Pick]],tbResults[[#This Row],[Player2 Pick]])</f>
        <v>Eisen</v>
      </c>
      <c r="Y173" s="11" t="str">
        <f>IF(tbResults[[#This Row],[Loser]]=tbResults[[#This Row],[Player1]],tbResults[[#This Row],[Player1 Pick]],tbResults[[#This Row],[Player2 Pick]])</f>
        <v>Nyx</v>
      </c>
      <c r="Z173" s="32">
        <f>SUM(tbResults[[#This Row],[Player1 Score]],tbResults[[#This Row],[Player2 Score]])</f>
        <v>15</v>
      </c>
      <c r="AA173" s="32">
        <f>ABS(tbResults[[#This Row],[Player1 Score]]-tbResults[[#This Row],[Player2 Score]])</f>
        <v>1</v>
      </c>
      <c r="AB173" s="37">
        <f>IF(tbResults[[#This Row],[Player1 Score]]&gt;tbResults[[#This Row],[Player2 Score]],tbResults[[#This Row],[Player1 Score]],tbResults[[#This Row],[Player2 Score]])</f>
        <v>8</v>
      </c>
      <c r="AC173" s="37">
        <f>IF(tbResults[[#This Row],[Player1 Score]]&lt;tbResults[[#This Row],[Player2 Score]],tbResults[[#This Row],[Player1 Score]],tbResults[[#This Row],[Player2 Score]])</f>
        <v>7</v>
      </c>
    </row>
    <row r="174" spans="2:29" s="3" customFormat="1" ht="30" customHeight="1" x14ac:dyDescent="0.3">
      <c r="B174" s="20" t="str">
        <f>_xlfn.CONCAT(tbResults[[#This Row],[Series Title]],".",tbResults[[#This Row],[Game]])</f>
        <v>2.2.02.04.3</v>
      </c>
      <c r="C174" s="15">
        <v>2</v>
      </c>
      <c r="D174" s="15">
        <v>2</v>
      </c>
      <c r="E174" s="15">
        <v>2</v>
      </c>
      <c r="F174" s="15">
        <v>4</v>
      </c>
      <c r="G174" s="15">
        <v>3</v>
      </c>
      <c r="H174" s="19" t="str">
        <f>_xlfn.CONCAT(tbResults[[#This Row],[Season]],".",tbResults[[#This Row],[Stage]])</f>
        <v>2.2</v>
      </c>
      <c r="I174" s="19" t="str">
        <f>_xlfn.CONCAT(tbResults[[#This Row],[Season]],".",tbResults[[#This Row],[Stage]],".",TEXT(tbResults[[#This Row],[Week]],"00"))</f>
        <v>2.2.02</v>
      </c>
      <c r="J174" s="19" t="str">
        <f>_xlfn.CONCAT(tbResults[[#This Row],[Week Title]],".",TEXT(tbResults[[#This Row],[Match]],"00"))</f>
        <v>2.2.02.04</v>
      </c>
      <c r="K174" s="20" t="str">
        <f>_xlfn.CONCAT(tbResults[[#This Row],[Game Title]], " ", tbResults[[#This Row],[Player1]], " vs ", tbResults[[#This Row],[Player2]] )</f>
        <v>2.2.02.04.3 Psygib vs DaHanG</v>
      </c>
      <c r="L174" s="6" t="s">
        <v>30</v>
      </c>
      <c r="M174" s="6" t="s">
        <v>42</v>
      </c>
      <c r="N174" s="6" t="s">
        <v>26</v>
      </c>
      <c r="O174" s="6" t="s">
        <v>44</v>
      </c>
      <c r="P174" s="6" t="s">
        <v>27</v>
      </c>
      <c r="Q174" s="8">
        <v>4</v>
      </c>
      <c r="R174" s="8">
        <v>3</v>
      </c>
      <c r="S174" s="8" t="s">
        <v>82</v>
      </c>
      <c r="T174" s="16" t="s">
        <v>42</v>
      </c>
      <c r="U174" s="16" t="s">
        <v>24</v>
      </c>
      <c r="V174" s="46" t="str">
        <f>IF(tbResults[[#This Row],[Player1 Score]]&gt;tbResults[[#This Row],[Player2 Score]],tbResults[[#This Row],[Player1]],tbResults[[#This Row],[Player2]])</f>
        <v>Psygib</v>
      </c>
      <c r="W174" s="48" t="str">
        <f>IF(tbResults[[#This Row],[Player1 Score]]&gt;tbResults[[#This Row],[Player2 Score]],tbResults[[#This Row],[Player2]],tbResults[[#This Row],[Player1]])</f>
        <v>DaHanG</v>
      </c>
      <c r="X174" s="11" t="str">
        <f>IF(tbResults[[#This Row],[Winner]]=tbResults[[#This Row],[Player1]],tbResults[[#This Row],[Player1 Pick]],tbResults[[#This Row],[Player2 Pick]])</f>
        <v>Scalebearer</v>
      </c>
      <c r="Y174" s="11" t="str">
        <f>IF(tbResults[[#This Row],[Loser]]=tbResults[[#This Row],[Player1]],tbResults[[#This Row],[Player1 Pick]],tbResults[[#This Row],[Player2 Pick]])</f>
        <v>Keel</v>
      </c>
      <c r="Z174" s="32">
        <f>SUM(tbResults[[#This Row],[Player1 Score]],tbResults[[#This Row],[Player2 Score]])</f>
        <v>7</v>
      </c>
      <c r="AA174" s="32">
        <f>ABS(tbResults[[#This Row],[Player1 Score]]-tbResults[[#This Row],[Player2 Score]])</f>
        <v>1</v>
      </c>
      <c r="AB174" s="37">
        <f>IF(tbResults[[#This Row],[Player1 Score]]&gt;tbResults[[#This Row],[Player2 Score]],tbResults[[#This Row],[Player1 Score]],tbResults[[#This Row],[Player2 Score]])</f>
        <v>4</v>
      </c>
      <c r="AC174" s="37">
        <f>IF(tbResults[[#This Row],[Player1 Score]]&lt;tbResults[[#This Row],[Player2 Score]],tbResults[[#This Row],[Player1 Score]],tbResults[[#This Row],[Player2 Score]])</f>
        <v>3</v>
      </c>
    </row>
    <row r="175" spans="2:29" s="3" customFormat="1" ht="30" customHeight="1" x14ac:dyDescent="0.3">
      <c r="B175" s="20" t="str">
        <f>_xlfn.CONCAT(tbResults[[#This Row],[Series Title]],".",tbResults[[#This Row],[Game]])</f>
        <v>2.2.02.05.1</v>
      </c>
      <c r="C175" s="15">
        <v>2</v>
      </c>
      <c r="D175" s="15">
        <v>2</v>
      </c>
      <c r="E175" s="15">
        <v>2</v>
      </c>
      <c r="F175" s="15">
        <v>5</v>
      </c>
      <c r="G175" s="15">
        <v>1</v>
      </c>
      <c r="H175" s="19" t="str">
        <f>_xlfn.CONCAT(tbResults[[#This Row],[Season]],".",tbResults[[#This Row],[Stage]])</f>
        <v>2.2</v>
      </c>
      <c r="I175" s="19" t="str">
        <f>_xlfn.CONCAT(tbResults[[#This Row],[Season]],".",tbResults[[#This Row],[Stage]],".",TEXT(tbResults[[#This Row],[Week]],"00"))</f>
        <v>2.2.02</v>
      </c>
      <c r="J175" s="19" t="str">
        <f>_xlfn.CONCAT(tbResults[[#This Row],[Week Title]],".",TEXT(tbResults[[#This Row],[Match]],"00"))</f>
        <v>2.2.02.05</v>
      </c>
      <c r="K175" s="20" t="str">
        <f>_xlfn.CONCAT(tbResults[[#This Row],[Game Title]], " ", tbResults[[#This Row],[Player1]], " vs ", tbResults[[#This Row],[Player2]] )</f>
        <v>2.2.02.05.1 Rapha vs Zenaku</v>
      </c>
      <c r="L175" s="6" t="s">
        <v>47</v>
      </c>
      <c r="M175" s="6" t="s">
        <v>29</v>
      </c>
      <c r="N175" s="6" t="s">
        <v>23</v>
      </c>
      <c r="O175" s="6" t="s">
        <v>25</v>
      </c>
      <c r="P175" s="6" t="s">
        <v>44</v>
      </c>
      <c r="Q175" s="8">
        <v>10</v>
      </c>
      <c r="R175" s="8">
        <v>11</v>
      </c>
      <c r="S175" s="8" t="s">
        <v>82</v>
      </c>
      <c r="T175" s="16" t="s">
        <v>47</v>
      </c>
      <c r="U175" s="16" t="s">
        <v>22</v>
      </c>
      <c r="V175" s="46" t="str">
        <f>IF(tbResults[[#This Row],[Player1 Score]]&gt;tbResults[[#This Row],[Player2 Score]],tbResults[[#This Row],[Player1]],tbResults[[#This Row],[Player2]])</f>
        <v>Zenaku</v>
      </c>
      <c r="W175" s="48" t="str">
        <f>IF(tbResults[[#This Row],[Player1 Score]]&gt;tbResults[[#This Row],[Player2 Score]],tbResults[[#This Row],[Player2]],tbResults[[#This Row],[Player1]])</f>
        <v>Rapha</v>
      </c>
      <c r="X175" s="11" t="str">
        <f>IF(tbResults[[#This Row],[Winner]]=tbResults[[#This Row],[Player1]],tbResults[[#This Row],[Player1 Pick]],tbResults[[#This Row],[Player2 Pick]])</f>
        <v>Scalebearer</v>
      </c>
      <c r="Y175" s="11" t="str">
        <f>IF(tbResults[[#This Row],[Loser]]=tbResults[[#This Row],[Player1]],tbResults[[#This Row],[Player1 Pick]],tbResults[[#This Row],[Player2 Pick]])</f>
        <v>Sorlag</v>
      </c>
      <c r="Z175" s="32">
        <f>SUM(tbResults[[#This Row],[Player1 Score]],tbResults[[#This Row],[Player2 Score]])</f>
        <v>21</v>
      </c>
      <c r="AA175" s="32">
        <f>ABS(tbResults[[#This Row],[Player1 Score]]-tbResults[[#This Row],[Player2 Score]])</f>
        <v>1</v>
      </c>
      <c r="AB175" s="37">
        <f>IF(tbResults[[#This Row],[Player1 Score]]&gt;tbResults[[#This Row],[Player2 Score]],tbResults[[#This Row],[Player1 Score]],tbResults[[#This Row],[Player2 Score]])</f>
        <v>11</v>
      </c>
      <c r="AC175" s="37">
        <f>IF(tbResults[[#This Row],[Player1 Score]]&lt;tbResults[[#This Row],[Player2 Score]],tbResults[[#This Row],[Player1 Score]],tbResults[[#This Row],[Player2 Score]])</f>
        <v>10</v>
      </c>
    </row>
    <row r="176" spans="2:29" s="3" customFormat="1" ht="30" customHeight="1" x14ac:dyDescent="0.3">
      <c r="B176" s="20" t="str">
        <f>_xlfn.CONCAT(tbResults[[#This Row],[Series Title]],".",tbResults[[#This Row],[Game]])</f>
        <v>2.2.02.05.2</v>
      </c>
      <c r="C176" s="15">
        <v>2</v>
      </c>
      <c r="D176" s="15">
        <v>2</v>
      </c>
      <c r="E176" s="15">
        <v>2</v>
      </c>
      <c r="F176" s="15">
        <v>5</v>
      </c>
      <c r="G176" s="15">
        <v>2</v>
      </c>
      <c r="H176" s="19" t="str">
        <f>_xlfn.CONCAT(tbResults[[#This Row],[Season]],".",tbResults[[#This Row],[Stage]])</f>
        <v>2.2</v>
      </c>
      <c r="I176" s="19" t="str">
        <f>_xlfn.CONCAT(tbResults[[#This Row],[Season]],".",tbResults[[#This Row],[Stage]],".",TEXT(tbResults[[#This Row],[Week]],"00"))</f>
        <v>2.2.02</v>
      </c>
      <c r="J176" s="19" t="str">
        <f>_xlfn.CONCAT(tbResults[[#This Row],[Week Title]],".",TEXT(tbResults[[#This Row],[Match]],"00"))</f>
        <v>2.2.02.05</v>
      </c>
      <c r="K176" s="20" t="str">
        <f>_xlfn.CONCAT(tbResults[[#This Row],[Game Title]], " ", tbResults[[#This Row],[Player1]], " vs ", tbResults[[#This Row],[Player2]] )</f>
        <v>2.2.02.05.2 Rapha vs Zenaku</v>
      </c>
      <c r="L176" s="6" t="s">
        <v>47</v>
      </c>
      <c r="M176" s="6" t="s">
        <v>29</v>
      </c>
      <c r="N176" s="6" t="s">
        <v>43</v>
      </c>
      <c r="O176" s="6" t="s">
        <v>34</v>
      </c>
      <c r="P176" s="6" t="s">
        <v>21</v>
      </c>
      <c r="Q176" s="8">
        <v>11</v>
      </c>
      <c r="R176" s="8">
        <v>7</v>
      </c>
      <c r="S176" s="8" t="s">
        <v>81</v>
      </c>
      <c r="T176" s="16" t="s">
        <v>29</v>
      </c>
      <c r="U176" s="16" t="s">
        <v>27</v>
      </c>
      <c r="V176" s="46" t="str">
        <f>IF(tbResults[[#This Row],[Player1 Score]]&gt;tbResults[[#This Row],[Player2 Score]],tbResults[[#This Row],[Player1]],tbResults[[#This Row],[Player2]])</f>
        <v>Rapha</v>
      </c>
      <c r="W176" s="48" t="str">
        <f>IF(tbResults[[#This Row],[Player1 Score]]&gt;tbResults[[#This Row],[Player2 Score]],tbResults[[#This Row],[Player2]],tbResults[[#This Row],[Player1]])</f>
        <v>Zenaku</v>
      </c>
      <c r="X176" s="11" t="str">
        <f>IF(tbResults[[#This Row],[Winner]]=tbResults[[#This Row],[Player1]],tbResults[[#This Row],[Player1 Pick]],tbResults[[#This Row],[Player2 Pick]])</f>
        <v>Galena</v>
      </c>
      <c r="Y176" s="11" t="str">
        <f>IF(tbResults[[#This Row],[Loser]]=tbResults[[#This Row],[Player1]],tbResults[[#This Row],[Player1 Pick]],tbResults[[#This Row],[Player2 Pick]])</f>
        <v>Ranger</v>
      </c>
      <c r="Z176" s="32">
        <f>SUM(tbResults[[#This Row],[Player1 Score]],tbResults[[#This Row],[Player2 Score]])</f>
        <v>18</v>
      </c>
      <c r="AA176" s="32">
        <f>ABS(tbResults[[#This Row],[Player1 Score]]-tbResults[[#This Row],[Player2 Score]])</f>
        <v>4</v>
      </c>
      <c r="AB176" s="37">
        <f>IF(tbResults[[#This Row],[Player1 Score]]&gt;tbResults[[#This Row],[Player2 Score]],tbResults[[#This Row],[Player1 Score]],tbResults[[#This Row],[Player2 Score]])</f>
        <v>11</v>
      </c>
      <c r="AC176" s="37">
        <f>IF(tbResults[[#This Row],[Player1 Score]]&lt;tbResults[[#This Row],[Player2 Score]],tbResults[[#This Row],[Player1 Score]],tbResults[[#This Row],[Player2 Score]])</f>
        <v>7</v>
      </c>
    </row>
    <row r="177" spans="2:29" s="3" customFormat="1" ht="30" customHeight="1" x14ac:dyDescent="0.3">
      <c r="B177" s="20" t="str">
        <f>_xlfn.CONCAT(tbResults[[#This Row],[Series Title]],".",tbResults[[#This Row],[Game]])</f>
        <v>2.2.02.05.3</v>
      </c>
      <c r="C177" s="15">
        <v>2</v>
      </c>
      <c r="D177" s="15">
        <v>2</v>
      </c>
      <c r="E177" s="15">
        <v>2</v>
      </c>
      <c r="F177" s="15">
        <v>5</v>
      </c>
      <c r="G177" s="15">
        <v>3</v>
      </c>
      <c r="H177" s="19" t="str">
        <f>_xlfn.CONCAT(tbResults[[#This Row],[Season]],".",tbResults[[#This Row],[Stage]])</f>
        <v>2.2</v>
      </c>
      <c r="I177" s="19" t="str">
        <f>_xlfn.CONCAT(tbResults[[#This Row],[Season]],".",tbResults[[#This Row],[Stage]],".",TEXT(tbResults[[#This Row],[Week]],"00"))</f>
        <v>2.2.02</v>
      </c>
      <c r="J177" s="19" t="str">
        <f>_xlfn.CONCAT(tbResults[[#This Row],[Week Title]],".",TEXT(tbResults[[#This Row],[Match]],"00"))</f>
        <v>2.2.02.05</v>
      </c>
      <c r="K177" s="20" t="str">
        <f>_xlfn.CONCAT(tbResults[[#This Row],[Game Title]], " ", tbResults[[#This Row],[Player1]], " vs ", tbResults[[#This Row],[Player2]] )</f>
        <v>2.2.02.05.3 Rapha vs Zenaku</v>
      </c>
      <c r="L177" s="6" t="s">
        <v>47</v>
      </c>
      <c r="M177" s="6" t="s">
        <v>29</v>
      </c>
      <c r="N177" s="6" t="s">
        <v>33</v>
      </c>
      <c r="O177" s="6" t="s">
        <v>38</v>
      </c>
      <c r="P177" s="6" t="s">
        <v>35</v>
      </c>
      <c r="Q177" s="8">
        <v>10</v>
      </c>
      <c r="R177" s="8">
        <v>2</v>
      </c>
      <c r="S177" s="8" t="s">
        <v>81</v>
      </c>
      <c r="T177" s="16" t="s">
        <v>47</v>
      </c>
      <c r="U177" s="16" t="s">
        <v>39</v>
      </c>
      <c r="V177" s="46" t="str">
        <f>IF(tbResults[[#This Row],[Player1 Score]]&gt;tbResults[[#This Row],[Player2 Score]],tbResults[[#This Row],[Player1]],tbResults[[#This Row],[Player2]])</f>
        <v>Rapha</v>
      </c>
      <c r="W177" s="48" t="str">
        <f>IF(tbResults[[#This Row],[Player1 Score]]&gt;tbResults[[#This Row],[Player2 Score]],tbResults[[#This Row],[Player2]],tbResults[[#This Row],[Player1]])</f>
        <v>Zenaku</v>
      </c>
      <c r="X177" s="11" t="str">
        <f>IF(tbResults[[#This Row],[Winner]]=tbResults[[#This Row],[Player1]],tbResults[[#This Row],[Player1 Pick]],tbResults[[#This Row],[Player2 Pick]])</f>
        <v>Nyx</v>
      </c>
      <c r="Y177" s="11" t="str">
        <f>IF(tbResults[[#This Row],[Loser]]=tbResults[[#This Row],[Player1]],tbResults[[#This Row],[Player1 Pick]],tbResults[[#This Row],[Player2 Pick]])</f>
        <v>Doom</v>
      </c>
      <c r="Z177" s="32">
        <f>SUM(tbResults[[#This Row],[Player1 Score]],tbResults[[#This Row],[Player2 Score]])</f>
        <v>12</v>
      </c>
      <c r="AA177" s="32">
        <f>ABS(tbResults[[#This Row],[Player1 Score]]-tbResults[[#This Row],[Player2 Score]])</f>
        <v>8</v>
      </c>
      <c r="AB177" s="37">
        <f>IF(tbResults[[#This Row],[Player1 Score]]&gt;tbResults[[#This Row],[Player2 Score]],tbResults[[#This Row],[Player1 Score]],tbResults[[#This Row],[Player2 Score]])</f>
        <v>10</v>
      </c>
      <c r="AC177" s="37">
        <f>IF(tbResults[[#This Row],[Player1 Score]]&lt;tbResults[[#This Row],[Player2 Score]],tbResults[[#This Row],[Player1 Score]],tbResults[[#This Row],[Player2 Score]])</f>
        <v>2</v>
      </c>
    </row>
    <row r="178" spans="2:29" s="3" customFormat="1" ht="30" customHeight="1" x14ac:dyDescent="0.3">
      <c r="B178" s="20" t="str">
        <f>_xlfn.CONCAT(tbResults[[#This Row],[Series Title]],".",tbResults[[#This Row],[Game]])</f>
        <v>2.2.02.06.1</v>
      </c>
      <c r="C178" s="15">
        <v>2</v>
      </c>
      <c r="D178" s="15">
        <v>2</v>
      </c>
      <c r="E178" s="15">
        <v>2</v>
      </c>
      <c r="F178" s="15">
        <v>6</v>
      </c>
      <c r="G178" s="15">
        <v>1</v>
      </c>
      <c r="H178" s="19" t="str">
        <f>_xlfn.CONCAT(tbResults[[#This Row],[Season]],".",tbResults[[#This Row],[Stage]])</f>
        <v>2.2</v>
      </c>
      <c r="I178" s="19" t="str">
        <f>_xlfn.CONCAT(tbResults[[#This Row],[Season]],".",tbResults[[#This Row],[Stage]],".",TEXT(tbResults[[#This Row],[Week]],"00"))</f>
        <v>2.2.02</v>
      </c>
      <c r="J178" s="19" t="str">
        <f>_xlfn.CONCAT(tbResults[[#This Row],[Week Title]],".",TEXT(tbResults[[#This Row],[Match]],"00"))</f>
        <v>2.2.02.06</v>
      </c>
      <c r="K178" s="20" t="str">
        <f>_xlfn.CONCAT(tbResults[[#This Row],[Game Title]], " ", tbResults[[#This Row],[Player1]], " vs ", tbResults[[#This Row],[Player2]] )</f>
        <v>2.2.02.06.1 Vengeurr vs k1llsen</v>
      </c>
      <c r="L178" s="6" t="s">
        <v>13</v>
      </c>
      <c r="M178" s="6" t="s">
        <v>31</v>
      </c>
      <c r="N178" s="6" t="s">
        <v>32</v>
      </c>
      <c r="O178" s="6" t="s">
        <v>22</v>
      </c>
      <c r="P178" s="6" t="s">
        <v>35</v>
      </c>
      <c r="Q178" s="8">
        <v>6</v>
      </c>
      <c r="R178" s="8">
        <v>3</v>
      </c>
      <c r="S178" s="8" t="s">
        <v>81</v>
      </c>
      <c r="T178" s="16" t="s">
        <v>31</v>
      </c>
      <c r="U178" s="16" t="s">
        <v>21</v>
      </c>
      <c r="V178" s="46" t="str">
        <f>IF(tbResults[[#This Row],[Player1 Score]]&gt;tbResults[[#This Row],[Player2 Score]],tbResults[[#This Row],[Player1]],tbResults[[#This Row],[Player2]])</f>
        <v>Vengeurr</v>
      </c>
      <c r="W178" s="48" t="str">
        <f>IF(tbResults[[#This Row],[Player1 Score]]&gt;tbResults[[#This Row],[Player2 Score]],tbResults[[#This Row],[Player2]],tbResults[[#This Row],[Player1]])</f>
        <v>k1llsen</v>
      </c>
      <c r="X178" s="11" t="str">
        <f>IF(tbResults[[#This Row],[Winner]]=tbResults[[#This Row],[Player1]],tbResults[[#This Row],[Player1 Pick]],tbResults[[#This Row],[Player2 Pick]])</f>
        <v>Strogg</v>
      </c>
      <c r="Y178" s="11" t="str">
        <f>IF(tbResults[[#This Row],[Loser]]=tbResults[[#This Row],[Player1]],tbResults[[#This Row],[Player1 Pick]],tbResults[[#This Row],[Player2 Pick]])</f>
        <v>Doom</v>
      </c>
      <c r="Z178" s="32">
        <f>SUM(tbResults[[#This Row],[Player1 Score]],tbResults[[#This Row],[Player2 Score]])</f>
        <v>9</v>
      </c>
      <c r="AA178" s="32">
        <f>ABS(tbResults[[#This Row],[Player1 Score]]-tbResults[[#This Row],[Player2 Score]])</f>
        <v>3</v>
      </c>
      <c r="AB178" s="37">
        <f>IF(tbResults[[#This Row],[Player1 Score]]&gt;tbResults[[#This Row],[Player2 Score]],tbResults[[#This Row],[Player1 Score]],tbResults[[#This Row],[Player2 Score]])</f>
        <v>6</v>
      </c>
      <c r="AC178" s="37">
        <f>IF(tbResults[[#This Row],[Player1 Score]]&lt;tbResults[[#This Row],[Player2 Score]],tbResults[[#This Row],[Player1 Score]],tbResults[[#This Row],[Player2 Score]])</f>
        <v>3</v>
      </c>
    </row>
    <row r="179" spans="2:29" s="3" customFormat="1" ht="30" customHeight="1" x14ac:dyDescent="0.3">
      <c r="B179" s="20" t="str">
        <f>_xlfn.CONCAT(tbResults[[#This Row],[Series Title]],".",tbResults[[#This Row],[Game]])</f>
        <v>2.2.02.06.2</v>
      </c>
      <c r="C179" s="15">
        <v>2</v>
      </c>
      <c r="D179" s="15">
        <v>2</v>
      </c>
      <c r="E179" s="15">
        <v>2</v>
      </c>
      <c r="F179" s="15">
        <v>6</v>
      </c>
      <c r="G179" s="15">
        <v>2</v>
      </c>
      <c r="H179" s="19" t="str">
        <f>_xlfn.CONCAT(tbResults[[#This Row],[Season]],".",tbResults[[#This Row],[Stage]])</f>
        <v>2.2</v>
      </c>
      <c r="I179" s="19" t="str">
        <f>_xlfn.CONCAT(tbResults[[#This Row],[Season]],".",tbResults[[#This Row],[Stage]],".",TEXT(tbResults[[#This Row],[Week]],"00"))</f>
        <v>2.2.02</v>
      </c>
      <c r="J179" s="19" t="str">
        <f>_xlfn.CONCAT(tbResults[[#This Row],[Week Title]],".",TEXT(tbResults[[#This Row],[Match]],"00"))</f>
        <v>2.2.02.06</v>
      </c>
      <c r="K179" s="20" t="str">
        <f>_xlfn.CONCAT(tbResults[[#This Row],[Game Title]], " ", tbResults[[#This Row],[Player1]], " vs ", tbResults[[#This Row],[Player2]] )</f>
        <v>2.2.02.06.2 Vengeurr vs k1llsen</v>
      </c>
      <c r="L179" s="6" t="s">
        <v>13</v>
      </c>
      <c r="M179" s="6" t="s">
        <v>31</v>
      </c>
      <c r="N179" s="6" t="s">
        <v>40</v>
      </c>
      <c r="O179" s="6" t="s">
        <v>25</v>
      </c>
      <c r="P179" s="6" t="s">
        <v>27</v>
      </c>
      <c r="Q179" s="8">
        <v>3</v>
      </c>
      <c r="R179" s="8">
        <v>9</v>
      </c>
      <c r="S179" s="8" t="s">
        <v>81</v>
      </c>
      <c r="T179" s="16" t="s">
        <v>13</v>
      </c>
      <c r="U179" s="16" t="s">
        <v>55</v>
      </c>
      <c r="V179" s="46" t="str">
        <f>IF(tbResults[[#This Row],[Player1 Score]]&gt;tbResults[[#This Row],[Player2 Score]],tbResults[[#This Row],[Player1]],tbResults[[#This Row],[Player2]])</f>
        <v>k1llsen</v>
      </c>
      <c r="W179" s="48" t="str">
        <f>IF(tbResults[[#This Row],[Player1 Score]]&gt;tbResults[[#This Row],[Player2 Score]],tbResults[[#This Row],[Player2]],tbResults[[#This Row],[Player1]])</f>
        <v>Vengeurr</v>
      </c>
      <c r="X179" s="11" t="str">
        <f>IF(tbResults[[#This Row],[Winner]]=tbResults[[#This Row],[Player1]],tbResults[[#This Row],[Player1 Pick]],tbResults[[#This Row],[Player2 Pick]])</f>
        <v>Keel</v>
      </c>
      <c r="Y179" s="11" t="str">
        <f>IF(tbResults[[#This Row],[Loser]]=tbResults[[#This Row],[Player1]],tbResults[[#This Row],[Player1 Pick]],tbResults[[#This Row],[Player2 Pick]])</f>
        <v>Sorlag</v>
      </c>
      <c r="Z179" s="32">
        <f>SUM(tbResults[[#This Row],[Player1 Score]],tbResults[[#This Row],[Player2 Score]])</f>
        <v>12</v>
      </c>
      <c r="AA179" s="32">
        <f>ABS(tbResults[[#This Row],[Player1 Score]]-tbResults[[#This Row],[Player2 Score]])</f>
        <v>6</v>
      </c>
      <c r="AB179" s="37">
        <f>IF(tbResults[[#This Row],[Player1 Score]]&gt;tbResults[[#This Row],[Player2 Score]],tbResults[[#This Row],[Player1 Score]],tbResults[[#This Row],[Player2 Score]])</f>
        <v>9</v>
      </c>
      <c r="AC179" s="37">
        <f>IF(tbResults[[#This Row],[Player1 Score]]&lt;tbResults[[#This Row],[Player2 Score]],tbResults[[#This Row],[Player1 Score]],tbResults[[#This Row],[Player2 Score]])</f>
        <v>3</v>
      </c>
    </row>
    <row r="180" spans="2:29" s="3" customFormat="1" ht="30" customHeight="1" x14ac:dyDescent="0.3">
      <c r="B180" s="20" t="str">
        <f>_xlfn.CONCAT(tbResults[[#This Row],[Series Title]],".",tbResults[[#This Row],[Game]])</f>
        <v>2.2.02.06.3</v>
      </c>
      <c r="C180" s="15">
        <v>2</v>
      </c>
      <c r="D180" s="15">
        <v>2</v>
      </c>
      <c r="E180" s="15">
        <v>2</v>
      </c>
      <c r="F180" s="15">
        <v>6</v>
      </c>
      <c r="G180" s="15">
        <v>3</v>
      </c>
      <c r="H180" s="19" t="str">
        <f>_xlfn.CONCAT(tbResults[[#This Row],[Season]],".",tbResults[[#This Row],[Stage]])</f>
        <v>2.2</v>
      </c>
      <c r="I180" s="19" t="str">
        <f>_xlfn.CONCAT(tbResults[[#This Row],[Season]],".",tbResults[[#This Row],[Stage]],".",TEXT(tbResults[[#This Row],[Week]],"00"))</f>
        <v>2.2.02</v>
      </c>
      <c r="J180" s="19" t="str">
        <f>_xlfn.CONCAT(tbResults[[#This Row],[Week Title]],".",TEXT(tbResults[[#This Row],[Match]],"00"))</f>
        <v>2.2.02.06</v>
      </c>
      <c r="K180" s="20" t="str">
        <f>_xlfn.CONCAT(tbResults[[#This Row],[Game Title]], " ", tbResults[[#This Row],[Player1]], " vs ", tbResults[[#This Row],[Player2]] )</f>
        <v>2.2.02.06.3 Vengeurr vs k1llsen</v>
      </c>
      <c r="L180" s="6" t="s">
        <v>13</v>
      </c>
      <c r="M180" s="6" t="s">
        <v>31</v>
      </c>
      <c r="N180" s="6" t="s">
        <v>19</v>
      </c>
      <c r="O180" s="6" t="s">
        <v>92</v>
      </c>
      <c r="P180" s="6" t="s">
        <v>37</v>
      </c>
      <c r="Q180" s="8">
        <v>6</v>
      </c>
      <c r="R180" s="8">
        <v>4</v>
      </c>
      <c r="S180" s="8" t="s">
        <v>81</v>
      </c>
      <c r="T180" s="16" t="s">
        <v>31</v>
      </c>
      <c r="U180" s="16" t="s">
        <v>38</v>
      </c>
      <c r="V180" s="46" t="str">
        <f>IF(tbResults[[#This Row],[Player1 Score]]&gt;tbResults[[#This Row],[Player2 Score]],tbResults[[#This Row],[Player1]],tbResults[[#This Row],[Player2]])</f>
        <v>Vengeurr</v>
      </c>
      <c r="W180" s="48" t="str">
        <f>IF(tbResults[[#This Row],[Player1 Score]]&gt;tbResults[[#This Row],[Player2 Score]],tbResults[[#This Row],[Player2]],tbResults[[#This Row],[Player1]])</f>
        <v>k1llsen</v>
      </c>
      <c r="X180" s="11" t="str">
        <f>IF(tbResults[[#This Row],[Winner]]=tbResults[[#This Row],[Player1]],tbResults[[#This Row],[Player1 Pick]],tbResults[[#This Row],[Player2 Pick]])</f>
        <v>Clutch</v>
      </c>
      <c r="Y180" s="11" t="str">
        <f>IF(tbResults[[#This Row],[Loser]]=tbResults[[#This Row],[Player1]],tbResults[[#This Row],[Player1 Pick]],tbResults[[#This Row],[Player2 Pick]])</f>
        <v>Eisen</v>
      </c>
      <c r="Z180" s="32">
        <f>SUM(tbResults[[#This Row],[Player1 Score]],tbResults[[#This Row],[Player2 Score]])</f>
        <v>10</v>
      </c>
      <c r="AA180" s="32">
        <f>ABS(tbResults[[#This Row],[Player1 Score]]-tbResults[[#This Row],[Player2 Score]])</f>
        <v>2</v>
      </c>
      <c r="AB180" s="37">
        <f>IF(tbResults[[#This Row],[Player1 Score]]&gt;tbResults[[#This Row],[Player2 Score]],tbResults[[#This Row],[Player1 Score]],tbResults[[#This Row],[Player2 Score]])</f>
        <v>6</v>
      </c>
      <c r="AC180" s="37">
        <f>IF(tbResults[[#This Row],[Player1 Score]]&lt;tbResults[[#This Row],[Player2 Score]],tbResults[[#This Row],[Player1 Score]],tbResults[[#This Row],[Player2 Score]])</f>
        <v>4</v>
      </c>
    </row>
    <row r="181" spans="2:29" s="3" customFormat="1" ht="30" customHeight="1" x14ac:dyDescent="0.3">
      <c r="B181" s="20" t="str">
        <f>_xlfn.CONCAT(tbResults[[#This Row],[Series Title]],".",tbResults[[#This Row],[Game]])</f>
        <v>2.2.02.07.1</v>
      </c>
      <c r="C181" s="15">
        <v>2</v>
      </c>
      <c r="D181" s="15">
        <v>2</v>
      </c>
      <c r="E181" s="15">
        <v>2</v>
      </c>
      <c r="F181" s="15">
        <v>7</v>
      </c>
      <c r="G181" s="15">
        <v>1</v>
      </c>
      <c r="H181" s="19" t="str">
        <f>_xlfn.CONCAT(tbResults[[#This Row],[Season]],".",tbResults[[#This Row],[Stage]])</f>
        <v>2.2</v>
      </c>
      <c r="I181" s="19" t="str">
        <f>_xlfn.CONCAT(tbResults[[#This Row],[Season]],".",tbResults[[#This Row],[Stage]],".",TEXT(tbResults[[#This Row],[Week]],"00"))</f>
        <v>2.2.02</v>
      </c>
      <c r="J181" s="19" t="str">
        <f>_xlfn.CONCAT(tbResults[[#This Row],[Week Title]],".",TEXT(tbResults[[#This Row],[Match]],"00"))</f>
        <v>2.2.02.07</v>
      </c>
      <c r="K181" s="20" t="str">
        <f>_xlfn.CONCAT(tbResults[[#This Row],[Game Title]], " ", tbResults[[#This Row],[Player1]], " vs ", tbResults[[#This Row],[Player2]] )</f>
        <v>2.2.02.07.1 Cypher vs Raisy</v>
      </c>
      <c r="L181" s="6" t="s">
        <v>14</v>
      </c>
      <c r="M181" s="6" t="s">
        <v>49</v>
      </c>
      <c r="N181" s="6" t="s">
        <v>32</v>
      </c>
      <c r="O181" s="6" t="s">
        <v>21</v>
      </c>
      <c r="P181" s="6" t="s">
        <v>34</v>
      </c>
      <c r="Q181" s="8">
        <v>8</v>
      </c>
      <c r="R181" s="8">
        <v>12</v>
      </c>
      <c r="S181" s="8" t="s">
        <v>81</v>
      </c>
      <c r="T181" s="16" t="s">
        <v>49</v>
      </c>
      <c r="U181" s="16" t="s">
        <v>92</v>
      </c>
      <c r="V181" s="46" t="str">
        <f>IF(tbResults[[#This Row],[Player1 Score]]&gt;tbResults[[#This Row],[Player2 Score]],tbResults[[#This Row],[Player1]],tbResults[[#This Row],[Player2]])</f>
        <v>Raisy</v>
      </c>
      <c r="W181" s="48" t="str">
        <f>IF(tbResults[[#This Row],[Player1 Score]]&gt;tbResults[[#This Row],[Player2 Score]],tbResults[[#This Row],[Player2]],tbResults[[#This Row],[Player1]])</f>
        <v>Cypher</v>
      </c>
      <c r="X181" s="11" t="str">
        <f>IF(tbResults[[#This Row],[Winner]]=tbResults[[#This Row],[Player1]],tbResults[[#This Row],[Player1 Pick]],tbResults[[#This Row],[Player2 Pick]])</f>
        <v>Galena</v>
      </c>
      <c r="Y181" s="11" t="str">
        <f>IF(tbResults[[#This Row],[Loser]]=tbResults[[#This Row],[Player1]],tbResults[[#This Row],[Player1 Pick]],tbResults[[#This Row],[Player2 Pick]])</f>
        <v>Ranger</v>
      </c>
      <c r="Z181" s="32">
        <f>SUM(tbResults[[#This Row],[Player1 Score]],tbResults[[#This Row],[Player2 Score]])</f>
        <v>20</v>
      </c>
      <c r="AA181" s="32">
        <f>ABS(tbResults[[#This Row],[Player1 Score]]-tbResults[[#This Row],[Player2 Score]])</f>
        <v>4</v>
      </c>
      <c r="AB181" s="37">
        <f>IF(tbResults[[#This Row],[Player1 Score]]&gt;tbResults[[#This Row],[Player2 Score]],tbResults[[#This Row],[Player1 Score]],tbResults[[#This Row],[Player2 Score]])</f>
        <v>12</v>
      </c>
      <c r="AC181" s="37">
        <f>IF(tbResults[[#This Row],[Player1 Score]]&lt;tbResults[[#This Row],[Player2 Score]],tbResults[[#This Row],[Player1 Score]],tbResults[[#This Row],[Player2 Score]])</f>
        <v>8</v>
      </c>
    </row>
    <row r="182" spans="2:29" s="3" customFormat="1" ht="30" customHeight="1" x14ac:dyDescent="0.3">
      <c r="B182" s="20" t="str">
        <f>_xlfn.CONCAT(tbResults[[#This Row],[Series Title]],".",tbResults[[#This Row],[Game]])</f>
        <v>2.2.02.07.2</v>
      </c>
      <c r="C182" s="15">
        <v>2</v>
      </c>
      <c r="D182" s="15">
        <v>2</v>
      </c>
      <c r="E182" s="15">
        <v>2</v>
      </c>
      <c r="F182" s="15">
        <v>7</v>
      </c>
      <c r="G182" s="15">
        <v>2</v>
      </c>
      <c r="H182" s="19" t="str">
        <f>_xlfn.CONCAT(tbResults[[#This Row],[Season]],".",tbResults[[#This Row],[Stage]])</f>
        <v>2.2</v>
      </c>
      <c r="I182" s="19" t="str">
        <f>_xlfn.CONCAT(tbResults[[#This Row],[Season]],".",tbResults[[#This Row],[Stage]],".",TEXT(tbResults[[#This Row],[Week]],"00"))</f>
        <v>2.2.02</v>
      </c>
      <c r="J182" s="19" t="str">
        <f>_xlfn.CONCAT(tbResults[[#This Row],[Week Title]],".",TEXT(tbResults[[#This Row],[Match]],"00"))</f>
        <v>2.2.02.07</v>
      </c>
      <c r="K182" s="20" t="str">
        <f>_xlfn.CONCAT(tbResults[[#This Row],[Game Title]], " ", tbResults[[#This Row],[Player1]], " vs ", tbResults[[#This Row],[Player2]] )</f>
        <v>2.2.02.07.2 Cypher vs Raisy</v>
      </c>
      <c r="L182" s="6" t="s">
        <v>14</v>
      </c>
      <c r="M182" s="6" t="s">
        <v>49</v>
      </c>
      <c r="N182" s="6" t="s">
        <v>23</v>
      </c>
      <c r="O182" s="6" t="s">
        <v>24</v>
      </c>
      <c r="P182" s="6" t="s">
        <v>25</v>
      </c>
      <c r="Q182" s="8">
        <v>3</v>
      </c>
      <c r="R182" s="8">
        <v>12</v>
      </c>
      <c r="S182" s="8" t="s">
        <v>81</v>
      </c>
      <c r="T182" s="16" t="s">
        <v>14</v>
      </c>
      <c r="U182" s="16" t="s">
        <v>36</v>
      </c>
      <c r="V182" s="46" t="str">
        <f>IF(tbResults[[#This Row],[Player1 Score]]&gt;tbResults[[#This Row],[Player2 Score]],tbResults[[#This Row],[Player1]],tbResults[[#This Row],[Player2]])</f>
        <v>Raisy</v>
      </c>
      <c r="W182" s="48" t="str">
        <f>IF(tbResults[[#This Row],[Player1 Score]]&gt;tbResults[[#This Row],[Player2 Score]],tbResults[[#This Row],[Player2]],tbResults[[#This Row],[Player1]])</f>
        <v>Cypher</v>
      </c>
      <c r="X182" s="11" t="str">
        <f>IF(tbResults[[#This Row],[Winner]]=tbResults[[#This Row],[Player1]],tbResults[[#This Row],[Player1 Pick]],tbResults[[#This Row],[Player2 Pick]])</f>
        <v>Sorlag</v>
      </c>
      <c r="Y182" s="11" t="str">
        <f>IF(tbResults[[#This Row],[Loser]]=tbResults[[#This Row],[Player1]],tbResults[[#This Row],[Player1 Pick]],tbResults[[#This Row],[Player2 Pick]])</f>
        <v>Slash</v>
      </c>
      <c r="Z182" s="32">
        <f>SUM(tbResults[[#This Row],[Player1 Score]],tbResults[[#This Row],[Player2 Score]])</f>
        <v>15</v>
      </c>
      <c r="AA182" s="32">
        <f>ABS(tbResults[[#This Row],[Player1 Score]]-tbResults[[#This Row],[Player2 Score]])</f>
        <v>9</v>
      </c>
      <c r="AB182" s="37">
        <f>IF(tbResults[[#This Row],[Player1 Score]]&gt;tbResults[[#This Row],[Player2 Score]],tbResults[[#This Row],[Player1 Score]],tbResults[[#This Row],[Player2 Score]])</f>
        <v>12</v>
      </c>
      <c r="AC182" s="37">
        <f>IF(tbResults[[#This Row],[Player1 Score]]&lt;tbResults[[#This Row],[Player2 Score]],tbResults[[#This Row],[Player1 Score]],tbResults[[#This Row],[Player2 Score]])</f>
        <v>3</v>
      </c>
    </row>
    <row r="183" spans="2:29" s="3" customFormat="1" ht="30" customHeight="1" x14ac:dyDescent="0.3">
      <c r="B183" s="20" t="str">
        <f>_xlfn.CONCAT(tbResults[[#This Row],[Series Title]],".",tbResults[[#This Row],[Game]])</f>
        <v>2.2.02.07.3</v>
      </c>
      <c r="C183" s="15">
        <v>2</v>
      </c>
      <c r="D183" s="15">
        <v>2</v>
      </c>
      <c r="E183" s="15">
        <v>2</v>
      </c>
      <c r="F183" s="15">
        <v>7</v>
      </c>
      <c r="G183" s="15">
        <v>3</v>
      </c>
      <c r="H183" s="19" t="str">
        <f>_xlfn.CONCAT(tbResults[[#This Row],[Season]],".",tbResults[[#This Row],[Stage]])</f>
        <v>2.2</v>
      </c>
      <c r="I183" s="19" t="str">
        <f>_xlfn.CONCAT(tbResults[[#This Row],[Season]],".",tbResults[[#This Row],[Stage]],".",TEXT(tbResults[[#This Row],[Week]],"00"))</f>
        <v>2.2.02</v>
      </c>
      <c r="J183" s="19" t="str">
        <f>_xlfn.CONCAT(tbResults[[#This Row],[Week Title]],".",TEXT(tbResults[[#This Row],[Match]],"00"))</f>
        <v>2.2.02.07</v>
      </c>
      <c r="K183" s="20" t="str">
        <f>_xlfn.CONCAT(tbResults[[#This Row],[Game Title]], " ", tbResults[[#This Row],[Player1]], " vs ", tbResults[[#This Row],[Player2]] )</f>
        <v>2.2.02.07.3 Cypher vs Raisy</v>
      </c>
      <c r="L183" s="6" t="s">
        <v>14</v>
      </c>
      <c r="M183" s="6" t="s">
        <v>49</v>
      </c>
      <c r="N183" s="6" t="s">
        <v>19</v>
      </c>
      <c r="O183" s="6" t="s">
        <v>37</v>
      </c>
      <c r="P183" s="6" t="s">
        <v>22</v>
      </c>
      <c r="Q183" s="8">
        <v>7</v>
      </c>
      <c r="R183" s="8">
        <v>13</v>
      </c>
      <c r="S183" s="8" t="s">
        <v>81</v>
      </c>
      <c r="T183" s="16" t="s">
        <v>49</v>
      </c>
      <c r="U183" s="16" t="s">
        <v>35</v>
      </c>
      <c r="V183" s="46" t="str">
        <f>IF(tbResults[[#This Row],[Player1 Score]]&gt;tbResults[[#This Row],[Player2 Score]],tbResults[[#This Row],[Player1]],tbResults[[#This Row],[Player2]])</f>
        <v>Raisy</v>
      </c>
      <c r="W183" s="48" t="str">
        <f>IF(tbResults[[#This Row],[Player1 Score]]&gt;tbResults[[#This Row],[Player2 Score]],tbResults[[#This Row],[Player2]],tbResults[[#This Row],[Player1]])</f>
        <v>Cypher</v>
      </c>
      <c r="X183" s="11" t="str">
        <f>IF(tbResults[[#This Row],[Winner]]=tbResults[[#This Row],[Player1]],tbResults[[#This Row],[Player1 Pick]],tbResults[[#This Row],[Player2 Pick]])</f>
        <v>Strogg</v>
      </c>
      <c r="Y183" s="11" t="str">
        <f>IF(tbResults[[#This Row],[Loser]]=tbResults[[#This Row],[Player1]],tbResults[[#This Row],[Player1 Pick]],tbResults[[#This Row],[Player2 Pick]])</f>
        <v>Eisen</v>
      </c>
      <c r="Z183" s="32">
        <f>SUM(tbResults[[#This Row],[Player1 Score]],tbResults[[#This Row],[Player2 Score]])</f>
        <v>20</v>
      </c>
      <c r="AA183" s="32">
        <f>ABS(tbResults[[#This Row],[Player1 Score]]-tbResults[[#This Row],[Player2 Score]])</f>
        <v>6</v>
      </c>
      <c r="AB183" s="37">
        <f>IF(tbResults[[#This Row],[Player1 Score]]&gt;tbResults[[#This Row],[Player2 Score]],tbResults[[#This Row],[Player1 Score]],tbResults[[#This Row],[Player2 Score]])</f>
        <v>13</v>
      </c>
      <c r="AC183" s="37">
        <f>IF(tbResults[[#This Row],[Player1 Score]]&lt;tbResults[[#This Row],[Player2 Score]],tbResults[[#This Row],[Player1 Score]],tbResults[[#This Row],[Player2 Score]])</f>
        <v>7</v>
      </c>
    </row>
    <row r="184" spans="2:29" s="3" customFormat="1" ht="30" customHeight="1" x14ac:dyDescent="0.3">
      <c r="B184" s="20" t="str">
        <f>_xlfn.CONCAT(tbResults[[#This Row],[Series Title]],".",tbResults[[#This Row],[Game]])</f>
        <v>2.2.03.01.1</v>
      </c>
      <c r="C184" s="15">
        <v>2</v>
      </c>
      <c r="D184" s="15">
        <v>2</v>
      </c>
      <c r="E184" s="15">
        <v>3</v>
      </c>
      <c r="F184" s="15">
        <v>1</v>
      </c>
      <c r="G184" s="15">
        <v>1</v>
      </c>
      <c r="H184" s="19" t="str">
        <f>_xlfn.CONCAT(tbResults[[#This Row],[Season]],".",tbResults[[#This Row],[Stage]])</f>
        <v>2.2</v>
      </c>
      <c r="I184" s="19" t="str">
        <f>_xlfn.CONCAT(tbResults[[#This Row],[Season]],".",tbResults[[#This Row],[Stage]],".",TEXT(tbResults[[#This Row],[Week]],"00"))</f>
        <v>2.2.03</v>
      </c>
      <c r="J184" s="19" t="str">
        <f>_xlfn.CONCAT(tbResults[[#This Row],[Week Title]],".",TEXT(tbResults[[#This Row],[Match]],"00"))</f>
        <v>2.2.03.01</v>
      </c>
      <c r="K184" s="20" t="str">
        <f>_xlfn.CONCAT(tbResults[[#This Row],[Game Title]], " ", tbResults[[#This Row],[Player1]], " vs ", tbResults[[#This Row],[Player2]] )</f>
        <v>2.2.03.01.1 Raisy vs spart1e</v>
      </c>
      <c r="L184" s="6" t="s">
        <v>49</v>
      </c>
      <c r="M184" s="6" t="s">
        <v>50</v>
      </c>
      <c r="N184" s="6" t="s">
        <v>26</v>
      </c>
      <c r="O184" s="6" t="s">
        <v>92</v>
      </c>
      <c r="P184" s="6" t="s">
        <v>22</v>
      </c>
      <c r="Q184" s="8">
        <v>10</v>
      </c>
      <c r="R184" s="8">
        <v>7</v>
      </c>
      <c r="S184" s="8" t="s">
        <v>81</v>
      </c>
      <c r="T184" s="16" t="s">
        <v>50</v>
      </c>
      <c r="U184" s="16" t="s">
        <v>25</v>
      </c>
      <c r="V184" s="46" t="str">
        <f>IF(tbResults[[#This Row],[Player1 Score]]&gt;tbResults[[#This Row],[Player2 Score]],tbResults[[#This Row],[Player1]],tbResults[[#This Row],[Player2]])</f>
        <v>Raisy</v>
      </c>
      <c r="W184" s="48" t="str">
        <f>IF(tbResults[[#This Row],[Player1 Score]]&gt;tbResults[[#This Row],[Player2 Score]],tbResults[[#This Row],[Player2]],tbResults[[#This Row],[Player1]])</f>
        <v>spart1e</v>
      </c>
      <c r="X184" s="11" t="str">
        <f>IF(tbResults[[#This Row],[Winner]]=tbResults[[#This Row],[Player1]],tbResults[[#This Row],[Player1 Pick]],tbResults[[#This Row],[Player2 Pick]])</f>
        <v>Clutch</v>
      </c>
      <c r="Y184" s="11" t="str">
        <f>IF(tbResults[[#This Row],[Loser]]=tbResults[[#This Row],[Player1]],tbResults[[#This Row],[Player1 Pick]],tbResults[[#This Row],[Player2 Pick]])</f>
        <v>Strogg</v>
      </c>
      <c r="Z184" s="32">
        <f>SUM(tbResults[[#This Row],[Player1 Score]],tbResults[[#This Row],[Player2 Score]])</f>
        <v>17</v>
      </c>
      <c r="AA184" s="32">
        <f>ABS(tbResults[[#This Row],[Player1 Score]]-tbResults[[#This Row],[Player2 Score]])</f>
        <v>3</v>
      </c>
      <c r="AB184" s="37">
        <f>IF(tbResults[[#This Row],[Player1 Score]]&gt;tbResults[[#This Row],[Player2 Score]],tbResults[[#This Row],[Player1 Score]],tbResults[[#This Row],[Player2 Score]])</f>
        <v>10</v>
      </c>
      <c r="AC184" s="37">
        <f>IF(tbResults[[#This Row],[Player1 Score]]&lt;tbResults[[#This Row],[Player2 Score]],tbResults[[#This Row],[Player1 Score]],tbResults[[#This Row],[Player2 Score]])</f>
        <v>7</v>
      </c>
    </row>
    <row r="185" spans="2:29" s="3" customFormat="1" ht="30" customHeight="1" x14ac:dyDescent="0.3">
      <c r="B185" s="20" t="str">
        <f>_xlfn.CONCAT(tbResults[[#This Row],[Series Title]],".",tbResults[[#This Row],[Game]])</f>
        <v>2.2.03.01.2</v>
      </c>
      <c r="C185" s="15">
        <v>2</v>
      </c>
      <c r="D185" s="15">
        <v>2</v>
      </c>
      <c r="E185" s="15">
        <v>3</v>
      </c>
      <c r="F185" s="15">
        <v>1</v>
      </c>
      <c r="G185" s="15">
        <v>2</v>
      </c>
      <c r="H185" s="19" t="str">
        <f>_xlfn.CONCAT(tbResults[[#This Row],[Season]],".",tbResults[[#This Row],[Stage]])</f>
        <v>2.2</v>
      </c>
      <c r="I185" s="19" t="str">
        <f>_xlfn.CONCAT(tbResults[[#This Row],[Season]],".",tbResults[[#This Row],[Stage]],".",TEXT(tbResults[[#This Row],[Week]],"00"))</f>
        <v>2.2.03</v>
      </c>
      <c r="J185" s="19" t="str">
        <f>_xlfn.CONCAT(tbResults[[#This Row],[Week Title]],".",TEXT(tbResults[[#This Row],[Match]],"00"))</f>
        <v>2.2.03.01</v>
      </c>
      <c r="K185" s="20" t="str">
        <f>_xlfn.CONCAT(tbResults[[#This Row],[Game Title]], " ", tbResults[[#This Row],[Player1]], " vs ", tbResults[[#This Row],[Player2]] )</f>
        <v>2.2.03.01.2 Raisy vs spart1e</v>
      </c>
      <c r="L185" s="6" t="s">
        <v>49</v>
      </c>
      <c r="M185" s="6" t="s">
        <v>50</v>
      </c>
      <c r="N185" s="6" t="s">
        <v>40</v>
      </c>
      <c r="O185" s="6" t="s">
        <v>27</v>
      </c>
      <c r="P185" s="6" t="s">
        <v>21</v>
      </c>
      <c r="Q185" s="8">
        <v>14</v>
      </c>
      <c r="R185" s="8">
        <v>6</v>
      </c>
      <c r="S185" s="8" t="s">
        <v>81</v>
      </c>
      <c r="T185" s="16" t="s">
        <v>49</v>
      </c>
      <c r="U185" s="16" t="s">
        <v>35</v>
      </c>
      <c r="V185" s="46" t="str">
        <f>IF(tbResults[[#This Row],[Player1 Score]]&gt;tbResults[[#This Row],[Player2 Score]],tbResults[[#This Row],[Player1]],tbResults[[#This Row],[Player2]])</f>
        <v>Raisy</v>
      </c>
      <c r="W185" s="48" t="str">
        <f>IF(tbResults[[#This Row],[Player1 Score]]&gt;tbResults[[#This Row],[Player2 Score]],tbResults[[#This Row],[Player2]],tbResults[[#This Row],[Player1]])</f>
        <v>spart1e</v>
      </c>
      <c r="X185" s="11" t="str">
        <f>IF(tbResults[[#This Row],[Winner]]=tbResults[[#This Row],[Player1]],tbResults[[#This Row],[Player1 Pick]],tbResults[[#This Row],[Player2 Pick]])</f>
        <v>Keel</v>
      </c>
      <c r="Y185" s="11" t="str">
        <f>IF(tbResults[[#This Row],[Loser]]=tbResults[[#This Row],[Player1]],tbResults[[#This Row],[Player1 Pick]],tbResults[[#This Row],[Player2 Pick]])</f>
        <v>Ranger</v>
      </c>
      <c r="Z185" s="32">
        <f>SUM(tbResults[[#This Row],[Player1 Score]],tbResults[[#This Row],[Player2 Score]])</f>
        <v>20</v>
      </c>
      <c r="AA185" s="32">
        <f>ABS(tbResults[[#This Row],[Player1 Score]]-tbResults[[#This Row],[Player2 Score]])</f>
        <v>8</v>
      </c>
      <c r="AB185" s="37">
        <f>IF(tbResults[[#This Row],[Player1 Score]]&gt;tbResults[[#This Row],[Player2 Score]],tbResults[[#This Row],[Player1 Score]],tbResults[[#This Row],[Player2 Score]])</f>
        <v>14</v>
      </c>
      <c r="AC185" s="37">
        <f>IF(tbResults[[#This Row],[Player1 Score]]&lt;tbResults[[#This Row],[Player2 Score]],tbResults[[#This Row],[Player1 Score]],tbResults[[#This Row],[Player2 Score]])</f>
        <v>6</v>
      </c>
    </row>
    <row r="186" spans="2:29" s="3" customFormat="1" ht="30" customHeight="1" x14ac:dyDescent="0.3">
      <c r="B186" s="20" t="str">
        <f>_xlfn.CONCAT(tbResults[[#This Row],[Series Title]],".",tbResults[[#This Row],[Game]])</f>
        <v>2.2.03.01.3</v>
      </c>
      <c r="C186" s="15">
        <v>2</v>
      </c>
      <c r="D186" s="15">
        <v>2</v>
      </c>
      <c r="E186" s="15">
        <v>3</v>
      </c>
      <c r="F186" s="15">
        <v>1</v>
      </c>
      <c r="G186" s="15">
        <v>3</v>
      </c>
      <c r="H186" s="19" t="str">
        <f>_xlfn.CONCAT(tbResults[[#This Row],[Season]],".",tbResults[[#This Row],[Stage]])</f>
        <v>2.2</v>
      </c>
      <c r="I186" s="19" t="str">
        <f>_xlfn.CONCAT(tbResults[[#This Row],[Season]],".",tbResults[[#This Row],[Stage]],".",TEXT(tbResults[[#This Row],[Week]],"00"))</f>
        <v>2.2.03</v>
      </c>
      <c r="J186" s="19" t="str">
        <f>_xlfn.CONCAT(tbResults[[#This Row],[Week Title]],".",TEXT(tbResults[[#This Row],[Match]],"00"))</f>
        <v>2.2.03.01</v>
      </c>
      <c r="K186" s="20" t="str">
        <f>_xlfn.CONCAT(tbResults[[#This Row],[Game Title]], " ", tbResults[[#This Row],[Player1]], " vs ", tbResults[[#This Row],[Player2]] )</f>
        <v>2.2.03.01.3 Raisy vs spart1e</v>
      </c>
      <c r="L186" s="6" t="s">
        <v>49</v>
      </c>
      <c r="M186" s="6" t="s">
        <v>50</v>
      </c>
      <c r="N186" s="6" t="s">
        <v>23</v>
      </c>
      <c r="O186" s="6" t="s">
        <v>38</v>
      </c>
      <c r="P186" s="6" t="s">
        <v>34</v>
      </c>
      <c r="Q186" s="8">
        <v>17</v>
      </c>
      <c r="R186" s="8">
        <v>7</v>
      </c>
      <c r="S186" s="8" t="s">
        <v>81</v>
      </c>
      <c r="T186" s="16" t="s">
        <v>50</v>
      </c>
      <c r="U186" s="16" t="s">
        <v>36</v>
      </c>
      <c r="V186" s="46" t="str">
        <f>IF(tbResults[[#This Row],[Player1 Score]]&gt;tbResults[[#This Row],[Player2 Score]],tbResults[[#This Row],[Player1]],tbResults[[#This Row],[Player2]])</f>
        <v>Raisy</v>
      </c>
      <c r="W186" s="48" t="str">
        <f>IF(tbResults[[#This Row],[Player1 Score]]&gt;tbResults[[#This Row],[Player2 Score]],tbResults[[#This Row],[Player2]],tbResults[[#This Row],[Player1]])</f>
        <v>spart1e</v>
      </c>
      <c r="X186" s="11" t="str">
        <f>IF(tbResults[[#This Row],[Winner]]=tbResults[[#This Row],[Player1]],tbResults[[#This Row],[Player1 Pick]],tbResults[[#This Row],[Player2 Pick]])</f>
        <v>Nyx</v>
      </c>
      <c r="Y186" s="11" t="str">
        <f>IF(tbResults[[#This Row],[Loser]]=tbResults[[#This Row],[Player1]],tbResults[[#This Row],[Player1 Pick]],tbResults[[#This Row],[Player2 Pick]])</f>
        <v>Galena</v>
      </c>
      <c r="Z186" s="32">
        <f>SUM(tbResults[[#This Row],[Player1 Score]],tbResults[[#This Row],[Player2 Score]])</f>
        <v>24</v>
      </c>
      <c r="AA186" s="32">
        <f>ABS(tbResults[[#This Row],[Player1 Score]]-tbResults[[#This Row],[Player2 Score]])</f>
        <v>10</v>
      </c>
      <c r="AB186" s="37">
        <f>IF(tbResults[[#This Row],[Player1 Score]]&gt;tbResults[[#This Row],[Player2 Score]],tbResults[[#This Row],[Player1 Score]],tbResults[[#This Row],[Player2 Score]])</f>
        <v>17</v>
      </c>
      <c r="AC186" s="37">
        <f>IF(tbResults[[#This Row],[Player1 Score]]&lt;tbResults[[#This Row],[Player2 Score]],tbResults[[#This Row],[Player1 Score]],tbResults[[#This Row],[Player2 Score]])</f>
        <v>7</v>
      </c>
    </row>
    <row r="187" spans="2:29" s="3" customFormat="1" ht="30" customHeight="1" x14ac:dyDescent="0.3">
      <c r="B187" s="20" t="str">
        <f>_xlfn.CONCAT(tbResults[[#This Row],[Series Title]],".",tbResults[[#This Row],[Game]])</f>
        <v>2.2.03.02.1</v>
      </c>
      <c r="C187" s="15">
        <v>2</v>
      </c>
      <c r="D187" s="15">
        <v>2</v>
      </c>
      <c r="E187" s="15">
        <v>3</v>
      </c>
      <c r="F187" s="15">
        <v>2</v>
      </c>
      <c r="G187" s="15">
        <v>1</v>
      </c>
      <c r="H187" s="19" t="str">
        <f>_xlfn.CONCAT(tbResults[[#This Row],[Season]],".",tbResults[[#This Row],[Stage]])</f>
        <v>2.2</v>
      </c>
      <c r="I187" s="19" t="str">
        <f>_xlfn.CONCAT(tbResults[[#This Row],[Season]],".",tbResults[[#This Row],[Stage]],".",TEXT(tbResults[[#This Row],[Week]],"00"))</f>
        <v>2.2.03</v>
      </c>
      <c r="J187" s="19" t="str">
        <f>_xlfn.CONCAT(tbResults[[#This Row],[Week Title]],".",TEXT(tbResults[[#This Row],[Match]],"00"))</f>
        <v>2.2.03.02</v>
      </c>
      <c r="K187" s="20" t="str">
        <f>_xlfn.CONCAT(tbResults[[#This Row],[Game Title]], " ", tbResults[[#This Row],[Player1]], " vs ", tbResults[[#This Row],[Player2]] )</f>
        <v>2.2.03.02.1 dooi vs Maxter</v>
      </c>
      <c r="L187" s="6" t="s">
        <v>5</v>
      </c>
      <c r="M187" s="6" t="s">
        <v>86</v>
      </c>
      <c r="N187" s="6" t="s">
        <v>33</v>
      </c>
      <c r="O187" s="6" t="s">
        <v>38</v>
      </c>
      <c r="P187" s="6" t="s">
        <v>55</v>
      </c>
      <c r="Q187" s="8">
        <v>10</v>
      </c>
      <c r="R187" s="8">
        <v>16</v>
      </c>
      <c r="S187" s="8" t="s">
        <v>81</v>
      </c>
      <c r="T187" s="16" t="s">
        <v>5</v>
      </c>
      <c r="U187" s="16" t="s">
        <v>44</v>
      </c>
      <c r="V187" s="46" t="str">
        <f>IF(tbResults[[#This Row],[Player1 Score]]&gt;tbResults[[#This Row],[Player2 Score]],tbResults[[#This Row],[Player1]],tbResults[[#This Row],[Player2]])</f>
        <v>Maxter</v>
      </c>
      <c r="W187" s="48" t="str">
        <f>IF(tbResults[[#This Row],[Player1 Score]]&gt;tbResults[[#This Row],[Player2 Score]],tbResults[[#This Row],[Player2]],tbResults[[#This Row],[Player1]])</f>
        <v>dooi</v>
      </c>
      <c r="X187" s="11" t="str">
        <f>IF(tbResults[[#This Row],[Winner]]=tbResults[[#This Row],[Player1]],tbResults[[#This Row],[Player1 Pick]],tbResults[[#This Row],[Player2 Pick]])</f>
        <v>Athena</v>
      </c>
      <c r="Y187" s="11" t="str">
        <f>IF(tbResults[[#This Row],[Loser]]=tbResults[[#This Row],[Player1]],tbResults[[#This Row],[Player1 Pick]],tbResults[[#This Row],[Player2 Pick]])</f>
        <v>Nyx</v>
      </c>
      <c r="Z187" s="32">
        <f>SUM(tbResults[[#This Row],[Player1 Score]],tbResults[[#This Row],[Player2 Score]])</f>
        <v>26</v>
      </c>
      <c r="AA187" s="32">
        <f>ABS(tbResults[[#This Row],[Player1 Score]]-tbResults[[#This Row],[Player2 Score]])</f>
        <v>6</v>
      </c>
      <c r="AB187" s="37">
        <f>IF(tbResults[[#This Row],[Player1 Score]]&gt;tbResults[[#This Row],[Player2 Score]],tbResults[[#This Row],[Player1 Score]],tbResults[[#This Row],[Player2 Score]])</f>
        <v>16</v>
      </c>
      <c r="AC187" s="37">
        <f>IF(tbResults[[#This Row],[Player1 Score]]&lt;tbResults[[#This Row],[Player2 Score]],tbResults[[#This Row],[Player1 Score]],tbResults[[#This Row],[Player2 Score]])</f>
        <v>10</v>
      </c>
    </row>
    <row r="188" spans="2:29" s="3" customFormat="1" ht="30" customHeight="1" x14ac:dyDescent="0.3">
      <c r="B188" s="20" t="str">
        <f>_xlfn.CONCAT(tbResults[[#This Row],[Series Title]],".",tbResults[[#This Row],[Game]])</f>
        <v>2.2.03.02.2</v>
      </c>
      <c r="C188" s="15">
        <v>2</v>
      </c>
      <c r="D188" s="15">
        <v>2</v>
      </c>
      <c r="E188" s="15">
        <v>3</v>
      </c>
      <c r="F188" s="15">
        <v>2</v>
      </c>
      <c r="G188" s="15">
        <v>2</v>
      </c>
      <c r="H188" s="19" t="str">
        <f>_xlfn.CONCAT(tbResults[[#This Row],[Season]],".",tbResults[[#This Row],[Stage]])</f>
        <v>2.2</v>
      </c>
      <c r="I188" s="19" t="str">
        <f>_xlfn.CONCAT(tbResults[[#This Row],[Season]],".",tbResults[[#This Row],[Stage]],".",TEXT(tbResults[[#This Row],[Week]],"00"))</f>
        <v>2.2.03</v>
      </c>
      <c r="J188" s="19" t="str">
        <f>_xlfn.CONCAT(tbResults[[#This Row],[Week Title]],".",TEXT(tbResults[[#This Row],[Match]],"00"))</f>
        <v>2.2.03.02</v>
      </c>
      <c r="K188" s="20" t="str">
        <f>_xlfn.CONCAT(tbResults[[#This Row],[Game Title]], " ", tbResults[[#This Row],[Player1]], " vs ", tbResults[[#This Row],[Player2]] )</f>
        <v>2.2.03.02.2 dooi vs Maxter</v>
      </c>
      <c r="L188" s="6" t="s">
        <v>5</v>
      </c>
      <c r="M188" s="6" t="s">
        <v>86</v>
      </c>
      <c r="N188" s="6" t="s">
        <v>19</v>
      </c>
      <c r="O188" s="6" t="s">
        <v>34</v>
      </c>
      <c r="P188" s="6" t="s">
        <v>21</v>
      </c>
      <c r="Q188" s="8">
        <v>10</v>
      </c>
      <c r="R188" s="8">
        <v>14</v>
      </c>
      <c r="S188" s="8" t="s">
        <v>81</v>
      </c>
      <c r="T188" s="16" t="s">
        <v>41</v>
      </c>
      <c r="U188" s="16" t="s">
        <v>35</v>
      </c>
      <c r="V188" s="46" t="str">
        <f>IF(tbResults[[#This Row],[Player1 Score]]&gt;tbResults[[#This Row],[Player2 Score]],tbResults[[#This Row],[Player1]],tbResults[[#This Row],[Player2]])</f>
        <v>Maxter</v>
      </c>
      <c r="W188" s="48" t="str">
        <f>IF(tbResults[[#This Row],[Player1 Score]]&gt;tbResults[[#This Row],[Player2 Score]],tbResults[[#This Row],[Player2]],tbResults[[#This Row],[Player1]])</f>
        <v>dooi</v>
      </c>
      <c r="X188" s="11" t="str">
        <f>IF(tbResults[[#This Row],[Winner]]=tbResults[[#This Row],[Player1]],tbResults[[#This Row],[Player1 Pick]],tbResults[[#This Row],[Player2 Pick]])</f>
        <v>Ranger</v>
      </c>
      <c r="Y188" s="11" t="str">
        <f>IF(tbResults[[#This Row],[Loser]]=tbResults[[#This Row],[Player1]],tbResults[[#This Row],[Player1 Pick]],tbResults[[#This Row],[Player2 Pick]])</f>
        <v>Galena</v>
      </c>
      <c r="Z188" s="32">
        <f>SUM(tbResults[[#This Row],[Player1 Score]],tbResults[[#This Row],[Player2 Score]])</f>
        <v>24</v>
      </c>
      <c r="AA188" s="32">
        <f>ABS(tbResults[[#This Row],[Player1 Score]]-tbResults[[#This Row],[Player2 Score]])</f>
        <v>4</v>
      </c>
      <c r="AB188" s="37">
        <f>IF(tbResults[[#This Row],[Player1 Score]]&gt;tbResults[[#This Row],[Player2 Score]],tbResults[[#This Row],[Player1 Score]],tbResults[[#This Row],[Player2 Score]])</f>
        <v>14</v>
      </c>
      <c r="AC188" s="37">
        <f>IF(tbResults[[#This Row],[Player1 Score]]&lt;tbResults[[#This Row],[Player2 Score]],tbResults[[#This Row],[Player1 Score]],tbResults[[#This Row],[Player2 Score]])</f>
        <v>10</v>
      </c>
    </row>
    <row r="189" spans="2:29" s="3" customFormat="1" ht="30" customHeight="1" x14ac:dyDescent="0.3">
      <c r="B189" s="20" t="str">
        <f>_xlfn.CONCAT(tbResults[[#This Row],[Series Title]],".",tbResults[[#This Row],[Game]])</f>
        <v>2.2.03.02.3</v>
      </c>
      <c r="C189" s="15">
        <v>2</v>
      </c>
      <c r="D189" s="15">
        <v>2</v>
      </c>
      <c r="E189" s="15">
        <v>3</v>
      </c>
      <c r="F189" s="15">
        <v>2</v>
      </c>
      <c r="G189" s="15">
        <v>3</v>
      </c>
      <c r="H189" s="19" t="str">
        <f>_xlfn.CONCAT(tbResults[[#This Row],[Season]],".",tbResults[[#This Row],[Stage]])</f>
        <v>2.2</v>
      </c>
      <c r="I189" s="19" t="str">
        <f>_xlfn.CONCAT(tbResults[[#This Row],[Season]],".",tbResults[[#This Row],[Stage]],".",TEXT(tbResults[[#This Row],[Week]],"00"))</f>
        <v>2.2.03</v>
      </c>
      <c r="J189" s="19" t="str">
        <f>_xlfn.CONCAT(tbResults[[#This Row],[Week Title]],".",TEXT(tbResults[[#This Row],[Match]],"00"))</f>
        <v>2.2.03.02</v>
      </c>
      <c r="K189" s="20" t="str">
        <f>_xlfn.CONCAT(tbResults[[#This Row],[Game Title]], " ", tbResults[[#This Row],[Player1]], " vs ", tbResults[[#This Row],[Player2]] )</f>
        <v>2.2.03.02.3 dooi vs Maxter</v>
      </c>
      <c r="L189" s="6" t="s">
        <v>5</v>
      </c>
      <c r="M189" s="6" t="s">
        <v>86</v>
      </c>
      <c r="N189" s="6" t="s">
        <v>43</v>
      </c>
      <c r="O189" s="6" t="s">
        <v>25</v>
      </c>
      <c r="P189" s="6" t="s">
        <v>37</v>
      </c>
      <c r="Q189" s="8">
        <v>6</v>
      </c>
      <c r="R189" s="8">
        <v>12</v>
      </c>
      <c r="S189" s="8" t="s">
        <v>81</v>
      </c>
      <c r="T189" s="16" t="s">
        <v>5</v>
      </c>
      <c r="U189" s="16" t="s">
        <v>27</v>
      </c>
      <c r="V189" s="46" t="str">
        <f>IF(tbResults[[#This Row],[Player1 Score]]&gt;tbResults[[#This Row],[Player2 Score]],tbResults[[#This Row],[Player1]],tbResults[[#This Row],[Player2]])</f>
        <v>Maxter</v>
      </c>
      <c r="W189" s="48" t="str">
        <f>IF(tbResults[[#This Row],[Player1 Score]]&gt;tbResults[[#This Row],[Player2 Score]],tbResults[[#This Row],[Player2]],tbResults[[#This Row],[Player1]])</f>
        <v>dooi</v>
      </c>
      <c r="X189" s="11" t="str">
        <f>IF(tbResults[[#This Row],[Winner]]=tbResults[[#This Row],[Player1]],tbResults[[#This Row],[Player1 Pick]],tbResults[[#This Row],[Player2 Pick]])</f>
        <v>Eisen</v>
      </c>
      <c r="Y189" s="11" t="str">
        <f>IF(tbResults[[#This Row],[Loser]]=tbResults[[#This Row],[Player1]],tbResults[[#This Row],[Player1 Pick]],tbResults[[#This Row],[Player2 Pick]])</f>
        <v>Sorlag</v>
      </c>
      <c r="Z189" s="32">
        <f>SUM(tbResults[[#This Row],[Player1 Score]],tbResults[[#This Row],[Player2 Score]])</f>
        <v>18</v>
      </c>
      <c r="AA189" s="32">
        <f>ABS(tbResults[[#This Row],[Player1 Score]]-tbResults[[#This Row],[Player2 Score]])</f>
        <v>6</v>
      </c>
      <c r="AB189" s="37">
        <f>IF(tbResults[[#This Row],[Player1 Score]]&gt;tbResults[[#This Row],[Player2 Score]],tbResults[[#This Row],[Player1 Score]],tbResults[[#This Row],[Player2 Score]])</f>
        <v>12</v>
      </c>
      <c r="AC189" s="37">
        <f>IF(tbResults[[#This Row],[Player1 Score]]&lt;tbResults[[#This Row],[Player2 Score]],tbResults[[#This Row],[Player1 Score]],tbResults[[#This Row],[Player2 Score]])</f>
        <v>6</v>
      </c>
    </row>
    <row r="190" spans="2:29" s="3" customFormat="1" ht="30" customHeight="1" x14ac:dyDescent="0.3">
      <c r="B190" s="20" t="str">
        <f>_xlfn.CONCAT(tbResults[[#This Row],[Series Title]],".",tbResults[[#This Row],[Game]])</f>
        <v>2.2.03.03.1</v>
      </c>
      <c r="C190" s="15">
        <v>2</v>
      </c>
      <c r="D190" s="15">
        <v>2</v>
      </c>
      <c r="E190" s="15">
        <v>3</v>
      </c>
      <c r="F190" s="15">
        <v>3</v>
      </c>
      <c r="G190" s="15">
        <v>1</v>
      </c>
      <c r="H190" s="19" t="str">
        <f>_xlfn.CONCAT(tbResults[[#This Row],[Season]],".",tbResults[[#This Row],[Stage]])</f>
        <v>2.2</v>
      </c>
      <c r="I190" s="19" t="str">
        <f>_xlfn.CONCAT(tbResults[[#This Row],[Season]],".",tbResults[[#This Row],[Stage]],".",TEXT(tbResults[[#This Row],[Week]],"00"))</f>
        <v>2.2.03</v>
      </c>
      <c r="J190" s="19" t="str">
        <f>_xlfn.CONCAT(tbResults[[#This Row],[Week Title]],".",TEXT(tbResults[[#This Row],[Match]],"00"))</f>
        <v>2.2.03.03</v>
      </c>
      <c r="K190" s="20" t="str">
        <f>_xlfn.CONCAT(tbResults[[#This Row],[Game Title]], " ", tbResults[[#This Row],[Player1]], " vs ", tbResults[[#This Row],[Player2]] )</f>
        <v>2.2.03.03.1 Zenaku vs Effortless</v>
      </c>
      <c r="L190" s="6" t="s">
        <v>29</v>
      </c>
      <c r="M190" s="6" t="s">
        <v>6</v>
      </c>
      <c r="N190" s="6" t="s">
        <v>26</v>
      </c>
      <c r="O190" s="6" t="s">
        <v>44</v>
      </c>
      <c r="P190" s="6" t="s">
        <v>34</v>
      </c>
      <c r="Q190" s="8">
        <v>9</v>
      </c>
      <c r="R190" s="8">
        <v>8</v>
      </c>
      <c r="S190" s="8" t="s">
        <v>82</v>
      </c>
      <c r="T190" s="16" t="s">
        <v>6</v>
      </c>
      <c r="U190" s="16" t="s">
        <v>27</v>
      </c>
      <c r="V190" s="46" t="str">
        <f>IF(tbResults[[#This Row],[Player1 Score]]&gt;tbResults[[#This Row],[Player2 Score]],tbResults[[#This Row],[Player1]],tbResults[[#This Row],[Player2]])</f>
        <v>Zenaku</v>
      </c>
      <c r="W190" s="48" t="str">
        <f>IF(tbResults[[#This Row],[Player1 Score]]&gt;tbResults[[#This Row],[Player2 Score]],tbResults[[#This Row],[Player2]],tbResults[[#This Row],[Player1]])</f>
        <v>Effortless</v>
      </c>
      <c r="X190" s="11" t="str">
        <f>IF(tbResults[[#This Row],[Winner]]=tbResults[[#This Row],[Player1]],tbResults[[#This Row],[Player1 Pick]],tbResults[[#This Row],[Player2 Pick]])</f>
        <v>Scalebearer</v>
      </c>
      <c r="Y190" s="11" t="str">
        <f>IF(tbResults[[#This Row],[Loser]]=tbResults[[#This Row],[Player1]],tbResults[[#This Row],[Player1 Pick]],tbResults[[#This Row],[Player2 Pick]])</f>
        <v>Galena</v>
      </c>
      <c r="Z190" s="32">
        <f>SUM(tbResults[[#This Row],[Player1 Score]],tbResults[[#This Row],[Player2 Score]])</f>
        <v>17</v>
      </c>
      <c r="AA190" s="32">
        <f>ABS(tbResults[[#This Row],[Player1 Score]]-tbResults[[#This Row],[Player2 Score]])</f>
        <v>1</v>
      </c>
      <c r="AB190" s="37">
        <f>IF(tbResults[[#This Row],[Player1 Score]]&gt;tbResults[[#This Row],[Player2 Score]],tbResults[[#This Row],[Player1 Score]],tbResults[[#This Row],[Player2 Score]])</f>
        <v>9</v>
      </c>
      <c r="AC190" s="37">
        <f>IF(tbResults[[#This Row],[Player1 Score]]&lt;tbResults[[#This Row],[Player2 Score]],tbResults[[#This Row],[Player1 Score]],tbResults[[#This Row],[Player2 Score]])</f>
        <v>8</v>
      </c>
    </row>
    <row r="191" spans="2:29" s="3" customFormat="1" ht="30" customHeight="1" x14ac:dyDescent="0.3">
      <c r="B191" s="20" t="str">
        <f>_xlfn.CONCAT(tbResults[[#This Row],[Series Title]],".",tbResults[[#This Row],[Game]])</f>
        <v>2.2.03.03.2</v>
      </c>
      <c r="C191" s="15">
        <v>2</v>
      </c>
      <c r="D191" s="15">
        <v>2</v>
      </c>
      <c r="E191" s="15">
        <v>3</v>
      </c>
      <c r="F191" s="15">
        <v>3</v>
      </c>
      <c r="G191" s="15">
        <v>2</v>
      </c>
      <c r="H191" s="19" t="str">
        <f>_xlfn.CONCAT(tbResults[[#This Row],[Season]],".",tbResults[[#This Row],[Stage]])</f>
        <v>2.2</v>
      </c>
      <c r="I191" s="19" t="str">
        <f>_xlfn.CONCAT(tbResults[[#This Row],[Season]],".",tbResults[[#This Row],[Stage]],".",TEXT(tbResults[[#This Row],[Week]],"00"))</f>
        <v>2.2.03</v>
      </c>
      <c r="J191" s="19" t="str">
        <f>_xlfn.CONCAT(tbResults[[#This Row],[Week Title]],".",TEXT(tbResults[[#This Row],[Match]],"00"))</f>
        <v>2.2.03.03</v>
      </c>
      <c r="K191" s="20" t="str">
        <f>_xlfn.CONCAT(tbResults[[#This Row],[Game Title]], " ", tbResults[[#This Row],[Player1]], " vs ", tbResults[[#This Row],[Player2]] )</f>
        <v>2.2.03.03.2 Zenaku vs Effortless</v>
      </c>
      <c r="L191" s="6" t="s">
        <v>29</v>
      </c>
      <c r="M191" s="6" t="s">
        <v>6</v>
      </c>
      <c r="N191" s="6" t="s">
        <v>32</v>
      </c>
      <c r="O191" s="6" t="s">
        <v>22</v>
      </c>
      <c r="P191" s="6" t="s">
        <v>28</v>
      </c>
      <c r="Q191" s="8">
        <v>15</v>
      </c>
      <c r="R191" s="8">
        <v>4</v>
      </c>
      <c r="S191" s="8" t="s">
        <v>81</v>
      </c>
      <c r="T191" s="16" t="s">
        <v>29</v>
      </c>
      <c r="U191" s="16" t="s">
        <v>25</v>
      </c>
      <c r="V191" s="46" t="str">
        <f>IF(tbResults[[#This Row],[Player1 Score]]&gt;tbResults[[#This Row],[Player2 Score]],tbResults[[#This Row],[Player1]],tbResults[[#This Row],[Player2]])</f>
        <v>Zenaku</v>
      </c>
      <c r="W191" s="48" t="str">
        <f>IF(tbResults[[#This Row],[Player1 Score]]&gt;tbResults[[#This Row],[Player2 Score]],tbResults[[#This Row],[Player2]],tbResults[[#This Row],[Player1]])</f>
        <v>Effortless</v>
      </c>
      <c r="X191" s="11" t="str">
        <f>IF(tbResults[[#This Row],[Winner]]=tbResults[[#This Row],[Player1]],tbResults[[#This Row],[Player1 Pick]],tbResults[[#This Row],[Player2 Pick]])</f>
        <v>Strogg</v>
      </c>
      <c r="Y191" s="11" t="str">
        <f>IF(tbResults[[#This Row],[Loser]]=tbResults[[#This Row],[Player1]],tbResults[[#This Row],[Player1 Pick]],tbResults[[#This Row],[Player2 Pick]])</f>
        <v>BJ Blazkowicz</v>
      </c>
      <c r="Z191" s="32">
        <f>SUM(tbResults[[#This Row],[Player1 Score]],tbResults[[#This Row],[Player2 Score]])</f>
        <v>19</v>
      </c>
      <c r="AA191" s="32">
        <f>ABS(tbResults[[#This Row],[Player1 Score]]-tbResults[[#This Row],[Player2 Score]])</f>
        <v>11</v>
      </c>
      <c r="AB191" s="37">
        <f>IF(tbResults[[#This Row],[Player1 Score]]&gt;tbResults[[#This Row],[Player2 Score]],tbResults[[#This Row],[Player1 Score]],tbResults[[#This Row],[Player2 Score]])</f>
        <v>15</v>
      </c>
      <c r="AC191" s="37">
        <f>IF(tbResults[[#This Row],[Player1 Score]]&lt;tbResults[[#This Row],[Player2 Score]],tbResults[[#This Row],[Player1 Score]],tbResults[[#This Row],[Player2 Score]])</f>
        <v>4</v>
      </c>
    </row>
    <row r="192" spans="2:29" s="3" customFormat="1" ht="30" customHeight="1" x14ac:dyDescent="0.3">
      <c r="B192" s="20" t="str">
        <f>_xlfn.CONCAT(tbResults[[#This Row],[Series Title]],".",tbResults[[#This Row],[Game]])</f>
        <v>2.2.03.03.3</v>
      </c>
      <c r="C192" s="15">
        <v>2</v>
      </c>
      <c r="D192" s="15">
        <v>2</v>
      </c>
      <c r="E192" s="15">
        <v>3</v>
      </c>
      <c r="F192" s="15">
        <v>3</v>
      </c>
      <c r="G192" s="15">
        <v>3</v>
      </c>
      <c r="H192" s="19" t="str">
        <f>_xlfn.CONCAT(tbResults[[#This Row],[Season]],".",tbResults[[#This Row],[Stage]])</f>
        <v>2.2</v>
      </c>
      <c r="I192" s="19" t="str">
        <f>_xlfn.CONCAT(tbResults[[#This Row],[Season]],".",tbResults[[#This Row],[Stage]],".",TEXT(tbResults[[#This Row],[Week]],"00"))</f>
        <v>2.2.03</v>
      </c>
      <c r="J192" s="19" t="str">
        <f>_xlfn.CONCAT(tbResults[[#This Row],[Week Title]],".",TEXT(tbResults[[#This Row],[Match]],"00"))</f>
        <v>2.2.03.03</v>
      </c>
      <c r="K192" s="20" t="str">
        <f>_xlfn.CONCAT(tbResults[[#This Row],[Game Title]], " ", tbResults[[#This Row],[Player1]], " vs ", tbResults[[#This Row],[Player2]] )</f>
        <v>2.2.03.03.3 Zenaku vs Effortless</v>
      </c>
      <c r="L192" s="6" t="s">
        <v>29</v>
      </c>
      <c r="M192" s="6" t="s">
        <v>6</v>
      </c>
      <c r="N192" s="6" t="s">
        <v>19</v>
      </c>
      <c r="O192" s="6" t="s">
        <v>21</v>
      </c>
      <c r="P192" s="6" t="s">
        <v>35</v>
      </c>
      <c r="Q192" s="8">
        <v>2</v>
      </c>
      <c r="R192" s="8">
        <v>16</v>
      </c>
      <c r="S192" s="8" t="s">
        <v>81</v>
      </c>
      <c r="T192" s="16" t="s">
        <v>6</v>
      </c>
      <c r="U192" s="16" t="s">
        <v>21</v>
      </c>
      <c r="V192" s="46" t="str">
        <f>IF(tbResults[[#This Row],[Player1 Score]]&gt;tbResults[[#This Row],[Player2 Score]],tbResults[[#This Row],[Player1]],tbResults[[#This Row],[Player2]])</f>
        <v>Effortless</v>
      </c>
      <c r="W192" s="48" t="str">
        <f>IF(tbResults[[#This Row],[Player1 Score]]&gt;tbResults[[#This Row],[Player2 Score]],tbResults[[#This Row],[Player2]],tbResults[[#This Row],[Player1]])</f>
        <v>Zenaku</v>
      </c>
      <c r="X192" s="11" t="str">
        <f>IF(tbResults[[#This Row],[Winner]]=tbResults[[#This Row],[Player1]],tbResults[[#This Row],[Player1 Pick]],tbResults[[#This Row],[Player2 Pick]])</f>
        <v>Doom</v>
      </c>
      <c r="Y192" s="11" t="str">
        <f>IF(tbResults[[#This Row],[Loser]]=tbResults[[#This Row],[Player1]],tbResults[[#This Row],[Player1 Pick]],tbResults[[#This Row],[Player2 Pick]])</f>
        <v>Ranger</v>
      </c>
      <c r="Z192" s="32">
        <f>SUM(tbResults[[#This Row],[Player1 Score]],tbResults[[#This Row],[Player2 Score]])</f>
        <v>18</v>
      </c>
      <c r="AA192" s="32">
        <f>ABS(tbResults[[#This Row],[Player1 Score]]-tbResults[[#This Row],[Player2 Score]])</f>
        <v>14</v>
      </c>
      <c r="AB192" s="37">
        <f>IF(tbResults[[#This Row],[Player1 Score]]&gt;tbResults[[#This Row],[Player2 Score]],tbResults[[#This Row],[Player1 Score]],tbResults[[#This Row],[Player2 Score]])</f>
        <v>16</v>
      </c>
      <c r="AC192" s="37">
        <f>IF(tbResults[[#This Row],[Player1 Score]]&lt;tbResults[[#This Row],[Player2 Score]],tbResults[[#This Row],[Player1 Score]],tbResults[[#This Row],[Player2 Score]])</f>
        <v>2</v>
      </c>
    </row>
    <row r="193" spans="2:29" s="3" customFormat="1" ht="30" customHeight="1" x14ac:dyDescent="0.3">
      <c r="B193" s="20" t="str">
        <f>_xlfn.CONCAT(tbResults[[#This Row],[Series Title]],".",tbResults[[#This Row],[Game]])</f>
        <v>2.2.03.04.1</v>
      </c>
      <c r="C193" s="15">
        <v>2</v>
      </c>
      <c r="D193" s="15">
        <v>2</v>
      </c>
      <c r="E193" s="15">
        <v>3</v>
      </c>
      <c r="F193" s="15">
        <v>4</v>
      </c>
      <c r="G193" s="15">
        <v>1</v>
      </c>
      <c r="H193" s="19" t="str">
        <f>_xlfn.CONCAT(tbResults[[#This Row],[Season]],".",tbResults[[#This Row],[Stage]])</f>
        <v>2.2</v>
      </c>
      <c r="I193" s="19" t="str">
        <f>_xlfn.CONCAT(tbResults[[#This Row],[Season]],".",tbResults[[#This Row],[Stage]],".",TEXT(tbResults[[#This Row],[Week]],"00"))</f>
        <v>2.2.03</v>
      </c>
      <c r="J193" s="19" t="str">
        <f>_xlfn.CONCAT(tbResults[[#This Row],[Week Title]],".",TEXT(tbResults[[#This Row],[Match]],"00"))</f>
        <v>2.2.03.04</v>
      </c>
      <c r="K193" s="20" t="str">
        <f>_xlfn.CONCAT(tbResults[[#This Row],[Game Title]], " ", tbResults[[#This Row],[Player1]], " vs ", tbResults[[#This Row],[Player2]] )</f>
        <v>2.2.03.04.1 Garpy vs k1llsen</v>
      </c>
      <c r="L193" s="6" t="s">
        <v>101</v>
      </c>
      <c r="M193" s="6" t="s">
        <v>31</v>
      </c>
      <c r="N193" s="6" t="s">
        <v>40</v>
      </c>
      <c r="O193" s="6" t="s">
        <v>27</v>
      </c>
      <c r="P193" s="6" t="s">
        <v>22</v>
      </c>
      <c r="Q193" s="8">
        <v>5</v>
      </c>
      <c r="R193" s="8">
        <v>11</v>
      </c>
      <c r="S193" s="8" t="s">
        <v>81</v>
      </c>
      <c r="T193" s="16" t="s">
        <v>101</v>
      </c>
      <c r="U193" s="16" t="s">
        <v>35</v>
      </c>
      <c r="V193" s="46" t="str">
        <f>IF(tbResults[[#This Row],[Player1 Score]]&gt;tbResults[[#This Row],[Player2 Score]],tbResults[[#This Row],[Player1]],tbResults[[#This Row],[Player2]])</f>
        <v>k1llsen</v>
      </c>
      <c r="W193" s="48" t="str">
        <f>IF(tbResults[[#This Row],[Player1 Score]]&gt;tbResults[[#This Row],[Player2 Score]],tbResults[[#This Row],[Player2]],tbResults[[#This Row],[Player1]])</f>
        <v>Garpy</v>
      </c>
      <c r="X193" s="11" t="str">
        <f>IF(tbResults[[#This Row],[Winner]]=tbResults[[#This Row],[Player1]],tbResults[[#This Row],[Player1 Pick]],tbResults[[#This Row],[Player2 Pick]])</f>
        <v>Strogg</v>
      </c>
      <c r="Y193" s="11" t="str">
        <f>IF(tbResults[[#This Row],[Loser]]=tbResults[[#This Row],[Player1]],tbResults[[#This Row],[Player1 Pick]],tbResults[[#This Row],[Player2 Pick]])</f>
        <v>Keel</v>
      </c>
      <c r="Z193" s="32">
        <f>SUM(tbResults[[#This Row],[Player1 Score]],tbResults[[#This Row],[Player2 Score]])</f>
        <v>16</v>
      </c>
      <c r="AA193" s="32">
        <f>ABS(tbResults[[#This Row],[Player1 Score]]-tbResults[[#This Row],[Player2 Score]])</f>
        <v>6</v>
      </c>
      <c r="AB193" s="37">
        <f>IF(tbResults[[#This Row],[Player1 Score]]&gt;tbResults[[#This Row],[Player2 Score]],tbResults[[#This Row],[Player1 Score]],tbResults[[#This Row],[Player2 Score]])</f>
        <v>11</v>
      </c>
      <c r="AC193" s="37">
        <f>IF(tbResults[[#This Row],[Player1 Score]]&lt;tbResults[[#This Row],[Player2 Score]],tbResults[[#This Row],[Player1 Score]],tbResults[[#This Row],[Player2 Score]])</f>
        <v>5</v>
      </c>
    </row>
    <row r="194" spans="2:29" s="3" customFormat="1" ht="30" customHeight="1" x14ac:dyDescent="0.3">
      <c r="B194" s="20" t="str">
        <f>_xlfn.CONCAT(tbResults[[#This Row],[Series Title]],".",tbResults[[#This Row],[Game]])</f>
        <v>2.2.03.04.2</v>
      </c>
      <c r="C194" s="15">
        <v>2</v>
      </c>
      <c r="D194" s="15">
        <v>2</v>
      </c>
      <c r="E194" s="15">
        <v>3</v>
      </c>
      <c r="F194" s="15">
        <v>4</v>
      </c>
      <c r="G194" s="15">
        <v>2</v>
      </c>
      <c r="H194" s="19" t="str">
        <f>_xlfn.CONCAT(tbResults[[#This Row],[Season]],".",tbResults[[#This Row],[Stage]])</f>
        <v>2.2</v>
      </c>
      <c r="I194" s="19" t="str">
        <f>_xlfn.CONCAT(tbResults[[#This Row],[Season]],".",tbResults[[#This Row],[Stage]],".",TEXT(tbResults[[#This Row],[Week]],"00"))</f>
        <v>2.2.03</v>
      </c>
      <c r="J194" s="19" t="str">
        <f>_xlfn.CONCAT(tbResults[[#This Row],[Week Title]],".",TEXT(tbResults[[#This Row],[Match]],"00"))</f>
        <v>2.2.03.04</v>
      </c>
      <c r="K194" s="20" t="str">
        <f>_xlfn.CONCAT(tbResults[[#This Row],[Game Title]], " ", tbResults[[#This Row],[Player1]], " vs ", tbResults[[#This Row],[Player2]] )</f>
        <v>2.2.03.04.2 Garpy vs k1llsen</v>
      </c>
      <c r="L194" s="6" t="s">
        <v>101</v>
      </c>
      <c r="M194" s="6" t="s">
        <v>31</v>
      </c>
      <c r="N194" s="6" t="s">
        <v>32</v>
      </c>
      <c r="O194" s="6" t="s">
        <v>21</v>
      </c>
      <c r="P194" s="6" t="s">
        <v>28</v>
      </c>
      <c r="Q194" s="8">
        <v>9</v>
      </c>
      <c r="R194" s="8">
        <v>18</v>
      </c>
      <c r="S194" s="8" t="s">
        <v>81</v>
      </c>
      <c r="T194" s="16" t="s">
        <v>31</v>
      </c>
      <c r="U194" s="16" t="s">
        <v>38</v>
      </c>
      <c r="V194" s="46" t="str">
        <f>IF(tbResults[[#This Row],[Player1 Score]]&gt;tbResults[[#This Row],[Player2 Score]],tbResults[[#This Row],[Player1]],tbResults[[#This Row],[Player2]])</f>
        <v>k1llsen</v>
      </c>
      <c r="W194" s="48" t="str">
        <f>IF(tbResults[[#This Row],[Player1 Score]]&gt;tbResults[[#This Row],[Player2 Score]],tbResults[[#This Row],[Player2]],tbResults[[#This Row],[Player1]])</f>
        <v>Garpy</v>
      </c>
      <c r="X194" s="11" t="str">
        <f>IF(tbResults[[#This Row],[Winner]]=tbResults[[#This Row],[Player1]],tbResults[[#This Row],[Player1 Pick]],tbResults[[#This Row],[Player2 Pick]])</f>
        <v>BJ Blazkowicz</v>
      </c>
      <c r="Y194" s="11" t="str">
        <f>IF(tbResults[[#This Row],[Loser]]=tbResults[[#This Row],[Player1]],tbResults[[#This Row],[Player1 Pick]],tbResults[[#This Row],[Player2 Pick]])</f>
        <v>Ranger</v>
      </c>
      <c r="Z194" s="32">
        <f>SUM(tbResults[[#This Row],[Player1 Score]],tbResults[[#This Row],[Player2 Score]])</f>
        <v>27</v>
      </c>
      <c r="AA194" s="32">
        <f>ABS(tbResults[[#This Row],[Player1 Score]]-tbResults[[#This Row],[Player2 Score]])</f>
        <v>9</v>
      </c>
      <c r="AB194" s="37">
        <f>IF(tbResults[[#This Row],[Player1 Score]]&gt;tbResults[[#This Row],[Player2 Score]],tbResults[[#This Row],[Player1 Score]],tbResults[[#This Row],[Player2 Score]])</f>
        <v>18</v>
      </c>
      <c r="AC194" s="37">
        <f>IF(tbResults[[#This Row],[Player1 Score]]&lt;tbResults[[#This Row],[Player2 Score]],tbResults[[#This Row],[Player1 Score]],tbResults[[#This Row],[Player2 Score]])</f>
        <v>9</v>
      </c>
    </row>
    <row r="195" spans="2:29" s="3" customFormat="1" ht="30" customHeight="1" x14ac:dyDescent="0.3">
      <c r="B195" s="20" t="str">
        <f>_xlfn.CONCAT(tbResults[[#This Row],[Series Title]],".",tbResults[[#This Row],[Game]])</f>
        <v>2.2.03.04.3</v>
      </c>
      <c r="C195" s="15">
        <v>2</v>
      </c>
      <c r="D195" s="15">
        <v>2</v>
      </c>
      <c r="E195" s="15">
        <v>3</v>
      </c>
      <c r="F195" s="15">
        <v>4</v>
      </c>
      <c r="G195" s="15">
        <v>3</v>
      </c>
      <c r="H195" s="19" t="str">
        <f>_xlfn.CONCAT(tbResults[[#This Row],[Season]],".",tbResults[[#This Row],[Stage]])</f>
        <v>2.2</v>
      </c>
      <c r="I195" s="19" t="str">
        <f>_xlfn.CONCAT(tbResults[[#This Row],[Season]],".",tbResults[[#This Row],[Stage]],".",TEXT(tbResults[[#This Row],[Week]],"00"))</f>
        <v>2.2.03</v>
      </c>
      <c r="J195" s="19" t="str">
        <f>_xlfn.CONCAT(tbResults[[#This Row],[Week Title]],".",TEXT(tbResults[[#This Row],[Match]],"00"))</f>
        <v>2.2.03.04</v>
      </c>
      <c r="K195" s="20" t="str">
        <f>_xlfn.CONCAT(tbResults[[#This Row],[Game Title]], " ", tbResults[[#This Row],[Player1]], " vs ", tbResults[[#This Row],[Player2]] )</f>
        <v>2.2.03.04.3 Garpy vs k1llsen</v>
      </c>
      <c r="L195" s="6" t="s">
        <v>101</v>
      </c>
      <c r="M195" s="6" t="s">
        <v>31</v>
      </c>
      <c r="N195" s="6" t="s">
        <v>33</v>
      </c>
      <c r="O195" s="6" t="s">
        <v>34</v>
      </c>
      <c r="P195" s="6" t="s">
        <v>39</v>
      </c>
      <c r="Q195" s="8">
        <v>3</v>
      </c>
      <c r="R195" s="8">
        <v>9</v>
      </c>
      <c r="S195" s="8" t="s">
        <v>81</v>
      </c>
      <c r="T195" s="16" t="s">
        <v>101</v>
      </c>
      <c r="U195" s="16" t="s">
        <v>36</v>
      </c>
      <c r="V195" s="46" t="str">
        <f>IF(tbResults[[#This Row],[Player1 Score]]&gt;tbResults[[#This Row],[Player2 Score]],tbResults[[#This Row],[Player1]],tbResults[[#This Row],[Player2]])</f>
        <v>k1llsen</v>
      </c>
      <c r="W195" s="48" t="str">
        <f>IF(tbResults[[#This Row],[Player1 Score]]&gt;tbResults[[#This Row],[Player2 Score]],tbResults[[#This Row],[Player2]],tbResults[[#This Row],[Player1]])</f>
        <v>Garpy</v>
      </c>
      <c r="X195" s="11" t="str">
        <f>IF(tbResults[[#This Row],[Winner]]=tbResults[[#This Row],[Player1]],tbResults[[#This Row],[Player1 Pick]],tbResults[[#This Row],[Player2 Pick]])</f>
        <v>Anarki</v>
      </c>
      <c r="Y195" s="11" t="str">
        <f>IF(tbResults[[#This Row],[Loser]]=tbResults[[#This Row],[Player1]],tbResults[[#This Row],[Player1 Pick]],tbResults[[#This Row],[Player2 Pick]])</f>
        <v>Galena</v>
      </c>
      <c r="Z195" s="32">
        <f>SUM(tbResults[[#This Row],[Player1 Score]],tbResults[[#This Row],[Player2 Score]])</f>
        <v>12</v>
      </c>
      <c r="AA195" s="32">
        <f>ABS(tbResults[[#This Row],[Player1 Score]]-tbResults[[#This Row],[Player2 Score]])</f>
        <v>6</v>
      </c>
      <c r="AB195" s="37">
        <f>IF(tbResults[[#This Row],[Player1 Score]]&gt;tbResults[[#This Row],[Player2 Score]],tbResults[[#This Row],[Player1 Score]],tbResults[[#This Row],[Player2 Score]])</f>
        <v>9</v>
      </c>
      <c r="AC195" s="37">
        <f>IF(tbResults[[#This Row],[Player1 Score]]&lt;tbResults[[#This Row],[Player2 Score]],tbResults[[#This Row],[Player1 Score]],tbResults[[#This Row],[Player2 Score]])</f>
        <v>3</v>
      </c>
    </row>
    <row r="196" spans="2:29" s="3" customFormat="1" ht="30" customHeight="1" x14ac:dyDescent="0.3">
      <c r="B196" s="20" t="str">
        <f>_xlfn.CONCAT(tbResults[[#This Row],[Series Title]],".",tbResults[[#This Row],[Game]])</f>
        <v>2.2.03.05.1</v>
      </c>
      <c r="C196" s="15">
        <v>2</v>
      </c>
      <c r="D196" s="15">
        <v>2</v>
      </c>
      <c r="E196" s="15">
        <v>3</v>
      </c>
      <c r="F196" s="15">
        <v>5</v>
      </c>
      <c r="G196" s="15">
        <v>1</v>
      </c>
      <c r="H196" s="19" t="str">
        <f>_xlfn.CONCAT(tbResults[[#This Row],[Season]],".",tbResults[[#This Row],[Stage]])</f>
        <v>2.2</v>
      </c>
      <c r="I196" s="19" t="str">
        <f>_xlfn.CONCAT(tbResults[[#This Row],[Season]],".",tbResults[[#This Row],[Stage]],".",TEXT(tbResults[[#This Row],[Week]],"00"))</f>
        <v>2.2.03</v>
      </c>
      <c r="J196" s="19" t="str">
        <f>_xlfn.CONCAT(tbResults[[#This Row],[Week Title]],".",TEXT(tbResults[[#This Row],[Match]],"00"))</f>
        <v>2.2.03.05</v>
      </c>
      <c r="K196" s="20" t="str">
        <f>_xlfn.CONCAT(tbResults[[#This Row],[Game Title]], " ", tbResults[[#This Row],[Player1]], " vs ", tbResults[[#This Row],[Player2]] )</f>
        <v>2.2.03.05.1 Rapha vs Nosfa</v>
      </c>
      <c r="L196" s="6" t="s">
        <v>47</v>
      </c>
      <c r="M196" s="6" t="s">
        <v>11</v>
      </c>
      <c r="N196" s="6" t="s">
        <v>26</v>
      </c>
      <c r="O196" s="6" t="s">
        <v>39</v>
      </c>
      <c r="P196" s="6" t="s">
        <v>44</v>
      </c>
      <c r="Q196" s="8">
        <v>13</v>
      </c>
      <c r="R196" s="8">
        <v>12</v>
      </c>
      <c r="S196" s="8" t="s">
        <v>81</v>
      </c>
      <c r="T196" s="16" t="s">
        <v>47</v>
      </c>
      <c r="U196" s="16" t="s">
        <v>27</v>
      </c>
      <c r="V196" s="46" t="str">
        <f>IF(tbResults[[#This Row],[Player1 Score]]&gt;tbResults[[#This Row],[Player2 Score]],tbResults[[#This Row],[Player1]],tbResults[[#This Row],[Player2]])</f>
        <v>Rapha</v>
      </c>
      <c r="W196" s="48" t="str">
        <f>IF(tbResults[[#This Row],[Player1 Score]]&gt;tbResults[[#This Row],[Player2 Score]],tbResults[[#This Row],[Player2]],tbResults[[#This Row],[Player1]])</f>
        <v>Nosfa</v>
      </c>
      <c r="X196" s="11" t="str">
        <f>IF(tbResults[[#This Row],[Winner]]=tbResults[[#This Row],[Player1]],tbResults[[#This Row],[Player1 Pick]],tbResults[[#This Row],[Player2 Pick]])</f>
        <v>Anarki</v>
      </c>
      <c r="Y196" s="11" t="str">
        <f>IF(tbResults[[#This Row],[Loser]]=tbResults[[#This Row],[Player1]],tbResults[[#This Row],[Player1 Pick]],tbResults[[#This Row],[Player2 Pick]])</f>
        <v>Scalebearer</v>
      </c>
      <c r="Z196" s="32">
        <f>SUM(tbResults[[#This Row],[Player1 Score]],tbResults[[#This Row],[Player2 Score]])</f>
        <v>25</v>
      </c>
      <c r="AA196" s="32">
        <f>ABS(tbResults[[#This Row],[Player1 Score]]-tbResults[[#This Row],[Player2 Score]])</f>
        <v>1</v>
      </c>
      <c r="AB196" s="37">
        <f>IF(tbResults[[#This Row],[Player1 Score]]&gt;tbResults[[#This Row],[Player2 Score]],tbResults[[#This Row],[Player1 Score]],tbResults[[#This Row],[Player2 Score]])</f>
        <v>13</v>
      </c>
      <c r="AC196" s="37">
        <f>IF(tbResults[[#This Row],[Player1 Score]]&lt;tbResults[[#This Row],[Player2 Score]],tbResults[[#This Row],[Player1 Score]],tbResults[[#This Row],[Player2 Score]])</f>
        <v>12</v>
      </c>
    </row>
    <row r="197" spans="2:29" s="3" customFormat="1" ht="30" customHeight="1" x14ac:dyDescent="0.3">
      <c r="B197" s="20" t="str">
        <f>_xlfn.CONCAT(tbResults[[#This Row],[Series Title]],".",tbResults[[#This Row],[Game]])</f>
        <v>2.2.03.05.2</v>
      </c>
      <c r="C197" s="15">
        <v>2</v>
      </c>
      <c r="D197" s="15">
        <v>2</v>
      </c>
      <c r="E197" s="15">
        <v>3</v>
      </c>
      <c r="F197" s="15">
        <v>5</v>
      </c>
      <c r="G197" s="15">
        <v>2</v>
      </c>
      <c r="H197" s="19" t="str">
        <f>_xlfn.CONCAT(tbResults[[#This Row],[Season]],".",tbResults[[#This Row],[Stage]])</f>
        <v>2.2</v>
      </c>
      <c r="I197" s="19" t="str">
        <f>_xlfn.CONCAT(tbResults[[#This Row],[Season]],".",tbResults[[#This Row],[Stage]],".",TEXT(tbResults[[#This Row],[Week]],"00"))</f>
        <v>2.2.03</v>
      </c>
      <c r="J197" s="19" t="str">
        <f>_xlfn.CONCAT(tbResults[[#This Row],[Week Title]],".",TEXT(tbResults[[#This Row],[Match]],"00"))</f>
        <v>2.2.03.05</v>
      </c>
      <c r="K197" s="20" t="str">
        <f>_xlfn.CONCAT(tbResults[[#This Row],[Game Title]], " ", tbResults[[#This Row],[Player1]], " vs ", tbResults[[#This Row],[Player2]] )</f>
        <v>2.2.03.05.2 Rapha vs Nosfa</v>
      </c>
      <c r="L197" s="6" t="s">
        <v>47</v>
      </c>
      <c r="M197" s="6" t="s">
        <v>11</v>
      </c>
      <c r="N197" s="6" t="s">
        <v>43</v>
      </c>
      <c r="O197" s="6" t="s">
        <v>21</v>
      </c>
      <c r="P197" s="6" t="s">
        <v>25</v>
      </c>
      <c r="Q197" s="8">
        <v>7</v>
      </c>
      <c r="R197" s="8">
        <v>6</v>
      </c>
      <c r="S197" s="8" t="s">
        <v>81</v>
      </c>
      <c r="T197" s="16" t="s">
        <v>11</v>
      </c>
      <c r="U197" s="16" t="s">
        <v>28</v>
      </c>
      <c r="V197" s="46" t="str">
        <f>IF(tbResults[[#This Row],[Player1 Score]]&gt;tbResults[[#This Row],[Player2 Score]],tbResults[[#This Row],[Player1]],tbResults[[#This Row],[Player2]])</f>
        <v>Rapha</v>
      </c>
      <c r="W197" s="48" t="str">
        <f>IF(tbResults[[#This Row],[Player1 Score]]&gt;tbResults[[#This Row],[Player2 Score]],tbResults[[#This Row],[Player2]],tbResults[[#This Row],[Player1]])</f>
        <v>Nosfa</v>
      </c>
      <c r="X197" s="11" t="str">
        <f>IF(tbResults[[#This Row],[Winner]]=tbResults[[#This Row],[Player1]],tbResults[[#This Row],[Player1 Pick]],tbResults[[#This Row],[Player2 Pick]])</f>
        <v>Ranger</v>
      </c>
      <c r="Y197" s="11" t="str">
        <f>IF(tbResults[[#This Row],[Loser]]=tbResults[[#This Row],[Player1]],tbResults[[#This Row],[Player1 Pick]],tbResults[[#This Row],[Player2 Pick]])</f>
        <v>Sorlag</v>
      </c>
      <c r="Z197" s="32">
        <f>SUM(tbResults[[#This Row],[Player1 Score]],tbResults[[#This Row],[Player2 Score]])</f>
        <v>13</v>
      </c>
      <c r="AA197" s="32">
        <f>ABS(tbResults[[#This Row],[Player1 Score]]-tbResults[[#This Row],[Player2 Score]])</f>
        <v>1</v>
      </c>
      <c r="AB197" s="37">
        <f>IF(tbResults[[#This Row],[Player1 Score]]&gt;tbResults[[#This Row],[Player2 Score]],tbResults[[#This Row],[Player1 Score]],tbResults[[#This Row],[Player2 Score]])</f>
        <v>7</v>
      </c>
      <c r="AC197" s="37">
        <f>IF(tbResults[[#This Row],[Player1 Score]]&lt;tbResults[[#This Row],[Player2 Score]],tbResults[[#This Row],[Player1 Score]],tbResults[[#This Row],[Player2 Score]])</f>
        <v>6</v>
      </c>
    </row>
    <row r="198" spans="2:29" s="3" customFormat="1" ht="30" customHeight="1" x14ac:dyDescent="0.3">
      <c r="B198" s="20" t="str">
        <f>_xlfn.CONCAT(tbResults[[#This Row],[Series Title]],".",tbResults[[#This Row],[Game]])</f>
        <v>2.2.03.05.3</v>
      </c>
      <c r="C198" s="15">
        <v>2</v>
      </c>
      <c r="D198" s="15">
        <v>2</v>
      </c>
      <c r="E198" s="15">
        <v>3</v>
      </c>
      <c r="F198" s="15">
        <v>5</v>
      </c>
      <c r="G198" s="15">
        <v>3</v>
      </c>
      <c r="H198" s="19" t="str">
        <f>_xlfn.CONCAT(tbResults[[#This Row],[Season]],".",tbResults[[#This Row],[Stage]])</f>
        <v>2.2</v>
      </c>
      <c r="I198" s="19" t="str">
        <f>_xlfn.CONCAT(tbResults[[#This Row],[Season]],".",tbResults[[#This Row],[Stage]],".",TEXT(tbResults[[#This Row],[Week]],"00"))</f>
        <v>2.2.03</v>
      </c>
      <c r="J198" s="19" t="str">
        <f>_xlfn.CONCAT(tbResults[[#This Row],[Week Title]],".",TEXT(tbResults[[#This Row],[Match]],"00"))</f>
        <v>2.2.03.05</v>
      </c>
      <c r="K198" s="20" t="str">
        <f>_xlfn.CONCAT(tbResults[[#This Row],[Game Title]], " ", tbResults[[#This Row],[Player1]], " vs ", tbResults[[#This Row],[Player2]] )</f>
        <v>2.2.03.05.3 Rapha vs Nosfa</v>
      </c>
      <c r="L198" s="6" t="s">
        <v>47</v>
      </c>
      <c r="M198" s="6" t="s">
        <v>11</v>
      </c>
      <c r="N198" s="6" t="s">
        <v>33</v>
      </c>
      <c r="O198" s="6" t="s">
        <v>36</v>
      </c>
      <c r="P198" s="6" t="s">
        <v>34</v>
      </c>
      <c r="Q198" s="8">
        <v>14</v>
      </c>
      <c r="R198" s="8">
        <v>5</v>
      </c>
      <c r="S198" s="8" t="s">
        <v>81</v>
      </c>
      <c r="T198" s="16" t="s">
        <v>47</v>
      </c>
      <c r="U198" s="16" t="s">
        <v>55</v>
      </c>
      <c r="V198" s="46" t="str">
        <f>IF(tbResults[[#This Row],[Player1 Score]]&gt;tbResults[[#This Row],[Player2 Score]],tbResults[[#This Row],[Player1]],tbResults[[#This Row],[Player2]])</f>
        <v>Rapha</v>
      </c>
      <c r="W198" s="48" t="str">
        <f>IF(tbResults[[#This Row],[Player1 Score]]&gt;tbResults[[#This Row],[Player2 Score]],tbResults[[#This Row],[Player2]],tbResults[[#This Row],[Player1]])</f>
        <v>Nosfa</v>
      </c>
      <c r="X198" s="11" t="str">
        <f>IF(tbResults[[#This Row],[Winner]]=tbResults[[#This Row],[Player1]],tbResults[[#This Row],[Player1 Pick]],tbResults[[#This Row],[Player2 Pick]])</f>
        <v>Visor</v>
      </c>
      <c r="Y198" s="11" t="str">
        <f>IF(tbResults[[#This Row],[Loser]]=tbResults[[#This Row],[Player1]],tbResults[[#This Row],[Player1 Pick]],tbResults[[#This Row],[Player2 Pick]])</f>
        <v>Galena</v>
      </c>
      <c r="Z198" s="32">
        <f>SUM(tbResults[[#This Row],[Player1 Score]],tbResults[[#This Row],[Player2 Score]])</f>
        <v>19</v>
      </c>
      <c r="AA198" s="32">
        <f>ABS(tbResults[[#This Row],[Player1 Score]]-tbResults[[#This Row],[Player2 Score]])</f>
        <v>9</v>
      </c>
      <c r="AB198" s="37">
        <f>IF(tbResults[[#This Row],[Player1 Score]]&gt;tbResults[[#This Row],[Player2 Score]],tbResults[[#This Row],[Player1 Score]],tbResults[[#This Row],[Player2 Score]])</f>
        <v>14</v>
      </c>
      <c r="AC198" s="37">
        <f>IF(tbResults[[#This Row],[Player1 Score]]&lt;tbResults[[#This Row],[Player2 Score]],tbResults[[#This Row],[Player1 Score]],tbResults[[#This Row],[Player2 Score]])</f>
        <v>5</v>
      </c>
    </row>
    <row r="199" spans="2:29" s="3" customFormat="1" ht="30" customHeight="1" x14ac:dyDescent="0.3">
      <c r="B199" s="20" t="str">
        <f>_xlfn.CONCAT(tbResults[[#This Row],[Series Title]],".",tbResults[[#This Row],[Game]])</f>
        <v>2.2.03.06.1</v>
      </c>
      <c r="C199" s="15">
        <v>2</v>
      </c>
      <c r="D199" s="15">
        <v>2</v>
      </c>
      <c r="E199" s="15">
        <v>3</v>
      </c>
      <c r="F199" s="15">
        <v>6</v>
      </c>
      <c r="G199" s="15">
        <v>1</v>
      </c>
      <c r="H199" s="19" t="str">
        <f>_xlfn.CONCAT(tbResults[[#This Row],[Season]],".",tbResults[[#This Row],[Stage]])</f>
        <v>2.2</v>
      </c>
      <c r="I199" s="19" t="str">
        <f>_xlfn.CONCAT(tbResults[[#This Row],[Season]],".",tbResults[[#This Row],[Stage]],".",TEXT(tbResults[[#This Row],[Week]],"00"))</f>
        <v>2.2.03</v>
      </c>
      <c r="J199" s="19" t="str">
        <f>_xlfn.CONCAT(tbResults[[#This Row],[Week Title]],".",TEXT(tbResults[[#This Row],[Match]],"00"))</f>
        <v>2.2.03.06</v>
      </c>
      <c r="K199" s="20" t="str">
        <f>_xlfn.CONCAT(tbResults[[#This Row],[Game Title]], " ", tbResults[[#This Row],[Player1]], " vs ", tbResults[[#This Row],[Player2]] )</f>
        <v>2.2.03.06.1 cnz vs coollerz</v>
      </c>
      <c r="L199" s="6" t="s">
        <v>54</v>
      </c>
      <c r="M199" s="6" t="s">
        <v>48</v>
      </c>
      <c r="N199" s="6" t="s">
        <v>23</v>
      </c>
      <c r="O199" s="6" t="s">
        <v>22</v>
      </c>
      <c r="P199" s="6" t="s">
        <v>25</v>
      </c>
      <c r="Q199" s="8">
        <v>8</v>
      </c>
      <c r="R199" s="8">
        <v>15</v>
      </c>
      <c r="S199" s="8" t="s">
        <v>81</v>
      </c>
      <c r="T199" s="16" t="s">
        <v>48</v>
      </c>
      <c r="U199" s="16" t="s">
        <v>34</v>
      </c>
      <c r="V199" s="46" t="str">
        <f>IF(tbResults[[#This Row],[Player1 Score]]&gt;tbResults[[#This Row],[Player2 Score]],tbResults[[#This Row],[Player1]],tbResults[[#This Row],[Player2]])</f>
        <v>coollerz</v>
      </c>
      <c r="W199" s="48" t="str">
        <f>IF(tbResults[[#This Row],[Player1 Score]]&gt;tbResults[[#This Row],[Player2 Score]],tbResults[[#This Row],[Player2]],tbResults[[#This Row],[Player1]])</f>
        <v>cnz</v>
      </c>
      <c r="X199" s="11" t="str">
        <f>IF(tbResults[[#This Row],[Winner]]=tbResults[[#This Row],[Player1]],tbResults[[#This Row],[Player1 Pick]],tbResults[[#This Row],[Player2 Pick]])</f>
        <v>Sorlag</v>
      </c>
      <c r="Y199" s="11" t="str">
        <f>IF(tbResults[[#This Row],[Loser]]=tbResults[[#This Row],[Player1]],tbResults[[#This Row],[Player1 Pick]],tbResults[[#This Row],[Player2 Pick]])</f>
        <v>Strogg</v>
      </c>
      <c r="Z199" s="32">
        <f>SUM(tbResults[[#This Row],[Player1 Score]],tbResults[[#This Row],[Player2 Score]])</f>
        <v>23</v>
      </c>
      <c r="AA199" s="32">
        <f>ABS(tbResults[[#This Row],[Player1 Score]]-tbResults[[#This Row],[Player2 Score]])</f>
        <v>7</v>
      </c>
      <c r="AB199" s="37">
        <f>IF(tbResults[[#This Row],[Player1 Score]]&gt;tbResults[[#This Row],[Player2 Score]],tbResults[[#This Row],[Player1 Score]],tbResults[[#This Row],[Player2 Score]])</f>
        <v>15</v>
      </c>
      <c r="AC199" s="37">
        <f>IF(tbResults[[#This Row],[Player1 Score]]&lt;tbResults[[#This Row],[Player2 Score]],tbResults[[#This Row],[Player1 Score]],tbResults[[#This Row],[Player2 Score]])</f>
        <v>8</v>
      </c>
    </row>
    <row r="200" spans="2:29" s="3" customFormat="1" ht="30" customHeight="1" x14ac:dyDescent="0.3">
      <c r="B200" s="20" t="str">
        <f>_xlfn.CONCAT(tbResults[[#This Row],[Series Title]],".",tbResults[[#This Row],[Game]])</f>
        <v>2.2.03.06.2</v>
      </c>
      <c r="C200" s="15">
        <v>2</v>
      </c>
      <c r="D200" s="15">
        <v>2</v>
      </c>
      <c r="E200" s="15">
        <v>3</v>
      </c>
      <c r="F200" s="15">
        <v>6</v>
      </c>
      <c r="G200" s="15">
        <v>2</v>
      </c>
      <c r="H200" s="19" t="str">
        <f>_xlfn.CONCAT(tbResults[[#This Row],[Season]],".",tbResults[[#This Row],[Stage]])</f>
        <v>2.2</v>
      </c>
      <c r="I200" s="19" t="str">
        <f>_xlfn.CONCAT(tbResults[[#This Row],[Season]],".",tbResults[[#This Row],[Stage]],".",TEXT(tbResults[[#This Row],[Week]],"00"))</f>
        <v>2.2.03</v>
      </c>
      <c r="J200" s="19" t="str">
        <f>_xlfn.CONCAT(tbResults[[#This Row],[Week Title]],".",TEXT(tbResults[[#This Row],[Match]],"00"))</f>
        <v>2.2.03.06</v>
      </c>
      <c r="K200" s="20" t="str">
        <f>_xlfn.CONCAT(tbResults[[#This Row],[Game Title]], " ", tbResults[[#This Row],[Player1]], " vs ", tbResults[[#This Row],[Player2]] )</f>
        <v>2.2.03.06.2 cnz vs coollerz</v>
      </c>
      <c r="L200" s="6" t="s">
        <v>54</v>
      </c>
      <c r="M200" s="6" t="s">
        <v>48</v>
      </c>
      <c r="N200" s="6" t="s">
        <v>40</v>
      </c>
      <c r="O200" s="6" t="s">
        <v>21</v>
      </c>
      <c r="P200" s="6" t="s">
        <v>39</v>
      </c>
      <c r="Q200" s="8">
        <v>10</v>
      </c>
      <c r="R200" s="8">
        <v>7</v>
      </c>
      <c r="S200" s="8" t="s">
        <v>81</v>
      </c>
      <c r="T200" s="16" t="s">
        <v>54</v>
      </c>
      <c r="U200" s="16" t="s">
        <v>27</v>
      </c>
      <c r="V200" s="46" t="str">
        <f>IF(tbResults[[#This Row],[Player1 Score]]&gt;tbResults[[#This Row],[Player2 Score]],tbResults[[#This Row],[Player1]],tbResults[[#This Row],[Player2]])</f>
        <v>cnz</v>
      </c>
      <c r="W200" s="48" t="str">
        <f>IF(tbResults[[#This Row],[Player1 Score]]&gt;tbResults[[#This Row],[Player2 Score]],tbResults[[#This Row],[Player2]],tbResults[[#This Row],[Player1]])</f>
        <v>coollerz</v>
      </c>
      <c r="X200" s="11" t="str">
        <f>IF(tbResults[[#This Row],[Winner]]=tbResults[[#This Row],[Player1]],tbResults[[#This Row],[Player1 Pick]],tbResults[[#This Row],[Player2 Pick]])</f>
        <v>Ranger</v>
      </c>
      <c r="Y200" s="11" t="str">
        <f>IF(tbResults[[#This Row],[Loser]]=tbResults[[#This Row],[Player1]],tbResults[[#This Row],[Player1 Pick]],tbResults[[#This Row],[Player2 Pick]])</f>
        <v>Anarki</v>
      </c>
      <c r="Z200" s="32">
        <f>SUM(tbResults[[#This Row],[Player1 Score]],tbResults[[#This Row],[Player2 Score]])</f>
        <v>17</v>
      </c>
      <c r="AA200" s="32">
        <f>ABS(tbResults[[#This Row],[Player1 Score]]-tbResults[[#This Row],[Player2 Score]])</f>
        <v>3</v>
      </c>
      <c r="AB200" s="37">
        <f>IF(tbResults[[#This Row],[Player1 Score]]&gt;tbResults[[#This Row],[Player2 Score]],tbResults[[#This Row],[Player1 Score]],tbResults[[#This Row],[Player2 Score]])</f>
        <v>10</v>
      </c>
      <c r="AC200" s="37">
        <f>IF(tbResults[[#This Row],[Player1 Score]]&lt;tbResults[[#This Row],[Player2 Score]],tbResults[[#This Row],[Player1 Score]],tbResults[[#This Row],[Player2 Score]])</f>
        <v>7</v>
      </c>
    </row>
    <row r="201" spans="2:29" s="3" customFormat="1" ht="30" customHeight="1" x14ac:dyDescent="0.3">
      <c r="B201" s="20" t="str">
        <f>_xlfn.CONCAT(tbResults[[#This Row],[Series Title]],".",tbResults[[#This Row],[Game]])</f>
        <v>2.2.03.06.3</v>
      </c>
      <c r="C201" s="15">
        <v>2</v>
      </c>
      <c r="D201" s="15">
        <v>2</v>
      </c>
      <c r="E201" s="15">
        <v>3</v>
      </c>
      <c r="F201" s="15">
        <v>6</v>
      </c>
      <c r="G201" s="15">
        <v>3</v>
      </c>
      <c r="H201" s="19" t="str">
        <f>_xlfn.CONCAT(tbResults[[#This Row],[Season]],".",tbResults[[#This Row],[Stage]])</f>
        <v>2.2</v>
      </c>
      <c r="I201" s="19" t="str">
        <f>_xlfn.CONCAT(tbResults[[#This Row],[Season]],".",tbResults[[#This Row],[Stage]],".",TEXT(tbResults[[#This Row],[Week]],"00"))</f>
        <v>2.2.03</v>
      </c>
      <c r="J201" s="19" t="str">
        <f>_xlfn.CONCAT(tbResults[[#This Row],[Week Title]],".",TEXT(tbResults[[#This Row],[Match]],"00"))</f>
        <v>2.2.03.06</v>
      </c>
      <c r="K201" s="20" t="str">
        <f>_xlfn.CONCAT(tbResults[[#This Row],[Game Title]], " ", tbResults[[#This Row],[Player1]], " vs ", tbResults[[#This Row],[Player2]] )</f>
        <v>2.2.03.06.3 cnz vs coollerz</v>
      </c>
      <c r="L201" s="6" t="s">
        <v>54</v>
      </c>
      <c r="M201" s="6" t="s">
        <v>48</v>
      </c>
      <c r="N201" s="6" t="s">
        <v>26</v>
      </c>
      <c r="O201" s="6" t="s">
        <v>36</v>
      </c>
      <c r="P201" s="6" t="s">
        <v>37</v>
      </c>
      <c r="Q201" s="8">
        <v>6</v>
      </c>
      <c r="R201" s="8">
        <v>7</v>
      </c>
      <c r="S201" s="8" t="s">
        <v>82</v>
      </c>
      <c r="T201" s="16" t="s">
        <v>48</v>
      </c>
      <c r="U201" s="16" t="s">
        <v>38</v>
      </c>
      <c r="V201" s="46" t="str">
        <f>IF(tbResults[[#This Row],[Player1 Score]]&gt;tbResults[[#This Row],[Player2 Score]],tbResults[[#This Row],[Player1]],tbResults[[#This Row],[Player2]])</f>
        <v>coollerz</v>
      </c>
      <c r="W201" s="48" t="str">
        <f>IF(tbResults[[#This Row],[Player1 Score]]&gt;tbResults[[#This Row],[Player2 Score]],tbResults[[#This Row],[Player2]],tbResults[[#This Row],[Player1]])</f>
        <v>cnz</v>
      </c>
      <c r="X201" s="11" t="str">
        <f>IF(tbResults[[#This Row],[Winner]]=tbResults[[#This Row],[Player1]],tbResults[[#This Row],[Player1 Pick]],tbResults[[#This Row],[Player2 Pick]])</f>
        <v>Eisen</v>
      </c>
      <c r="Y201" s="11" t="str">
        <f>IF(tbResults[[#This Row],[Loser]]=tbResults[[#This Row],[Player1]],tbResults[[#This Row],[Player1 Pick]],tbResults[[#This Row],[Player2 Pick]])</f>
        <v>Visor</v>
      </c>
      <c r="Z201" s="32">
        <f>SUM(tbResults[[#This Row],[Player1 Score]],tbResults[[#This Row],[Player2 Score]])</f>
        <v>13</v>
      </c>
      <c r="AA201" s="32">
        <f>ABS(tbResults[[#This Row],[Player1 Score]]-tbResults[[#This Row],[Player2 Score]])</f>
        <v>1</v>
      </c>
      <c r="AB201" s="37">
        <f>IF(tbResults[[#This Row],[Player1 Score]]&gt;tbResults[[#This Row],[Player2 Score]],tbResults[[#This Row],[Player1 Score]],tbResults[[#This Row],[Player2 Score]])</f>
        <v>7</v>
      </c>
      <c r="AC201" s="37">
        <f>IF(tbResults[[#This Row],[Player1 Score]]&lt;tbResults[[#This Row],[Player2 Score]],tbResults[[#This Row],[Player1 Score]],tbResults[[#This Row],[Player2 Score]])</f>
        <v>6</v>
      </c>
    </row>
    <row r="202" spans="2:29" s="3" customFormat="1" ht="30" customHeight="1" x14ac:dyDescent="0.3">
      <c r="B202" s="20" t="str">
        <f>_xlfn.CONCAT(tbResults[[#This Row],[Series Title]],".",tbResults[[#This Row],[Game]])</f>
        <v>2.2.03.07.1</v>
      </c>
      <c r="C202" s="15">
        <v>2</v>
      </c>
      <c r="D202" s="15">
        <v>2</v>
      </c>
      <c r="E202" s="15">
        <v>3</v>
      </c>
      <c r="F202" s="15">
        <v>7</v>
      </c>
      <c r="G202" s="15">
        <v>1</v>
      </c>
      <c r="H202" s="19" t="str">
        <f>_xlfn.CONCAT(tbResults[[#This Row],[Season]],".",tbResults[[#This Row],[Stage]])</f>
        <v>2.2</v>
      </c>
      <c r="I202" s="19" t="str">
        <f>_xlfn.CONCAT(tbResults[[#This Row],[Season]],".",tbResults[[#This Row],[Stage]],".",TEXT(tbResults[[#This Row],[Week]],"00"))</f>
        <v>2.2.03</v>
      </c>
      <c r="J202" s="19" t="str">
        <f>_xlfn.CONCAT(tbResults[[#This Row],[Week Title]],".",TEXT(tbResults[[#This Row],[Match]],"00"))</f>
        <v>2.2.03.07</v>
      </c>
      <c r="K202" s="20" t="str">
        <f>_xlfn.CONCAT(tbResults[[#This Row],[Game Title]], " ", tbResults[[#This Row],[Player1]], " vs ", tbResults[[#This Row],[Player2]] )</f>
        <v>2.2.03.07.1 DaHanG vs Dramis</v>
      </c>
      <c r="L202" s="6" t="s">
        <v>42</v>
      </c>
      <c r="M202" s="6" t="s">
        <v>12</v>
      </c>
      <c r="N202" s="6" t="s">
        <v>43</v>
      </c>
      <c r="O202" s="6" t="s">
        <v>25</v>
      </c>
      <c r="P202" s="6" t="s">
        <v>27</v>
      </c>
      <c r="Q202" s="8">
        <v>9</v>
      </c>
      <c r="R202" s="8">
        <v>2</v>
      </c>
      <c r="S202" s="8" t="s">
        <v>81</v>
      </c>
      <c r="T202" s="16" t="s">
        <v>12</v>
      </c>
      <c r="U202" s="16" t="s">
        <v>24</v>
      </c>
      <c r="V202" s="46" t="str">
        <f>IF(tbResults[[#This Row],[Player1 Score]]&gt;tbResults[[#This Row],[Player2 Score]],tbResults[[#This Row],[Player1]],tbResults[[#This Row],[Player2]])</f>
        <v>DaHanG</v>
      </c>
      <c r="W202" s="48" t="str">
        <f>IF(tbResults[[#This Row],[Player1 Score]]&gt;tbResults[[#This Row],[Player2 Score]],tbResults[[#This Row],[Player2]],tbResults[[#This Row],[Player1]])</f>
        <v>Dramis</v>
      </c>
      <c r="X202" s="11" t="str">
        <f>IF(tbResults[[#This Row],[Winner]]=tbResults[[#This Row],[Player1]],tbResults[[#This Row],[Player1 Pick]],tbResults[[#This Row],[Player2 Pick]])</f>
        <v>Sorlag</v>
      </c>
      <c r="Y202" s="11" t="str">
        <f>IF(tbResults[[#This Row],[Loser]]=tbResults[[#This Row],[Player1]],tbResults[[#This Row],[Player1 Pick]],tbResults[[#This Row],[Player2 Pick]])</f>
        <v>Keel</v>
      </c>
      <c r="Z202" s="32">
        <f>SUM(tbResults[[#This Row],[Player1 Score]],tbResults[[#This Row],[Player2 Score]])</f>
        <v>11</v>
      </c>
      <c r="AA202" s="32">
        <f>ABS(tbResults[[#This Row],[Player1 Score]]-tbResults[[#This Row],[Player2 Score]])</f>
        <v>7</v>
      </c>
      <c r="AB202" s="37">
        <f>IF(tbResults[[#This Row],[Player1 Score]]&gt;tbResults[[#This Row],[Player2 Score]],tbResults[[#This Row],[Player1 Score]],tbResults[[#This Row],[Player2 Score]])</f>
        <v>9</v>
      </c>
      <c r="AC202" s="37">
        <f>IF(tbResults[[#This Row],[Player1 Score]]&lt;tbResults[[#This Row],[Player2 Score]],tbResults[[#This Row],[Player1 Score]],tbResults[[#This Row],[Player2 Score]])</f>
        <v>2</v>
      </c>
    </row>
    <row r="203" spans="2:29" s="3" customFormat="1" ht="30" customHeight="1" x14ac:dyDescent="0.3">
      <c r="B203" s="20" t="str">
        <f>_xlfn.CONCAT(tbResults[[#This Row],[Series Title]],".",tbResults[[#This Row],[Game]])</f>
        <v>2.2.03.07.2</v>
      </c>
      <c r="C203" s="15">
        <v>2</v>
      </c>
      <c r="D203" s="15">
        <v>2</v>
      </c>
      <c r="E203" s="15">
        <v>3</v>
      </c>
      <c r="F203" s="15">
        <v>7</v>
      </c>
      <c r="G203" s="15">
        <v>2</v>
      </c>
      <c r="H203" s="19" t="str">
        <f>_xlfn.CONCAT(tbResults[[#This Row],[Season]],".",tbResults[[#This Row],[Stage]])</f>
        <v>2.2</v>
      </c>
      <c r="I203" s="19" t="str">
        <f>_xlfn.CONCAT(tbResults[[#This Row],[Season]],".",tbResults[[#This Row],[Stage]],".",TEXT(tbResults[[#This Row],[Week]],"00"))</f>
        <v>2.2.03</v>
      </c>
      <c r="J203" s="19" t="str">
        <f>_xlfn.CONCAT(tbResults[[#This Row],[Week Title]],".",TEXT(tbResults[[#This Row],[Match]],"00"))</f>
        <v>2.2.03.07</v>
      </c>
      <c r="K203" s="20" t="str">
        <f>_xlfn.CONCAT(tbResults[[#This Row],[Game Title]], " ", tbResults[[#This Row],[Player1]], " vs ", tbResults[[#This Row],[Player2]] )</f>
        <v>2.2.03.07.2 DaHanG vs Dramis</v>
      </c>
      <c r="L203" s="6" t="s">
        <v>42</v>
      </c>
      <c r="M203" s="6" t="s">
        <v>12</v>
      </c>
      <c r="N203" s="6" t="s">
        <v>26</v>
      </c>
      <c r="O203" s="6" t="s">
        <v>22</v>
      </c>
      <c r="P203" s="6" t="s">
        <v>21</v>
      </c>
      <c r="Q203" s="8">
        <v>11</v>
      </c>
      <c r="R203" s="8">
        <v>6</v>
      </c>
      <c r="S203" s="8" t="s">
        <v>81</v>
      </c>
      <c r="T203" s="16" t="s">
        <v>42</v>
      </c>
      <c r="U203" s="16" t="s">
        <v>35</v>
      </c>
      <c r="V203" s="46" t="str">
        <f>IF(tbResults[[#This Row],[Player1 Score]]&gt;tbResults[[#This Row],[Player2 Score]],tbResults[[#This Row],[Player1]],tbResults[[#This Row],[Player2]])</f>
        <v>DaHanG</v>
      </c>
      <c r="W203" s="48" t="str">
        <f>IF(tbResults[[#This Row],[Player1 Score]]&gt;tbResults[[#This Row],[Player2 Score]],tbResults[[#This Row],[Player2]],tbResults[[#This Row],[Player1]])</f>
        <v>Dramis</v>
      </c>
      <c r="X203" s="11" t="str">
        <f>IF(tbResults[[#This Row],[Winner]]=tbResults[[#This Row],[Player1]],tbResults[[#This Row],[Player1 Pick]],tbResults[[#This Row],[Player2 Pick]])</f>
        <v>Strogg</v>
      </c>
      <c r="Y203" s="11" t="str">
        <f>IF(tbResults[[#This Row],[Loser]]=tbResults[[#This Row],[Player1]],tbResults[[#This Row],[Player1 Pick]],tbResults[[#This Row],[Player2 Pick]])</f>
        <v>Ranger</v>
      </c>
      <c r="Z203" s="32">
        <f>SUM(tbResults[[#This Row],[Player1 Score]],tbResults[[#This Row],[Player2 Score]])</f>
        <v>17</v>
      </c>
      <c r="AA203" s="32">
        <f>ABS(tbResults[[#This Row],[Player1 Score]]-tbResults[[#This Row],[Player2 Score]])</f>
        <v>5</v>
      </c>
      <c r="AB203" s="37">
        <f>IF(tbResults[[#This Row],[Player1 Score]]&gt;tbResults[[#This Row],[Player2 Score]],tbResults[[#This Row],[Player1 Score]],tbResults[[#This Row],[Player2 Score]])</f>
        <v>11</v>
      </c>
      <c r="AC203" s="37">
        <f>IF(tbResults[[#This Row],[Player1 Score]]&lt;tbResults[[#This Row],[Player2 Score]],tbResults[[#This Row],[Player1 Score]],tbResults[[#This Row],[Player2 Score]])</f>
        <v>6</v>
      </c>
    </row>
    <row r="204" spans="2:29" s="3" customFormat="1" ht="30" customHeight="1" x14ac:dyDescent="0.3">
      <c r="B204" s="20" t="str">
        <f>_xlfn.CONCAT(tbResults[[#This Row],[Series Title]],".",tbResults[[#This Row],[Game]])</f>
        <v>2.2.03.07.3</v>
      </c>
      <c r="C204" s="15">
        <v>2</v>
      </c>
      <c r="D204" s="15">
        <v>2</v>
      </c>
      <c r="E204" s="15">
        <v>3</v>
      </c>
      <c r="F204" s="15">
        <v>7</v>
      </c>
      <c r="G204" s="15">
        <v>3</v>
      </c>
      <c r="H204" s="19" t="str">
        <f>_xlfn.CONCAT(tbResults[[#This Row],[Season]],".",tbResults[[#This Row],[Stage]])</f>
        <v>2.2</v>
      </c>
      <c r="I204" s="19" t="str">
        <f>_xlfn.CONCAT(tbResults[[#This Row],[Season]],".",tbResults[[#This Row],[Stage]],".",TEXT(tbResults[[#This Row],[Week]],"00"))</f>
        <v>2.2.03</v>
      </c>
      <c r="J204" s="19" t="str">
        <f>_xlfn.CONCAT(tbResults[[#This Row],[Week Title]],".",TEXT(tbResults[[#This Row],[Match]],"00"))</f>
        <v>2.2.03.07</v>
      </c>
      <c r="K204" s="20" t="str">
        <f>_xlfn.CONCAT(tbResults[[#This Row],[Game Title]], " ", tbResults[[#This Row],[Player1]], " vs ", tbResults[[#This Row],[Player2]] )</f>
        <v>2.2.03.07.3 DaHanG vs Dramis</v>
      </c>
      <c r="L204" s="6" t="s">
        <v>42</v>
      </c>
      <c r="M204" s="6" t="s">
        <v>12</v>
      </c>
      <c r="N204" s="6" t="s">
        <v>19</v>
      </c>
      <c r="O204" s="6" t="s">
        <v>36</v>
      </c>
      <c r="P204" s="6" t="s">
        <v>38</v>
      </c>
      <c r="Q204" s="8">
        <v>14</v>
      </c>
      <c r="R204" s="8">
        <v>5</v>
      </c>
      <c r="S204" s="8" t="s">
        <v>81</v>
      </c>
      <c r="T204" s="16" t="s">
        <v>12</v>
      </c>
      <c r="U204" s="16" t="s">
        <v>55</v>
      </c>
      <c r="V204" s="46" t="str">
        <f>IF(tbResults[[#This Row],[Player1 Score]]&gt;tbResults[[#This Row],[Player2 Score]],tbResults[[#This Row],[Player1]],tbResults[[#This Row],[Player2]])</f>
        <v>DaHanG</v>
      </c>
      <c r="W204" s="48" t="str">
        <f>IF(tbResults[[#This Row],[Player1 Score]]&gt;tbResults[[#This Row],[Player2 Score]],tbResults[[#This Row],[Player2]],tbResults[[#This Row],[Player1]])</f>
        <v>Dramis</v>
      </c>
      <c r="X204" s="11" t="str">
        <f>IF(tbResults[[#This Row],[Winner]]=tbResults[[#This Row],[Player1]],tbResults[[#This Row],[Player1 Pick]],tbResults[[#This Row],[Player2 Pick]])</f>
        <v>Visor</v>
      </c>
      <c r="Y204" s="11" t="str">
        <f>IF(tbResults[[#This Row],[Loser]]=tbResults[[#This Row],[Player1]],tbResults[[#This Row],[Player1 Pick]],tbResults[[#This Row],[Player2 Pick]])</f>
        <v>Nyx</v>
      </c>
      <c r="Z204" s="32">
        <f>SUM(tbResults[[#This Row],[Player1 Score]],tbResults[[#This Row],[Player2 Score]])</f>
        <v>19</v>
      </c>
      <c r="AA204" s="32">
        <f>ABS(tbResults[[#This Row],[Player1 Score]]-tbResults[[#This Row],[Player2 Score]])</f>
        <v>9</v>
      </c>
      <c r="AB204" s="37">
        <f>IF(tbResults[[#This Row],[Player1 Score]]&gt;tbResults[[#This Row],[Player2 Score]],tbResults[[#This Row],[Player1 Score]],tbResults[[#This Row],[Player2 Score]])</f>
        <v>14</v>
      </c>
      <c r="AC204" s="37">
        <f>IF(tbResults[[#This Row],[Player1 Score]]&lt;tbResults[[#This Row],[Player2 Score]],tbResults[[#This Row],[Player1 Score]],tbResults[[#This Row],[Player2 Score]])</f>
        <v>5</v>
      </c>
    </row>
    <row r="205" spans="2:29" s="3" customFormat="1" ht="30" customHeight="1" x14ac:dyDescent="0.3">
      <c r="B205" s="20" t="str">
        <f>_xlfn.CONCAT(tbResults[[#This Row],[Series Title]],".",tbResults[[#This Row],[Game]])</f>
        <v>2.2.04.01.1</v>
      </c>
      <c r="C205" s="15">
        <v>2</v>
      </c>
      <c r="D205" s="15">
        <v>2</v>
      </c>
      <c r="E205" s="15">
        <v>4</v>
      </c>
      <c r="F205" s="15">
        <v>1</v>
      </c>
      <c r="G205" s="15">
        <v>1</v>
      </c>
      <c r="H205" s="19" t="str">
        <f>_xlfn.CONCAT(tbResults[[#This Row],[Season]],".",tbResults[[#This Row],[Stage]])</f>
        <v>2.2</v>
      </c>
      <c r="I205" s="19" t="str">
        <f>_xlfn.CONCAT(tbResults[[#This Row],[Season]],".",tbResults[[#This Row],[Stage]],".",TEXT(tbResults[[#This Row],[Week]],"00"))</f>
        <v>2.2.04</v>
      </c>
      <c r="J205" s="19" t="str">
        <f>_xlfn.CONCAT(tbResults[[#This Row],[Week Title]],".",TEXT(tbResults[[#This Row],[Match]],"00"))</f>
        <v>2.2.04.01</v>
      </c>
      <c r="K205" s="20" t="str">
        <f>_xlfn.CONCAT(tbResults[[#This Row],[Game Title]], " ", tbResults[[#This Row],[Player1]], " vs ", tbResults[[#This Row],[Player2]] )</f>
        <v>2.2.04.01.1 Base vs spart1e</v>
      </c>
      <c r="L205" s="6" t="s">
        <v>51</v>
      </c>
      <c r="M205" s="6" t="s">
        <v>50</v>
      </c>
      <c r="N205" s="6" t="s">
        <v>26</v>
      </c>
      <c r="O205" s="6" t="s">
        <v>37</v>
      </c>
      <c r="P205" s="6" t="s">
        <v>34</v>
      </c>
      <c r="Q205" s="8">
        <v>4</v>
      </c>
      <c r="R205" s="8">
        <v>7</v>
      </c>
      <c r="S205" s="8" t="s">
        <v>81</v>
      </c>
      <c r="T205" s="18" t="s">
        <v>50</v>
      </c>
      <c r="U205" s="16" t="s">
        <v>25</v>
      </c>
      <c r="V205" s="46" t="str">
        <f>IF(tbResults[[#This Row],[Player1 Score]]&gt;tbResults[[#This Row],[Player2 Score]],tbResults[[#This Row],[Player1]],tbResults[[#This Row],[Player2]])</f>
        <v>spart1e</v>
      </c>
      <c r="W205" s="48" t="str">
        <f>IF(tbResults[[#This Row],[Player1 Score]]&gt;tbResults[[#This Row],[Player2 Score]],tbResults[[#This Row],[Player2]],tbResults[[#This Row],[Player1]])</f>
        <v>Base</v>
      </c>
      <c r="X205" s="11" t="str">
        <f>IF(tbResults[[#This Row],[Winner]]=tbResults[[#This Row],[Player1]],tbResults[[#This Row],[Player1 Pick]],tbResults[[#This Row],[Player2 Pick]])</f>
        <v>Galena</v>
      </c>
      <c r="Y205" s="11" t="str">
        <f>IF(tbResults[[#This Row],[Loser]]=tbResults[[#This Row],[Player1]],tbResults[[#This Row],[Player1 Pick]],tbResults[[#This Row],[Player2 Pick]])</f>
        <v>Eisen</v>
      </c>
      <c r="Z205" s="32">
        <f>SUM(tbResults[[#This Row],[Player1 Score]],tbResults[[#This Row],[Player2 Score]])</f>
        <v>11</v>
      </c>
      <c r="AA205" s="32">
        <f>ABS(tbResults[[#This Row],[Player1 Score]]-tbResults[[#This Row],[Player2 Score]])</f>
        <v>3</v>
      </c>
      <c r="AB205" s="37">
        <f>IF(tbResults[[#This Row],[Player1 Score]]&gt;tbResults[[#This Row],[Player2 Score]],tbResults[[#This Row],[Player1 Score]],tbResults[[#This Row],[Player2 Score]])</f>
        <v>7</v>
      </c>
      <c r="AC205" s="37">
        <f>IF(tbResults[[#This Row],[Player1 Score]]&lt;tbResults[[#This Row],[Player2 Score]],tbResults[[#This Row],[Player1 Score]],tbResults[[#This Row],[Player2 Score]])</f>
        <v>4</v>
      </c>
    </row>
    <row r="206" spans="2:29" s="3" customFormat="1" ht="30" customHeight="1" x14ac:dyDescent="0.3">
      <c r="B206" s="20" t="str">
        <f>_xlfn.CONCAT(tbResults[[#This Row],[Series Title]],".",tbResults[[#This Row],[Game]])</f>
        <v>2.2.04.01.2</v>
      </c>
      <c r="C206" s="15">
        <v>2</v>
      </c>
      <c r="D206" s="15">
        <v>2</v>
      </c>
      <c r="E206" s="15">
        <v>4</v>
      </c>
      <c r="F206" s="15">
        <v>1</v>
      </c>
      <c r="G206" s="15">
        <v>2</v>
      </c>
      <c r="H206" s="19" t="str">
        <f>_xlfn.CONCAT(tbResults[[#This Row],[Season]],".",tbResults[[#This Row],[Stage]])</f>
        <v>2.2</v>
      </c>
      <c r="I206" s="19" t="str">
        <f>_xlfn.CONCAT(tbResults[[#This Row],[Season]],".",tbResults[[#This Row],[Stage]],".",TEXT(tbResults[[#This Row],[Week]],"00"))</f>
        <v>2.2.04</v>
      </c>
      <c r="J206" s="19" t="str">
        <f>_xlfn.CONCAT(tbResults[[#This Row],[Week Title]],".",TEXT(tbResults[[#This Row],[Match]],"00"))</f>
        <v>2.2.04.01</v>
      </c>
      <c r="K206" s="20" t="str">
        <f>_xlfn.CONCAT(tbResults[[#This Row],[Game Title]], " ", tbResults[[#This Row],[Player1]], " vs ", tbResults[[#This Row],[Player2]] )</f>
        <v>2.2.04.01.2 Base vs spart1e</v>
      </c>
      <c r="L206" s="6" t="s">
        <v>51</v>
      </c>
      <c r="M206" s="6" t="s">
        <v>50</v>
      </c>
      <c r="N206" s="6" t="s">
        <v>33</v>
      </c>
      <c r="O206" s="6" t="s">
        <v>55</v>
      </c>
      <c r="P206" s="6" t="s">
        <v>39</v>
      </c>
      <c r="Q206" s="8">
        <v>11</v>
      </c>
      <c r="R206" s="8">
        <v>12</v>
      </c>
      <c r="S206" s="8" t="s">
        <v>82</v>
      </c>
      <c r="T206" s="16" t="s">
        <v>51</v>
      </c>
      <c r="U206" s="16" t="s">
        <v>27</v>
      </c>
      <c r="V206" s="46" t="str">
        <f>IF(tbResults[[#This Row],[Player1 Score]]&gt;tbResults[[#This Row],[Player2 Score]],tbResults[[#This Row],[Player1]],tbResults[[#This Row],[Player2]])</f>
        <v>spart1e</v>
      </c>
      <c r="W206" s="48" t="str">
        <f>IF(tbResults[[#This Row],[Player1 Score]]&gt;tbResults[[#This Row],[Player2 Score]],tbResults[[#This Row],[Player2]],tbResults[[#This Row],[Player1]])</f>
        <v>Base</v>
      </c>
      <c r="X206" s="11" t="str">
        <f>IF(tbResults[[#This Row],[Winner]]=tbResults[[#This Row],[Player1]],tbResults[[#This Row],[Player1 Pick]],tbResults[[#This Row],[Player2 Pick]])</f>
        <v>Anarki</v>
      </c>
      <c r="Y206" s="11" t="str">
        <f>IF(tbResults[[#This Row],[Loser]]=tbResults[[#This Row],[Player1]],tbResults[[#This Row],[Player1 Pick]],tbResults[[#This Row],[Player2 Pick]])</f>
        <v>Athena</v>
      </c>
      <c r="Z206" s="32">
        <f>SUM(tbResults[[#This Row],[Player1 Score]],tbResults[[#This Row],[Player2 Score]])</f>
        <v>23</v>
      </c>
      <c r="AA206" s="32">
        <f>ABS(tbResults[[#This Row],[Player1 Score]]-tbResults[[#This Row],[Player2 Score]])</f>
        <v>1</v>
      </c>
      <c r="AB206" s="37">
        <f>IF(tbResults[[#This Row],[Player1 Score]]&gt;tbResults[[#This Row],[Player2 Score]],tbResults[[#This Row],[Player1 Score]],tbResults[[#This Row],[Player2 Score]])</f>
        <v>12</v>
      </c>
      <c r="AC206" s="37">
        <f>IF(tbResults[[#This Row],[Player1 Score]]&lt;tbResults[[#This Row],[Player2 Score]],tbResults[[#This Row],[Player1 Score]],tbResults[[#This Row],[Player2 Score]])</f>
        <v>11</v>
      </c>
    </row>
    <row r="207" spans="2:29" ht="30" customHeight="1" x14ac:dyDescent="0.3">
      <c r="B207" s="20" t="str">
        <f>_xlfn.CONCAT(tbResults[[#This Row],[Series Title]],".",tbResults[[#This Row],[Game]])</f>
        <v>2.2.04.01.3</v>
      </c>
      <c r="C207" s="15">
        <v>2</v>
      </c>
      <c r="D207" s="15">
        <v>2</v>
      </c>
      <c r="E207" s="15">
        <v>4</v>
      </c>
      <c r="F207" s="15">
        <v>1</v>
      </c>
      <c r="G207" s="15">
        <v>3</v>
      </c>
      <c r="H207" s="19" t="str">
        <f>_xlfn.CONCAT(tbResults[[#This Row],[Season]],".",tbResults[[#This Row],[Stage]])</f>
        <v>2.2</v>
      </c>
      <c r="I207" s="19" t="str">
        <f>_xlfn.CONCAT(tbResults[[#This Row],[Season]],".",tbResults[[#This Row],[Stage]],".",TEXT(tbResults[[#This Row],[Week]],"00"))</f>
        <v>2.2.04</v>
      </c>
      <c r="J207" s="19" t="str">
        <f>_xlfn.CONCAT(tbResults[[#This Row],[Week Title]],".",TEXT(tbResults[[#This Row],[Match]],"00"))</f>
        <v>2.2.04.01</v>
      </c>
      <c r="K207" s="20" t="str">
        <f>_xlfn.CONCAT(tbResults[[#This Row],[Game Title]], " ", tbResults[[#This Row],[Player1]], " vs ", tbResults[[#This Row],[Player2]] )</f>
        <v>2.2.04.01.3 Base vs spart1e</v>
      </c>
      <c r="L207" s="6" t="s">
        <v>51</v>
      </c>
      <c r="M207" s="6" t="s">
        <v>50</v>
      </c>
      <c r="N207" s="6" t="s">
        <v>43</v>
      </c>
      <c r="O207" s="6" t="s">
        <v>28</v>
      </c>
      <c r="P207" s="6" t="s">
        <v>21</v>
      </c>
      <c r="Q207" s="8">
        <v>11</v>
      </c>
      <c r="R207" s="8">
        <v>5</v>
      </c>
      <c r="S207" s="8" t="s">
        <v>81</v>
      </c>
      <c r="T207" s="18" t="s">
        <v>50</v>
      </c>
      <c r="U207" s="16" t="s">
        <v>44</v>
      </c>
      <c r="V207" s="46" t="str">
        <f>IF(tbResults[[#This Row],[Player1 Score]]&gt;tbResults[[#This Row],[Player2 Score]],tbResults[[#This Row],[Player1]],tbResults[[#This Row],[Player2]])</f>
        <v>Base</v>
      </c>
      <c r="W207" s="48" t="str">
        <f>IF(tbResults[[#This Row],[Player1 Score]]&gt;tbResults[[#This Row],[Player2 Score]],tbResults[[#This Row],[Player2]],tbResults[[#This Row],[Player1]])</f>
        <v>spart1e</v>
      </c>
      <c r="X207" s="11" t="str">
        <f>IF(tbResults[[#This Row],[Winner]]=tbResults[[#This Row],[Player1]],tbResults[[#This Row],[Player1 Pick]],tbResults[[#This Row],[Player2 Pick]])</f>
        <v>BJ Blazkowicz</v>
      </c>
      <c r="Y207" s="11" t="str">
        <f>IF(tbResults[[#This Row],[Loser]]=tbResults[[#This Row],[Player1]],tbResults[[#This Row],[Player1 Pick]],tbResults[[#This Row],[Player2 Pick]])</f>
        <v>Ranger</v>
      </c>
      <c r="Z207" s="32">
        <f>SUM(tbResults[[#This Row],[Player1 Score]],tbResults[[#This Row],[Player2 Score]])</f>
        <v>16</v>
      </c>
      <c r="AA207" s="32">
        <f>ABS(tbResults[[#This Row],[Player1 Score]]-tbResults[[#This Row],[Player2 Score]])</f>
        <v>6</v>
      </c>
      <c r="AB207" s="37">
        <f>IF(tbResults[[#This Row],[Player1 Score]]&gt;tbResults[[#This Row],[Player2 Score]],tbResults[[#This Row],[Player1 Score]],tbResults[[#This Row],[Player2 Score]])</f>
        <v>11</v>
      </c>
      <c r="AC207" s="37">
        <f>IF(tbResults[[#This Row],[Player1 Score]]&lt;tbResults[[#This Row],[Player2 Score]],tbResults[[#This Row],[Player1 Score]],tbResults[[#This Row],[Player2 Score]])</f>
        <v>5</v>
      </c>
    </row>
    <row r="208" spans="2:29" ht="30" customHeight="1" x14ac:dyDescent="0.3">
      <c r="B208" s="20" t="str">
        <f>_xlfn.CONCAT(tbResults[[#This Row],[Series Title]],".",tbResults[[#This Row],[Game]])</f>
        <v>2.2.04.02.1</v>
      </c>
      <c r="C208" s="15">
        <v>2</v>
      </c>
      <c r="D208" s="15">
        <v>2</v>
      </c>
      <c r="E208" s="15">
        <v>4</v>
      </c>
      <c r="F208" s="15">
        <v>2</v>
      </c>
      <c r="G208" s="15">
        <v>1</v>
      </c>
      <c r="H208" s="19" t="str">
        <f>_xlfn.CONCAT(tbResults[[#This Row],[Season]],".",tbResults[[#This Row],[Stage]])</f>
        <v>2.2</v>
      </c>
      <c r="I208" s="19" t="str">
        <f>_xlfn.CONCAT(tbResults[[#This Row],[Season]],".",tbResults[[#This Row],[Stage]],".",TEXT(tbResults[[#This Row],[Week]],"00"))</f>
        <v>2.2.04</v>
      </c>
      <c r="J208" s="19" t="str">
        <f>_xlfn.CONCAT(tbResults[[#This Row],[Week Title]],".",TEXT(tbResults[[#This Row],[Match]],"00"))</f>
        <v>2.2.04.02</v>
      </c>
      <c r="K208" s="20" t="str">
        <f>_xlfn.CONCAT(tbResults[[#This Row],[Game Title]], " ", tbResults[[#This Row],[Player1]], " vs ", tbResults[[#This Row],[Player2]] )</f>
        <v>2.2.04.02.1 Rapha vs Dramis</v>
      </c>
      <c r="L208" s="6" t="s">
        <v>47</v>
      </c>
      <c r="M208" s="6" t="s">
        <v>12</v>
      </c>
      <c r="N208" s="6" t="s">
        <v>33</v>
      </c>
      <c r="O208" s="6" t="s">
        <v>39</v>
      </c>
      <c r="P208" s="6" t="s">
        <v>55</v>
      </c>
      <c r="Q208" s="8">
        <v>24</v>
      </c>
      <c r="R208" s="8">
        <v>2</v>
      </c>
      <c r="S208" s="8" t="s">
        <v>81</v>
      </c>
      <c r="T208" s="16" t="s">
        <v>12</v>
      </c>
      <c r="U208" s="16" t="s">
        <v>24</v>
      </c>
      <c r="V208" s="46" t="str">
        <f>IF(tbResults[[#This Row],[Player1 Score]]&gt;tbResults[[#This Row],[Player2 Score]],tbResults[[#This Row],[Player1]],tbResults[[#This Row],[Player2]])</f>
        <v>Rapha</v>
      </c>
      <c r="W208" s="48" t="str">
        <f>IF(tbResults[[#This Row],[Player1 Score]]&gt;tbResults[[#This Row],[Player2 Score]],tbResults[[#This Row],[Player2]],tbResults[[#This Row],[Player1]])</f>
        <v>Dramis</v>
      </c>
      <c r="X208" s="11" t="str">
        <f>IF(tbResults[[#This Row],[Winner]]=tbResults[[#This Row],[Player1]],tbResults[[#This Row],[Player1 Pick]],tbResults[[#This Row],[Player2 Pick]])</f>
        <v>Anarki</v>
      </c>
      <c r="Y208" s="11" t="str">
        <f>IF(tbResults[[#This Row],[Loser]]=tbResults[[#This Row],[Player1]],tbResults[[#This Row],[Player1 Pick]],tbResults[[#This Row],[Player2 Pick]])</f>
        <v>Athena</v>
      </c>
      <c r="Z208" s="32">
        <f>SUM(tbResults[[#This Row],[Player1 Score]],tbResults[[#This Row],[Player2 Score]])</f>
        <v>26</v>
      </c>
      <c r="AA208" s="32">
        <f>ABS(tbResults[[#This Row],[Player1 Score]]-tbResults[[#This Row],[Player2 Score]])</f>
        <v>22</v>
      </c>
      <c r="AB208" s="37">
        <f>IF(tbResults[[#This Row],[Player1 Score]]&gt;tbResults[[#This Row],[Player2 Score]],tbResults[[#This Row],[Player1 Score]],tbResults[[#This Row],[Player2 Score]])</f>
        <v>24</v>
      </c>
      <c r="AC208" s="37">
        <f>IF(tbResults[[#This Row],[Player1 Score]]&lt;tbResults[[#This Row],[Player2 Score]],tbResults[[#This Row],[Player1 Score]],tbResults[[#This Row],[Player2 Score]])</f>
        <v>2</v>
      </c>
    </row>
    <row r="209" spans="2:29" ht="30" customHeight="1" x14ac:dyDescent="0.3">
      <c r="B209" s="20" t="str">
        <f>_xlfn.CONCAT(tbResults[[#This Row],[Series Title]],".",tbResults[[#This Row],[Game]])</f>
        <v>2.2.04.02.2</v>
      </c>
      <c r="C209" s="15">
        <v>2</v>
      </c>
      <c r="D209" s="15">
        <v>2</v>
      </c>
      <c r="E209" s="15">
        <v>4</v>
      </c>
      <c r="F209" s="15">
        <v>2</v>
      </c>
      <c r="G209" s="15">
        <v>2</v>
      </c>
      <c r="H209" s="19" t="str">
        <f>_xlfn.CONCAT(tbResults[[#This Row],[Season]],".",tbResults[[#This Row],[Stage]])</f>
        <v>2.2</v>
      </c>
      <c r="I209" s="19" t="str">
        <f>_xlfn.CONCAT(tbResults[[#This Row],[Season]],".",tbResults[[#This Row],[Stage]],".",TEXT(tbResults[[#This Row],[Week]],"00"))</f>
        <v>2.2.04</v>
      </c>
      <c r="J209" s="19" t="str">
        <f>_xlfn.CONCAT(tbResults[[#This Row],[Week Title]],".",TEXT(tbResults[[#This Row],[Match]],"00"))</f>
        <v>2.2.04.02</v>
      </c>
      <c r="K209" s="20" t="str">
        <f>_xlfn.CONCAT(tbResults[[#This Row],[Game Title]], " ", tbResults[[#This Row],[Player1]], " vs ", tbResults[[#This Row],[Player2]] )</f>
        <v>2.2.04.02.2 Rapha vs Dramis</v>
      </c>
      <c r="L209" s="6" t="s">
        <v>47</v>
      </c>
      <c r="M209" s="6" t="s">
        <v>12</v>
      </c>
      <c r="N209" s="6" t="s">
        <v>40</v>
      </c>
      <c r="O209" s="6" t="s">
        <v>35</v>
      </c>
      <c r="P209" s="6" t="s">
        <v>27</v>
      </c>
      <c r="Q209" s="8">
        <v>17</v>
      </c>
      <c r="R209" s="8">
        <v>8</v>
      </c>
      <c r="S209" s="8" t="s">
        <v>81</v>
      </c>
      <c r="T209" s="16" t="s">
        <v>47</v>
      </c>
      <c r="U209" s="16" t="s">
        <v>37</v>
      </c>
      <c r="V209" s="46" t="str">
        <f>IF(tbResults[[#This Row],[Player1 Score]]&gt;tbResults[[#This Row],[Player2 Score]],tbResults[[#This Row],[Player1]],tbResults[[#This Row],[Player2]])</f>
        <v>Rapha</v>
      </c>
      <c r="W209" s="48" t="str">
        <f>IF(tbResults[[#This Row],[Player1 Score]]&gt;tbResults[[#This Row],[Player2 Score]],tbResults[[#This Row],[Player2]],tbResults[[#This Row],[Player1]])</f>
        <v>Dramis</v>
      </c>
      <c r="X209" s="11" t="str">
        <f>IF(tbResults[[#This Row],[Winner]]=tbResults[[#This Row],[Player1]],tbResults[[#This Row],[Player1 Pick]],tbResults[[#This Row],[Player2 Pick]])</f>
        <v>Doom</v>
      </c>
      <c r="Y209" s="11" t="str">
        <f>IF(tbResults[[#This Row],[Loser]]=tbResults[[#This Row],[Player1]],tbResults[[#This Row],[Player1 Pick]],tbResults[[#This Row],[Player2 Pick]])</f>
        <v>Keel</v>
      </c>
      <c r="Z209" s="32">
        <f>SUM(tbResults[[#This Row],[Player1 Score]],tbResults[[#This Row],[Player2 Score]])</f>
        <v>25</v>
      </c>
      <c r="AA209" s="32">
        <f>ABS(tbResults[[#This Row],[Player1 Score]]-tbResults[[#This Row],[Player2 Score]])</f>
        <v>9</v>
      </c>
      <c r="AB209" s="37">
        <f>IF(tbResults[[#This Row],[Player1 Score]]&gt;tbResults[[#This Row],[Player2 Score]],tbResults[[#This Row],[Player1 Score]],tbResults[[#This Row],[Player2 Score]])</f>
        <v>17</v>
      </c>
      <c r="AC209" s="37">
        <f>IF(tbResults[[#This Row],[Player1 Score]]&lt;tbResults[[#This Row],[Player2 Score]],tbResults[[#This Row],[Player1 Score]],tbResults[[#This Row],[Player2 Score]])</f>
        <v>8</v>
      </c>
    </row>
    <row r="210" spans="2:29" ht="30" customHeight="1" x14ac:dyDescent="0.3">
      <c r="B210" s="20" t="str">
        <f>_xlfn.CONCAT(tbResults[[#This Row],[Series Title]],".",tbResults[[#This Row],[Game]])</f>
        <v>2.2.04.02.3</v>
      </c>
      <c r="C210" s="15">
        <v>2</v>
      </c>
      <c r="D210" s="15">
        <v>2</v>
      </c>
      <c r="E210" s="15">
        <v>4</v>
      </c>
      <c r="F210" s="15">
        <v>2</v>
      </c>
      <c r="G210" s="15">
        <v>3</v>
      </c>
      <c r="H210" s="19" t="str">
        <f>_xlfn.CONCAT(tbResults[[#This Row],[Season]],".",tbResults[[#This Row],[Stage]])</f>
        <v>2.2</v>
      </c>
      <c r="I210" s="19" t="str">
        <f>_xlfn.CONCAT(tbResults[[#This Row],[Season]],".",tbResults[[#This Row],[Stage]],".",TEXT(tbResults[[#This Row],[Week]],"00"))</f>
        <v>2.2.04</v>
      </c>
      <c r="J210" s="19" t="str">
        <f>_xlfn.CONCAT(tbResults[[#This Row],[Week Title]],".",TEXT(tbResults[[#This Row],[Match]],"00"))</f>
        <v>2.2.04.02</v>
      </c>
      <c r="K210" s="20" t="str">
        <f>_xlfn.CONCAT(tbResults[[#This Row],[Game Title]], " ", tbResults[[#This Row],[Player1]], " vs ", tbResults[[#This Row],[Player2]] )</f>
        <v>2.2.04.02.3 Rapha vs Dramis</v>
      </c>
      <c r="L210" s="6" t="s">
        <v>47</v>
      </c>
      <c r="M210" s="6" t="s">
        <v>12</v>
      </c>
      <c r="N210" s="6" t="s">
        <v>43</v>
      </c>
      <c r="O210" s="6" t="s">
        <v>44</v>
      </c>
      <c r="P210" s="6" t="s">
        <v>25</v>
      </c>
      <c r="Q210" s="8">
        <v>18</v>
      </c>
      <c r="R210" s="8">
        <v>8</v>
      </c>
      <c r="S210" s="8" t="s">
        <v>81</v>
      </c>
      <c r="T210" s="16" t="s">
        <v>12</v>
      </c>
      <c r="U210" s="16" t="s">
        <v>22</v>
      </c>
      <c r="V210" s="46" t="str">
        <f>IF(tbResults[[#This Row],[Player1 Score]]&gt;tbResults[[#This Row],[Player2 Score]],tbResults[[#This Row],[Player1]],tbResults[[#This Row],[Player2]])</f>
        <v>Rapha</v>
      </c>
      <c r="W210" s="48" t="str">
        <f>IF(tbResults[[#This Row],[Player1 Score]]&gt;tbResults[[#This Row],[Player2 Score]],tbResults[[#This Row],[Player2]],tbResults[[#This Row],[Player1]])</f>
        <v>Dramis</v>
      </c>
      <c r="X210" s="11" t="str">
        <f>IF(tbResults[[#This Row],[Winner]]=tbResults[[#This Row],[Player1]],tbResults[[#This Row],[Player1 Pick]],tbResults[[#This Row],[Player2 Pick]])</f>
        <v>Scalebearer</v>
      </c>
      <c r="Y210" s="11" t="str">
        <f>IF(tbResults[[#This Row],[Loser]]=tbResults[[#This Row],[Player1]],tbResults[[#This Row],[Player1 Pick]],tbResults[[#This Row],[Player2 Pick]])</f>
        <v>Sorlag</v>
      </c>
      <c r="Z210" s="32">
        <f>SUM(tbResults[[#This Row],[Player1 Score]],tbResults[[#This Row],[Player2 Score]])</f>
        <v>26</v>
      </c>
      <c r="AA210" s="32">
        <f>ABS(tbResults[[#This Row],[Player1 Score]]-tbResults[[#This Row],[Player2 Score]])</f>
        <v>10</v>
      </c>
      <c r="AB210" s="37">
        <f>IF(tbResults[[#This Row],[Player1 Score]]&gt;tbResults[[#This Row],[Player2 Score]],tbResults[[#This Row],[Player1 Score]],tbResults[[#This Row],[Player2 Score]])</f>
        <v>18</v>
      </c>
      <c r="AC210" s="37">
        <f>IF(tbResults[[#This Row],[Player1 Score]]&lt;tbResults[[#This Row],[Player2 Score]],tbResults[[#This Row],[Player1 Score]],tbResults[[#This Row],[Player2 Score]])</f>
        <v>8</v>
      </c>
    </row>
    <row r="211" spans="2:29" ht="30" customHeight="1" x14ac:dyDescent="0.3">
      <c r="B211" s="20" t="str">
        <f>_xlfn.CONCAT(tbResults[[#This Row],[Series Title]],".",tbResults[[#This Row],[Game]])</f>
        <v>2.2.04.03.1</v>
      </c>
      <c r="C211" s="15">
        <v>2</v>
      </c>
      <c r="D211" s="15">
        <v>2</v>
      </c>
      <c r="E211" s="15">
        <v>4</v>
      </c>
      <c r="F211" s="15">
        <v>3</v>
      </c>
      <c r="G211" s="15">
        <v>1</v>
      </c>
      <c r="H211" s="19" t="str">
        <f>_xlfn.CONCAT(tbResults[[#This Row],[Season]],".",tbResults[[#This Row],[Stage]])</f>
        <v>2.2</v>
      </c>
      <c r="I211" s="19" t="str">
        <f>_xlfn.CONCAT(tbResults[[#This Row],[Season]],".",tbResults[[#This Row],[Stage]],".",TEXT(tbResults[[#This Row],[Week]],"00"))</f>
        <v>2.2.04</v>
      </c>
      <c r="J211" s="19" t="str">
        <f>_xlfn.CONCAT(tbResults[[#This Row],[Week Title]],".",TEXT(tbResults[[#This Row],[Match]],"00"))</f>
        <v>2.2.04.03</v>
      </c>
      <c r="K211" s="20" t="str">
        <f>_xlfn.CONCAT(tbResults[[#This Row],[Game Title]], " ", tbResults[[#This Row],[Player1]], " vs ", tbResults[[#This Row],[Player2]] )</f>
        <v>2.2.04.03.1 maxter vs cha1n</v>
      </c>
      <c r="L211" s="6" t="s">
        <v>41</v>
      </c>
      <c r="M211" s="6" t="s">
        <v>53</v>
      </c>
      <c r="N211" s="6" t="s">
        <v>40</v>
      </c>
      <c r="O211" s="6" t="s">
        <v>25</v>
      </c>
      <c r="P211" s="6" t="s">
        <v>27</v>
      </c>
      <c r="Q211" s="8">
        <v>6</v>
      </c>
      <c r="R211" s="8">
        <v>9</v>
      </c>
      <c r="S211" s="8" t="s">
        <v>81</v>
      </c>
      <c r="T211" s="6" t="s">
        <v>53</v>
      </c>
      <c r="U211" s="16" t="s">
        <v>55</v>
      </c>
      <c r="V211" s="46" t="str">
        <f>IF(tbResults[[#This Row],[Player1 Score]]&gt;tbResults[[#This Row],[Player2 Score]],tbResults[[#This Row],[Player1]],tbResults[[#This Row],[Player2]])</f>
        <v>cha1n</v>
      </c>
      <c r="W211" s="48" t="str">
        <f>IF(tbResults[[#This Row],[Player1 Score]]&gt;tbResults[[#This Row],[Player2 Score]],tbResults[[#This Row],[Player2]],tbResults[[#This Row],[Player1]])</f>
        <v>maxter</v>
      </c>
      <c r="X211" s="11" t="str">
        <f>IF(tbResults[[#This Row],[Winner]]=tbResults[[#This Row],[Player1]],tbResults[[#This Row],[Player1 Pick]],tbResults[[#This Row],[Player2 Pick]])</f>
        <v>Keel</v>
      </c>
      <c r="Y211" s="11" t="str">
        <f>IF(tbResults[[#This Row],[Loser]]=tbResults[[#This Row],[Player1]],tbResults[[#This Row],[Player1 Pick]],tbResults[[#This Row],[Player2 Pick]])</f>
        <v>Sorlag</v>
      </c>
      <c r="Z211" s="32">
        <f>SUM(tbResults[[#This Row],[Player1 Score]],tbResults[[#This Row],[Player2 Score]])</f>
        <v>15</v>
      </c>
      <c r="AA211" s="32">
        <f>ABS(tbResults[[#This Row],[Player1 Score]]-tbResults[[#This Row],[Player2 Score]])</f>
        <v>3</v>
      </c>
      <c r="AB211" s="37">
        <f>IF(tbResults[[#This Row],[Player1 Score]]&gt;tbResults[[#This Row],[Player2 Score]],tbResults[[#This Row],[Player1 Score]],tbResults[[#This Row],[Player2 Score]])</f>
        <v>9</v>
      </c>
      <c r="AC211" s="37">
        <f>IF(tbResults[[#This Row],[Player1 Score]]&lt;tbResults[[#This Row],[Player2 Score]],tbResults[[#This Row],[Player1 Score]],tbResults[[#This Row],[Player2 Score]])</f>
        <v>6</v>
      </c>
    </row>
    <row r="212" spans="2:29" ht="30" customHeight="1" x14ac:dyDescent="0.3">
      <c r="B212" s="20" t="str">
        <f>_xlfn.CONCAT(tbResults[[#This Row],[Series Title]],".",tbResults[[#This Row],[Game]])</f>
        <v>2.2.04.03.2</v>
      </c>
      <c r="C212" s="15">
        <v>2</v>
      </c>
      <c r="D212" s="15">
        <v>2</v>
      </c>
      <c r="E212" s="15">
        <v>4</v>
      </c>
      <c r="F212" s="15">
        <v>3</v>
      </c>
      <c r="G212" s="15">
        <v>2</v>
      </c>
      <c r="H212" s="19" t="str">
        <f>_xlfn.CONCAT(tbResults[[#This Row],[Season]],".",tbResults[[#This Row],[Stage]])</f>
        <v>2.2</v>
      </c>
      <c r="I212" s="19" t="str">
        <f>_xlfn.CONCAT(tbResults[[#This Row],[Season]],".",tbResults[[#This Row],[Stage]],".",TEXT(tbResults[[#This Row],[Week]],"00"))</f>
        <v>2.2.04</v>
      </c>
      <c r="J212" s="19" t="str">
        <f>_xlfn.CONCAT(tbResults[[#This Row],[Week Title]],".",TEXT(tbResults[[#This Row],[Match]],"00"))</f>
        <v>2.2.04.03</v>
      </c>
      <c r="K212" s="20" t="str">
        <f>_xlfn.CONCAT(tbResults[[#This Row],[Game Title]], " ", tbResults[[#This Row],[Player1]], " vs ", tbResults[[#This Row],[Player2]] )</f>
        <v>2.2.04.03.2 maxter vs cha1n</v>
      </c>
      <c r="L212" s="6" t="s">
        <v>41</v>
      </c>
      <c r="M212" s="6" t="s">
        <v>53</v>
      </c>
      <c r="N212" s="6" t="s">
        <v>26</v>
      </c>
      <c r="O212" s="6" t="s">
        <v>34</v>
      </c>
      <c r="P212" s="6" t="s">
        <v>39</v>
      </c>
      <c r="Q212" s="8">
        <v>3</v>
      </c>
      <c r="R212" s="8">
        <v>4</v>
      </c>
      <c r="S212" s="8" t="s">
        <v>82</v>
      </c>
      <c r="T212" s="6" t="s">
        <v>41</v>
      </c>
      <c r="U212" s="16" t="s">
        <v>22</v>
      </c>
      <c r="V212" s="46" t="str">
        <f>IF(tbResults[[#This Row],[Player1 Score]]&gt;tbResults[[#This Row],[Player2 Score]],tbResults[[#This Row],[Player1]],tbResults[[#This Row],[Player2]])</f>
        <v>cha1n</v>
      </c>
      <c r="W212" s="48" t="str">
        <f>IF(tbResults[[#This Row],[Player1 Score]]&gt;tbResults[[#This Row],[Player2 Score]],tbResults[[#This Row],[Player2]],tbResults[[#This Row],[Player1]])</f>
        <v>maxter</v>
      </c>
      <c r="X212" s="11" t="str">
        <f>IF(tbResults[[#This Row],[Winner]]=tbResults[[#This Row],[Player1]],tbResults[[#This Row],[Player1 Pick]],tbResults[[#This Row],[Player2 Pick]])</f>
        <v>Anarki</v>
      </c>
      <c r="Y212" s="11" t="str">
        <f>IF(tbResults[[#This Row],[Loser]]=tbResults[[#This Row],[Player1]],tbResults[[#This Row],[Player1 Pick]],tbResults[[#This Row],[Player2 Pick]])</f>
        <v>Galena</v>
      </c>
      <c r="Z212" s="32">
        <f>SUM(tbResults[[#This Row],[Player1 Score]],tbResults[[#This Row],[Player2 Score]])</f>
        <v>7</v>
      </c>
      <c r="AA212" s="32">
        <f>ABS(tbResults[[#This Row],[Player1 Score]]-tbResults[[#This Row],[Player2 Score]])</f>
        <v>1</v>
      </c>
      <c r="AB212" s="37">
        <f>IF(tbResults[[#This Row],[Player1 Score]]&gt;tbResults[[#This Row],[Player2 Score]],tbResults[[#This Row],[Player1 Score]],tbResults[[#This Row],[Player2 Score]])</f>
        <v>4</v>
      </c>
      <c r="AC212" s="37">
        <f>IF(tbResults[[#This Row],[Player1 Score]]&lt;tbResults[[#This Row],[Player2 Score]],tbResults[[#This Row],[Player1 Score]],tbResults[[#This Row],[Player2 Score]])</f>
        <v>3</v>
      </c>
    </row>
    <row r="213" spans="2:29" ht="30" customHeight="1" x14ac:dyDescent="0.3">
      <c r="B213" s="20" t="str">
        <f>_xlfn.CONCAT(tbResults[[#This Row],[Series Title]],".",tbResults[[#This Row],[Game]])</f>
        <v>2.2.04.03.3</v>
      </c>
      <c r="C213" s="15">
        <v>2</v>
      </c>
      <c r="D213" s="15">
        <v>2</v>
      </c>
      <c r="E213" s="15">
        <v>4</v>
      </c>
      <c r="F213" s="15">
        <v>3</v>
      </c>
      <c r="G213" s="15">
        <v>3</v>
      </c>
      <c r="H213" s="19" t="str">
        <f>_xlfn.CONCAT(tbResults[[#This Row],[Season]],".",tbResults[[#This Row],[Stage]])</f>
        <v>2.2</v>
      </c>
      <c r="I213" s="19" t="str">
        <f>_xlfn.CONCAT(tbResults[[#This Row],[Season]],".",tbResults[[#This Row],[Stage]],".",TEXT(tbResults[[#This Row],[Week]],"00"))</f>
        <v>2.2.04</v>
      </c>
      <c r="J213" s="19" t="str">
        <f>_xlfn.CONCAT(tbResults[[#This Row],[Week Title]],".",TEXT(tbResults[[#This Row],[Match]],"00"))</f>
        <v>2.2.04.03</v>
      </c>
      <c r="K213" s="20" t="str">
        <f>_xlfn.CONCAT(tbResults[[#This Row],[Game Title]], " ", tbResults[[#This Row],[Player1]], " vs ", tbResults[[#This Row],[Player2]] )</f>
        <v>2.2.04.03.3 maxter vs cha1n</v>
      </c>
      <c r="L213" s="6" t="s">
        <v>41</v>
      </c>
      <c r="M213" s="6" t="s">
        <v>53</v>
      </c>
      <c r="N213" s="6" t="s">
        <v>43</v>
      </c>
      <c r="O213" s="6" t="s">
        <v>28</v>
      </c>
      <c r="P213" s="6" t="s">
        <v>21</v>
      </c>
      <c r="Q213" s="8">
        <v>4</v>
      </c>
      <c r="R213" s="8">
        <v>14</v>
      </c>
      <c r="S213" s="8" t="s">
        <v>81</v>
      </c>
      <c r="T213" s="16" t="s">
        <v>53</v>
      </c>
      <c r="U213" s="16" t="s">
        <v>37</v>
      </c>
      <c r="V213" s="46" t="str">
        <f>IF(tbResults[[#This Row],[Player1 Score]]&gt;tbResults[[#This Row],[Player2 Score]],tbResults[[#This Row],[Player1]],tbResults[[#This Row],[Player2]])</f>
        <v>cha1n</v>
      </c>
      <c r="W213" s="48" t="str">
        <f>IF(tbResults[[#This Row],[Player1 Score]]&gt;tbResults[[#This Row],[Player2 Score]],tbResults[[#This Row],[Player2]],tbResults[[#This Row],[Player1]])</f>
        <v>maxter</v>
      </c>
      <c r="X213" s="11" t="str">
        <f>IF(tbResults[[#This Row],[Winner]]=tbResults[[#This Row],[Player1]],tbResults[[#This Row],[Player1 Pick]],tbResults[[#This Row],[Player2 Pick]])</f>
        <v>Ranger</v>
      </c>
      <c r="Y213" s="11" t="str">
        <f>IF(tbResults[[#This Row],[Loser]]=tbResults[[#This Row],[Player1]],tbResults[[#This Row],[Player1 Pick]],tbResults[[#This Row],[Player2 Pick]])</f>
        <v>BJ Blazkowicz</v>
      </c>
      <c r="Z213" s="32">
        <f>SUM(tbResults[[#This Row],[Player1 Score]],tbResults[[#This Row],[Player2 Score]])</f>
        <v>18</v>
      </c>
      <c r="AA213" s="32">
        <f>ABS(tbResults[[#This Row],[Player1 Score]]-tbResults[[#This Row],[Player2 Score]])</f>
        <v>10</v>
      </c>
      <c r="AB213" s="37">
        <f>IF(tbResults[[#This Row],[Player1 Score]]&gt;tbResults[[#This Row],[Player2 Score]],tbResults[[#This Row],[Player1 Score]],tbResults[[#This Row],[Player2 Score]])</f>
        <v>14</v>
      </c>
      <c r="AC213" s="37">
        <f>IF(tbResults[[#This Row],[Player1 Score]]&lt;tbResults[[#This Row],[Player2 Score]],tbResults[[#This Row],[Player1 Score]],tbResults[[#This Row],[Player2 Score]])</f>
        <v>4</v>
      </c>
    </row>
    <row r="214" spans="2:29" ht="30" customHeight="1" x14ac:dyDescent="0.3">
      <c r="B214" s="20" t="str">
        <f>_xlfn.CONCAT(tbResults[[#This Row],[Series Title]],".",tbResults[[#This Row],[Game]])</f>
        <v>2.2.04.04.1</v>
      </c>
      <c r="C214" s="15">
        <v>2</v>
      </c>
      <c r="D214" s="15">
        <v>2</v>
      </c>
      <c r="E214" s="15">
        <v>4</v>
      </c>
      <c r="F214" s="15">
        <v>4</v>
      </c>
      <c r="G214" s="15">
        <v>1</v>
      </c>
      <c r="H214" s="19" t="str">
        <f>_xlfn.CONCAT(tbResults[[#This Row],[Season]],".",tbResults[[#This Row],[Stage]])</f>
        <v>2.2</v>
      </c>
      <c r="I214" s="19" t="str">
        <f>_xlfn.CONCAT(tbResults[[#This Row],[Season]],".",tbResults[[#This Row],[Stage]],".",TEXT(tbResults[[#This Row],[Week]],"00"))</f>
        <v>2.2.04</v>
      </c>
      <c r="J214" s="19" t="str">
        <f>_xlfn.CONCAT(tbResults[[#This Row],[Week Title]],".",TEXT(tbResults[[#This Row],[Match]],"00"))</f>
        <v>2.2.04.04</v>
      </c>
      <c r="K214" s="20" t="str">
        <f>_xlfn.CONCAT(tbResults[[#This Row],[Game Title]], " ", tbResults[[#This Row],[Player1]], " vs ", tbResults[[#This Row],[Player2]] )</f>
        <v>2.2.04.04.1 Cypher vs cnz</v>
      </c>
      <c r="L214" s="6" t="s">
        <v>14</v>
      </c>
      <c r="M214" s="6" t="s">
        <v>54</v>
      </c>
      <c r="N214" s="6" t="s">
        <v>19</v>
      </c>
      <c r="O214" s="6" t="s">
        <v>22</v>
      </c>
      <c r="P214" s="6" t="s">
        <v>35</v>
      </c>
      <c r="Q214" s="8">
        <v>10</v>
      </c>
      <c r="R214" s="8">
        <v>3</v>
      </c>
      <c r="S214" s="8" t="s">
        <v>81</v>
      </c>
      <c r="T214" s="16" t="s">
        <v>54</v>
      </c>
      <c r="U214" s="16" t="s">
        <v>34</v>
      </c>
      <c r="V214" s="46" t="str">
        <f>IF(tbResults[[#This Row],[Player1 Score]]&gt;tbResults[[#This Row],[Player2 Score]],tbResults[[#This Row],[Player1]],tbResults[[#This Row],[Player2]])</f>
        <v>Cypher</v>
      </c>
      <c r="W214" s="48" t="str">
        <f>IF(tbResults[[#This Row],[Player1 Score]]&gt;tbResults[[#This Row],[Player2 Score]],tbResults[[#This Row],[Player2]],tbResults[[#This Row],[Player1]])</f>
        <v>cnz</v>
      </c>
      <c r="X214" s="11" t="str">
        <f>IF(tbResults[[#This Row],[Winner]]=tbResults[[#This Row],[Player1]],tbResults[[#This Row],[Player1 Pick]],tbResults[[#This Row],[Player2 Pick]])</f>
        <v>Strogg</v>
      </c>
      <c r="Y214" s="11" t="str">
        <f>IF(tbResults[[#This Row],[Loser]]=tbResults[[#This Row],[Player1]],tbResults[[#This Row],[Player1 Pick]],tbResults[[#This Row],[Player2 Pick]])</f>
        <v>Doom</v>
      </c>
      <c r="Z214" s="32">
        <f>SUM(tbResults[[#This Row],[Player1 Score]],tbResults[[#This Row],[Player2 Score]])</f>
        <v>13</v>
      </c>
      <c r="AA214" s="32">
        <f>ABS(tbResults[[#This Row],[Player1 Score]]-tbResults[[#This Row],[Player2 Score]])</f>
        <v>7</v>
      </c>
      <c r="AB214" s="37">
        <f>IF(tbResults[[#This Row],[Player1 Score]]&gt;tbResults[[#This Row],[Player2 Score]],tbResults[[#This Row],[Player1 Score]],tbResults[[#This Row],[Player2 Score]])</f>
        <v>10</v>
      </c>
      <c r="AC214" s="37">
        <f>IF(tbResults[[#This Row],[Player1 Score]]&lt;tbResults[[#This Row],[Player2 Score]],tbResults[[#This Row],[Player1 Score]],tbResults[[#This Row],[Player2 Score]])</f>
        <v>3</v>
      </c>
    </row>
    <row r="215" spans="2:29" ht="30" customHeight="1" x14ac:dyDescent="0.3">
      <c r="B215" s="20" t="str">
        <f>_xlfn.CONCAT(tbResults[[#This Row],[Series Title]],".",tbResults[[#This Row],[Game]])</f>
        <v>2.2.04.04.2</v>
      </c>
      <c r="C215" s="15">
        <v>2</v>
      </c>
      <c r="D215" s="15">
        <v>2</v>
      </c>
      <c r="E215" s="15">
        <v>4</v>
      </c>
      <c r="F215" s="15">
        <v>4</v>
      </c>
      <c r="G215" s="15">
        <v>2</v>
      </c>
      <c r="H215" s="19" t="str">
        <f>_xlfn.CONCAT(tbResults[[#This Row],[Season]],".",tbResults[[#This Row],[Stage]])</f>
        <v>2.2</v>
      </c>
      <c r="I215" s="19" t="str">
        <f>_xlfn.CONCAT(tbResults[[#This Row],[Season]],".",tbResults[[#This Row],[Stage]],".",TEXT(tbResults[[#This Row],[Week]],"00"))</f>
        <v>2.2.04</v>
      </c>
      <c r="J215" s="19" t="str">
        <f>_xlfn.CONCAT(tbResults[[#This Row],[Week Title]],".",TEXT(tbResults[[#This Row],[Match]],"00"))</f>
        <v>2.2.04.04</v>
      </c>
      <c r="K215" s="20" t="str">
        <f>_xlfn.CONCAT(tbResults[[#This Row],[Game Title]], " ", tbResults[[#This Row],[Player1]], " vs ", tbResults[[#This Row],[Player2]] )</f>
        <v>2.2.04.04.2 Cypher vs cnz</v>
      </c>
      <c r="L215" s="6" t="s">
        <v>14</v>
      </c>
      <c r="M215" s="6" t="s">
        <v>54</v>
      </c>
      <c r="N215" s="6" t="s">
        <v>33</v>
      </c>
      <c r="O215" s="6" t="s">
        <v>25</v>
      </c>
      <c r="P215" s="6" t="s">
        <v>21</v>
      </c>
      <c r="Q215" s="8">
        <v>16</v>
      </c>
      <c r="R215" s="8">
        <v>6</v>
      </c>
      <c r="S215" s="8" t="s">
        <v>81</v>
      </c>
      <c r="T215" s="16" t="s">
        <v>14</v>
      </c>
      <c r="U215" s="16" t="s">
        <v>27</v>
      </c>
      <c r="V215" s="46" t="str">
        <f>IF(tbResults[[#This Row],[Player1 Score]]&gt;tbResults[[#This Row],[Player2 Score]],tbResults[[#This Row],[Player1]],tbResults[[#This Row],[Player2]])</f>
        <v>Cypher</v>
      </c>
      <c r="W215" s="48" t="str">
        <f>IF(tbResults[[#This Row],[Player1 Score]]&gt;tbResults[[#This Row],[Player2 Score]],tbResults[[#This Row],[Player2]],tbResults[[#This Row],[Player1]])</f>
        <v>cnz</v>
      </c>
      <c r="X215" s="11" t="str">
        <f>IF(tbResults[[#This Row],[Winner]]=tbResults[[#This Row],[Player1]],tbResults[[#This Row],[Player1 Pick]],tbResults[[#This Row],[Player2 Pick]])</f>
        <v>Sorlag</v>
      </c>
      <c r="Y215" s="11" t="str">
        <f>IF(tbResults[[#This Row],[Loser]]=tbResults[[#This Row],[Player1]],tbResults[[#This Row],[Player1 Pick]],tbResults[[#This Row],[Player2 Pick]])</f>
        <v>Ranger</v>
      </c>
      <c r="Z215" s="32">
        <f>SUM(tbResults[[#This Row],[Player1 Score]],tbResults[[#This Row],[Player2 Score]])</f>
        <v>22</v>
      </c>
      <c r="AA215" s="32">
        <f>ABS(tbResults[[#This Row],[Player1 Score]]-tbResults[[#This Row],[Player2 Score]])</f>
        <v>10</v>
      </c>
      <c r="AB215" s="37">
        <f>IF(tbResults[[#This Row],[Player1 Score]]&gt;tbResults[[#This Row],[Player2 Score]],tbResults[[#This Row],[Player1 Score]],tbResults[[#This Row],[Player2 Score]])</f>
        <v>16</v>
      </c>
      <c r="AC215" s="37">
        <f>IF(tbResults[[#This Row],[Player1 Score]]&lt;tbResults[[#This Row],[Player2 Score]],tbResults[[#This Row],[Player1 Score]],tbResults[[#This Row],[Player2 Score]])</f>
        <v>6</v>
      </c>
    </row>
    <row r="216" spans="2:29" ht="30" customHeight="1" x14ac:dyDescent="0.3">
      <c r="B216" s="20" t="str">
        <f>_xlfn.CONCAT(tbResults[[#This Row],[Series Title]],".",tbResults[[#This Row],[Game]])</f>
        <v>2.2.04.04.3</v>
      </c>
      <c r="C216" s="15">
        <v>2</v>
      </c>
      <c r="D216" s="15">
        <v>2</v>
      </c>
      <c r="E216" s="15">
        <v>4</v>
      </c>
      <c r="F216" s="15">
        <v>4</v>
      </c>
      <c r="G216" s="15">
        <v>3</v>
      </c>
      <c r="H216" s="19" t="str">
        <f>_xlfn.CONCAT(tbResults[[#This Row],[Season]],".",tbResults[[#This Row],[Stage]])</f>
        <v>2.2</v>
      </c>
      <c r="I216" s="19" t="str">
        <f>_xlfn.CONCAT(tbResults[[#This Row],[Season]],".",tbResults[[#This Row],[Stage]],".",TEXT(tbResults[[#This Row],[Week]],"00"))</f>
        <v>2.2.04</v>
      </c>
      <c r="J216" s="19" t="str">
        <f>_xlfn.CONCAT(tbResults[[#This Row],[Week Title]],".",TEXT(tbResults[[#This Row],[Match]],"00"))</f>
        <v>2.2.04.04</v>
      </c>
      <c r="K216" s="20" t="str">
        <f>_xlfn.CONCAT(tbResults[[#This Row],[Game Title]], " ", tbResults[[#This Row],[Player1]], " vs ", tbResults[[#This Row],[Player2]] )</f>
        <v>2.2.04.04.3 Cypher vs cnz</v>
      </c>
      <c r="L216" s="6" t="s">
        <v>14</v>
      </c>
      <c r="M216" s="6" t="s">
        <v>54</v>
      </c>
      <c r="N216" s="6" t="s">
        <v>26</v>
      </c>
      <c r="O216" s="6" t="s">
        <v>37</v>
      </c>
      <c r="P216" s="6" t="s">
        <v>39</v>
      </c>
      <c r="Q216" s="8">
        <v>3</v>
      </c>
      <c r="R216" s="8">
        <v>9</v>
      </c>
      <c r="S216" s="8" t="s">
        <v>81</v>
      </c>
      <c r="T216" s="16" t="s">
        <v>54</v>
      </c>
      <c r="U216" s="16" t="s">
        <v>44</v>
      </c>
      <c r="V216" s="46" t="str">
        <f>IF(tbResults[[#This Row],[Player1 Score]]&gt;tbResults[[#This Row],[Player2 Score]],tbResults[[#This Row],[Player1]],tbResults[[#This Row],[Player2]])</f>
        <v>cnz</v>
      </c>
      <c r="W216" s="48" t="str">
        <f>IF(tbResults[[#This Row],[Player1 Score]]&gt;tbResults[[#This Row],[Player2 Score]],tbResults[[#This Row],[Player2]],tbResults[[#This Row],[Player1]])</f>
        <v>Cypher</v>
      </c>
      <c r="X216" s="11" t="str">
        <f>IF(tbResults[[#This Row],[Winner]]=tbResults[[#This Row],[Player1]],tbResults[[#This Row],[Player1 Pick]],tbResults[[#This Row],[Player2 Pick]])</f>
        <v>Anarki</v>
      </c>
      <c r="Y216" s="11" t="str">
        <f>IF(tbResults[[#This Row],[Loser]]=tbResults[[#This Row],[Player1]],tbResults[[#This Row],[Player1 Pick]],tbResults[[#This Row],[Player2 Pick]])</f>
        <v>Eisen</v>
      </c>
      <c r="Z216" s="32">
        <f>SUM(tbResults[[#This Row],[Player1 Score]],tbResults[[#This Row],[Player2 Score]])</f>
        <v>12</v>
      </c>
      <c r="AA216" s="32">
        <f>ABS(tbResults[[#This Row],[Player1 Score]]-tbResults[[#This Row],[Player2 Score]])</f>
        <v>6</v>
      </c>
      <c r="AB216" s="37">
        <f>IF(tbResults[[#This Row],[Player1 Score]]&gt;tbResults[[#This Row],[Player2 Score]],tbResults[[#This Row],[Player1 Score]],tbResults[[#This Row],[Player2 Score]])</f>
        <v>9</v>
      </c>
      <c r="AC216" s="37">
        <f>IF(tbResults[[#This Row],[Player1 Score]]&lt;tbResults[[#This Row],[Player2 Score]],tbResults[[#This Row],[Player1 Score]],tbResults[[#This Row],[Player2 Score]])</f>
        <v>3</v>
      </c>
    </row>
    <row r="217" spans="2:29" ht="30" customHeight="1" x14ac:dyDescent="0.3">
      <c r="B217" s="20" t="str">
        <f>_xlfn.CONCAT(tbResults[[#This Row],[Series Title]],".",tbResults[[#This Row],[Game]])</f>
        <v>2.2.04.05.1</v>
      </c>
      <c r="C217" s="15">
        <v>2</v>
      </c>
      <c r="D217" s="15">
        <v>2</v>
      </c>
      <c r="E217" s="15">
        <v>4</v>
      </c>
      <c r="F217" s="15">
        <v>5</v>
      </c>
      <c r="G217" s="15">
        <v>1</v>
      </c>
      <c r="H217" s="19" t="str">
        <f>_xlfn.CONCAT(tbResults[[#This Row],[Season]],".",tbResults[[#This Row],[Stage]])</f>
        <v>2.2</v>
      </c>
      <c r="I217" s="19" t="str">
        <f>_xlfn.CONCAT(tbResults[[#This Row],[Season]],".",tbResults[[#This Row],[Stage]],".",TEXT(tbResults[[#This Row],[Week]],"00"))</f>
        <v>2.2.04</v>
      </c>
      <c r="J217" s="19" t="str">
        <f>_xlfn.CONCAT(tbResults[[#This Row],[Week Title]],".",TEXT(tbResults[[#This Row],[Match]],"00"))</f>
        <v>2.2.04.05</v>
      </c>
      <c r="K217" s="20" t="str">
        <f>_xlfn.CONCAT(tbResults[[#This Row],[Game Title]], " ", tbResults[[#This Row],[Player1]], " vs ", tbResults[[#This Row],[Player2]] )</f>
        <v>2.2.04.05.1 Psygib vs dooi</v>
      </c>
      <c r="L217" s="6" t="s">
        <v>30</v>
      </c>
      <c r="M217" s="6" t="s">
        <v>5</v>
      </c>
      <c r="N217" s="6" t="s">
        <v>19</v>
      </c>
      <c r="O217" s="6" t="s">
        <v>22</v>
      </c>
      <c r="P217" s="6" t="s">
        <v>21</v>
      </c>
      <c r="Q217" s="8">
        <v>18</v>
      </c>
      <c r="R217" s="8">
        <v>8</v>
      </c>
      <c r="S217" s="8" t="s">
        <v>81</v>
      </c>
      <c r="T217" s="16" t="s">
        <v>5</v>
      </c>
      <c r="U217" s="16" t="s">
        <v>35</v>
      </c>
      <c r="V217" s="46" t="str">
        <f>IF(tbResults[[#This Row],[Player1 Score]]&gt;tbResults[[#This Row],[Player2 Score]],tbResults[[#This Row],[Player1]],tbResults[[#This Row],[Player2]])</f>
        <v>Psygib</v>
      </c>
      <c r="W217" s="48" t="str">
        <f>IF(tbResults[[#This Row],[Player1 Score]]&gt;tbResults[[#This Row],[Player2 Score]],tbResults[[#This Row],[Player2]],tbResults[[#This Row],[Player1]])</f>
        <v>dooi</v>
      </c>
      <c r="X217" s="11" t="str">
        <f>IF(tbResults[[#This Row],[Winner]]=tbResults[[#This Row],[Player1]],tbResults[[#This Row],[Player1 Pick]],tbResults[[#This Row],[Player2 Pick]])</f>
        <v>Strogg</v>
      </c>
      <c r="Y217" s="11" t="str">
        <f>IF(tbResults[[#This Row],[Loser]]=tbResults[[#This Row],[Player1]],tbResults[[#This Row],[Player1 Pick]],tbResults[[#This Row],[Player2 Pick]])</f>
        <v>Ranger</v>
      </c>
      <c r="Z217" s="32">
        <f>SUM(tbResults[[#This Row],[Player1 Score]],tbResults[[#This Row],[Player2 Score]])</f>
        <v>26</v>
      </c>
      <c r="AA217" s="32">
        <f>ABS(tbResults[[#This Row],[Player1 Score]]-tbResults[[#This Row],[Player2 Score]])</f>
        <v>10</v>
      </c>
      <c r="AB217" s="37">
        <f>IF(tbResults[[#This Row],[Player1 Score]]&gt;tbResults[[#This Row],[Player2 Score]],tbResults[[#This Row],[Player1 Score]],tbResults[[#This Row],[Player2 Score]])</f>
        <v>18</v>
      </c>
      <c r="AC217" s="37">
        <f>IF(tbResults[[#This Row],[Player1 Score]]&lt;tbResults[[#This Row],[Player2 Score]],tbResults[[#This Row],[Player1 Score]],tbResults[[#This Row],[Player2 Score]])</f>
        <v>8</v>
      </c>
    </row>
    <row r="218" spans="2:29" ht="30" customHeight="1" x14ac:dyDescent="0.3">
      <c r="B218" s="20" t="str">
        <f>_xlfn.CONCAT(tbResults[[#This Row],[Series Title]],".",tbResults[[#This Row],[Game]])</f>
        <v>2.2.04.05.2</v>
      </c>
      <c r="C218" s="15">
        <v>2</v>
      </c>
      <c r="D218" s="15">
        <v>2</v>
      </c>
      <c r="E218" s="15">
        <v>4</v>
      </c>
      <c r="F218" s="15">
        <v>5</v>
      </c>
      <c r="G218" s="15">
        <v>2</v>
      </c>
      <c r="H218" s="19" t="str">
        <f>_xlfn.CONCAT(tbResults[[#This Row],[Season]],".",tbResults[[#This Row],[Stage]])</f>
        <v>2.2</v>
      </c>
      <c r="I218" s="19" t="str">
        <f>_xlfn.CONCAT(tbResults[[#This Row],[Season]],".",tbResults[[#This Row],[Stage]],".",TEXT(tbResults[[#This Row],[Week]],"00"))</f>
        <v>2.2.04</v>
      </c>
      <c r="J218" s="19" t="str">
        <f>_xlfn.CONCAT(tbResults[[#This Row],[Week Title]],".",TEXT(tbResults[[#This Row],[Match]],"00"))</f>
        <v>2.2.04.05</v>
      </c>
      <c r="K218" s="20" t="str">
        <f>_xlfn.CONCAT(tbResults[[#This Row],[Game Title]], " ", tbResults[[#This Row],[Player1]], " vs ", tbResults[[#This Row],[Player2]] )</f>
        <v>2.2.04.05.2 Psygib vs dooi</v>
      </c>
      <c r="L218" s="6" t="s">
        <v>30</v>
      </c>
      <c r="M218" s="6" t="s">
        <v>5</v>
      </c>
      <c r="N218" s="6" t="s">
        <v>23</v>
      </c>
      <c r="O218" s="6" t="s">
        <v>44</v>
      </c>
      <c r="P218" s="6" t="s">
        <v>37</v>
      </c>
      <c r="Q218" s="8">
        <v>21</v>
      </c>
      <c r="R218" s="8">
        <v>13</v>
      </c>
      <c r="S218" s="8" t="s">
        <v>81</v>
      </c>
      <c r="T218" s="6" t="s">
        <v>30</v>
      </c>
      <c r="U218" s="6" t="s">
        <v>28</v>
      </c>
      <c r="V218" s="46" t="str">
        <f>IF(tbResults[[#This Row],[Player1 Score]]&gt;tbResults[[#This Row],[Player2 Score]],tbResults[[#This Row],[Player1]],tbResults[[#This Row],[Player2]])</f>
        <v>Psygib</v>
      </c>
      <c r="W218" s="48" t="str">
        <f>IF(tbResults[[#This Row],[Player1 Score]]&gt;tbResults[[#This Row],[Player2 Score]],tbResults[[#This Row],[Player2]],tbResults[[#This Row],[Player1]])</f>
        <v>dooi</v>
      </c>
      <c r="X218" s="11" t="str">
        <f>IF(tbResults[[#This Row],[Winner]]=tbResults[[#This Row],[Player1]],tbResults[[#This Row],[Player1 Pick]],tbResults[[#This Row],[Player2 Pick]])</f>
        <v>Scalebearer</v>
      </c>
      <c r="Y218" s="11" t="str">
        <f>IF(tbResults[[#This Row],[Loser]]=tbResults[[#This Row],[Player1]],tbResults[[#This Row],[Player1 Pick]],tbResults[[#This Row],[Player2 Pick]])</f>
        <v>Eisen</v>
      </c>
      <c r="Z218" s="32">
        <f>SUM(tbResults[[#This Row],[Player1 Score]],tbResults[[#This Row],[Player2 Score]])</f>
        <v>34</v>
      </c>
      <c r="AA218" s="32">
        <f>ABS(tbResults[[#This Row],[Player1 Score]]-tbResults[[#This Row],[Player2 Score]])</f>
        <v>8</v>
      </c>
      <c r="AB218" s="37">
        <f>IF(tbResults[[#This Row],[Player1 Score]]&gt;tbResults[[#This Row],[Player2 Score]],tbResults[[#This Row],[Player1 Score]],tbResults[[#This Row],[Player2 Score]])</f>
        <v>21</v>
      </c>
      <c r="AC218" s="37">
        <f>IF(tbResults[[#This Row],[Player1 Score]]&lt;tbResults[[#This Row],[Player2 Score]],tbResults[[#This Row],[Player1 Score]],tbResults[[#This Row],[Player2 Score]])</f>
        <v>13</v>
      </c>
    </row>
    <row r="219" spans="2:29" ht="30" customHeight="1" x14ac:dyDescent="0.3">
      <c r="B219" s="20" t="str">
        <f>_xlfn.CONCAT(tbResults[[#This Row],[Series Title]],".",tbResults[[#This Row],[Game]])</f>
        <v>2.2.04.05.3</v>
      </c>
      <c r="C219" s="15">
        <v>2</v>
      </c>
      <c r="D219" s="15">
        <v>2</v>
      </c>
      <c r="E219" s="15">
        <v>4</v>
      </c>
      <c r="F219" s="15">
        <v>5</v>
      </c>
      <c r="G219" s="15">
        <v>3</v>
      </c>
      <c r="H219" s="19" t="str">
        <f>_xlfn.CONCAT(tbResults[[#This Row],[Season]],".",tbResults[[#This Row],[Stage]])</f>
        <v>2.2</v>
      </c>
      <c r="I219" s="19" t="str">
        <f>_xlfn.CONCAT(tbResults[[#This Row],[Season]],".",tbResults[[#This Row],[Stage]],".",TEXT(tbResults[[#This Row],[Week]],"00"))</f>
        <v>2.2.04</v>
      </c>
      <c r="J219" s="19" t="str">
        <f>_xlfn.CONCAT(tbResults[[#This Row],[Week Title]],".",TEXT(tbResults[[#This Row],[Match]],"00"))</f>
        <v>2.2.04.05</v>
      </c>
      <c r="K219" s="20" t="str">
        <f>_xlfn.CONCAT(tbResults[[#This Row],[Game Title]], " ", tbResults[[#This Row],[Player1]], " vs ", tbResults[[#This Row],[Player2]] )</f>
        <v>2.2.04.05.3 Psygib vs dooi</v>
      </c>
      <c r="L219" s="6" t="s">
        <v>30</v>
      </c>
      <c r="M219" s="6" t="s">
        <v>5</v>
      </c>
      <c r="N219" s="6" t="s">
        <v>32</v>
      </c>
      <c r="O219" s="6" t="s">
        <v>36</v>
      </c>
      <c r="P219" s="6" t="s">
        <v>34</v>
      </c>
      <c r="Q219" s="8">
        <v>6</v>
      </c>
      <c r="R219" s="8">
        <v>9</v>
      </c>
      <c r="S219" s="8" t="s">
        <v>81</v>
      </c>
      <c r="T219" s="16" t="s">
        <v>5</v>
      </c>
      <c r="U219" s="16" t="s">
        <v>25</v>
      </c>
      <c r="V219" s="46" t="str">
        <f>IF(tbResults[[#This Row],[Player1 Score]]&gt;tbResults[[#This Row],[Player2 Score]],tbResults[[#This Row],[Player1]],tbResults[[#This Row],[Player2]])</f>
        <v>dooi</v>
      </c>
      <c r="W219" s="48" t="str">
        <f>IF(tbResults[[#This Row],[Player1 Score]]&gt;tbResults[[#This Row],[Player2 Score]],tbResults[[#This Row],[Player2]],tbResults[[#This Row],[Player1]])</f>
        <v>Psygib</v>
      </c>
      <c r="X219" s="11" t="str">
        <f>IF(tbResults[[#This Row],[Winner]]=tbResults[[#This Row],[Player1]],tbResults[[#This Row],[Player1 Pick]],tbResults[[#This Row],[Player2 Pick]])</f>
        <v>Galena</v>
      </c>
      <c r="Y219" s="11" t="str">
        <f>IF(tbResults[[#This Row],[Loser]]=tbResults[[#This Row],[Player1]],tbResults[[#This Row],[Player1 Pick]],tbResults[[#This Row],[Player2 Pick]])</f>
        <v>Visor</v>
      </c>
      <c r="Z219" s="32">
        <f>SUM(tbResults[[#This Row],[Player1 Score]],tbResults[[#This Row],[Player2 Score]])</f>
        <v>15</v>
      </c>
      <c r="AA219" s="32">
        <f>ABS(tbResults[[#This Row],[Player1 Score]]-tbResults[[#This Row],[Player2 Score]])</f>
        <v>3</v>
      </c>
      <c r="AB219" s="37">
        <f>IF(tbResults[[#This Row],[Player1 Score]]&gt;tbResults[[#This Row],[Player2 Score]],tbResults[[#This Row],[Player1 Score]],tbResults[[#This Row],[Player2 Score]])</f>
        <v>9</v>
      </c>
      <c r="AC219" s="37">
        <f>IF(tbResults[[#This Row],[Player1 Score]]&lt;tbResults[[#This Row],[Player2 Score]],tbResults[[#This Row],[Player1 Score]],tbResults[[#This Row],[Player2 Score]])</f>
        <v>6</v>
      </c>
    </row>
    <row r="220" spans="2:29" ht="30" customHeight="1" x14ac:dyDescent="0.3">
      <c r="B220" s="20" t="str">
        <f>_xlfn.CONCAT(tbResults[[#This Row],[Series Title]],".",tbResults[[#This Row],[Game]])</f>
        <v>2.2.04.06.1</v>
      </c>
      <c r="C220" s="15">
        <v>2</v>
      </c>
      <c r="D220" s="15">
        <v>2</v>
      </c>
      <c r="E220" s="15">
        <v>4</v>
      </c>
      <c r="F220" s="15">
        <v>6</v>
      </c>
      <c r="G220" s="15">
        <v>1</v>
      </c>
      <c r="H220" s="19" t="str">
        <f>_xlfn.CONCAT(tbResults[[#This Row],[Season]],".",tbResults[[#This Row],[Stage]])</f>
        <v>2.2</v>
      </c>
      <c r="I220" s="19" t="str">
        <f>_xlfn.CONCAT(tbResults[[#This Row],[Season]],".",tbResults[[#This Row],[Stage]],".",TEXT(tbResults[[#This Row],[Week]],"00"))</f>
        <v>2.2.04</v>
      </c>
      <c r="J220" s="19" t="str">
        <f>_xlfn.CONCAT(tbResults[[#This Row],[Week Title]],".",TEXT(tbResults[[#This Row],[Match]],"00"))</f>
        <v>2.2.04.06</v>
      </c>
      <c r="K220" s="20" t="str">
        <f>_xlfn.CONCAT(tbResults[[#This Row],[Game Title]], " ", tbResults[[#This Row],[Player1]], " vs ", tbResults[[#This Row],[Player2]] )</f>
        <v>2.2.04.06.1 coollerz vs Vengeurr</v>
      </c>
      <c r="L220" s="6" t="s">
        <v>48</v>
      </c>
      <c r="M220" s="6" t="s">
        <v>13</v>
      </c>
      <c r="N220" s="6" t="s">
        <v>32</v>
      </c>
      <c r="O220" s="6" t="s">
        <v>35</v>
      </c>
      <c r="P220" s="6" t="s">
        <v>34</v>
      </c>
      <c r="Q220" s="8">
        <v>8</v>
      </c>
      <c r="R220" s="8">
        <v>9</v>
      </c>
      <c r="S220" s="8" t="s">
        <v>82</v>
      </c>
      <c r="T220" s="6" t="s">
        <v>48</v>
      </c>
      <c r="U220" s="16" t="s">
        <v>25</v>
      </c>
      <c r="V220" s="46" t="str">
        <f>IF(tbResults[[#This Row],[Player1 Score]]&gt;tbResults[[#This Row],[Player2 Score]],tbResults[[#This Row],[Player1]],tbResults[[#This Row],[Player2]])</f>
        <v>Vengeurr</v>
      </c>
      <c r="W220" s="48" t="str">
        <f>IF(tbResults[[#This Row],[Player1 Score]]&gt;tbResults[[#This Row],[Player2 Score]],tbResults[[#This Row],[Player2]],tbResults[[#This Row],[Player1]])</f>
        <v>coollerz</v>
      </c>
      <c r="X220" s="11" t="str">
        <f>IF(tbResults[[#This Row],[Winner]]=tbResults[[#This Row],[Player1]],tbResults[[#This Row],[Player1 Pick]],tbResults[[#This Row],[Player2 Pick]])</f>
        <v>Galena</v>
      </c>
      <c r="Y220" s="11" t="str">
        <f>IF(tbResults[[#This Row],[Loser]]=tbResults[[#This Row],[Player1]],tbResults[[#This Row],[Player1 Pick]],tbResults[[#This Row],[Player2 Pick]])</f>
        <v>Doom</v>
      </c>
      <c r="Z220" s="32">
        <f>SUM(tbResults[[#This Row],[Player1 Score]],tbResults[[#This Row],[Player2 Score]])</f>
        <v>17</v>
      </c>
      <c r="AA220" s="32">
        <f>ABS(tbResults[[#This Row],[Player1 Score]]-tbResults[[#This Row],[Player2 Score]])</f>
        <v>1</v>
      </c>
      <c r="AB220" s="37">
        <f>IF(tbResults[[#This Row],[Player1 Score]]&gt;tbResults[[#This Row],[Player2 Score]],tbResults[[#This Row],[Player1 Score]],tbResults[[#This Row],[Player2 Score]])</f>
        <v>9</v>
      </c>
      <c r="AC220" s="37">
        <f>IF(tbResults[[#This Row],[Player1 Score]]&lt;tbResults[[#This Row],[Player2 Score]],tbResults[[#This Row],[Player1 Score]],tbResults[[#This Row],[Player2 Score]])</f>
        <v>8</v>
      </c>
    </row>
    <row r="221" spans="2:29" ht="30" customHeight="1" x14ac:dyDescent="0.3">
      <c r="B221" s="20" t="str">
        <f>_xlfn.CONCAT(tbResults[[#This Row],[Series Title]],".",tbResults[[#This Row],[Game]])</f>
        <v>2.2.04.06.2</v>
      </c>
      <c r="C221" s="15">
        <v>2</v>
      </c>
      <c r="D221" s="15">
        <v>2</v>
      </c>
      <c r="E221" s="15">
        <v>4</v>
      </c>
      <c r="F221" s="15">
        <v>6</v>
      </c>
      <c r="G221" s="15">
        <v>2</v>
      </c>
      <c r="H221" s="19" t="str">
        <f>_xlfn.CONCAT(tbResults[[#This Row],[Season]],".",tbResults[[#This Row],[Stage]])</f>
        <v>2.2</v>
      </c>
      <c r="I221" s="19" t="str">
        <f>_xlfn.CONCAT(tbResults[[#This Row],[Season]],".",tbResults[[#This Row],[Stage]],".",TEXT(tbResults[[#This Row],[Week]],"00"))</f>
        <v>2.2.04</v>
      </c>
      <c r="J221" s="19" t="str">
        <f>_xlfn.CONCAT(tbResults[[#This Row],[Week Title]],".",TEXT(tbResults[[#This Row],[Match]],"00"))</f>
        <v>2.2.04.06</v>
      </c>
      <c r="K221" s="20" t="str">
        <f>_xlfn.CONCAT(tbResults[[#This Row],[Game Title]], " ", tbResults[[#This Row],[Player1]], " vs ", tbResults[[#This Row],[Player2]] )</f>
        <v>2.2.04.06.2 coollerz vs Vengeurr</v>
      </c>
      <c r="L221" s="6" t="s">
        <v>48</v>
      </c>
      <c r="M221" s="6" t="s">
        <v>13</v>
      </c>
      <c r="N221" s="6" t="s">
        <v>23</v>
      </c>
      <c r="O221" s="6" t="s">
        <v>55</v>
      </c>
      <c r="P221" s="6" t="s">
        <v>39</v>
      </c>
      <c r="Q221" s="8">
        <v>5</v>
      </c>
      <c r="R221" s="8">
        <v>3</v>
      </c>
      <c r="S221" s="8" t="s">
        <v>81</v>
      </c>
      <c r="T221" s="6" t="s">
        <v>13</v>
      </c>
      <c r="U221" s="16" t="s">
        <v>22</v>
      </c>
      <c r="V221" s="46" t="str">
        <f>IF(tbResults[[#This Row],[Player1 Score]]&gt;tbResults[[#This Row],[Player2 Score]],tbResults[[#This Row],[Player1]],tbResults[[#This Row],[Player2]])</f>
        <v>coollerz</v>
      </c>
      <c r="W221" s="48" t="str">
        <f>IF(tbResults[[#This Row],[Player1 Score]]&gt;tbResults[[#This Row],[Player2 Score]],tbResults[[#This Row],[Player2]],tbResults[[#This Row],[Player1]])</f>
        <v>Vengeurr</v>
      </c>
      <c r="X221" s="11" t="str">
        <f>IF(tbResults[[#This Row],[Winner]]=tbResults[[#This Row],[Player1]],tbResults[[#This Row],[Player1 Pick]],tbResults[[#This Row],[Player2 Pick]])</f>
        <v>Athena</v>
      </c>
      <c r="Y221" s="11" t="str">
        <f>IF(tbResults[[#This Row],[Loser]]=tbResults[[#This Row],[Player1]],tbResults[[#This Row],[Player1 Pick]],tbResults[[#This Row],[Player2 Pick]])</f>
        <v>Anarki</v>
      </c>
      <c r="Z221" s="32">
        <f>SUM(tbResults[[#This Row],[Player1 Score]],tbResults[[#This Row],[Player2 Score]])</f>
        <v>8</v>
      </c>
      <c r="AA221" s="32">
        <f>ABS(tbResults[[#This Row],[Player1 Score]]-tbResults[[#This Row],[Player2 Score]])</f>
        <v>2</v>
      </c>
      <c r="AB221" s="37">
        <f>IF(tbResults[[#This Row],[Player1 Score]]&gt;tbResults[[#This Row],[Player2 Score]],tbResults[[#This Row],[Player1 Score]],tbResults[[#This Row],[Player2 Score]])</f>
        <v>5</v>
      </c>
      <c r="AC221" s="37">
        <f>IF(tbResults[[#This Row],[Player1 Score]]&lt;tbResults[[#This Row],[Player2 Score]],tbResults[[#This Row],[Player1 Score]],tbResults[[#This Row],[Player2 Score]])</f>
        <v>3</v>
      </c>
    </row>
    <row r="222" spans="2:29" ht="30" customHeight="1" x14ac:dyDescent="0.3">
      <c r="B222" s="20" t="str">
        <f>_xlfn.CONCAT(tbResults[[#This Row],[Series Title]],".",tbResults[[#This Row],[Game]])</f>
        <v>2.2.04.06.3</v>
      </c>
      <c r="C222" s="15">
        <v>2</v>
      </c>
      <c r="D222" s="15">
        <v>2</v>
      </c>
      <c r="E222" s="15">
        <v>4</v>
      </c>
      <c r="F222" s="15">
        <v>6</v>
      </c>
      <c r="G222" s="15">
        <v>3</v>
      </c>
      <c r="H222" s="19" t="str">
        <f>_xlfn.CONCAT(tbResults[[#This Row],[Season]],".",tbResults[[#This Row],[Stage]])</f>
        <v>2.2</v>
      </c>
      <c r="I222" s="19" t="str">
        <f>_xlfn.CONCAT(tbResults[[#This Row],[Season]],".",tbResults[[#This Row],[Stage]],".",TEXT(tbResults[[#This Row],[Week]],"00"))</f>
        <v>2.2.04</v>
      </c>
      <c r="J222" s="19" t="str">
        <f>_xlfn.CONCAT(tbResults[[#This Row],[Week Title]],".",TEXT(tbResults[[#This Row],[Match]],"00"))</f>
        <v>2.2.04.06</v>
      </c>
      <c r="K222" s="20" t="str">
        <f>_xlfn.CONCAT(tbResults[[#This Row],[Game Title]], " ", tbResults[[#This Row],[Player1]], " vs ", tbResults[[#This Row],[Player2]] )</f>
        <v>2.2.04.06.3 coollerz vs Vengeurr</v>
      </c>
      <c r="L222" s="6" t="s">
        <v>48</v>
      </c>
      <c r="M222" s="6" t="s">
        <v>13</v>
      </c>
      <c r="N222" s="6" t="s">
        <v>19</v>
      </c>
      <c r="O222" s="6" t="s">
        <v>92</v>
      </c>
      <c r="P222" s="6" t="s">
        <v>21</v>
      </c>
      <c r="Q222" s="8">
        <v>6</v>
      </c>
      <c r="R222" s="8">
        <v>4</v>
      </c>
      <c r="S222" s="8" t="s">
        <v>81</v>
      </c>
      <c r="T222" s="6" t="s">
        <v>48</v>
      </c>
      <c r="U222" s="16" t="s">
        <v>38</v>
      </c>
      <c r="V222" s="46" t="str">
        <f>IF(tbResults[[#This Row],[Player1 Score]]&gt;tbResults[[#This Row],[Player2 Score]],tbResults[[#This Row],[Player1]],tbResults[[#This Row],[Player2]])</f>
        <v>coollerz</v>
      </c>
      <c r="W222" s="48" t="str">
        <f>IF(tbResults[[#This Row],[Player1 Score]]&gt;tbResults[[#This Row],[Player2 Score]],tbResults[[#This Row],[Player2]],tbResults[[#This Row],[Player1]])</f>
        <v>Vengeurr</v>
      </c>
      <c r="X222" s="11" t="str">
        <f>IF(tbResults[[#This Row],[Winner]]=tbResults[[#This Row],[Player1]],tbResults[[#This Row],[Player1 Pick]],tbResults[[#This Row],[Player2 Pick]])</f>
        <v>Clutch</v>
      </c>
      <c r="Y222" s="11" t="str">
        <f>IF(tbResults[[#This Row],[Loser]]=tbResults[[#This Row],[Player1]],tbResults[[#This Row],[Player1 Pick]],tbResults[[#This Row],[Player2 Pick]])</f>
        <v>Ranger</v>
      </c>
      <c r="Z222" s="32">
        <f>SUM(tbResults[[#This Row],[Player1 Score]],tbResults[[#This Row],[Player2 Score]])</f>
        <v>10</v>
      </c>
      <c r="AA222" s="32">
        <f>ABS(tbResults[[#This Row],[Player1 Score]]-tbResults[[#This Row],[Player2 Score]])</f>
        <v>2</v>
      </c>
      <c r="AB222" s="37">
        <f>IF(tbResults[[#This Row],[Player1 Score]]&gt;tbResults[[#This Row],[Player2 Score]],tbResults[[#This Row],[Player1 Score]],tbResults[[#This Row],[Player2 Score]])</f>
        <v>6</v>
      </c>
      <c r="AC222" s="37">
        <f>IF(tbResults[[#This Row],[Player1 Score]]&lt;tbResults[[#This Row],[Player2 Score]],tbResults[[#This Row],[Player1 Score]],tbResults[[#This Row],[Player2 Score]])</f>
        <v>4</v>
      </c>
    </row>
    <row r="223" spans="2:29" ht="30" customHeight="1" x14ac:dyDescent="0.3">
      <c r="B223" s="20" t="str">
        <f>_xlfn.CONCAT(tbResults[[#This Row],[Series Title]],".",tbResults[[#This Row],[Game]])</f>
        <v>2.2.04.07.1</v>
      </c>
      <c r="C223" s="15">
        <v>2</v>
      </c>
      <c r="D223" s="15">
        <v>2</v>
      </c>
      <c r="E223" s="15">
        <v>4</v>
      </c>
      <c r="F223" s="15">
        <v>7</v>
      </c>
      <c r="G223" s="15">
        <v>1</v>
      </c>
      <c r="H223" s="19" t="str">
        <f>_xlfn.CONCAT(tbResults[[#This Row],[Season]],".",tbResults[[#This Row],[Stage]])</f>
        <v>2.2</v>
      </c>
      <c r="I223" s="19" t="str">
        <f>_xlfn.CONCAT(tbResults[[#This Row],[Season]],".",tbResults[[#This Row],[Stage]],".",TEXT(tbResults[[#This Row],[Week]],"00"))</f>
        <v>2.2.04</v>
      </c>
      <c r="J223" s="19" t="str">
        <f>_xlfn.CONCAT(tbResults[[#This Row],[Week Title]],".",TEXT(tbResults[[#This Row],[Match]],"00"))</f>
        <v>2.2.04.07</v>
      </c>
      <c r="K223" s="20" t="str">
        <f>_xlfn.CONCAT(tbResults[[#This Row],[Game Title]], " ", tbResults[[#This Row],[Player1]], " vs ", tbResults[[#This Row],[Player2]] )</f>
        <v>2.2.04.07.1 Av3k vs Raisy</v>
      </c>
      <c r="L223" s="6" t="s">
        <v>52</v>
      </c>
      <c r="M223" s="6" t="s">
        <v>49</v>
      </c>
      <c r="N223" s="6" t="s">
        <v>26</v>
      </c>
      <c r="O223" s="6" t="s">
        <v>27</v>
      </c>
      <c r="P223" s="6" t="s">
        <v>25</v>
      </c>
      <c r="Q223" s="8">
        <v>3</v>
      </c>
      <c r="R223" s="8">
        <v>12</v>
      </c>
      <c r="S223" s="8" t="s">
        <v>81</v>
      </c>
      <c r="T223" s="16" t="s">
        <v>49</v>
      </c>
      <c r="U223" s="16" t="s">
        <v>34</v>
      </c>
      <c r="V223" s="46" t="str">
        <f>IF(tbResults[[#This Row],[Player1 Score]]&gt;tbResults[[#This Row],[Player2 Score]],tbResults[[#This Row],[Player1]],tbResults[[#This Row],[Player2]])</f>
        <v>Raisy</v>
      </c>
      <c r="W223" s="48" t="str">
        <f>IF(tbResults[[#This Row],[Player1 Score]]&gt;tbResults[[#This Row],[Player2 Score]],tbResults[[#This Row],[Player2]],tbResults[[#This Row],[Player1]])</f>
        <v>Av3k</v>
      </c>
      <c r="X223" s="11" t="str">
        <f>IF(tbResults[[#This Row],[Winner]]=tbResults[[#This Row],[Player1]],tbResults[[#This Row],[Player1 Pick]],tbResults[[#This Row],[Player2 Pick]])</f>
        <v>Sorlag</v>
      </c>
      <c r="Y223" s="11" t="str">
        <f>IF(tbResults[[#This Row],[Loser]]=tbResults[[#This Row],[Player1]],tbResults[[#This Row],[Player1 Pick]],tbResults[[#This Row],[Player2 Pick]])</f>
        <v>Keel</v>
      </c>
      <c r="Z223" s="32">
        <f>SUM(tbResults[[#This Row],[Player1 Score]],tbResults[[#This Row],[Player2 Score]])</f>
        <v>15</v>
      </c>
      <c r="AA223" s="32">
        <f>ABS(tbResults[[#This Row],[Player1 Score]]-tbResults[[#This Row],[Player2 Score]])</f>
        <v>9</v>
      </c>
      <c r="AB223" s="37">
        <f>IF(tbResults[[#This Row],[Player1 Score]]&gt;tbResults[[#This Row],[Player2 Score]],tbResults[[#This Row],[Player1 Score]],tbResults[[#This Row],[Player2 Score]])</f>
        <v>12</v>
      </c>
      <c r="AC223" s="37">
        <f>IF(tbResults[[#This Row],[Player1 Score]]&lt;tbResults[[#This Row],[Player2 Score]],tbResults[[#This Row],[Player1 Score]],tbResults[[#This Row],[Player2 Score]])</f>
        <v>3</v>
      </c>
    </row>
    <row r="224" spans="2:29" ht="30" customHeight="1" x14ac:dyDescent="0.3">
      <c r="B224" s="20" t="str">
        <f>_xlfn.CONCAT(tbResults[[#This Row],[Series Title]],".",tbResults[[#This Row],[Game]])</f>
        <v>2.2.04.07.2</v>
      </c>
      <c r="C224" s="15">
        <v>2</v>
      </c>
      <c r="D224" s="15">
        <v>2</v>
      </c>
      <c r="E224" s="15">
        <v>4</v>
      </c>
      <c r="F224" s="15">
        <v>7</v>
      </c>
      <c r="G224" s="15">
        <v>2</v>
      </c>
      <c r="H224" s="19" t="str">
        <f>_xlfn.CONCAT(tbResults[[#This Row],[Season]],".",tbResults[[#This Row],[Stage]])</f>
        <v>2.2</v>
      </c>
      <c r="I224" s="19" t="str">
        <f>_xlfn.CONCAT(tbResults[[#This Row],[Season]],".",tbResults[[#This Row],[Stage]],".",TEXT(tbResults[[#This Row],[Week]],"00"))</f>
        <v>2.2.04</v>
      </c>
      <c r="J224" s="19" t="str">
        <f>_xlfn.CONCAT(tbResults[[#This Row],[Week Title]],".",TEXT(tbResults[[#This Row],[Match]],"00"))</f>
        <v>2.2.04.07</v>
      </c>
      <c r="K224" s="20" t="str">
        <f>_xlfn.CONCAT(tbResults[[#This Row],[Game Title]], " ", tbResults[[#This Row],[Player1]], " vs ", tbResults[[#This Row],[Player2]] )</f>
        <v>2.2.04.07.2 Av3k vs Raisy</v>
      </c>
      <c r="L224" s="6" t="s">
        <v>52</v>
      </c>
      <c r="M224" s="6" t="s">
        <v>49</v>
      </c>
      <c r="N224" s="6" t="s">
        <v>43</v>
      </c>
      <c r="O224" s="6" t="s">
        <v>37</v>
      </c>
      <c r="P224" s="6" t="s">
        <v>35</v>
      </c>
      <c r="Q224" s="8">
        <v>18</v>
      </c>
      <c r="R224" s="8">
        <v>11</v>
      </c>
      <c r="S224" s="8" t="s">
        <v>81</v>
      </c>
      <c r="T224" s="16" t="s">
        <v>52</v>
      </c>
      <c r="U224" s="16" t="s">
        <v>22</v>
      </c>
      <c r="V224" s="46" t="str">
        <f>IF(tbResults[[#This Row],[Player1 Score]]&gt;tbResults[[#This Row],[Player2 Score]],tbResults[[#This Row],[Player1]],tbResults[[#This Row],[Player2]])</f>
        <v>Av3k</v>
      </c>
      <c r="W224" s="48" t="str">
        <f>IF(tbResults[[#This Row],[Player1 Score]]&gt;tbResults[[#This Row],[Player2 Score]],tbResults[[#This Row],[Player2]],tbResults[[#This Row],[Player1]])</f>
        <v>Raisy</v>
      </c>
      <c r="X224" s="11" t="str">
        <f>IF(tbResults[[#This Row],[Winner]]=tbResults[[#This Row],[Player1]],tbResults[[#This Row],[Player1 Pick]],tbResults[[#This Row],[Player2 Pick]])</f>
        <v>Eisen</v>
      </c>
      <c r="Y224" s="11" t="str">
        <f>IF(tbResults[[#This Row],[Loser]]=tbResults[[#This Row],[Player1]],tbResults[[#This Row],[Player1 Pick]],tbResults[[#This Row],[Player2 Pick]])</f>
        <v>Doom</v>
      </c>
      <c r="Z224" s="32">
        <f>SUM(tbResults[[#This Row],[Player1 Score]],tbResults[[#This Row],[Player2 Score]])</f>
        <v>29</v>
      </c>
      <c r="AA224" s="32">
        <f>ABS(tbResults[[#This Row],[Player1 Score]]-tbResults[[#This Row],[Player2 Score]])</f>
        <v>7</v>
      </c>
      <c r="AB224" s="37">
        <f>IF(tbResults[[#This Row],[Player1 Score]]&gt;tbResults[[#This Row],[Player2 Score]],tbResults[[#This Row],[Player1 Score]],tbResults[[#This Row],[Player2 Score]])</f>
        <v>18</v>
      </c>
      <c r="AC224" s="37">
        <f>IF(tbResults[[#This Row],[Player1 Score]]&lt;tbResults[[#This Row],[Player2 Score]],tbResults[[#This Row],[Player1 Score]],tbResults[[#This Row],[Player2 Score]])</f>
        <v>11</v>
      </c>
    </row>
    <row r="225" spans="2:29" ht="30" customHeight="1" x14ac:dyDescent="0.3">
      <c r="B225" s="20" t="str">
        <f>_xlfn.CONCAT(tbResults[[#This Row],[Series Title]],".",tbResults[[#This Row],[Game]])</f>
        <v>2.2.04.07.3</v>
      </c>
      <c r="C225" s="15">
        <v>2</v>
      </c>
      <c r="D225" s="15">
        <v>2</v>
      </c>
      <c r="E225" s="15">
        <v>4</v>
      </c>
      <c r="F225" s="15">
        <v>7</v>
      </c>
      <c r="G225" s="15">
        <v>3</v>
      </c>
      <c r="H225" s="19" t="str">
        <f>_xlfn.CONCAT(tbResults[[#This Row],[Season]],".",tbResults[[#This Row],[Stage]])</f>
        <v>2.2</v>
      </c>
      <c r="I225" s="19" t="str">
        <f>_xlfn.CONCAT(tbResults[[#This Row],[Season]],".",tbResults[[#This Row],[Stage]],".",TEXT(tbResults[[#This Row],[Week]],"00"))</f>
        <v>2.2.04</v>
      </c>
      <c r="J225" s="19" t="str">
        <f>_xlfn.CONCAT(tbResults[[#This Row],[Week Title]],".",TEXT(tbResults[[#This Row],[Match]],"00"))</f>
        <v>2.2.04.07</v>
      </c>
      <c r="K225" s="20" t="str">
        <f>_xlfn.CONCAT(tbResults[[#This Row],[Game Title]], " ", tbResults[[#This Row],[Player1]], " vs ", tbResults[[#This Row],[Player2]] )</f>
        <v>2.2.04.07.3 Av3k vs Raisy</v>
      </c>
      <c r="L225" s="6" t="s">
        <v>52</v>
      </c>
      <c r="M225" s="6" t="s">
        <v>49</v>
      </c>
      <c r="N225" s="6" t="s">
        <v>23</v>
      </c>
      <c r="O225" s="6" t="s">
        <v>24</v>
      </c>
      <c r="P225" s="6" t="s">
        <v>38</v>
      </c>
      <c r="Q225" s="8">
        <v>7</v>
      </c>
      <c r="R225" s="8">
        <v>2</v>
      </c>
      <c r="S225" s="8" t="s">
        <v>81</v>
      </c>
      <c r="T225" s="16" t="s">
        <v>49</v>
      </c>
      <c r="U225" s="16" t="s">
        <v>92</v>
      </c>
      <c r="V225" s="46" t="str">
        <f>IF(tbResults[[#This Row],[Player1 Score]]&gt;tbResults[[#This Row],[Player2 Score]],tbResults[[#This Row],[Player1]],tbResults[[#This Row],[Player2]])</f>
        <v>Av3k</v>
      </c>
      <c r="W225" s="48" t="str">
        <f>IF(tbResults[[#This Row],[Player1 Score]]&gt;tbResults[[#This Row],[Player2 Score]],tbResults[[#This Row],[Player2]],tbResults[[#This Row],[Player1]])</f>
        <v>Raisy</v>
      </c>
      <c r="X225" s="11" t="str">
        <f>IF(tbResults[[#This Row],[Winner]]=tbResults[[#This Row],[Player1]],tbResults[[#This Row],[Player1 Pick]],tbResults[[#This Row],[Player2 Pick]])</f>
        <v>Slash</v>
      </c>
      <c r="Y225" s="11" t="str">
        <f>IF(tbResults[[#This Row],[Loser]]=tbResults[[#This Row],[Player1]],tbResults[[#This Row],[Player1 Pick]],tbResults[[#This Row],[Player2 Pick]])</f>
        <v>Nyx</v>
      </c>
      <c r="Z225" s="32">
        <f>SUM(tbResults[[#This Row],[Player1 Score]],tbResults[[#This Row],[Player2 Score]])</f>
        <v>9</v>
      </c>
      <c r="AA225" s="32">
        <f>ABS(tbResults[[#This Row],[Player1 Score]]-tbResults[[#This Row],[Player2 Score]])</f>
        <v>5</v>
      </c>
      <c r="AB225" s="37">
        <f>IF(tbResults[[#This Row],[Player1 Score]]&gt;tbResults[[#This Row],[Player2 Score]],tbResults[[#This Row],[Player1 Score]],tbResults[[#This Row],[Player2 Score]])</f>
        <v>7</v>
      </c>
      <c r="AC225" s="37">
        <f>IF(tbResults[[#This Row],[Player1 Score]]&lt;tbResults[[#This Row],[Player2 Score]],tbResults[[#This Row],[Player1 Score]],tbResults[[#This Row],[Player2 Score]])</f>
        <v>2</v>
      </c>
    </row>
    <row r="226" spans="2:29" ht="30" customHeight="1" x14ac:dyDescent="0.3">
      <c r="B226" s="20" t="str">
        <f>_xlfn.CONCAT(tbResults[[#This Row],[Series Title]],".",tbResults[[#This Row],[Game]])</f>
        <v>2.2.05.01.1</v>
      </c>
      <c r="C226" s="15">
        <v>2</v>
      </c>
      <c r="D226" s="15">
        <v>2</v>
      </c>
      <c r="E226" s="15">
        <v>5</v>
      </c>
      <c r="F226" s="15">
        <v>1</v>
      </c>
      <c r="G226" s="15">
        <v>1</v>
      </c>
      <c r="H226" s="19" t="str">
        <f>_xlfn.CONCAT(tbResults[[#This Row],[Season]],".",tbResults[[#This Row],[Stage]])</f>
        <v>2.2</v>
      </c>
      <c r="I226" s="19" t="str">
        <f>_xlfn.CONCAT(tbResults[[#This Row],[Stage Title]],".",TEXT(tbResults[[#This Row],[Week]],"00"))</f>
        <v>2.2.05</v>
      </c>
      <c r="J226" s="19" t="str">
        <f>_xlfn.CONCAT(tbResults[[#This Row],[Week Title]],".",TEXT(tbResults[[#This Row],[Match]],"00"))</f>
        <v>2.2.05.01</v>
      </c>
      <c r="K226" s="20" t="str">
        <f>_xlfn.CONCAT(tbResults[[#This Row],[Game Title]], " ", tbResults[[#This Row],[Player1]], " vs ", tbResults[[#This Row],[Player2]] )</f>
        <v>2.2.05.01.1 maxter vs DaHanG</v>
      </c>
      <c r="L226" s="3" t="s">
        <v>41</v>
      </c>
      <c r="M226" s="3" t="s">
        <v>42</v>
      </c>
      <c r="N226" s="3" t="s">
        <v>19</v>
      </c>
      <c r="O226" s="3" t="s">
        <v>22</v>
      </c>
      <c r="P226" s="3" t="s">
        <v>21</v>
      </c>
      <c r="Q226" s="4">
        <v>3</v>
      </c>
      <c r="R226" s="4">
        <v>5</v>
      </c>
      <c r="S226" s="4" t="s">
        <v>81</v>
      </c>
      <c r="T226" s="17" t="s">
        <v>42</v>
      </c>
      <c r="U226" s="17" t="s">
        <v>35</v>
      </c>
      <c r="V226" s="46" t="str">
        <f>IF(tbResults[[#This Row],[Player1 Score]]&gt;tbResults[[#This Row],[Player2 Score]],tbResults[[#This Row],[Player1]],tbResults[[#This Row],[Player2]])</f>
        <v>DaHanG</v>
      </c>
      <c r="W226" s="48" t="str">
        <f>IF(tbResults[[#This Row],[Player1 Score]]&gt;tbResults[[#This Row],[Player2 Score]],tbResults[[#This Row],[Player2]],tbResults[[#This Row],[Player1]])</f>
        <v>maxter</v>
      </c>
      <c r="X226" s="11" t="str">
        <f>IF(tbResults[[#This Row],[Winner]]=tbResults[[#This Row],[Player1]],tbResults[[#This Row],[Player1 Pick]],tbResults[[#This Row],[Player2 Pick]])</f>
        <v>Ranger</v>
      </c>
      <c r="Y226" s="11" t="str">
        <f>IF(tbResults[[#This Row],[Loser]]=tbResults[[#This Row],[Player1]],tbResults[[#This Row],[Player1 Pick]],tbResults[[#This Row],[Player2 Pick]])</f>
        <v>Strogg</v>
      </c>
      <c r="Z226" s="32">
        <f>SUM(tbResults[[#This Row],[Player1 Score]],tbResults[[#This Row],[Player2 Score]])</f>
        <v>8</v>
      </c>
      <c r="AA226" s="32">
        <f>ABS(tbResults[[#This Row],[Player1 Score]]-tbResults[[#This Row],[Player2 Score]])</f>
        <v>2</v>
      </c>
      <c r="AB226" s="37">
        <f>IF(tbResults[[#This Row],[Player1 Score]]&gt;tbResults[[#This Row],[Player2 Score]],tbResults[[#This Row],[Player1 Score]],tbResults[[#This Row],[Player2 Score]])</f>
        <v>5</v>
      </c>
      <c r="AC226" s="37">
        <f>IF(tbResults[[#This Row],[Player1 Score]]&lt;tbResults[[#This Row],[Player2 Score]],tbResults[[#This Row],[Player1 Score]],tbResults[[#This Row],[Player2 Score]])</f>
        <v>3</v>
      </c>
    </row>
    <row r="227" spans="2:29" ht="30" customHeight="1" x14ac:dyDescent="0.3">
      <c r="B227" s="20" t="str">
        <f>_xlfn.CONCAT(tbResults[[#This Row],[Series Title]],".",tbResults[[#This Row],[Game]])</f>
        <v>2.2.05.01.2</v>
      </c>
      <c r="C227" s="15">
        <v>2</v>
      </c>
      <c r="D227" s="15">
        <v>2</v>
      </c>
      <c r="E227" s="15">
        <v>5</v>
      </c>
      <c r="F227" s="15">
        <v>1</v>
      </c>
      <c r="G227" s="15">
        <v>2</v>
      </c>
      <c r="H227" s="19" t="str">
        <f>_xlfn.CONCAT(tbResults[[#This Row],[Season]],".",tbResults[[#This Row],[Stage]])</f>
        <v>2.2</v>
      </c>
      <c r="I227" s="19" t="str">
        <f>_xlfn.CONCAT(tbResults[[#This Row],[Season]],".",tbResults[[#This Row],[Stage]],".",TEXT(tbResults[[#This Row],[Week]],"00"))</f>
        <v>2.2.05</v>
      </c>
      <c r="J227" s="19" t="str">
        <f>_xlfn.CONCAT(tbResults[[#This Row],[Week Title]],".",TEXT(tbResults[[#This Row],[Match]],"00"))</f>
        <v>2.2.05.01</v>
      </c>
      <c r="K227" s="20" t="str">
        <f>_xlfn.CONCAT(tbResults[[#This Row],[Game Title]], " ", tbResults[[#This Row],[Player1]], " vs ", tbResults[[#This Row],[Player2]] )</f>
        <v>2.2.05.01.2 maxter vs DaHanG</v>
      </c>
      <c r="L227" s="3" t="s">
        <v>41</v>
      </c>
      <c r="M227" s="3" t="s">
        <v>42</v>
      </c>
      <c r="N227" s="3" t="s">
        <v>43</v>
      </c>
      <c r="O227" s="3" t="s">
        <v>27</v>
      </c>
      <c r="P227" s="3" t="s">
        <v>44</v>
      </c>
      <c r="Q227" s="4">
        <v>2</v>
      </c>
      <c r="R227" s="4">
        <v>8</v>
      </c>
      <c r="S227" s="4" t="s">
        <v>81</v>
      </c>
      <c r="T227" s="17" t="s">
        <v>41</v>
      </c>
      <c r="U227" s="17" t="s">
        <v>25</v>
      </c>
      <c r="V227" s="46" t="str">
        <f>IF(tbResults[[#This Row],[Player1 Score]]&gt;tbResults[[#This Row],[Player2 Score]],tbResults[[#This Row],[Player1]],tbResults[[#This Row],[Player2]])</f>
        <v>DaHanG</v>
      </c>
      <c r="W227" s="48" t="str">
        <f>IF(tbResults[[#This Row],[Player1 Score]]&gt;tbResults[[#This Row],[Player2 Score]],tbResults[[#This Row],[Player2]],tbResults[[#This Row],[Player1]])</f>
        <v>maxter</v>
      </c>
      <c r="X227" s="11" t="str">
        <f>IF(tbResults[[#This Row],[Winner]]=tbResults[[#This Row],[Player1]],tbResults[[#This Row],[Player1 Pick]],tbResults[[#This Row],[Player2 Pick]])</f>
        <v>Scalebearer</v>
      </c>
      <c r="Y227" s="11" t="str">
        <f>IF(tbResults[[#This Row],[Loser]]=tbResults[[#This Row],[Player1]],tbResults[[#This Row],[Player1 Pick]],tbResults[[#This Row],[Player2 Pick]])</f>
        <v>Keel</v>
      </c>
      <c r="Z227" s="32">
        <f>SUM(tbResults[[#This Row],[Player1 Score]],tbResults[[#This Row],[Player2 Score]])</f>
        <v>10</v>
      </c>
      <c r="AA227" s="32">
        <f>ABS(tbResults[[#This Row],[Player1 Score]]-tbResults[[#This Row],[Player2 Score]])</f>
        <v>6</v>
      </c>
      <c r="AB227" s="37">
        <f>IF(tbResults[[#This Row],[Player1 Score]]&gt;tbResults[[#This Row],[Player2 Score]],tbResults[[#This Row],[Player1 Score]],tbResults[[#This Row],[Player2 Score]])</f>
        <v>8</v>
      </c>
      <c r="AC227" s="37">
        <f>IF(tbResults[[#This Row],[Player1 Score]]&lt;tbResults[[#This Row],[Player2 Score]],tbResults[[#This Row],[Player1 Score]],tbResults[[#This Row],[Player2 Score]])</f>
        <v>2</v>
      </c>
    </row>
    <row r="228" spans="2:29" ht="30" customHeight="1" x14ac:dyDescent="0.3">
      <c r="B228" s="20" t="str">
        <f>_xlfn.CONCAT(tbResults[[#This Row],[Series Title]],".",tbResults[[#This Row],[Game]])</f>
        <v>2.2.05.01.3</v>
      </c>
      <c r="C228" s="15">
        <v>2</v>
      </c>
      <c r="D228" s="15">
        <v>2</v>
      </c>
      <c r="E228" s="15">
        <v>5</v>
      </c>
      <c r="F228" s="15">
        <v>1</v>
      </c>
      <c r="G228" s="15">
        <v>3</v>
      </c>
      <c r="H228" s="19" t="str">
        <f>_xlfn.CONCAT(tbResults[[#This Row],[Season]],".",tbResults[[#This Row],[Stage]])</f>
        <v>2.2</v>
      </c>
      <c r="I228" s="19" t="str">
        <f>_xlfn.CONCAT(tbResults[[#This Row],[Season]],".",tbResults[[#This Row],[Stage]],".",TEXT(tbResults[[#This Row],[Week]],"00"))</f>
        <v>2.2.05</v>
      </c>
      <c r="J228" s="19" t="str">
        <f>_xlfn.CONCAT(tbResults[[#This Row],[Week Title]],".",TEXT(tbResults[[#This Row],[Match]],"00"))</f>
        <v>2.2.05.01</v>
      </c>
      <c r="K228" s="20" t="str">
        <f>_xlfn.CONCAT(tbResults[[#This Row],[Game Title]], " ", tbResults[[#This Row],[Player1]], " vs ", tbResults[[#This Row],[Player2]] )</f>
        <v>2.2.05.01.3 maxter vs DaHanG</v>
      </c>
      <c r="L228" s="3" t="s">
        <v>41</v>
      </c>
      <c r="M228" s="3" t="s">
        <v>42</v>
      </c>
      <c r="N228" s="3" t="s">
        <v>40</v>
      </c>
      <c r="O228" s="3" t="s">
        <v>28</v>
      </c>
      <c r="P228" s="3" t="s">
        <v>36</v>
      </c>
      <c r="Q228" s="4">
        <v>6</v>
      </c>
      <c r="R228" s="4">
        <v>12</v>
      </c>
      <c r="S228" s="4" t="s">
        <v>81</v>
      </c>
      <c r="T228" s="17" t="s">
        <v>42</v>
      </c>
      <c r="U228" s="17" t="s">
        <v>55</v>
      </c>
      <c r="V228" s="46" t="str">
        <f>IF(tbResults[[#This Row],[Player1 Score]]&gt;tbResults[[#This Row],[Player2 Score]],tbResults[[#This Row],[Player1]],tbResults[[#This Row],[Player2]])</f>
        <v>DaHanG</v>
      </c>
      <c r="W228" s="48" t="str">
        <f>IF(tbResults[[#This Row],[Player1 Score]]&gt;tbResults[[#This Row],[Player2 Score]],tbResults[[#This Row],[Player2]],tbResults[[#This Row],[Player1]])</f>
        <v>maxter</v>
      </c>
      <c r="X228" s="11" t="str">
        <f>IF(tbResults[[#This Row],[Winner]]=tbResults[[#This Row],[Player1]],tbResults[[#This Row],[Player1 Pick]],tbResults[[#This Row],[Player2 Pick]])</f>
        <v>Visor</v>
      </c>
      <c r="Y228" s="11" t="str">
        <f>IF(tbResults[[#This Row],[Loser]]=tbResults[[#This Row],[Player1]],tbResults[[#This Row],[Player1 Pick]],tbResults[[#This Row],[Player2 Pick]])</f>
        <v>BJ Blazkowicz</v>
      </c>
      <c r="Z228" s="32">
        <f>SUM(tbResults[[#This Row],[Player1 Score]],tbResults[[#This Row],[Player2 Score]])</f>
        <v>18</v>
      </c>
      <c r="AA228" s="32">
        <f>ABS(tbResults[[#This Row],[Player1 Score]]-tbResults[[#This Row],[Player2 Score]])</f>
        <v>6</v>
      </c>
      <c r="AB228" s="37">
        <f>IF(tbResults[[#This Row],[Player1 Score]]&gt;tbResults[[#This Row],[Player2 Score]],tbResults[[#This Row],[Player1 Score]],tbResults[[#This Row],[Player2 Score]])</f>
        <v>12</v>
      </c>
      <c r="AC228" s="37">
        <f>IF(tbResults[[#This Row],[Player1 Score]]&lt;tbResults[[#This Row],[Player2 Score]],tbResults[[#This Row],[Player1 Score]],tbResults[[#This Row],[Player2 Score]])</f>
        <v>6</v>
      </c>
    </row>
    <row r="229" spans="2:29" ht="30" customHeight="1" x14ac:dyDescent="0.3">
      <c r="B229" s="20" t="str">
        <f>_xlfn.CONCAT(tbResults[[#This Row],[Series Title]],".",tbResults[[#This Row],[Game]])</f>
        <v>2.2.05.02.1</v>
      </c>
      <c r="C229" s="15">
        <v>2</v>
      </c>
      <c r="D229" s="15">
        <v>2</v>
      </c>
      <c r="E229" s="15">
        <v>5</v>
      </c>
      <c r="F229" s="15">
        <v>2</v>
      </c>
      <c r="G229" s="15">
        <v>1</v>
      </c>
      <c r="H229" s="19" t="str">
        <f>_xlfn.CONCAT(tbResults[[#This Row],[Season]],".",tbResults[[#This Row],[Stage]])</f>
        <v>2.2</v>
      </c>
      <c r="I229" s="19" t="str">
        <f>_xlfn.CONCAT(tbResults[[#This Row],[Season]],".",tbResults[[#This Row],[Stage]],".",TEXT(tbResults[[#This Row],[Week]],"00"))</f>
        <v>2.2.05</v>
      </c>
      <c r="J229" s="19" t="str">
        <f>_xlfn.CONCAT(tbResults[[#This Row],[Week Title]],".",TEXT(tbResults[[#This Row],[Match]],"00"))</f>
        <v>2.2.05.02</v>
      </c>
      <c r="K229" s="20" t="str">
        <f>_xlfn.CONCAT(tbResults[[#This Row],[Game Title]], " ", tbResults[[#This Row],[Player1]], " vs ", tbResults[[#This Row],[Player2]] )</f>
        <v>2.2.05.02.1 dooi vs Effortless</v>
      </c>
      <c r="L229" s="3" t="s">
        <v>5</v>
      </c>
      <c r="M229" s="3" t="s">
        <v>6</v>
      </c>
      <c r="N229" s="3" t="s">
        <v>32</v>
      </c>
      <c r="O229" s="3" t="s">
        <v>34</v>
      </c>
      <c r="P229" s="3" t="s">
        <v>22</v>
      </c>
      <c r="Q229" s="4">
        <v>12</v>
      </c>
      <c r="R229" s="4">
        <v>26</v>
      </c>
      <c r="S229" s="4" t="s">
        <v>81</v>
      </c>
      <c r="T229" s="17" t="s">
        <v>6</v>
      </c>
      <c r="U229" s="17" t="s">
        <v>21</v>
      </c>
      <c r="V229" s="46" t="str">
        <f>IF(tbResults[[#This Row],[Player1 Score]]&gt;tbResults[[#This Row],[Player2 Score]],tbResults[[#This Row],[Player1]],tbResults[[#This Row],[Player2]])</f>
        <v>Effortless</v>
      </c>
      <c r="W229" s="48" t="str">
        <f>IF(tbResults[[#This Row],[Player1 Score]]&gt;tbResults[[#This Row],[Player2 Score]],tbResults[[#This Row],[Player2]],tbResults[[#This Row],[Player1]])</f>
        <v>dooi</v>
      </c>
      <c r="X229" s="11" t="str">
        <f>IF(tbResults[[#This Row],[Winner]]=tbResults[[#This Row],[Player1]],tbResults[[#This Row],[Player1 Pick]],tbResults[[#This Row],[Player2 Pick]])</f>
        <v>Strogg</v>
      </c>
      <c r="Y229" s="11" t="str">
        <f>IF(tbResults[[#This Row],[Loser]]=tbResults[[#This Row],[Player1]],tbResults[[#This Row],[Player1 Pick]],tbResults[[#This Row],[Player2 Pick]])</f>
        <v>Galena</v>
      </c>
      <c r="Z229" s="32">
        <f>SUM(tbResults[[#This Row],[Player1 Score]],tbResults[[#This Row],[Player2 Score]])</f>
        <v>38</v>
      </c>
      <c r="AA229" s="32">
        <f>ABS(tbResults[[#This Row],[Player1 Score]]-tbResults[[#This Row],[Player2 Score]])</f>
        <v>14</v>
      </c>
      <c r="AB229" s="37">
        <f>IF(tbResults[[#This Row],[Player1 Score]]&gt;tbResults[[#This Row],[Player2 Score]],tbResults[[#This Row],[Player1 Score]],tbResults[[#This Row],[Player2 Score]])</f>
        <v>26</v>
      </c>
      <c r="AC229" s="37">
        <f>IF(tbResults[[#This Row],[Player1 Score]]&lt;tbResults[[#This Row],[Player2 Score]],tbResults[[#This Row],[Player1 Score]],tbResults[[#This Row],[Player2 Score]])</f>
        <v>12</v>
      </c>
    </row>
    <row r="230" spans="2:29" ht="30" customHeight="1" x14ac:dyDescent="0.3">
      <c r="B230" s="20" t="str">
        <f>_xlfn.CONCAT(tbResults[[#This Row],[Series Title]],".",tbResults[[#This Row],[Game]])</f>
        <v>2.2.05.02.2</v>
      </c>
      <c r="C230" s="15">
        <v>2</v>
      </c>
      <c r="D230" s="15">
        <v>2</v>
      </c>
      <c r="E230" s="15">
        <v>5</v>
      </c>
      <c r="F230" s="15">
        <v>2</v>
      </c>
      <c r="G230" s="15">
        <v>2</v>
      </c>
      <c r="H230" s="19" t="str">
        <f>_xlfn.CONCAT(tbResults[[#This Row],[Season]],".",tbResults[[#This Row],[Stage]])</f>
        <v>2.2</v>
      </c>
      <c r="I230" s="19" t="str">
        <f>_xlfn.CONCAT(tbResults[[#This Row],[Season]],".",tbResults[[#This Row],[Stage]],".",TEXT(tbResults[[#This Row],[Week]],"00"))</f>
        <v>2.2.05</v>
      </c>
      <c r="J230" s="19" t="str">
        <f>_xlfn.CONCAT(tbResults[[#This Row],[Week Title]],".",TEXT(tbResults[[#This Row],[Match]],"00"))</f>
        <v>2.2.05.02</v>
      </c>
      <c r="K230" s="20" t="str">
        <f>_xlfn.CONCAT(tbResults[[#This Row],[Game Title]], " ", tbResults[[#This Row],[Player1]], " vs ", tbResults[[#This Row],[Player2]] )</f>
        <v>2.2.05.02.2 dooi vs Effortless</v>
      </c>
      <c r="L230" s="3" t="s">
        <v>5</v>
      </c>
      <c r="M230" s="3" t="s">
        <v>6</v>
      </c>
      <c r="N230" s="3" t="s">
        <v>23</v>
      </c>
      <c r="O230" s="3" t="s">
        <v>44</v>
      </c>
      <c r="P230" s="3" t="s">
        <v>35</v>
      </c>
      <c r="Q230" s="4">
        <v>10</v>
      </c>
      <c r="R230" s="4">
        <v>20</v>
      </c>
      <c r="S230" s="4" t="s">
        <v>81</v>
      </c>
      <c r="T230" s="17" t="s">
        <v>5</v>
      </c>
      <c r="U230" s="17" t="s">
        <v>25</v>
      </c>
      <c r="V230" s="46" t="str">
        <f>IF(tbResults[[#This Row],[Player1 Score]]&gt;tbResults[[#This Row],[Player2 Score]],tbResults[[#This Row],[Player1]],tbResults[[#This Row],[Player2]])</f>
        <v>Effortless</v>
      </c>
      <c r="W230" s="48" t="str">
        <f>IF(tbResults[[#This Row],[Player1 Score]]&gt;tbResults[[#This Row],[Player2 Score]],tbResults[[#This Row],[Player2]],tbResults[[#This Row],[Player1]])</f>
        <v>dooi</v>
      </c>
      <c r="X230" s="11" t="str">
        <f>IF(tbResults[[#This Row],[Winner]]=tbResults[[#This Row],[Player1]],tbResults[[#This Row],[Player1 Pick]],tbResults[[#This Row],[Player2 Pick]])</f>
        <v>Doom</v>
      </c>
      <c r="Y230" s="11" t="str">
        <f>IF(tbResults[[#This Row],[Loser]]=tbResults[[#This Row],[Player1]],tbResults[[#This Row],[Player1 Pick]],tbResults[[#This Row],[Player2 Pick]])</f>
        <v>Scalebearer</v>
      </c>
      <c r="Z230" s="32">
        <f>SUM(tbResults[[#This Row],[Player1 Score]],tbResults[[#This Row],[Player2 Score]])</f>
        <v>30</v>
      </c>
      <c r="AA230" s="32">
        <f>ABS(tbResults[[#This Row],[Player1 Score]]-tbResults[[#This Row],[Player2 Score]])</f>
        <v>10</v>
      </c>
      <c r="AB230" s="37">
        <f>IF(tbResults[[#This Row],[Player1 Score]]&gt;tbResults[[#This Row],[Player2 Score]],tbResults[[#This Row],[Player1 Score]],tbResults[[#This Row],[Player2 Score]])</f>
        <v>20</v>
      </c>
      <c r="AC230" s="37">
        <f>IF(tbResults[[#This Row],[Player1 Score]]&lt;tbResults[[#This Row],[Player2 Score]],tbResults[[#This Row],[Player1 Score]],tbResults[[#This Row],[Player2 Score]])</f>
        <v>10</v>
      </c>
    </row>
    <row r="231" spans="2:29" ht="30" customHeight="1" x14ac:dyDescent="0.3">
      <c r="B231" s="20" t="str">
        <f>_xlfn.CONCAT(tbResults[[#This Row],[Series Title]],".",tbResults[[#This Row],[Game]])</f>
        <v>2.2.05.02.3</v>
      </c>
      <c r="C231" s="15">
        <v>2</v>
      </c>
      <c r="D231" s="15">
        <v>2</v>
      </c>
      <c r="E231" s="15">
        <v>5</v>
      </c>
      <c r="F231" s="15">
        <v>2</v>
      </c>
      <c r="G231" s="15">
        <v>3</v>
      </c>
      <c r="H231" s="19" t="str">
        <f>_xlfn.CONCAT(tbResults[[#This Row],[Season]],".",tbResults[[#This Row],[Stage]])</f>
        <v>2.2</v>
      </c>
      <c r="I231" s="19" t="str">
        <f>_xlfn.CONCAT(tbResults[[#This Row],[Season]],".",tbResults[[#This Row],[Stage]],".",TEXT(tbResults[[#This Row],[Week]],"00"))</f>
        <v>2.2.05</v>
      </c>
      <c r="J231" s="19" t="str">
        <f>_xlfn.CONCAT(tbResults[[#This Row],[Week Title]],".",TEXT(tbResults[[#This Row],[Match]],"00"))</f>
        <v>2.2.05.02</v>
      </c>
      <c r="K231" s="20" t="str">
        <f>_xlfn.CONCAT(tbResults[[#This Row],[Game Title]], " ", tbResults[[#This Row],[Player1]], " vs ", tbResults[[#This Row],[Player2]] )</f>
        <v>2.2.05.02.3 dooi vs Effortless</v>
      </c>
      <c r="L231" s="6" t="s">
        <v>5</v>
      </c>
      <c r="M231" s="6" t="s">
        <v>6</v>
      </c>
      <c r="N231" s="6" t="s">
        <v>19</v>
      </c>
      <c r="O231" s="6" t="s">
        <v>38</v>
      </c>
      <c r="P231" s="6" t="s">
        <v>39</v>
      </c>
      <c r="Q231" s="8">
        <v>20</v>
      </c>
      <c r="R231" s="8">
        <v>8</v>
      </c>
      <c r="S231" s="4" t="s">
        <v>81</v>
      </c>
      <c r="T231" s="17" t="s">
        <v>6</v>
      </c>
      <c r="U231" s="16" t="s">
        <v>27</v>
      </c>
      <c r="V231" s="46" t="str">
        <f>IF(tbResults[[#This Row],[Player1 Score]]&gt;tbResults[[#This Row],[Player2 Score]],tbResults[[#This Row],[Player1]],tbResults[[#This Row],[Player2]])</f>
        <v>dooi</v>
      </c>
      <c r="W231" s="48" t="str">
        <f>IF(tbResults[[#This Row],[Player1 Score]]&gt;tbResults[[#This Row],[Player2 Score]],tbResults[[#This Row],[Player2]],tbResults[[#This Row],[Player1]])</f>
        <v>Effortless</v>
      </c>
      <c r="X231" s="11" t="str">
        <f>IF(tbResults[[#This Row],[Winner]]=tbResults[[#This Row],[Player1]],tbResults[[#This Row],[Player1 Pick]],tbResults[[#This Row],[Player2 Pick]])</f>
        <v>Nyx</v>
      </c>
      <c r="Y231" s="11" t="str">
        <f>IF(tbResults[[#This Row],[Loser]]=tbResults[[#This Row],[Player1]],tbResults[[#This Row],[Player1 Pick]],tbResults[[#This Row],[Player2 Pick]])</f>
        <v>Anarki</v>
      </c>
      <c r="Z231" s="32">
        <f>SUM(tbResults[[#This Row],[Player1 Score]],tbResults[[#This Row],[Player2 Score]])</f>
        <v>28</v>
      </c>
      <c r="AA231" s="32">
        <f>ABS(tbResults[[#This Row],[Player1 Score]]-tbResults[[#This Row],[Player2 Score]])</f>
        <v>12</v>
      </c>
      <c r="AB231" s="37">
        <f>IF(tbResults[[#This Row],[Player1 Score]]&gt;tbResults[[#This Row],[Player2 Score]],tbResults[[#This Row],[Player1 Score]],tbResults[[#This Row],[Player2 Score]])</f>
        <v>20</v>
      </c>
      <c r="AC231" s="37">
        <f>IF(tbResults[[#This Row],[Player1 Score]]&lt;tbResults[[#This Row],[Player2 Score]],tbResults[[#This Row],[Player1 Score]],tbResults[[#This Row],[Player2 Score]])</f>
        <v>8</v>
      </c>
    </row>
    <row r="232" spans="2:29" ht="30" customHeight="1" x14ac:dyDescent="0.3">
      <c r="B232" s="20" t="str">
        <f>_xlfn.CONCAT(tbResults[[#This Row],[Series Title]],".",tbResults[[#This Row],[Game]])</f>
        <v>2.2.05.03.1</v>
      </c>
      <c r="C232" s="15">
        <v>2</v>
      </c>
      <c r="D232" s="15">
        <v>2</v>
      </c>
      <c r="E232" s="15">
        <v>5</v>
      </c>
      <c r="F232" s="15">
        <v>3</v>
      </c>
      <c r="G232" s="15">
        <v>1</v>
      </c>
      <c r="H232" s="19" t="str">
        <f>_xlfn.CONCAT(tbResults[[#This Row],[Season]],".",tbResults[[#This Row],[Stage]])</f>
        <v>2.2</v>
      </c>
      <c r="I232" s="19" t="str">
        <f>_xlfn.CONCAT(tbResults[[#This Row],[Season]],".",tbResults[[#This Row],[Stage]],".",TEXT(tbResults[[#This Row],[Week]],"00"))</f>
        <v>2.2.05</v>
      </c>
      <c r="J232" s="19" t="str">
        <f>_xlfn.CONCAT(tbResults[[#This Row],[Week Title]],".",TEXT(tbResults[[#This Row],[Match]],"00"))</f>
        <v>2.2.05.03</v>
      </c>
      <c r="K232" s="20" t="str">
        <f>_xlfn.CONCAT(tbResults[[#This Row],[Game Title]], " ", tbResults[[#This Row],[Player1]], " vs ", tbResults[[#This Row],[Player2]] )</f>
        <v>2.2.05.03.1 Nosfa vs Dramis</v>
      </c>
      <c r="L232" s="6" t="s">
        <v>11</v>
      </c>
      <c r="M232" s="6" t="s">
        <v>12</v>
      </c>
      <c r="N232" s="6" t="s">
        <v>19</v>
      </c>
      <c r="O232" s="6" t="s">
        <v>21</v>
      </c>
      <c r="P232" s="6" t="s">
        <v>22</v>
      </c>
      <c r="Q232" s="8">
        <v>18</v>
      </c>
      <c r="R232" s="8">
        <v>5</v>
      </c>
      <c r="S232" s="4" t="s">
        <v>81</v>
      </c>
      <c r="T232" s="16" t="s">
        <v>12</v>
      </c>
      <c r="U232" s="16" t="s">
        <v>55</v>
      </c>
      <c r="V232" s="46" t="str">
        <f>IF(tbResults[[#This Row],[Player1 Score]]&gt;tbResults[[#This Row],[Player2 Score]],tbResults[[#This Row],[Player1]],tbResults[[#This Row],[Player2]])</f>
        <v>Nosfa</v>
      </c>
      <c r="W232" s="48" t="str">
        <f>IF(tbResults[[#This Row],[Player1 Score]]&gt;tbResults[[#This Row],[Player2 Score]],tbResults[[#This Row],[Player2]],tbResults[[#This Row],[Player1]])</f>
        <v>Dramis</v>
      </c>
      <c r="X232" s="11" t="str">
        <f>IF(tbResults[[#This Row],[Winner]]=tbResults[[#This Row],[Player1]],tbResults[[#This Row],[Player1 Pick]],tbResults[[#This Row],[Player2 Pick]])</f>
        <v>Ranger</v>
      </c>
      <c r="Y232" s="11" t="str">
        <f>IF(tbResults[[#This Row],[Loser]]=tbResults[[#This Row],[Player1]],tbResults[[#This Row],[Player1 Pick]],tbResults[[#This Row],[Player2 Pick]])</f>
        <v>Strogg</v>
      </c>
      <c r="Z232" s="32">
        <f>SUM(tbResults[[#This Row],[Player1 Score]],tbResults[[#This Row],[Player2 Score]])</f>
        <v>23</v>
      </c>
      <c r="AA232" s="32">
        <f>ABS(tbResults[[#This Row],[Player1 Score]]-tbResults[[#This Row],[Player2 Score]])</f>
        <v>13</v>
      </c>
      <c r="AB232" s="37">
        <f>IF(tbResults[[#This Row],[Player1 Score]]&gt;tbResults[[#This Row],[Player2 Score]],tbResults[[#This Row],[Player1 Score]],tbResults[[#This Row],[Player2 Score]])</f>
        <v>18</v>
      </c>
      <c r="AC232" s="37">
        <f>IF(tbResults[[#This Row],[Player1 Score]]&lt;tbResults[[#This Row],[Player2 Score]],tbResults[[#This Row],[Player1 Score]],tbResults[[#This Row],[Player2 Score]])</f>
        <v>5</v>
      </c>
    </row>
    <row r="233" spans="2:29" ht="30" customHeight="1" x14ac:dyDescent="0.3">
      <c r="B233" s="20" t="str">
        <f>_xlfn.CONCAT(tbResults[[#This Row],[Series Title]],".",tbResults[[#This Row],[Game]])</f>
        <v>2.2.05.03.2</v>
      </c>
      <c r="C233" s="15">
        <v>2</v>
      </c>
      <c r="D233" s="15">
        <v>2</v>
      </c>
      <c r="E233" s="15">
        <v>5</v>
      </c>
      <c r="F233" s="15">
        <v>3</v>
      </c>
      <c r="G233" s="15">
        <v>2</v>
      </c>
      <c r="H233" s="19" t="str">
        <f>_xlfn.CONCAT(tbResults[[#This Row],[Season]],".",tbResults[[#This Row],[Stage]])</f>
        <v>2.2</v>
      </c>
      <c r="I233" s="19" t="str">
        <f>_xlfn.CONCAT(tbResults[[#This Row],[Season]],".",tbResults[[#This Row],[Stage]],".",TEXT(tbResults[[#This Row],[Week]],"00"))</f>
        <v>2.2.05</v>
      </c>
      <c r="J233" s="19" t="str">
        <f>_xlfn.CONCAT(tbResults[[#This Row],[Week Title]],".",TEXT(tbResults[[#This Row],[Match]],"00"))</f>
        <v>2.2.05.03</v>
      </c>
      <c r="K233" s="20" t="str">
        <f>_xlfn.CONCAT(tbResults[[#This Row],[Game Title]], " ", tbResults[[#This Row],[Player1]], " vs ", tbResults[[#This Row],[Player2]] )</f>
        <v>2.2.05.03.2 Nosfa vs Dramis</v>
      </c>
      <c r="L233" s="6" t="s">
        <v>11</v>
      </c>
      <c r="M233" s="6" t="s">
        <v>12</v>
      </c>
      <c r="N233" s="6" t="s">
        <v>23</v>
      </c>
      <c r="O233" s="6" t="s">
        <v>25</v>
      </c>
      <c r="P233" s="6" t="s">
        <v>24</v>
      </c>
      <c r="Q233" s="8">
        <v>7</v>
      </c>
      <c r="R233" s="8">
        <v>6</v>
      </c>
      <c r="S233" s="8" t="s">
        <v>82</v>
      </c>
      <c r="T233" s="16" t="s">
        <v>11</v>
      </c>
      <c r="U233" s="16" t="s">
        <v>44</v>
      </c>
      <c r="V233" s="46" t="str">
        <f>IF(tbResults[[#This Row],[Player1 Score]]&gt;tbResults[[#This Row],[Player2 Score]],tbResults[[#This Row],[Player1]],tbResults[[#This Row],[Player2]])</f>
        <v>Nosfa</v>
      </c>
      <c r="W233" s="48" t="str">
        <f>IF(tbResults[[#This Row],[Player1 Score]]&gt;tbResults[[#This Row],[Player2 Score]],tbResults[[#This Row],[Player2]],tbResults[[#This Row],[Player1]])</f>
        <v>Dramis</v>
      </c>
      <c r="X233" s="11" t="str">
        <f>IF(tbResults[[#This Row],[Winner]]=tbResults[[#This Row],[Player1]],tbResults[[#This Row],[Player1 Pick]],tbResults[[#This Row],[Player2 Pick]])</f>
        <v>Sorlag</v>
      </c>
      <c r="Y233" s="11" t="str">
        <f>IF(tbResults[[#This Row],[Loser]]=tbResults[[#This Row],[Player1]],tbResults[[#This Row],[Player1 Pick]],tbResults[[#This Row],[Player2 Pick]])</f>
        <v>Slash</v>
      </c>
      <c r="Z233" s="32">
        <f>SUM(tbResults[[#This Row],[Player1 Score]],tbResults[[#This Row],[Player2 Score]])</f>
        <v>13</v>
      </c>
      <c r="AA233" s="32">
        <f>ABS(tbResults[[#This Row],[Player1 Score]]-tbResults[[#This Row],[Player2 Score]])</f>
        <v>1</v>
      </c>
      <c r="AB233" s="37">
        <f>IF(tbResults[[#This Row],[Player1 Score]]&gt;tbResults[[#This Row],[Player2 Score]],tbResults[[#This Row],[Player1 Score]],tbResults[[#This Row],[Player2 Score]])</f>
        <v>7</v>
      </c>
      <c r="AC233" s="37">
        <f>IF(tbResults[[#This Row],[Player1 Score]]&lt;tbResults[[#This Row],[Player2 Score]],tbResults[[#This Row],[Player1 Score]],tbResults[[#This Row],[Player2 Score]])</f>
        <v>6</v>
      </c>
    </row>
    <row r="234" spans="2:29" ht="30" customHeight="1" x14ac:dyDescent="0.3">
      <c r="B234" s="20" t="str">
        <f>_xlfn.CONCAT(tbResults[[#This Row],[Series Title]],".",tbResults[[#This Row],[Game]])</f>
        <v>2.2.05.03.3</v>
      </c>
      <c r="C234" s="15">
        <v>2</v>
      </c>
      <c r="D234" s="15">
        <v>2</v>
      </c>
      <c r="E234" s="15">
        <v>5</v>
      </c>
      <c r="F234" s="15">
        <v>3</v>
      </c>
      <c r="G234" s="15">
        <v>3</v>
      </c>
      <c r="H234" s="19" t="str">
        <f>_xlfn.CONCAT(tbResults[[#This Row],[Season]],".",tbResults[[#This Row],[Stage]])</f>
        <v>2.2</v>
      </c>
      <c r="I234" s="19" t="str">
        <f>_xlfn.CONCAT(tbResults[[#This Row],[Season]],".",tbResults[[#This Row],[Stage]],".",TEXT(tbResults[[#This Row],[Week]],"00"))</f>
        <v>2.2.05</v>
      </c>
      <c r="J234" s="19" t="str">
        <f>_xlfn.CONCAT(tbResults[[#This Row],[Week Title]],".",TEXT(tbResults[[#This Row],[Match]],"00"))</f>
        <v>2.2.05.03</v>
      </c>
      <c r="K234" s="20" t="str">
        <f>_xlfn.CONCAT(tbResults[[#This Row],[Game Title]], " ", tbResults[[#This Row],[Player1]], " vs ", tbResults[[#This Row],[Player2]] )</f>
        <v>2.2.05.03.3 Nosfa vs Dramis</v>
      </c>
      <c r="L234" s="6" t="s">
        <v>11</v>
      </c>
      <c r="M234" s="6" t="s">
        <v>12</v>
      </c>
      <c r="N234" s="6" t="s">
        <v>26</v>
      </c>
      <c r="O234" s="6" t="s">
        <v>28</v>
      </c>
      <c r="P234" s="6" t="s">
        <v>27</v>
      </c>
      <c r="Q234" s="8">
        <v>6</v>
      </c>
      <c r="R234" s="8">
        <v>5</v>
      </c>
      <c r="S234" s="8" t="s">
        <v>81</v>
      </c>
      <c r="T234" s="16" t="s">
        <v>12</v>
      </c>
      <c r="U234" s="16" t="s">
        <v>39</v>
      </c>
      <c r="V234" s="46" t="str">
        <f>IF(tbResults[[#This Row],[Player1 Score]]&gt;tbResults[[#This Row],[Player2 Score]],tbResults[[#This Row],[Player1]],tbResults[[#This Row],[Player2]])</f>
        <v>Nosfa</v>
      </c>
      <c r="W234" s="48" t="str">
        <f>IF(tbResults[[#This Row],[Player1 Score]]&gt;tbResults[[#This Row],[Player2 Score]],tbResults[[#This Row],[Player2]],tbResults[[#This Row],[Player1]])</f>
        <v>Dramis</v>
      </c>
      <c r="X234" s="11" t="str">
        <f>IF(tbResults[[#This Row],[Winner]]=tbResults[[#This Row],[Player1]],tbResults[[#This Row],[Player1 Pick]],tbResults[[#This Row],[Player2 Pick]])</f>
        <v>BJ Blazkowicz</v>
      </c>
      <c r="Y234" s="11" t="str">
        <f>IF(tbResults[[#This Row],[Loser]]=tbResults[[#This Row],[Player1]],tbResults[[#This Row],[Player1 Pick]],tbResults[[#This Row],[Player2 Pick]])</f>
        <v>Keel</v>
      </c>
      <c r="Z234" s="32">
        <f>SUM(tbResults[[#This Row],[Player1 Score]],tbResults[[#This Row],[Player2 Score]])</f>
        <v>11</v>
      </c>
      <c r="AA234" s="32">
        <f>ABS(tbResults[[#This Row],[Player1 Score]]-tbResults[[#This Row],[Player2 Score]])</f>
        <v>1</v>
      </c>
      <c r="AB234" s="37">
        <f>IF(tbResults[[#This Row],[Player1 Score]]&gt;tbResults[[#This Row],[Player2 Score]],tbResults[[#This Row],[Player1 Score]],tbResults[[#This Row],[Player2 Score]])</f>
        <v>6</v>
      </c>
      <c r="AC234" s="37">
        <f>IF(tbResults[[#This Row],[Player1 Score]]&lt;tbResults[[#This Row],[Player2 Score]],tbResults[[#This Row],[Player1 Score]],tbResults[[#This Row],[Player2 Score]])</f>
        <v>5</v>
      </c>
    </row>
    <row r="235" spans="2:29" ht="30" customHeight="1" x14ac:dyDescent="0.3">
      <c r="B235" s="20" t="str">
        <f>_xlfn.CONCAT(tbResults[[#This Row],[Series Title]],".",tbResults[[#This Row],[Game]])</f>
        <v>2.2.05.04.1</v>
      </c>
      <c r="C235" s="15">
        <v>2</v>
      </c>
      <c r="D235" s="15">
        <v>2</v>
      </c>
      <c r="E235" s="15">
        <v>5</v>
      </c>
      <c r="F235" s="15">
        <v>4</v>
      </c>
      <c r="G235" s="15">
        <v>1</v>
      </c>
      <c r="H235" s="19" t="str">
        <f>_xlfn.CONCAT(tbResults[[#This Row],[Season]],".",tbResults[[#This Row],[Stage]])</f>
        <v>2.2</v>
      </c>
      <c r="I235" s="19" t="str">
        <f>_xlfn.CONCAT(tbResults[[#This Row],[Season]],".",tbResults[[#This Row],[Stage]],".",TEXT(tbResults[[#This Row],[Week]],"00"))</f>
        <v>2.2.05</v>
      </c>
      <c r="J235" s="19" t="str">
        <f>_xlfn.CONCAT(tbResults[[#This Row],[Week Title]],".",TEXT(tbResults[[#This Row],[Match]],"00"))</f>
        <v>2.2.05.04</v>
      </c>
      <c r="K235" s="20" t="str">
        <f>_xlfn.CONCAT(tbResults[[#This Row],[Game Title]], " ", tbResults[[#This Row],[Player1]], " vs ", tbResults[[#This Row],[Player2]] )</f>
        <v>2.2.05.04.1 Vengeurr vs Cypher</v>
      </c>
      <c r="L235" s="6" t="s">
        <v>13</v>
      </c>
      <c r="M235" s="6" t="s">
        <v>14</v>
      </c>
      <c r="N235" s="6" t="s">
        <v>32</v>
      </c>
      <c r="O235" s="6" t="s">
        <v>34</v>
      </c>
      <c r="P235" s="6" t="s">
        <v>35</v>
      </c>
      <c r="Q235" s="8">
        <v>10</v>
      </c>
      <c r="R235" s="8">
        <v>9</v>
      </c>
      <c r="S235" s="8" t="s">
        <v>81</v>
      </c>
      <c r="T235" s="16" t="s">
        <v>14</v>
      </c>
      <c r="U235" s="16" t="s">
        <v>25</v>
      </c>
      <c r="V235" s="46" t="str">
        <f>IF(tbResults[[#This Row],[Player1 Score]]&gt;tbResults[[#This Row],[Player2 Score]],tbResults[[#This Row],[Player1]],tbResults[[#This Row],[Player2]])</f>
        <v>Vengeurr</v>
      </c>
      <c r="W235" s="48" t="str">
        <f>IF(tbResults[[#This Row],[Player1 Score]]&gt;tbResults[[#This Row],[Player2 Score]],tbResults[[#This Row],[Player2]],tbResults[[#This Row],[Player1]])</f>
        <v>Cypher</v>
      </c>
      <c r="X235" s="11" t="str">
        <f>IF(tbResults[[#This Row],[Winner]]=tbResults[[#This Row],[Player1]],tbResults[[#This Row],[Player1 Pick]],tbResults[[#This Row],[Player2 Pick]])</f>
        <v>Galena</v>
      </c>
      <c r="Y235" s="11" t="str">
        <f>IF(tbResults[[#This Row],[Loser]]=tbResults[[#This Row],[Player1]],tbResults[[#This Row],[Player1 Pick]],tbResults[[#This Row],[Player2 Pick]])</f>
        <v>Doom</v>
      </c>
      <c r="Z235" s="32">
        <f>SUM(tbResults[[#This Row],[Player1 Score]],tbResults[[#This Row],[Player2 Score]])</f>
        <v>19</v>
      </c>
      <c r="AA235" s="32">
        <f>ABS(tbResults[[#This Row],[Player1 Score]]-tbResults[[#This Row],[Player2 Score]])</f>
        <v>1</v>
      </c>
      <c r="AB235" s="37">
        <f>IF(tbResults[[#This Row],[Player1 Score]]&gt;tbResults[[#This Row],[Player2 Score]],tbResults[[#This Row],[Player1 Score]],tbResults[[#This Row],[Player2 Score]])</f>
        <v>10</v>
      </c>
      <c r="AC235" s="37">
        <f>IF(tbResults[[#This Row],[Player1 Score]]&lt;tbResults[[#This Row],[Player2 Score]],tbResults[[#This Row],[Player1 Score]],tbResults[[#This Row],[Player2 Score]])</f>
        <v>9</v>
      </c>
    </row>
    <row r="236" spans="2:29" ht="30" customHeight="1" x14ac:dyDescent="0.3">
      <c r="B236" s="20" t="str">
        <f>_xlfn.CONCAT(tbResults[[#This Row],[Series Title]],".",tbResults[[#This Row],[Game]])</f>
        <v>2.2.05.04.2</v>
      </c>
      <c r="C236" s="15">
        <v>2</v>
      </c>
      <c r="D236" s="15">
        <v>2</v>
      </c>
      <c r="E236" s="15">
        <v>5</v>
      </c>
      <c r="F236" s="15">
        <v>4</v>
      </c>
      <c r="G236" s="15">
        <v>2</v>
      </c>
      <c r="H236" s="19" t="str">
        <f>_xlfn.CONCAT(tbResults[[#This Row],[Season]],".",tbResults[[#This Row],[Stage]])</f>
        <v>2.2</v>
      </c>
      <c r="I236" s="19" t="str">
        <f>_xlfn.CONCAT(tbResults[[#This Row],[Season]],".",tbResults[[#This Row],[Stage]],".",TEXT(tbResults[[#This Row],[Week]],"00"))</f>
        <v>2.2.05</v>
      </c>
      <c r="J236" s="19" t="str">
        <f>_xlfn.CONCAT(tbResults[[#This Row],[Week Title]],".",TEXT(tbResults[[#This Row],[Match]],"00"))</f>
        <v>2.2.05.04</v>
      </c>
      <c r="K236" s="20" t="str">
        <f>_xlfn.CONCAT(tbResults[[#This Row],[Game Title]], " ", tbResults[[#This Row],[Player1]], " vs ", tbResults[[#This Row],[Player2]] )</f>
        <v>2.2.05.04.2 Vengeurr vs Cypher</v>
      </c>
      <c r="L236" s="6" t="s">
        <v>13</v>
      </c>
      <c r="M236" s="6" t="s">
        <v>14</v>
      </c>
      <c r="N236" s="6" t="s">
        <v>33</v>
      </c>
      <c r="O236" s="6" t="s">
        <v>36</v>
      </c>
      <c r="P236" s="6" t="s">
        <v>27</v>
      </c>
      <c r="Q236" s="8">
        <v>4</v>
      </c>
      <c r="R236" s="8">
        <v>8</v>
      </c>
      <c r="S236" s="4" t="s">
        <v>81</v>
      </c>
      <c r="T236" s="16" t="s">
        <v>13</v>
      </c>
      <c r="U236" s="16" t="s">
        <v>92</v>
      </c>
      <c r="V236" s="46" t="str">
        <f>IF(tbResults[[#This Row],[Player1 Score]]&gt;tbResults[[#This Row],[Player2 Score]],tbResults[[#This Row],[Player1]],tbResults[[#This Row],[Player2]])</f>
        <v>Cypher</v>
      </c>
      <c r="W236" s="48" t="str">
        <f>IF(tbResults[[#This Row],[Player1 Score]]&gt;tbResults[[#This Row],[Player2 Score]],tbResults[[#This Row],[Player2]],tbResults[[#This Row],[Player1]])</f>
        <v>Vengeurr</v>
      </c>
      <c r="X236" s="11" t="str">
        <f>IF(tbResults[[#This Row],[Winner]]=tbResults[[#This Row],[Player1]],tbResults[[#This Row],[Player1 Pick]],tbResults[[#This Row],[Player2 Pick]])</f>
        <v>Keel</v>
      </c>
      <c r="Y236" s="11" t="str">
        <f>IF(tbResults[[#This Row],[Loser]]=tbResults[[#This Row],[Player1]],tbResults[[#This Row],[Player1 Pick]],tbResults[[#This Row],[Player2 Pick]])</f>
        <v>Visor</v>
      </c>
      <c r="Z236" s="32">
        <f>SUM(tbResults[[#This Row],[Player1 Score]],tbResults[[#This Row],[Player2 Score]])</f>
        <v>12</v>
      </c>
      <c r="AA236" s="32">
        <f>ABS(tbResults[[#This Row],[Player1 Score]]-tbResults[[#This Row],[Player2 Score]])</f>
        <v>4</v>
      </c>
      <c r="AB236" s="37">
        <f>IF(tbResults[[#This Row],[Player1 Score]]&gt;tbResults[[#This Row],[Player2 Score]],tbResults[[#This Row],[Player1 Score]],tbResults[[#This Row],[Player2 Score]])</f>
        <v>8</v>
      </c>
      <c r="AC236" s="37">
        <f>IF(tbResults[[#This Row],[Player1 Score]]&lt;tbResults[[#This Row],[Player2 Score]],tbResults[[#This Row],[Player1 Score]],tbResults[[#This Row],[Player2 Score]])</f>
        <v>4</v>
      </c>
    </row>
    <row r="237" spans="2:29" ht="30" customHeight="1" x14ac:dyDescent="0.3">
      <c r="B237" s="20" t="str">
        <f>_xlfn.CONCAT(tbResults[[#This Row],[Series Title]],".",tbResults[[#This Row],[Game]])</f>
        <v>2.2.05.04.3</v>
      </c>
      <c r="C237" s="15">
        <v>2</v>
      </c>
      <c r="D237" s="15">
        <v>2</v>
      </c>
      <c r="E237" s="15">
        <v>5</v>
      </c>
      <c r="F237" s="15">
        <v>4</v>
      </c>
      <c r="G237" s="15">
        <v>3</v>
      </c>
      <c r="H237" s="19" t="str">
        <f>_xlfn.CONCAT(tbResults[[#This Row],[Season]],".",tbResults[[#This Row],[Stage]])</f>
        <v>2.2</v>
      </c>
      <c r="I237" s="19" t="str">
        <f>_xlfn.CONCAT(tbResults[[#This Row],[Season]],".",tbResults[[#This Row],[Stage]],".",TEXT(tbResults[[#This Row],[Week]],"00"))</f>
        <v>2.2.05</v>
      </c>
      <c r="J237" s="19" t="str">
        <f>_xlfn.CONCAT(tbResults[[#This Row],[Week Title]],".",TEXT(tbResults[[#This Row],[Match]],"00"))</f>
        <v>2.2.05.04</v>
      </c>
      <c r="K237" s="20" t="str">
        <f>_xlfn.CONCAT(tbResults[[#This Row],[Game Title]], " ", tbResults[[#This Row],[Player1]], " vs ", tbResults[[#This Row],[Player2]] )</f>
        <v>2.2.05.04.3 Vengeurr vs Cypher</v>
      </c>
      <c r="L237" s="6" t="s">
        <v>13</v>
      </c>
      <c r="M237" s="6" t="s">
        <v>14</v>
      </c>
      <c r="N237" s="6" t="s">
        <v>26</v>
      </c>
      <c r="O237" s="6" t="s">
        <v>37</v>
      </c>
      <c r="P237" s="6" t="s">
        <v>38</v>
      </c>
      <c r="Q237" s="8">
        <v>5</v>
      </c>
      <c r="R237" s="8">
        <v>3</v>
      </c>
      <c r="S237" s="4" t="s">
        <v>81</v>
      </c>
      <c r="T237" s="16" t="s">
        <v>14</v>
      </c>
      <c r="U237" s="16" t="s">
        <v>39</v>
      </c>
      <c r="V237" s="46" t="str">
        <f>IF(tbResults[[#This Row],[Player1 Score]]&gt;tbResults[[#This Row],[Player2 Score]],tbResults[[#This Row],[Player1]],tbResults[[#This Row],[Player2]])</f>
        <v>Vengeurr</v>
      </c>
      <c r="W237" s="48" t="str">
        <f>IF(tbResults[[#This Row],[Player1 Score]]&gt;tbResults[[#This Row],[Player2 Score]],tbResults[[#This Row],[Player2]],tbResults[[#This Row],[Player1]])</f>
        <v>Cypher</v>
      </c>
      <c r="X237" s="11" t="str">
        <f>IF(tbResults[[#This Row],[Winner]]=tbResults[[#This Row],[Player1]],tbResults[[#This Row],[Player1 Pick]],tbResults[[#This Row],[Player2 Pick]])</f>
        <v>Eisen</v>
      </c>
      <c r="Y237" s="11" t="str">
        <f>IF(tbResults[[#This Row],[Loser]]=tbResults[[#This Row],[Player1]],tbResults[[#This Row],[Player1 Pick]],tbResults[[#This Row],[Player2 Pick]])</f>
        <v>Nyx</v>
      </c>
      <c r="Z237" s="32">
        <f>SUM(tbResults[[#This Row],[Player1 Score]],tbResults[[#This Row],[Player2 Score]])</f>
        <v>8</v>
      </c>
      <c r="AA237" s="32">
        <f>ABS(tbResults[[#This Row],[Player1 Score]]-tbResults[[#This Row],[Player2 Score]])</f>
        <v>2</v>
      </c>
      <c r="AB237" s="37">
        <f>IF(tbResults[[#This Row],[Player1 Score]]&gt;tbResults[[#This Row],[Player2 Score]],tbResults[[#This Row],[Player1 Score]],tbResults[[#This Row],[Player2 Score]])</f>
        <v>5</v>
      </c>
      <c r="AC237" s="37">
        <f>IF(tbResults[[#This Row],[Player1 Score]]&lt;tbResults[[#This Row],[Player2 Score]],tbResults[[#This Row],[Player1 Score]],tbResults[[#This Row],[Player2 Score]])</f>
        <v>3</v>
      </c>
    </row>
    <row r="238" spans="2:29" ht="30" customHeight="1" x14ac:dyDescent="0.3">
      <c r="B238" s="20" t="str">
        <f>_xlfn.CONCAT(tbResults[[#This Row],[Series Title]],".",tbResults[[#This Row],[Game]])</f>
        <v>2.2.05.05.1</v>
      </c>
      <c r="C238" s="15">
        <v>2</v>
      </c>
      <c r="D238" s="15">
        <v>2</v>
      </c>
      <c r="E238" s="15">
        <v>5</v>
      </c>
      <c r="F238" s="15">
        <v>5</v>
      </c>
      <c r="G238" s="15">
        <v>1</v>
      </c>
      <c r="H238" s="19" t="str">
        <f>_xlfn.CONCAT(tbResults[[#This Row],[Season]],".",tbResults[[#This Row],[Stage]])</f>
        <v>2.2</v>
      </c>
      <c r="I238" s="19" t="str">
        <f>_xlfn.CONCAT(tbResults[[#This Row],[Season]],".",tbResults[[#This Row],[Stage]],".",TEXT(tbResults[[#This Row],[Week]],"00"))</f>
        <v>2.2.05</v>
      </c>
      <c r="J238" s="19" t="str">
        <f>_xlfn.CONCAT(tbResults[[#This Row],[Week Title]],".",TEXT(tbResults[[#This Row],[Match]],"00"))</f>
        <v>2.2.05.05</v>
      </c>
      <c r="K238" s="20" t="str">
        <f>_xlfn.CONCAT(tbResults[[#This Row],[Game Title]], " ", tbResults[[#This Row],[Player1]], " vs ", tbResults[[#This Row],[Player2]] )</f>
        <v>2.2.05.05.1 Zenaku vs Psygib</v>
      </c>
      <c r="L238" s="6" t="s">
        <v>29</v>
      </c>
      <c r="M238" s="6" t="s">
        <v>30</v>
      </c>
      <c r="N238" s="6" t="s">
        <v>32</v>
      </c>
      <c r="O238" s="6" t="s">
        <v>22</v>
      </c>
      <c r="P238" s="6" t="s">
        <v>21</v>
      </c>
      <c r="Q238" s="8">
        <v>8</v>
      </c>
      <c r="R238" s="8">
        <v>7</v>
      </c>
      <c r="S238" s="8" t="s">
        <v>81</v>
      </c>
      <c r="T238" s="16" t="s">
        <v>29</v>
      </c>
      <c r="U238" s="16" t="s">
        <v>25</v>
      </c>
      <c r="V238" s="46" t="str">
        <f>IF(tbResults[[#This Row],[Player1 Score]]&gt;tbResults[[#This Row],[Player2 Score]],tbResults[[#This Row],[Player1]],tbResults[[#This Row],[Player2]])</f>
        <v>Zenaku</v>
      </c>
      <c r="W238" s="48" t="str">
        <f>IF(tbResults[[#This Row],[Player1 Score]]&gt;tbResults[[#This Row],[Player2 Score]],tbResults[[#This Row],[Player2]],tbResults[[#This Row],[Player1]])</f>
        <v>Psygib</v>
      </c>
      <c r="X238" s="11" t="str">
        <f>IF(tbResults[[#This Row],[Winner]]=tbResults[[#This Row],[Player1]],tbResults[[#This Row],[Player1 Pick]],tbResults[[#This Row],[Player2 Pick]])</f>
        <v>Strogg</v>
      </c>
      <c r="Y238" s="11" t="str">
        <f>IF(tbResults[[#This Row],[Loser]]=tbResults[[#This Row],[Player1]],tbResults[[#This Row],[Player1 Pick]],tbResults[[#This Row],[Player2 Pick]])</f>
        <v>Ranger</v>
      </c>
      <c r="Z238" s="32">
        <f>SUM(tbResults[[#This Row],[Player1 Score]],tbResults[[#This Row],[Player2 Score]])</f>
        <v>15</v>
      </c>
      <c r="AA238" s="32">
        <f>ABS(tbResults[[#This Row],[Player1 Score]]-tbResults[[#This Row],[Player2 Score]])</f>
        <v>1</v>
      </c>
      <c r="AB238" s="37">
        <f>IF(tbResults[[#This Row],[Player1 Score]]&gt;tbResults[[#This Row],[Player2 Score]],tbResults[[#This Row],[Player1 Score]],tbResults[[#This Row],[Player2 Score]])</f>
        <v>8</v>
      </c>
      <c r="AC238" s="37">
        <f>IF(tbResults[[#This Row],[Player1 Score]]&lt;tbResults[[#This Row],[Player2 Score]],tbResults[[#This Row],[Player1 Score]],tbResults[[#This Row],[Player2 Score]])</f>
        <v>7</v>
      </c>
    </row>
    <row r="239" spans="2:29" ht="30" customHeight="1" x14ac:dyDescent="0.3">
      <c r="B239" s="20" t="str">
        <f>_xlfn.CONCAT(tbResults[[#This Row],[Series Title]],".",tbResults[[#This Row],[Game]])</f>
        <v>2.2.05.05.2</v>
      </c>
      <c r="C239" s="15">
        <v>2</v>
      </c>
      <c r="D239" s="15">
        <v>2</v>
      </c>
      <c r="E239" s="15">
        <v>5</v>
      </c>
      <c r="F239" s="15">
        <v>5</v>
      </c>
      <c r="G239" s="15">
        <v>2</v>
      </c>
      <c r="H239" s="19" t="str">
        <f>_xlfn.CONCAT(tbResults[[#This Row],[Season]],".",tbResults[[#This Row],[Stage]])</f>
        <v>2.2</v>
      </c>
      <c r="I239" s="19" t="str">
        <f>_xlfn.CONCAT(tbResults[[#This Row],[Season]],".",tbResults[[#This Row],[Stage]],".",TEXT(tbResults[[#This Row],[Week]],"00"))</f>
        <v>2.2.05</v>
      </c>
      <c r="J239" s="19" t="str">
        <f>_xlfn.CONCAT(tbResults[[#This Row],[Week Title]],".",TEXT(tbResults[[#This Row],[Match]],"00"))</f>
        <v>2.2.05.05</v>
      </c>
      <c r="K239" s="20" t="str">
        <f>_xlfn.CONCAT(tbResults[[#This Row],[Game Title]], " ", tbResults[[#This Row],[Player1]], " vs ", tbResults[[#This Row],[Player2]] )</f>
        <v>2.2.05.05.2 Zenaku vs Psygib</v>
      </c>
      <c r="L239" s="6" t="s">
        <v>29</v>
      </c>
      <c r="M239" s="6" t="s">
        <v>30</v>
      </c>
      <c r="N239" s="6" t="s">
        <v>23</v>
      </c>
      <c r="O239" s="6" t="s">
        <v>35</v>
      </c>
      <c r="P239" s="6" t="s">
        <v>39</v>
      </c>
      <c r="Q239" s="8">
        <v>7</v>
      </c>
      <c r="R239" s="8">
        <v>4</v>
      </c>
      <c r="S239" s="4" t="s">
        <v>81</v>
      </c>
      <c r="T239" s="16" t="s">
        <v>30</v>
      </c>
      <c r="U239" s="16" t="s">
        <v>44</v>
      </c>
      <c r="V239" s="46" t="str">
        <f>IF(tbResults[[#This Row],[Player1 Score]]&gt;tbResults[[#This Row],[Player2 Score]],tbResults[[#This Row],[Player1]],tbResults[[#This Row],[Player2]])</f>
        <v>Zenaku</v>
      </c>
      <c r="W239" s="48" t="str">
        <f>IF(tbResults[[#This Row],[Player1 Score]]&gt;tbResults[[#This Row],[Player2 Score]],tbResults[[#This Row],[Player2]],tbResults[[#This Row],[Player1]])</f>
        <v>Psygib</v>
      </c>
      <c r="X239" s="11" t="str">
        <f>IF(tbResults[[#This Row],[Winner]]=tbResults[[#This Row],[Player1]],tbResults[[#This Row],[Player1 Pick]],tbResults[[#This Row],[Player2 Pick]])</f>
        <v>Doom</v>
      </c>
      <c r="Y239" s="11" t="str">
        <f>IF(tbResults[[#This Row],[Loser]]=tbResults[[#This Row],[Player1]],tbResults[[#This Row],[Player1 Pick]],tbResults[[#This Row],[Player2 Pick]])</f>
        <v>Anarki</v>
      </c>
      <c r="Z239" s="32">
        <f>SUM(tbResults[[#This Row],[Player1 Score]],tbResults[[#This Row],[Player2 Score]])</f>
        <v>11</v>
      </c>
      <c r="AA239" s="32">
        <f>ABS(tbResults[[#This Row],[Player1 Score]]-tbResults[[#This Row],[Player2 Score]])</f>
        <v>3</v>
      </c>
      <c r="AB239" s="37">
        <f>IF(tbResults[[#This Row],[Player1 Score]]&gt;tbResults[[#This Row],[Player2 Score]],tbResults[[#This Row],[Player1 Score]],tbResults[[#This Row],[Player2 Score]])</f>
        <v>7</v>
      </c>
      <c r="AC239" s="37">
        <f>IF(tbResults[[#This Row],[Player1 Score]]&lt;tbResults[[#This Row],[Player2 Score]],tbResults[[#This Row],[Player1 Score]],tbResults[[#This Row],[Player2 Score]])</f>
        <v>4</v>
      </c>
    </row>
    <row r="240" spans="2:29" ht="30" customHeight="1" x14ac:dyDescent="0.3">
      <c r="B240" s="20" t="str">
        <f>_xlfn.CONCAT(tbResults[[#This Row],[Series Title]],".",tbResults[[#This Row],[Game]])</f>
        <v>2.2.05.05.3</v>
      </c>
      <c r="C240" s="15">
        <v>2</v>
      </c>
      <c r="D240" s="15">
        <v>2</v>
      </c>
      <c r="E240" s="15">
        <v>5</v>
      </c>
      <c r="F240" s="15">
        <v>5</v>
      </c>
      <c r="G240" s="15">
        <v>3</v>
      </c>
      <c r="H240" s="19" t="str">
        <f>_xlfn.CONCAT(tbResults[[#This Row],[Season]],".",tbResults[[#This Row],[Stage]])</f>
        <v>2.2</v>
      </c>
      <c r="I240" s="19" t="str">
        <f>_xlfn.CONCAT(tbResults[[#This Row],[Season]],".",tbResults[[#This Row],[Stage]],".",TEXT(tbResults[[#This Row],[Week]],"00"))</f>
        <v>2.2.05</v>
      </c>
      <c r="J240" s="19" t="str">
        <f>_xlfn.CONCAT(tbResults[[#This Row],[Week Title]],".",TEXT(tbResults[[#This Row],[Match]],"00"))</f>
        <v>2.2.05.05</v>
      </c>
      <c r="K240" s="20" t="str">
        <f>_xlfn.CONCAT(tbResults[[#This Row],[Game Title]], " ", tbResults[[#This Row],[Player1]], " vs ", tbResults[[#This Row],[Player2]] )</f>
        <v>2.2.05.05.3 Zenaku vs Psygib</v>
      </c>
      <c r="L240" s="6" t="s">
        <v>29</v>
      </c>
      <c r="M240" s="6" t="s">
        <v>30</v>
      </c>
      <c r="N240" s="6" t="s">
        <v>40</v>
      </c>
      <c r="O240" s="6" t="s">
        <v>28</v>
      </c>
      <c r="P240" s="6" t="s">
        <v>38</v>
      </c>
      <c r="Q240" s="8">
        <v>9</v>
      </c>
      <c r="R240" s="8">
        <v>10</v>
      </c>
      <c r="S240" s="8" t="s">
        <v>81</v>
      </c>
      <c r="T240" s="16" t="s">
        <v>29</v>
      </c>
      <c r="U240" s="16" t="s">
        <v>27</v>
      </c>
      <c r="V240" s="46" t="str">
        <f>IF(tbResults[[#This Row],[Player1 Score]]&gt;tbResults[[#This Row],[Player2 Score]],tbResults[[#This Row],[Player1]],tbResults[[#This Row],[Player2]])</f>
        <v>Psygib</v>
      </c>
      <c r="W240" s="48" t="str">
        <f>IF(tbResults[[#This Row],[Player1 Score]]&gt;tbResults[[#This Row],[Player2 Score]],tbResults[[#This Row],[Player2]],tbResults[[#This Row],[Player1]])</f>
        <v>Zenaku</v>
      </c>
      <c r="X240" s="11" t="str">
        <f>IF(tbResults[[#This Row],[Winner]]=tbResults[[#This Row],[Player1]],tbResults[[#This Row],[Player1 Pick]],tbResults[[#This Row],[Player2 Pick]])</f>
        <v>Nyx</v>
      </c>
      <c r="Y240" s="11" t="str">
        <f>IF(tbResults[[#This Row],[Loser]]=tbResults[[#This Row],[Player1]],tbResults[[#This Row],[Player1 Pick]],tbResults[[#This Row],[Player2 Pick]])</f>
        <v>BJ Blazkowicz</v>
      </c>
      <c r="Z240" s="32">
        <f>SUM(tbResults[[#This Row],[Player1 Score]],tbResults[[#This Row],[Player2 Score]])</f>
        <v>19</v>
      </c>
      <c r="AA240" s="32">
        <f>ABS(tbResults[[#This Row],[Player1 Score]]-tbResults[[#This Row],[Player2 Score]])</f>
        <v>1</v>
      </c>
      <c r="AB240" s="37">
        <f>IF(tbResults[[#This Row],[Player1 Score]]&gt;tbResults[[#This Row],[Player2 Score]],tbResults[[#This Row],[Player1 Score]],tbResults[[#This Row],[Player2 Score]])</f>
        <v>10</v>
      </c>
      <c r="AC240" s="37">
        <f>IF(tbResults[[#This Row],[Player1 Score]]&lt;tbResults[[#This Row],[Player2 Score]],tbResults[[#This Row],[Player1 Score]],tbResults[[#This Row],[Player2 Score]])</f>
        <v>9</v>
      </c>
    </row>
    <row r="241" spans="2:29" ht="30" customHeight="1" x14ac:dyDescent="0.3">
      <c r="B241" s="20" t="str">
        <f>_xlfn.CONCAT(tbResults[[#This Row],[Series Title]],".",tbResults[[#This Row],[Game]])</f>
        <v>2.2.05.06.1</v>
      </c>
      <c r="C241" s="15">
        <v>2</v>
      </c>
      <c r="D241" s="15">
        <v>2</v>
      </c>
      <c r="E241" s="15">
        <v>5</v>
      </c>
      <c r="F241" s="15">
        <v>6</v>
      </c>
      <c r="G241" s="15">
        <v>1</v>
      </c>
      <c r="H241" s="19" t="str">
        <f>_xlfn.CONCAT(tbResults[[#This Row],[Season]],".",tbResults[[#This Row],[Stage]])</f>
        <v>2.2</v>
      </c>
      <c r="I241" s="19" t="str">
        <f>_xlfn.CONCAT(tbResults[[#This Row],[Season]],".",tbResults[[#This Row],[Stage]],".",TEXT(tbResults[[#This Row],[Week]],"00"))</f>
        <v>2.2.05</v>
      </c>
      <c r="J241" s="19" t="str">
        <f>_xlfn.CONCAT(tbResults[[#This Row],[Week Title]],".",TEXT(tbResults[[#This Row],[Match]],"00"))</f>
        <v>2.2.05.06</v>
      </c>
      <c r="K241" s="20" t="str">
        <f>_xlfn.CONCAT(tbResults[[#This Row],[Game Title]], " ", tbResults[[#This Row],[Player1]], " vs ", tbResults[[#This Row],[Player2]] )</f>
        <v>2.2.05.06.1 k1llsen vs coollerz</v>
      </c>
      <c r="L241" s="6" t="s">
        <v>31</v>
      </c>
      <c r="M241" s="6" t="s">
        <v>48</v>
      </c>
      <c r="N241" s="6" t="s">
        <v>40</v>
      </c>
      <c r="O241" s="6" t="s">
        <v>27</v>
      </c>
      <c r="P241" s="6" t="s">
        <v>25</v>
      </c>
      <c r="Q241" s="8">
        <v>10</v>
      </c>
      <c r="R241" s="8">
        <v>6</v>
      </c>
      <c r="S241" s="4" t="s">
        <v>81</v>
      </c>
      <c r="T241" s="16" t="s">
        <v>48</v>
      </c>
      <c r="U241" s="16" t="s">
        <v>35</v>
      </c>
      <c r="V241" s="46" t="str">
        <f>IF(tbResults[[#This Row],[Player1 Score]]&gt;tbResults[[#This Row],[Player2 Score]],tbResults[[#This Row],[Player1]],tbResults[[#This Row],[Player2]])</f>
        <v>k1llsen</v>
      </c>
      <c r="W241" s="48" t="str">
        <f>IF(tbResults[[#This Row],[Player1 Score]]&gt;tbResults[[#This Row],[Player2 Score]],tbResults[[#This Row],[Player2]],tbResults[[#This Row],[Player1]])</f>
        <v>coollerz</v>
      </c>
      <c r="X241" s="11" t="str">
        <f>IF(tbResults[[#This Row],[Winner]]=tbResults[[#This Row],[Player1]],tbResults[[#This Row],[Player1 Pick]],tbResults[[#This Row],[Player2 Pick]])</f>
        <v>Keel</v>
      </c>
      <c r="Y241" s="11" t="str">
        <f>IF(tbResults[[#This Row],[Loser]]=tbResults[[#This Row],[Player1]],tbResults[[#This Row],[Player1 Pick]],tbResults[[#This Row],[Player2 Pick]])</f>
        <v>Sorlag</v>
      </c>
      <c r="Z241" s="32">
        <f>SUM(tbResults[[#This Row],[Player1 Score]],tbResults[[#This Row],[Player2 Score]])</f>
        <v>16</v>
      </c>
      <c r="AA241" s="32">
        <f>ABS(tbResults[[#This Row],[Player1 Score]]-tbResults[[#This Row],[Player2 Score]])</f>
        <v>4</v>
      </c>
      <c r="AB241" s="37">
        <f>IF(tbResults[[#This Row],[Player1 Score]]&gt;tbResults[[#This Row],[Player2 Score]],tbResults[[#This Row],[Player1 Score]],tbResults[[#This Row],[Player2 Score]])</f>
        <v>10</v>
      </c>
      <c r="AC241" s="37">
        <f>IF(tbResults[[#This Row],[Player1 Score]]&lt;tbResults[[#This Row],[Player2 Score]],tbResults[[#This Row],[Player1 Score]],tbResults[[#This Row],[Player2 Score]])</f>
        <v>6</v>
      </c>
    </row>
    <row r="242" spans="2:29" ht="30" customHeight="1" x14ac:dyDescent="0.3">
      <c r="B242" s="20" t="str">
        <f>_xlfn.CONCAT(tbResults[[#This Row],[Series Title]],".",tbResults[[#This Row],[Game]])</f>
        <v>2.2.05.06.2</v>
      </c>
      <c r="C242" s="15">
        <v>2</v>
      </c>
      <c r="D242" s="15">
        <v>2</v>
      </c>
      <c r="E242" s="15">
        <v>5</v>
      </c>
      <c r="F242" s="15">
        <v>6</v>
      </c>
      <c r="G242" s="15">
        <v>2</v>
      </c>
      <c r="H242" s="19" t="str">
        <f>_xlfn.CONCAT(tbResults[[#This Row],[Season]],".",tbResults[[#This Row],[Stage]])</f>
        <v>2.2</v>
      </c>
      <c r="I242" s="19" t="str">
        <f>_xlfn.CONCAT(tbResults[[#This Row],[Season]],".",tbResults[[#This Row],[Stage]],".",TEXT(tbResults[[#This Row],[Week]],"00"))</f>
        <v>2.2.05</v>
      </c>
      <c r="J242" s="19" t="str">
        <f>_xlfn.CONCAT(tbResults[[#This Row],[Week Title]],".",TEXT(tbResults[[#This Row],[Match]],"00"))</f>
        <v>2.2.05.06</v>
      </c>
      <c r="K242" s="20" t="str">
        <f>_xlfn.CONCAT(tbResults[[#This Row],[Game Title]], " ", tbResults[[#This Row],[Player1]], " vs ", tbResults[[#This Row],[Player2]] )</f>
        <v>2.2.05.06.2 k1llsen vs coollerz</v>
      </c>
      <c r="L242" s="6" t="s">
        <v>31</v>
      </c>
      <c r="M242" s="6" t="s">
        <v>48</v>
      </c>
      <c r="N242" s="6" t="s">
        <v>23</v>
      </c>
      <c r="O242" s="6" t="s">
        <v>39</v>
      </c>
      <c r="P242" s="6" t="s">
        <v>34</v>
      </c>
      <c r="Q242" s="8">
        <v>6</v>
      </c>
      <c r="R242" s="8">
        <v>7</v>
      </c>
      <c r="S242" s="8" t="s">
        <v>81</v>
      </c>
      <c r="T242" s="16" t="s">
        <v>31</v>
      </c>
      <c r="U242" s="16" t="s">
        <v>44</v>
      </c>
      <c r="V242" s="46" t="str">
        <f>IF(tbResults[[#This Row],[Player1 Score]]&gt;tbResults[[#This Row],[Player2 Score]],tbResults[[#This Row],[Player1]],tbResults[[#This Row],[Player2]])</f>
        <v>coollerz</v>
      </c>
      <c r="W242" s="48" t="str">
        <f>IF(tbResults[[#This Row],[Player1 Score]]&gt;tbResults[[#This Row],[Player2 Score]],tbResults[[#This Row],[Player2]],tbResults[[#This Row],[Player1]])</f>
        <v>k1llsen</v>
      </c>
      <c r="X242" s="11" t="str">
        <f>IF(tbResults[[#This Row],[Winner]]=tbResults[[#This Row],[Player1]],tbResults[[#This Row],[Player1 Pick]],tbResults[[#This Row],[Player2 Pick]])</f>
        <v>Galena</v>
      </c>
      <c r="Y242" s="11" t="str">
        <f>IF(tbResults[[#This Row],[Loser]]=tbResults[[#This Row],[Player1]],tbResults[[#This Row],[Player1 Pick]],tbResults[[#This Row],[Player2 Pick]])</f>
        <v>Anarki</v>
      </c>
      <c r="Z242" s="32">
        <f>SUM(tbResults[[#This Row],[Player1 Score]],tbResults[[#This Row],[Player2 Score]])</f>
        <v>13</v>
      </c>
      <c r="AA242" s="32">
        <f>ABS(tbResults[[#This Row],[Player1 Score]]-tbResults[[#This Row],[Player2 Score]])</f>
        <v>1</v>
      </c>
      <c r="AB242" s="37">
        <f>IF(tbResults[[#This Row],[Player1 Score]]&gt;tbResults[[#This Row],[Player2 Score]],tbResults[[#This Row],[Player1 Score]],tbResults[[#This Row],[Player2 Score]])</f>
        <v>7</v>
      </c>
      <c r="AC242" s="37">
        <f>IF(tbResults[[#This Row],[Player1 Score]]&lt;tbResults[[#This Row],[Player2 Score]],tbResults[[#This Row],[Player1 Score]],tbResults[[#This Row],[Player2 Score]])</f>
        <v>6</v>
      </c>
    </row>
    <row r="243" spans="2:29" ht="30" customHeight="1" x14ac:dyDescent="0.3">
      <c r="B243" s="20" t="str">
        <f>_xlfn.CONCAT(tbResults[[#This Row],[Series Title]],".",tbResults[[#This Row],[Game]])</f>
        <v>2.2.05.06.3</v>
      </c>
      <c r="C243" s="15">
        <v>2</v>
      </c>
      <c r="D243" s="15">
        <v>2</v>
      </c>
      <c r="E243" s="15">
        <v>5</v>
      </c>
      <c r="F243" s="15">
        <v>6</v>
      </c>
      <c r="G243" s="15">
        <v>3</v>
      </c>
      <c r="H243" s="19" t="str">
        <f>_xlfn.CONCAT(tbResults[[#This Row],[Season]],".",tbResults[[#This Row],[Stage]])</f>
        <v>2.2</v>
      </c>
      <c r="I243" s="19" t="str">
        <f>_xlfn.CONCAT(tbResults[[#This Row],[Season]],".",tbResults[[#This Row],[Stage]],".",TEXT(tbResults[[#This Row],[Week]],"00"))</f>
        <v>2.2.05</v>
      </c>
      <c r="J243" s="19" t="str">
        <f>_xlfn.CONCAT(tbResults[[#This Row],[Week Title]],".",TEXT(tbResults[[#This Row],[Match]],"00"))</f>
        <v>2.2.05.06</v>
      </c>
      <c r="K243" s="20" t="str">
        <f>_xlfn.CONCAT(tbResults[[#This Row],[Game Title]], " ", tbResults[[#This Row],[Player1]], " vs ", tbResults[[#This Row],[Player2]] )</f>
        <v>2.2.05.06.3 k1llsen vs coollerz</v>
      </c>
      <c r="L243" s="6" t="s">
        <v>31</v>
      </c>
      <c r="M243" s="6" t="s">
        <v>48</v>
      </c>
      <c r="N243" s="6" t="s">
        <v>26</v>
      </c>
      <c r="O243" s="6" t="s">
        <v>36</v>
      </c>
      <c r="P243" s="6" t="s">
        <v>37</v>
      </c>
      <c r="Q243" s="8">
        <v>13</v>
      </c>
      <c r="R243" s="8">
        <v>2</v>
      </c>
      <c r="S243" s="4" t="s">
        <v>81</v>
      </c>
      <c r="T243" s="16" t="s">
        <v>48</v>
      </c>
      <c r="U243" s="16" t="s">
        <v>21</v>
      </c>
      <c r="V243" s="46" t="str">
        <f>IF(tbResults[[#This Row],[Player1 Score]]&gt;tbResults[[#This Row],[Player2 Score]],tbResults[[#This Row],[Player1]],tbResults[[#This Row],[Player2]])</f>
        <v>k1llsen</v>
      </c>
      <c r="W243" s="48" t="str">
        <f>IF(tbResults[[#This Row],[Player1 Score]]&gt;tbResults[[#This Row],[Player2 Score]],tbResults[[#This Row],[Player2]],tbResults[[#This Row],[Player1]])</f>
        <v>coollerz</v>
      </c>
      <c r="X243" s="11" t="str">
        <f>IF(tbResults[[#This Row],[Winner]]=tbResults[[#This Row],[Player1]],tbResults[[#This Row],[Player1 Pick]],tbResults[[#This Row],[Player2 Pick]])</f>
        <v>Visor</v>
      </c>
      <c r="Y243" s="11" t="str">
        <f>IF(tbResults[[#This Row],[Loser]]=tbResults[[#This Row],[Player1]],tbResults[[#This Row],[Player1 Pick]],tbResults[[#This Row],[Player2 Pick]])</f>
        <v>Eisen</v>
      </c>
      <c r="Z243" s="32">
        <f>SUM(tbResults[[#This Row],[Player1 Score]],tbResults[[#This Row],[Player2 Score]])</f>
        <v>15</v>
      </c>
      <c r="AA243" s="32">
        <f>ABS(tbResults[[#This Row],[Player1 Score]]-tbResults[[#This Row],[Player2 Score]])</f>
        <v>11</v>
      </c>
      <c r="AB243" s="37">
        <f>IF(tbResults[[#This Row],[Player1 Score]]&gt;tbResults[[#This Row],[Player2 Score]],tbResults[[#This Row],[Player1 Score]],tbResults[[#This Row],[Player2 Score]])</f>
        <v>13</v>
      </c>
      <c r="AC243" s="37">
        <f>IF(tbResults[[#This Row],[Player1 Score]]&lt;tbResults[[#This Row],[Player2 Score]],tbResults[[#This Row],[Player1 Score]],tbResults[[#This Row],[Player2 Score]])</f>
        <v>2</v>
      </c>
    </row>
    <row r="244" spans="2:29" ht="30" customHeight="1" x14ac:dyDescent="0.3">
      <c r="B244" s="20" t="str">
        <f>_xlfn.CONCAT(tbResults[[#This Row],[Series Title]],".",tbResults[[#This Row],[Game]])</f>
        <v>2.2.06.01.1</v>
      </c>
      <c r="C244" s="15">
        <v>2</v>
      </c>
      <c r="D244" s="15">
        <v>2</v>
      </c>
      <c r="E244" s="15">
        <v>6</v>
      </c>
      <c r="F244" s="15">
        <v>1</v>
      </c>
      <c r="G244" s="15">
        <v>1</v>
      </c>
      <c r="H244" s="19" t="str">
        <f>_xlfn.CONCAT(tbResults[[#This Row],[Season]],".",tbResults[[#This Row],[Stage]])</f>
        <v>2.2</v>
      </c>
      <c r="I244" s="19" t="str">
        <f>_xlfn.CONCAT(tbResults[[#This Row],[Season]],".",tbResults[[#This Row],[Stage]],".",TEXT(tbResults[[#This Row],[Week]],"00"))</f>
        <v>2.2.06</v>
      </c>
      <c r="J244" s="19" t="str">
        <f>_xlfn.CONCAT(tbResults[[#This Row],[Week Title]],".",TEXT(tbResults[[#This Row],[Match]],"00"))</f>
        <v>2.2.06.01</v>
      </c>
      <c r="K244" s="20" t="str">
        <f>_xlfn.CONCAT(tbResults[[#This Row],[Game Title]], " ", tbResults[[#This Row],[Player1]], " vs ", tbResults[[#This Row],[Player2]] )</f>
        <v>2.2.06.01.1 Garpy vs Cypher</v>
      </c>
      <c r="L244" s="6" t="s">
        <v>101</v>
      </c>
      <c r="M244" s="6" t="s">
        <v>14</v>
      </c>
      <c r="N244" s="6" t="s">
        <v>32</v>
      </c>
      <c r="O244" s="6" t="s">
        <v>34</v>
      </c>
      <c r="P244" s="6" t="s">
        <v>25</v>
      </c>
      <c r="Q244" s="8">
        <v>4</v>
      </c>
      <c r="R244" s="8">
        <v>8</v>
      </c>
      <c r="S244" s="8" t="s">
        <v>81</v>
      </c>
      <c r="T244" s="16" t="s">
        <v>101</v>
      </c>
      <c r="U244" s="16" t="s">
        <v>22</v>
      </c>
      <c r="V244" s="46" t="str">
        <f>IF(tbResults[[#This Row],[Player1 Score]]&gt;tbResults[[#This Row],[Player2 Score]],tbResults[[#This Row],[Player1]],tbResults[[#This Row],[Player2]])</f>
        <v>Cypher</v>
      </c>
      <c r="W244" s="48" t="str">
        <f>IF(tbResults[[#This Row],[Player1 Score]]&gt;tbResults[[#This Row],[Player2 Score]],tbResults[[#This Row],[Player2]],tbResults[[#This Row],[Player1]])</f>
        <v>Garpy</v>
      </c>
      <c r="X244" s="11" t="str">
        <f>IF(tbResults[[#This Row],[Winner]]=tbResults[[#This Row],[Player1]],tbResults[[#This Row],[Player1 Pick]],tbResults[[#This Row],[Player2 Pick]])</f>
        <v>Sorlag</v>
      </c>
      <c r="Y244" s="11" t="str">
        <f>IF(tbResults[[#This Row],[Loser]]=tbResults[[#This Row],[Player1]],tbResults[[#This Row],[Player1 Pick]],tbResults[[#This Row],[Player2 Pick]])</f>
        <v>Galena</v>
      </c>
      <c r="Z244" s="32">
        <f>SUM(tbResults[[#This Row],[Player1 Score]],tbResults[[#This Row],[Player2 Score]])</f>
        <v>12</v>
      </c>
      <c r="AA244" s="32">
        <f>ABS(tbResults[[#This Row],[Player1 Score]]-tbResults[[#This Row],[Player2 Score]])</f>
        <v>4</v>
      </c>
      <c r="AB244" s="37">
        <f>IF(tbResults[[#This Row],[Player1 Score]]&gt;tbResults[[#This Row],[Player2 Score]],tbResults[[#This Row],[Player1 Score]],tbResults[[#This Row],[Player2 Score]])</f>
        <v>8</v>
      </c>
      <c r="AC244" s="37">
        <f>IF(tbResults[[#This Row],[Player1 Score]]&lt;tbResults[[#This Row],[Player2 Score]],tbResults[[#This Row],[Player1 Score]],tbResults[[#This Row],[Player2 Score]])</f>
        <v>4</v>
      </c>
    </row>
    <row r="245" spans="2:29" ht="30" customHeight="1" x14ac:dyDescent="0.3">
      <c r="B245" s="20" t="str">
        <f>_xlfn.CONCAT(tbResults[[#This Row],[Series Title]],".",tbResults[[#This Row],[Game]])</f>
        <v>2.2.06.01.2</v>
      </c>
      <c r="C245" s="15">
        <v>2</v>
      </c>
      <c r="D245" s="15">
        <v>2</v>
      </c>
      <c r="E245" s="15">
        <v>6</v>
      </c>
      <c r="F245" s="15">
        <v>1</v>
      </c>
      <c r="G245" s="15">
        <v>2</v>
      </c>
      <c r="H245" s="19" t="str">
        <f>_xlfn.CONCAT(tbResults[[#This Row],[Season]],".",tbResults[[#This Row],[Stage]])</f>
        <v>2.2</v>
      </c>
      <c r="I245" s="19" t="str">
        <f>_xlfn.CONCAT(tbResults[[#This Row],[Season]],".",tbResults[[#This Row],[Stage]],".",TEXT(tbResults[[#This Row],[Week]],"00"))</f>
        <v>2.2.06</v>
      </c>
      <c r="J245" s="19" t="str">
        <f>_xlfn.CONCAT(tbResults[[#This Row],[Week Title]],".",TEXT(tbResults[[#This Row],[Match]],"00"))</f>
        <v>2.2.06.01</v>
      </c>
      <c r="K245" s="20" t="str">
        <f>_xlfn.CONCAT(tbResults[[#This Row],[Game Title]], " ", tbResults[[#This Row],[Player1]], " vs ", tbResults[[#This Row],[Player2]] )</f>
        <v>2.2.06.01.2 Garpy vs Cypher</v>
      </c>
      <c r="L245" s="6" t="s">
        <v>101</v>
      </c>
      <c r="M245" s="6" t="s">
        <v>14</v>
      </c>
      <c r="N245" s="6" t="s">
        <v>33</v>
      </c>
      <c r="O245" s="6" t="s">
        <v>39</v>
      </c>
      <c r="P245" s="6" t="s">
        <v>35</v>
      </c>
      <c r="Q245" s="8">
        <v>6</v>
      </c>
      <c r="R245" s="8">
        <v>13</v>
      </c>
      <c r="S245" s="8" t="s">
        <v>81</v>
      </c>
      <c r="T245" s="16" t="s">
        <v>14</v>
      </c>
      <c r="U245" s="16" t="s">
        <v>38</v>
      </c>
      <c r="V245" s="46" t="str">
        <f>IF(tbResults[[#This Row],[Player1 Score]]&gt;tbResults[[#This Row],[Player2 Score]],tbResults[[#This Row],[Player1]],tbResults[[#This Row],[Player2]])</f>
        <v>Cypher</v>
      </c>
      <c r="W245" s="48" t="str">
        <f>IF(tbResults[[#This Row],[Player1 Score]]&gt;tbResults[[#This Row],[Player2 Score]],tbResults[[#This Row],[Player2]],tbResults[[#This Row],[Player1]])</f>
        <v>Garpy</v>
      </c>
      <c r="X245" s="11" t="str">
        <f>IF(tbResults[[#This Row],[Winner]]=tbResults[[#This Row],[Player1]],tbResults[[#This Row],[Player1 Pick]],tbResults[[#This Row],[Player2 Pick]])</f>
        <v>Doom</v>
      </c>
      <c r="Y245" s="11" t="str">
        <f>IF(tbResults[[#This Row],[Loser]]=tbResults[[#This Row],[Player1]],tbResults[[#This Row],[Player1 Pick]],tbResults[[#This Row],[Player2 Pick]])</f>
        <v>Anarki</v>
      </c>
      <c r="Z245" s="32">
        <f>SUM(tbResults[[#This Row],[Player1 Score]],tbResults[[#This Row],[Player2 Score]])</f>
        <v>19</v>
      </c>
      <c r="AA245" s="32">
        <f>ABS(tbResults[[#This Row],[Player1 Score]]-tbResults[[#This Row],[Player2 Score]])</f>
        <v>7</v>
      </c>
      <c r="AB245" s="37">
        <f>IF(tbResults[[#This Row],[Player1 Score]]&gt;tbResults[[#This Row],[Player2 Score]],tbResults[[#This Row],[Player1 Score]],tbResults[[#This Row],[Player2 Score]])</f>
        <v>13</v>
      </c>
      <c r="AC245" s="37">
        <f>IF(tbResults[[#This Row],[Player1 Score]]&lt;tbResults[[#This Row],[Player2 Score]],tbResults[[#This Row],[Player1 Score]],tbResults[[#This Row],[Player2 Score]])</f>
        <v>6</v>
      </c>
    </row>
    <row r="246" spans="2:29" ht="30" customHeight="1" x14ac:dyDescent="0.3">
      <c r="B246" s="20" t="str">
        <f>_xlfn.CONCAT(tbResults[[#This Row],[Series Title]],".",tbResults[[#This Row],[Game]])</f>
        <v>2.2.06.01.3</v>
      </c>
      <c r="C246" s="15">
        <v>2</v>
      </c>
      <c r="D246" s="15">
        <v>2</v>
      </c>
      <c r="E246" s="15">
        <v>6</v>
      </c>
      <c r="F246" s="15">
        <v>1</v>
      </c>
      <c r="G246" s="15">
        <v>3</v>
      </c>
      <c r="H246" s="19" t="str">
        <f>_xlfn.CONCAT(tbResults[[#This Row],[Season]],".",tbResults[[#This Row],[Stage]])</f>
        <v>2.2</v>
      </c>
      <c r="I246" s="19" t="str">
        <f>_xlfn.CONCAT(tbResults[[#This Row],[Season]],".",tbResults[[#This Row],[Stage]],".",TEXT(tbResults[[#This Row],[Week]],"00"))</f>
        <v>2.2.06</v>
      </c>
      <c r="J246" s="19" t="str">
        <f>_xlfn.CONCAT(tbResults[[#This Row],[Week Title]],".",TEXT(tbResults[[#This Row],[Match]],"00"))</f>
        <v>2.2.06.01</v>
      </c>
      <c r="K246" s="20" t="str">
        <f>_xlfn.CONCAT(tbResults[[#This Row],[Game Title]], " ", tbResults[[#This Row],[Player1]], " vs ", tbResults[[#This Row],[Player2]] )</f>
        <v>2.2.06.01.3 Garpy vs Cypher</v>
      </c>
      <c r="L246" s="6" t="s">
        <v>101</v>
      </c>
      <c r="M246" s="6" t="s">
        <v>14</v>
      </c>
      <c r="N246" s="6" t="s">
        <v>26</v>
      </c>
      <c r="O246" s="6" t="s">
        <v>28</v>
      </c>
      <c r="P246" s="6" t="s">
        <v>21</v>
      </c>
      <c r="Q246" s="8">
        <v>7</v>
      </c>
      <c r="R246" s="8">
        <v>6</v>
      </c>
      <c r="S246" s="8" t="s">
        <v>82</v>
      </c>
      <c r="T246" s="16" t="s">
        <v>101</v>
      </c>
      <c r="U246" s="16" t="s">
        <v>27</v>
      </c>
      <c r="V246" s="46" t="str">
        <f>IF(tbResults[[#This Row],[Player1 Score]]&gt;tbResults[[#This Row],[Player2 Score]],tbResults[[#This Row],[Player1]],tbResults[[#This Row],[Player2]])</f>
        <v>Garpy</v>
      </c>
      <c r="W246" s="48" t="str">
        <f>IF(tbResults[[#This Row],[Player1 Score]]&gt;tbResults[[#This Row],[Player2 Score]],tbResults[[#This Row],[Player2]],tbResults[[#This Row],[Player1]])</f>
        <v>Cypher</v>
      </c>
      <c r="X246" s="11" t="str">
        <f>IF(tbResults[[#This Row],[Winner]]=tbResults[[#This Row],[Player1]],tbResults[[#This Row],[Player1 Pick]],tbResults[[#This Row],[Player2 Pick]])</f>
        <v>BJ Blazkowicz</v>
      </c>
      <c r="Y246" s="11" t="str">
        <f>IF(tbResults[[#This Row],[Loser]]=tbResults[[#This Row],[Player1]],tbResults[[#This Row],[Player1 Pick]],tbResults[[#This Row],[Player2 Pick]])</f>
        <v>Ranger</v>
      </c>
      <c r="Z246" s="32">
        <f>SUM(tbResults[[#This Row],[Player1 Score]],tbResults[[#This Row],[Player2 Score]])</f>
        <v>13</v>
      </c>
      <c r="AA246" s="32">
        <f>ABS(tbResults[[#This Row],[Player1 Score]]-tbResults[[#This Row],[Player2 Score]])</f>
        <v>1</v>
      </c>
      <c r="AB246" s="37">
        <f>IF(tbResults[[#This Row],[Player1 Score]]&gt;tbResults[[#This Row],[Player2 Score]],tbResults[[#This Row],[Player1 Score]],tbResults[[#This Row],[Player2 Score]])</f>
        <v>7</v>
      </c>
      <c r="AC246" s="37">
        <f>IF(tbResults[[#This Row],[Player1 Score]]&lt;tbResults[[#This Row],[Player2 Score]],tbResults[[#This Row],[Player1 Score]],tbResults[[#This Row],[Player2 Score]])</f>
        <v>6</v>
      </c>
    </row>
    <row r="247" spans="2:29" ht="30" customHeight="1" x14ac:dyDescent="0.3">
      <c r="B247" s="20" t="str">
        <f>_xlfn.CONCAT(tbResults[[#This Row],[Series Title]],".",tbResults[[#This Row],[Game]])</f>
        <v>2.2.06.02.1</v>
      </c>
      <c r="C247" s="15">
        <v>2</v>
      </c>
      <c r="D247" s="15">
        <v>2</v>
      </c>
      <c r="E247" s="15">
        <v>6</v>
      </c>
      <c r="F247" s="15">
        <v>2</v>
      </c>
      <c r="G247" s="15">
        <v>1</v>
      </c>
      <c r="H247" s="19" t="str">
        <f>_xlfn.CONCAT(tbResults[[#This Row],[Season]],".",tbResults[[#This Row],[Stage]])</f>
        <v>2.2</v>
      </c>
      <c r="I247" s="19" t="str">
        <f>_xlfn.CONCAT(tbResults[[#This Row],[Season]],".",tbResults[[#This Row],[Stage]],".",TEXT(tbResults[[#This Row],[Week]],"00"))</f>
        <v>2.2.06</v>
      </c>
      <c r="J247" s="19" t="str">
        <f>_xlfn.CONCAT(tbResults[[#This Row],[Week Title]],".",TEXT(tbResults[[#This Row],[Match]],"00"))</f>
        <v>2.2.06.02</v>
      </c>
      <c r="K247" s="20" t="str">
        <f>_xlfn.CONCAT(tbResults[[#This Row],[Game Title]], " ", tbResults[[#This Row],[Player1]], " vs ", tbResults[[#This Row],[Player2]] )</f>
        <v>2.2.06.02.1 maxter vs Nosfa</v>
      </c>
      <c r="L247" s="6" t="s">
        <v>41</v>
      </c>
      <c r="M247" s="6" t="s">
        <v>11</v>
      </c>
      <c r="N247" s="6" t="s">
        <v>33</v>
      </c>
      <c r="O247" s="6" t="s">
        <v>25</v>
      </c>
      <c r="P247" s="6" t="s">
        <v>21</v>
      </c>
      <c r="Q247" s="8">
        <v>4</v>
      </c>
      <c r="R247" s="8">
        <v>5</v>
      </c>
      <c r="S247" s="8" t="s">
        <v>82</v>
      </c>
      <c r="T247" s="16" t="s">
        <v>11</v>
      </c>
      <c r="U247" s="16" t="s">
        <v>34</v>
      </c>
      <c r="V247" s="46" t="str">
        <f>IF(tbResults[[#This Row],[Player1 Score]]&gt;tbResults[[#This Row],[Player2 Score]],tbResults[[#This Row],[Player1]],tbResults[[#This Row],[Player2]])</f>
        <v>Nosfa</v>
      </c>
      <c r="W247" s="48" t="str">
        <f>IF(tbResults[[#This Row],[Player1 Score]]&gt;tbResults[[#This Row],[Player2 Score]],tbResults[[#This Row],[Player2]],tbResults[[#This Row],[Player1]])</f>
        <v>maxter</v>
      </c>
      <c r="X247" s="11" t="str">
        <f>IF(tbResults[[#This Row],[Winner]]=tbResults[[#This Row],[Player1]],tbResults[[#This Row],[Player1 Pick]],tbResults[[#This Row],[Player2 Pick]])</f>
        <v>Ranger</v>
      </c>
      <c r="Y247" s="11" t="str">
        <f>IF(tbResults[[#This Row],[Loser]]=tbResults[[#This Row],[Player1]],tbResults[[#This Row],[Player1 Pick]],tbResults[[#This Row],[Player2 Pick]])</f>
        <v>Sorlag</v>
      </c>
      <c r="Z247" s="32">
        <f>SUM(tbResults[[#This Row],[Player1 Score]],tbResults[[#This Row],[Player2 Score]])</f>
        <v>9</v>
      </c>
      <c r="AA247" s="32">
        <f>ABS(tbResults[[#This Row],[Player1 Score]]-tbResults[[#This Row],[Player2 Score]])</f>
        <v>1</v>
      </c>
      <c r="AB247" s="37">
        <f>IF(tbResults[[#This Row],[Player1 Score]]&gt;tbResults[[#This Row],[Player2 Score]],tbResults[[#This Row],[Player1 Score]],tbResults[[#This Row],[Player2 Score]])</f>
        <v>5</v>
      </c>
      <c r="AC247" s="37">
        <f>IF(tbResults[[#This Row],[Player1 Score]]&lt;tbResults[[#This Row],[Player2 Score]],tbResults[[#This Row],[Player1 Score]],tbResults[[#This Row],[Player2 Score]])</f>
        <v>4</v>
      </c>
    </row>
    <row r="248" spans="2:29" ht="30" customHeight="1" x14ac:dyDescent="0.3">
      <c r="B248" s="20" t="str">
        <f>_xlfn.CONCAT(tbResults[[#This Row],[Series Title]],".",tbResults[[#This Row],[Game]])</f>
        <v>2.2.06.02.2</v>
      </c>
      <c r="C248" s="15">
        <v>2</v>
      </c>
      <c r="D248" s="15">
        <v>2</v>
      </c>
      <c r="E248" s="15">
        <v>6</v>
      </c>
      <c r="F248" s="15">
        <v>2</v>
      </c>
      <c r="G248" s="15">
        <v>2</v>
      </c>
      <c r="H248" s="19" t="str">
        <f>_xlfn.CONCAT(tbResults[[#This Row],[Season]],".",tbResults[[#This Row],[Stage]])</f>
        <v>2.2</v>
      </c>
      <c r="I248" s="19" t="str">
        <f>_xlfn.CONCAT(tbResults[[#This Row],[Season]],".",tbResults[[#This Row],[Stage]],".",TEXT(tbResults[[#This Row],[Week]],"00"))</f>
        <v>2.2.06</v>
      </c>
      <c r="J248" s="19" t="str">
        <f>_xlfn.CONCAT(tbResults[[#This Row],[Week Title]],".",TEXT(tbResults[[#This Row],[Match]],"00"))</f>
        <v>2.2.06.02</v>
      </c>
      <c r="K248" s="20" t="str">
        <f>_xlfn.CONCAT(tbResults[[#This Row],[Game Title]], " ", tbResults[[#This Row],[Player1]], " vs ", tbResults[[#This Row],[Player2]] )</f>
        <v>2.2.06.02.2 maxter vs Nosfa</v>
      </c>
      <c r="L248" s="6" t="s">
        <v>41</v>
      </c>
      <c r="M248" s="6" t="s">
        <v>11</v>
      </c>
      <c r="N248" s="6" t="s">
        <v>26</v>
      </c>
      <c r="O248" s="6" t="s">
        <v>36</v>
      </c>
      <c r="P248" s="6" t="s">
        <v>22</v>
      </c>
      <c r="Q248" s="8">
        <v>3</v>
      </c>
      <c r="R248" s="8">
        <v>1</v>
      </c>
      <c r="S248" s="8" t="s">
        <v>81</v>
      </c>
      <c r="T248" s="16" t="s">
        <v>41</v>
      </c>
      <c r="U248" s="16" t="s">
        <v>55</v>
      </c>
      <c r="V248" s="46" t="str">
        <f>IF(tbResults[[#This Row],[Player1 Score]]&gt;tbResults[[#This Row],[Player2 Score]],tbResults[[#This Row],[Player1]],tbResults[[#This Row],[Player2]])</f>
        <v>maxter</v>
      </c>
      <c r="W248" s="48" t="str">
        <f>IF(tbResults[[#This Row],[Player1 Score]]&gt;tbResults[[#This Row],[Player2 Score]],tbResults[[#This Row],[Player2]],tbResults[[#This Row],[Player1]])</f>
        <v>Nosfa</v>
      </c>
      <c r="X248" s="11" t="str">
        <f>IF(tbResults[[#This Row],[Winner]]=tbResults[[#This Row],[Player1]],tbResults[[#This Row],[Player1 Pick]],tbResults[[#This Row],[Player2 Pick]])</f>
        <v>Visor</v>
      </c>
      <c r="Y248" s="11" t="str">
        <f>IF(tbResults[[#This Row],[Loser]]=tbResults[[#This Row],[Player1]],tbResults[[#This Row],[Player1 Pick]],tbResults[[#This Row],[Player2 Pick]])</f>
        <v>Strogg</v>
      </c>
      <c r="Z248" s="32">
        <f>SUM(tbResults[[#This Row],[Player1 Score]],tbResults[[#This Row],[Player2 Score]])</f>
        <v>4</v>
      </c>
      <c r="AA248" s="32">
        <f>ABS(tbResults[[#This Row],[Player1 Score]]-tbResults[[#This Row],[Player2 Score]])</f>
        <v>2</v>
      </c>
      <c r="AB248" s="37">
        <f>IF(tbResults[[#This Row],[Player1 Score]]&gt;tbResults[[#This Row],[Player2 Score]],tbResults[[#This Row],[Player1 Score]],tbResults[[#This Row],[Player2 Score]])</f>
        <v>3</v>
      </c>
      <c r="AC248" s="37">
        <f>IF(tbResults[[#This Row],[Player1 Score]]&lt;tbResults[[#This Row],[Player2 Score]],tbResults[[#This Row],[Player1 Score]],tbResults[[#This Row],[Player2 Score]])</f>
        <v>1</v>
      </c>
    </row>
    <row r="249" spans="2:29" ht="30" customHeight="1" x14ac:dyDescent="0.3">
      <c r="B249" s="20" t="str">
        <f>_xlfn.CONCAT(tbResults[[#This Row],[Series Title]],".",tbResults[[#This Row],[Game]])</f>
        <v>2.2.06.02.3</v>
      </c>
      <c r="C249" s="15">
        <v>2</v>
      </c>
      <c r="D249" s="15">
        <v>2</v>
      </c>
      <c r="E249" s="15">
        <v>6</v>
      </c>
      <c r="F249" s="15">
        <v>2</v>
      </c>
      <c r="G249" s="15">
        <v>3</v>
      </c>
      <c r="H249" s="19" t="str">
        <f>_xlfn.CONCAT(tbResults[[#This Row],[Season]],".",tbResults[[#This Row],[Stage]])</f>
        <v>2.2</v>
      </c>
      <c r="I249" s="19" t="str">
        <f>_xlfn.CONCAT(tbResults[[#This Row],[Season]],".",tbResults[[#This Row],[Stage]],".",TEXT(tbResults[[#This Row],[Week]],"00"))</f>
        <v>2.2.06</v>
      </c>
      <c r="J249" s="19" t="str">
        <f>_xlfn.CONCAT(tbResults[[#This Row],[Week Title]],".",TEXT(tbResults[[#This Row],[Match]],"00"))</f>
        <v>2.2.06.02</v>
      </c>
      <c r="K249" s="20" t="str">
        <f>_xlfn.CONCAT(tbResults[[#This Row],[Game Title]], " ", tbResults[[#This Row],[Player1]], " vs ", tbResults[[#This Row],[Player2]] )</f>
        <v>2.2.06.02.3 maxter vs Nosfa</v>
      </c>
      <c r="L249" s="6" t="s">
        <v>41</v>
      </c>
      <c r="M249" s="6" t="s">
        <v>11</v>
      </c>
      <c r="N249" s="6" t="s">
        <v>19</v>
      </c>
      <c r="O249" s="6" t="s">
        <v>37</v>
      </c>
      <c r="P249" s="6" t="s">
        <v>39</v>
      </c>
      <c r="Q249" s="8">
        <v>0</v>
      </c>
      <c r="R249" s="8">
        <v>9</v>
      </c>
      <c r="S249" s="8" t="s">
        <v>81</v>
      </c>
      <c r="T249" s="16" t="s">
        <v>11</v>
      </c>
      <c r="U249" s="16" t="s">
        <v>35</v>
      </c>
      <c r="V249" s="46" t="str">
        <f>IF(tbResults[[#This Row],[Player1 Score]]&gt;tbResults[[#This Row],[Player2 Score]],tbResults[[#This Row],[Player1]],tbResults[[#This Row],[Player2]])</f>
        <v>Nosfa</v>
      </c>
      <c r="W249" s="48" t="str">
        <f>IF(tbResults[[#This Row],[Player1 Score]]&gt;tbResults[[#This Row],[Player2 Score]],tbResults[[#This Row],[Player2]],tbResults[[#This Row],[Player1]])</f>
        <v>maxter</v>
      </c>
      <c r="X249" s="11" t="str">
        <f>IF(tbResults[[#This Row],[Winner]]=tbResults[[#This Row],[Player1]],tbResults[[#This Row],[Player1 Pick]],tbResults[[#This Row],[Player2 Pick]])</f>
        <v>Anarki</v>
      </c>
      <c r="Y249" s="11" t="str">
        <f>IF(tbResults[[#This Row],[Loser]]=tbResults[[#This Row],[Player1]],tbResults[[#This Row],[Player1 Pick]],tbResults[[#This Row],[Player2 Pick]])</f>
        <v>Eisen</v>
      </c>
      <c r="Z249" s="32">
        <f>SUM(tbResults[[#This Row],[Player1 Score]],tbResults[[#This Row],[Player2 Score]])</f>
        <v>9</v>
      </c>
      <c r="AA249" s="32">
        <f>ABS(tbResults[[#This Row],[Player1 Score]]-tbResults[[#This Row],[Player2 Score]])</f>
        <v>9</v>
      </c>
      <c r="AB249" s="37">
        <f>IF(tbResults[[#This Row],[Player1 Score]]&gt;tbResults[[#This Row],[Player2 Score]],tbResults[[#This Row],[Player1 Score]],tbResults[[#This Row],[Player2 Score]])</f>
        <v>9</v>
      </c>
      <c r="AC249" s="37">
        <f>IF(tbResults[[#This Row],[Player1 Score]]&lt;tbResults[[#This Row],[Player2 Score]],tbResults[[#This Row],[Player1 Score]],tbResults[[#This Row],[Player2 Score]])</f>
        <v>0</v>
      </c>
    </row>
    <row r="250" spans="2:29" ht="30" customHeight="1" x14ac:dyDescent="0.3">
      <c r="B250" s="20" t="str">
        <f>_xlfn.CONCAT(tbResults[[#This Row],[Series Title]],".",tbResults[[#This Row],[Game]])</f>
        <v>2.2.06.03.1</v>
      </c>
      <c r="C250" s="15">
        <v>2</v>
      </c>
      <c r="D250" s="15">
        <v>2</v>
      </c>
      <c r="E250" s="15">
        <v>6</v>
      </c>
      <c r="F250" s="15">
        <v>3</v>
      </c>
      <c r="G250" s="15">
        <v>1</v>
      </c>
      <c r="H250" s="19" t="str">
        <f>_xlfn.CONCAT(tbResults[[#This Row],[Season]],".",tbResults[[#This Row],[Stage]])</f>
        <v>2.2</v>
      </c>
      <c r="I250" s="19" t="str">
        <f>_xlfn.CONCAT(tbResults[[#This Row],[Season]],".",tbResults[[#This Row],[Stage]],".",TEXT(tbResults[[#This Row],[Week]],"00"))</f>
        <v>2.2.06</v>
      </c>
      <c r="J250" s="19" t="str">
        <f>_xlfn.CONCAT(tbResults[[#This Row],[Week Title]],".",TEXT(tbResults[[#This Row],[Match]],"00"))</f>
        <v>2.2.06.03</v>
      </c>
      <c r="K250" s="20" t="str">
        <f>_xlfn.CONCAT(tbResults[[#This Row],[Game Title]], " ", tbResults[[#This Row],[Player1]], " vs ", tbResults[[#This Row],[Player2]] )</f>
        <v>2.2.06.03.1 cnz vs Raisy</v>
      </c>
      <c r="L250" s="6" t="s">
        <v>54</v>
      </c>
      <c r="M250" s="6" t="s">
        <v>49</v>
      </c>
      <c r="N250" s="6" t="s">
        <v>23</v>
      </c>
      <c r="O250" s="6" t="s">
        <v>39</v>
      </c>
      <c r="P250" s="6" t="s">
        <v>25</v>
      </c>
      <c r="Q250" s="8">
        <v>12</v>
      </c>
      <c r="R250" s="8">
        <v>11</v>
      </c>
      <c r="S250" s="8" t="s">
        <v>81</v>
      </c>
      <c r="T250" s="16" t="s">
        <v>49</v>
      </c>
      <c r="U250" s="16" t="s">
        <v>92</v>
      </c>
      <c r="V250" s="46" t="str">
        <f>IF(tbResults[[#This Row],[Player1 Score]]&gt;tbResults[[#This Row],[Player2 Score]],tbResults[[#This Row],[Player1]],tbResults[[#This Row],[Player2]])</f>
        <v>cnz</v>
      </c>
      <c r="W250" s="48" t="str">
        <f>IF(tbResults[[#This Row],[Player1 Score]]&gt;tbResults[[#This Row],[Player2 Score]],tbResults[[#This Row],[Player2]],tbResults[[#This Row],[Player1]])</f>
        <v>Raisy</v>
      </c>
      <c r="X250" s="11" t="str">
        <f>IF(tbResults[[#This Row],[Winner]]=tbResults[[#This Row],[Player1]],tbResults[[#This Row],[Player1 Pick]],tbResults[[#This Row],[Player2 Pick]])</f>
        <v>Anarki</v>
      </c>
      <c r="Y250" s="11" t="str">
        <f>IF(tbResults[[#This Row],[Loser]]=tbResults[[#This Row],[Player1]],tbResults[[#This Row],[Player1 Pick]],tbResults[[#This Row],[Player2 Pick]])</f>
        <v>Sorlag</v>
      </c>
      <c r="Z250" s="32">
        <f>SUM(tbResults[[#This Row],[Player1 Score]],tbResults[[#This Row],[Player2 Score]])</f>
        <v>23</v>
      </c>
      <c r="AA250" s="32">
        <f>ABS(tbResults[[#This Row],[Player1 Score]]-tbResults[[#This Row],[Player2 Score]])</f>
        <v>1</v>
      </c>
      <c r="AB250" s="37">
        <f>IF(tbResults[[#This Row],[Player1 Score]]&gt;tbResults[[#This Row],[Player2 Score]],tbResults[[#This Row],[Player1 Score]],tbResults[[#This Row],[Player2 Score]])</f>
        <v>12</v>
      </c>
      <c r="AC250" s="37">
        <f>IF(tbResults[[#This Row],[Player1 Score]]&lt;tbResults[[#This Row],[Player2 Score]],tbResults[[#This Row],[Player1 Score]],tbResults[[#This Row],[Player2 Score]])</f>
        <v>11</v>
      </c>
    </row>
    <row r="251" spans="2:29" ht="30" customHeight="1" x14ac:dyDescent="0.3">
      <c r="B251" s="20" t="str">
        <f>_xlfn.CONCAT(tbResults[[#This Row],[Series Title]],".",tbResults[[#This Row],[Game]])</f>
        <v>2.2.06.03.2</v>
      </c>
      <c r="C251" s="15">
        <v>2</v>
      </c>
      <c r="D251" s="15">
        <v>2</v>
      </c>
      <c r="E251" s="15">
        <v>6</v>
      </c>
      <c r="F251" s="15">
        <v>3</v>
      </c>
      <c r="G251" s="15">
        <v>2</v>
      </c>
      <c r="H251" s="19" t="str">
        <f>_xlfn.CONCAT(tbResults[[#This Row],[Season]],".",tbResults[[#This Row],[Stage]])</f>
        <v>2.2</v>
      </c>
      <c r="I251" s="19" t="str">
        <f>_xlfn.CONCAT(tbResults[[#This Row],[Season]],".",tbResults[[#This Row],[Stage]],".",TEXT(tbResults[[#This Row],[Week]],"00"))</f>
        <v>2.2.06</v>
      </c>
      <c r="J251" s="19" t="str">
        <f>_xlfn.CONCAT(tbResults[[#This Row],[Week Title]],".",TEXT(tbResults[[#This Row],[Match]],"00"))</f>
        <v>2.2.06.03</v>
      </c>
      <c r="K251" s="20" t="str">
        <f>_xlfn.CONCAT(tbResults[[#This Row],[Game Title]], " ", tbResults[[#This Row],[Player1]], " vs ", tbResults[[#This Row],[Player2]] )</f>
        <v>2.2.06.03.2 cnz vs Raisy</v>
      </c>
      <c r="L251" s="6" t="s">
        <v>54</v>
      </c>
      <c r="M251" s="6" t="s">
        <v>49</v>
      </c>
      <c r="N251" s="6" t="s">
        <v>32</v>
      </c>
      <c r="O251" s="6" t="s">
        <v>34</v>
      </c>
      <c r="P251" s="6" t="s">
        <v>22</v>
      </c>
      <c r="Q251" s="8">
        <v>4</v>
      </c>
      <c r="R251" s="8">
        <v>20</v>
      </c>
      <c r="S251" s="8" t="s">
        <v>81</v>
      </c>
      <c r="T251" s="16" t="s">
        <v>54</v>
      </c>
      <c r="U251" s="16" t="s">
        <v>44</v>
      </c>
      <c r="V251" s="46" t="str">
        <f>IF(tbResults[[#This Row],[Player1 Score]]&gt;tbResults[[#This Row],[Player2 Score]],tbResults[[#This Row],[Player1]],tbResults[[#This Row],[Player2]])</f>
        <v>Raisy</v>
      </c>
      <c r="W251" s="48" t="str">
        <f>IF(tbResults[[#This Row],[Player1 Score]]&gt;tbResults[[#This Row],[Player2 Score]],tbResults[[#This Row],[Player2]],tbResults[[#This Row],[Player1]])</f>
        <v>cnz</v>
      </c>
      <c r="X251" s="11" t="str">
        <f>IF(tbResults[[#This Row],[Winner]]=tbResults[[#This Row],[Player1]],tbResults[[#This Row],[Player1 Pick]],tbResults[[#This Row],[Player2 Pick]])</f>
        <v>Strogg</v>
      </c>
      <c r="Y251" s="11" t="str">
        <f>IF(tbResults[[#This Row],[Loser]]=tbResults[[#This Row],[Player1]],tbResults[[#This Row],[Player1 Pick]],tbResults[[#This Row],[Player2 Pick]])</f>
        <v>Galena</v>
      </c>
      <c r="Z251" s="32">
        <f>SUM(tbResults[[#This Row],[Player1 Score]],tbResults[[#This Row],[Player2 Score]])</f>
        <v>24</v>
      </c>
      <c r="AA251" s="32">
        <f>ABS(tbResults[[#This Row],[Player1 Score]]-tbResults[[#This Row],[Player2 Score]])</f>
        <v>16</v>
      </c>
      <c r="AB251" s="37">
        <f>IF(tbResults[[#This Row],[Player1 Score]]&gt;tbResults[[#This Row],[Player2 Score]],tbResults[[#This Row],[Player1 Score]],tbResults[[#This Row],[Player2 Score]])</f>
        <v>20</v>
      </c>
      <c r="AC251" s="37">
        <f>IF(tbResults[[#This Row],[Player1 Score]]&lt;tbResults[[#This Row],[Player2 Score]],tbResults[[#This Row],[Player1 Score]],tbResults[[#This Row],[Player2 Score]])</f>
        <v>4</v>
      </c>
    </row>
    <row r="252" spans="2:29" ht="30" customHeight="1" x14ac:dyDescent="0.3">
      <c r="B252" s="20" t="str">
        <f>_xlfn.CONCAT(tbResults[[#This Row],[Series Title]],".",tbResults[[#This Row],[Game]])</f>
        <v>2.2.06.03.3</v>
      </c>
      <c r="C252" s="15">
        <v>2</v>
      </c>
      <c r="D252" s="15">
        <v>2</v>
      </c>
      <c r="E252" s="15">
        <v>6</v>
      </c>
      <c r="F252" s="15">
        <v>3</v>
      </c>
      <c r="G252" s="15">
        <v>3</v>
      </c>
      <c r="H252" s="19" t="str">
        <f>_xlfn.CONCAT(tbResults[[#This Row],[Season]],".",tbResults[[#This Row],[Stage]])</f>
        <v>2.2</v>
      </c>
      <c r="I252" s="19" t="str">
        <f>_xlfn.CONCAT(tbResults[[#This Row],[Season]],".",tbResults[[#This Row],[Stage]],".",TEXT(tbResults[[#This Row],[Week]],"00"))</f>
        <v>2.2.06</v>
      </c>
      <c r="J252" s="19" t="str">
        <f>_xlfn.CONCAT(tbResults[[#This Row],[Week Title]],".",TEXT(tbResults[[#This Row],[Match]],"00"))</f>
        <v>2.2.06.03</v>
      </c>
      <c r="K252" s="20" t="str">
        <f>_xlfn.CONCAT(tbResults[[#This Row],[Game Title]], " ", tbResults[[#This Row],[Player1]], " vs ", tbResults[[#This Row],[Player2]] )</f>
        <v>2.2.06.03.3 cnz vs Raisy</v>
      </c>
      <c r="L252" s="6" t="s">
        <v>54</v>
      </c>
      <c r="M252" s="6" t="s">
        <v>49</v>
      </c>
      <c r="N252" s="6" t="s">
        <v>26</v>
      </c>
      <c r="O252" s="6" t="s">
        <v>55</v>
      </c>
      <c r="P252" s="6" t="s">
        <v>38</v>
      </c>
      <c r="Q252" s="8">
        <v>4</v>
      </c>
      <c r="R252" s="8">
        <v>6</v>
      </c>
      <c r="S252" s="8" t="s">
        <v>81</v>
      </c>
      <c r="T252" s="16" t="s">
        <v>49</v>
      </c>
      <c r="U252" s="16" t="s">
        <v>27</v>
      </c>
      <c r="V252" s="46" t="str">
        <f>IF(tbResults[[#This Row],[Player1 Score]]&gt;tbResults[[#This Row],[Player2 Score]],tbResults[[#This Row],[Player1]],tbResults[[#This Row],[Player2]])</f>
        <v>Raisy</v>
      </c>
      <c r="W252" s="48" t="str">
        <f>IF(tbResults[[#This Row],[Player1 Score]]&gt;tbResults[[#This Row],[Player2 Score]],tbResults[[#This Row],[Player2]],tbResults[[#This Row],[Player1]])</f>
        <v>cnz</v>
      </c>
      <c r="X252" s="11" t="str">
        <f>IF(tbResults[[#This Row],[Winner]]=tbResults[[#This Row],[Player1]],tbResults[[#This Row],[Player1 Pick]],tbResults[[#This Row],[Player2 Pick]])</f>
        <v>Nyx</v>
      </c>
      <c r="Y252" s="11" t="str">
        <f>IF(tbResults[[#This Row],[Loser]]=tbResults[[#This Row],[Player1]],tbResults[[#This Row],[Player1 Pick]],tbResults[[#This Row],[Player2 Pick]])</f>
        <v>Athena</v>
      </c>
      <c r="Z252" s="32">
        <f>SUM(tbResults[[#This Row],[Player1 Score]],tbResults[[#This Row],[Player2 Score]])</f>
        <v>10</v>
      </c>
      <c r="AA252" s="32">
        <f>ABS(tbResults[[#This Row],[Player1 Score]]-tbResults[[#This Row],[Player2 Score]])</f>
        <v>2</v>
      </c>
      <c r="AB252" s="37">
        <f>IF(tbResults[[#This Row],[Player1 Score]]&gt;tbResults[[#This Row],[Player2 Score]],tbResults[[#This Row],[Player1 Score]],tbResults[[#This Row],[Player2 Score]])</f>
        <v>6</v>
      </c>
      <c r="AC252" s="37">
        <f>IF(tbResults[[#This Row],[Player1 Score]]&lt;tbResults[[#This Row],[Player2 Score]],tbResults[[#This Row],[Player1 Score]],tbResults[[#This Row],[Player2 Score]])</f>
        <v>4</v>
      </c>
    </row>
    <row r="253" spans="2:29" ht="30" customHeight="1" x14ac:dyDescent="0.3">
      <c r="B253" s="20" t="str">
        <f>_xlfn.CONCAT(tbResults[[#This Row],[Series Title]],".",tbResults[[#This Row],[Game]])</f>
        <v>2.2.06.04.1</v>
      </c>
      <c r="C253" s="15">
        <v>2</v>
      </c>
      <c r="D253" s="15">
        <v>2</v>
      </c>
      <c r="E253" s="15">
        <v>6</v>
      </c>
      <c r="F253" s="15">
        <v>4</v>
      </c>
      <c r="G253" s="15">
        <v>1</v>
      </c>
      <c r="H253" s="19" t="str">
        <f>_xlfn.CONCAT(tbResults[[#This Row],[Season]],".",tbResults[[#This Row],[Stage]])</f>
        <v>2.2</v>
      </c>
      <c r="I253" s="19" t="str">
        <f>_xlfn.CONCAT(tbResults[[#This Row],[Season]],".",tbResults[[#This Row],[Stage]],".",TEXT(tbResults[[#This Row],[Week]],"00"))</f>
        <v>2.2.06</v>
      </c>
      <c r="J253" s="19" t="str">
        <f>_xlfn.CONCAT(tbResults[[#This Row],[Week Title]],".",TEXT(tbResults[[#This Row],[Match]],"00"))</f>
        <v>2.2.06.04</v>
      </c>
      <c r="K253" s="20" t="str">
        <f>_xlfn.CONCAT(tbResults[[#This Row],[Game Title]], " ", tbResults[[#This Row],[Player1]], " vs ", tbResults[[#This Row],[Player2]] )</f>
        <v>2.2.06.04.1 Rapha vs dooi</v>
      </c>
      <c r="L253" s="6" t="s">
        <v>47</v>
      </c>
      <c r="M253" s="6" t="s">
        <v>5</v>
      </c>
      <c r="N253" s="6" t="s">
        <v>32</v>
      </c>
      <c r="O253" s="6" t="s">
        <v>28</v>
      </c>
      <c r="P253" s="6" t="s">
        <v>21</v>
      </c>
      <c r="Q253" s="8">
        <v>13</v>
      </c>
      <c r="R253" s="8">
        <v>2</v>
      </c>
      <c r="S253" s="8" t="s">
        <v>81</v>
      </c>
      <c r="T253" s="16" t="s">
        <v>5</v>
      </c>
      <c r="U253" s="16" t="s">
        <v>44</v>
      </c>
      <c r="V253" s="46" t="str">
        <f>IF(tbResults[[#This Row],[Player1 Score]]&gt;tbResults[[#This Row],[Player2 Score]],tbResults[[#This Row],[Player1]],tbResults[[#This Row],[Player2]])</f>
        <v>Rapha</v>
      </c>
      <c r="W253" s="48" t="str">
        <f>IF(tbResults[[#This Row],[Player1 Score]]&gt;tbResults[[#This Row],[Player2 Score]],tbResults[[#This Row],[Player2]],tbResults[[#This Row],[Player1]])</f>
        <v>dooi</v>
      </c>
      <c r="X253" s="11" t="str">
        <f>IF(tbResults[[#This Row],[Winner]]=tbResults[[#This Row],[Player1]],tbResults[[#This Row],[Player1 Pick]],tbResults[[#This Row],[Player2 Pick]])</f>
        <v>BJ Blazkowicz</v>
      </c>
      <c r="Y253" s="11" t="str">
        <f>IF(tbResults[[#This Row],[Loser]]=tbResults[[#This Row],[Player1]],tbResults[[#This Row],[Player1 Pick]],tbResults[[#This Row],[Player2 Pick]])</f>
        <v>Ranger</v>
      </c>
      <c r="Z253" s="32">
        <f>SUM(tbResults[[#This Row],[Player1 Score]],tbResults[[#This Row],[Player2 Score]])</f>
        <v>15</v>
      </c>
      <c r="AA253" s="32">
        <f>ABS(tbResults[[#This Row],[Player1 Score]]-tbResults[[#This Row],[Player2 Score]])</f>
        <v>11</v>
      </c>
      <c r="AB253" s="37">
        <f>IF(tbResults[[#This Row],[Player1 Score]]&gt;tbResults[[#This Row],[Player2 Score]],tbResults[[#This Row],[Player1 Score]],tbResults[[#This Row],[Player2 Score]])</f>
        <v>13</v>
      </c>
      <c r="AC253" s="37">
        <f>IF(tbResults[[#This Row],[Player1 Score]]&lt;tbResults[[#This Row],[Player2 Score]],tbResults[[#This Row],[Player1 Score]],tbResults[[#This Row],[Player2 Score]])</f>
        <v>2</v>
      </c>
    </row>
    <row r="254" spans="2:29" ht="30" customHeight="1" x14ac:dyDescent="0.3">
      <c r="B254" s="20" t="str">
        <f>_xlfn.CONCAT(tbResults[[#This Row],[Series Title]],".",tbResults[[#This Row],[Game]])</f>
        <v>2.2.06.04.2</v>
      </c>
      <c r="C254" s="15">
        <v>2</v>
      </c>
      <c r="D254" s="15">
        <v>2</v>
      </c>
      <c r="E254" s="15">
        <v>6</v>
      </c>
      <c r="F254" s="15">
        <v>4</v>
      </c>
      <c r="G254" s="15">
        <v>2</v>
      </c>
      <c r="H254" s="19" t="str">
        <f>_xlfn.CONCAT(tbResults[[#This Row],[Season]],".",tbResults[[#This Row],[Stage]])</f>
        <v>2.2</v>
      </c>
      <c r="I254" s="19" t="str">
        <f>_xlfn.CONCAT(tbResults[[#This Row],[Season]],".",tbResults[[#This Row],[Stage]],".",TEXT(tbResults[[#This Row],[Week]],"00"))</f>
        <v>2.2.06</v>
      </c>
      <c r="J254" s="19" t="str">
        <f>_xlfn.CONCAT(tbResults[[#This Row],[Week Title]],".",TEXT(tbResults[[#This Row],[Match]],"00"))</f>
        <v>2.2.06.04</v>
      </c>
      <c r="K254" s="20" t="str">
        <f>_xlfn.CONCAT(tbResults[[#This Row],[Game Title]], " ", tbResults[[#This Row],[Player1]], " vs ", tbResults[[#This Row],[Player2]] )</f>
        <v>2.2.06.04.2 Rapha vs dooi</v>
      </c>
      <c r="L254" s="6" t="s">
        <v>47</v>
      </c>
      <c r="M254" s="6" t="s">
        <v>5</v>
      </c>
      <c r="N254" s="6" t="s">
        <v>19</v>
      </c>
      <c r="O254" s="6" t="s">
        <v>35</v>
      </c>
      <c r="P254" s="6" t="s">
        <v>38</v>
      </c>
      <c r="Q254" s="8">
        <v>26</v>
      </c>
      <c r="R254" s="8">
        <v>0</v>
      </c>
      <c r="S254" s="8" t="s">
        <v>81</v>
      </c>
      <c r="T254" s="16" t="s">
        <v>47</v>
      </c>
      <c r="U254" s="16" t="s">
        <v>55</v>
      </c>
      <c r="V254" s="46" t="str">
        <f>IF(tbResults[[#This Row],[Player1 Score]]&gt;tbResults[[#This Row],[Player2 Score]],tbResults[[#This Row],[Player1]],tbResults[[#This Row],[Player2]])</f>
        <v>Rapha</v>
      </c>
      <c r="W254" s="48" t="str">
        <f>IF(tbResults[[#This Row],[Player1 Score]]&gt;tbResults[[#This Row],[Player2 Score]],tbResults[[#This Row],[Player2]],tbResults[[#This Row],[Player1]])</f>
        <v>dooi</v>
      </c>
      <c r="X254" s="11" t="str">
        <f>IF(tbResults[[#This Row],[Winner]]=tbResults[[#This Row],[Player1]],tbResults[[#This Row],[Player1 Pick]],tbResults[[#This Row],[Player2 Pick]])</f>
        <v>Doom</v>
      </c>
      <c r="Y254" s="11" t="str">
        <f>IF(tbResults[[#This Row],[Loser]]=tbResults[[#This Row],[Player1]],tbResults[[#This Row],[Player1 Pick]],tbResults[[#This Row],[Player2 Pick]])</f>
        <v>Nyx</v>
      </c>
      <c r="Z254" s="32">
        <f>SUM(tbResults[[#This Row],[Player1 Score]],tbResults[[#This Row],[Player2 Score]])</f>
        <v>26</v>
      </c>
      <c r="AA254" s="32">
        <f>ABS(tbResults[[#This Row],[Player1 Score]]-tbResults[[#This Row],[Player2 Score]])</f>
        <v>26</v>
      </c>
      <c r="AB254" s="37">
        <f>IF(tbResults[[#This Row],[Player1 Score]]&gt;tbResults[[#This Row],[Player2 Score]],tbResults[[#This Row],[Player1 Score]],tbResults[[#This Row],[Player2 Score]])</f>
        <v>26</v>
      </c>
      <c r="AC254" s="37">
        <f>IF(tbResults[[#This Row],[Player1 Score]]&lt;tbResults[[#This Row],[Player2 Score]],tbResults[[#This Row],[Player1 Score]],tbResults[[#This Row],[Player2 Score]])</f>
        <v>0</v>
      </c>
    </row>
    <row r="255" spans="2:29" ht="30" customHeight="1" x14ac:dyDescent="0.3">
      <c r="B255" s="20" t="str">
        <f>_xlfn.CONCAT(tbResults[[#This Row],[Series Title]],".",tbResults[[#This Row],[Game]])</f>
        <v>2.2.06.04.3</v>
      </c>
      <c r="C255" s="15">
        <v>2</v>
      </c>
      <c r="D255" s="15">
        <v>2</v>
      </c>
      <c r="E255" s="15">
        <v>6</v>
      </c>
      <c r="F255" s="15">
        <v>4</v>
      </c>
      <c r="G255" s="15">
        <v>3</v>
      </c>
      <c r="H255" s="19" t="str">
        <f>_xlfn.CONCAT(tbResults[[#This Row],[Season]],".",tbResults[[#This Row],[Stage]])</f>
        <v>2.2</v>
      </c>
      <c r="I255" s="19" t="str">
        <f>_xlfn.CONCAT(tbResults[[#This Row],[Season]],".",tbResults[[#This Row],[Stage]],".",TEXT(tbResults[[#This Row],[Week]],"00"))</f>
        <v>2.2.06</v>
      </c>
      <c r="J255" s="19" t="str">
        <f>_xlfn.CONCAT(tbResults[[#This Row],[Week Title]],".",TEXT(tbResults[[#This Row],[Match]],"00"))</f>
        <v>2.2.06.04</v>
      </c>
      <c r="K255" s="20" t="str">
        <f>_xlfn.CONCAT(tbResults[[#This Row],[Game Title]], " ", tbResults[[#This Row],[Player1]], " vs ", tbResults[[#This Row],[Player2]] )</f>
        <v>2.2.06.04.3 Rapha vs dooi</v>
      </c>
      <c r="L255" s="6" t="s">
        <v>47</v>
      </c>
      <c r="M255" s="6" t="s">
        <v>5</v>
      </c>
      <c r="N255" s="6" t="s">
        <v>40</v>
      </c>
      <c r="O255" s="6" t="s">
        <v>152</v>
      </c>
      <c r="P255" s="6" t="s">
        <v>25</v>
      </c>
      <c r="Q255" s="8">
        <v>28</v>
      </c>
      <c r="R255" s="8">
        <v>13</v>
      </c>
      <c r="S255" s="8" t="s">
        <v>81</v>
      </c>
      <c r="T255" s="16" t="s">
        <v>5</v>
      </c>
      <c r="U255" s="16" t="s">
        <v>27</v>
      </c>
      <c r="V255" s="46" t="str">
        <f>IF(tbResults[[#This Row],[Player1 Score]]&gt;tbResults[[#This Row],[Player2 Score]],tbResults[[#This Row],[Player1]],tbResults[[#This Row],[Player2]])</f>
        <v>Rapha</v>
      </c>
      <c r="W255" s="48" t="str">
        <f>IF(tbResults[[#This Row],[Player1 Score]]&gt;tbResults[[#This Row],[Player2 Score]],tbResults[[#This Row],[Player2]],tbResults[[#This Row],[Player1]])</f>
        <v>dooi</v>
      </c>
      <c r="X255" s="11" t="str">
        <f>IF(tbResults[[#This Row],[Winner]]=tbResults[[#This Row],[Player1]],tbResults[[#This Row],[Player1 Pick]],tbResults[[#This Row],[Player2 Pick]])</f>
        <v>Death Knight</v>
      </c>
      <c r="Y255" s="11" t="str">
        <f>IF(tbResults[[#This Row],[Loser]]=tbResults[[#This Row],[Player1]],tbResults[[#This Row],[Player1 Pick]],tbResults[[#This Row],[Player2 Pick]])</f>
        <v>Sorlag</v>
      </c>
      <c r="Z255" s="32">
        <f>SUM(tbResults[[#This Row],[Player1 Score]],tbResults[[#This Row],[Player2 Score]])</f>
        <v>41</v>
      </c>
      <c r="AA255" s="32">
        <f>ABS(tbResults[[#This Row],[Player1 Score]]-tbResults[[#This Row],[Player2 Score]])</f>
        <v>15</v>
      </c>
      <c r="AB255" s="37">
        <f>IF(tbResults[[#This Row],[Player1 Score]]&gt;tbResults[[#This Row],[Player2 Score]],tbResults[[#This Row],[Player1 Score]],tbResults[[#This Row],[Player2 Score]])</f>
        <v>28</v>
      </c>
      <c r="AC255" s="37">
        <f>IF(tbResults[[#This Row],[Player1 Score]]&lt;tbResults[[#This Row],[Player2 Score]],tbResults[[#This Row],[Player1 Score]],tbResults[[#This Row],[Player2 Score]])</f>
        <v>13</v>
      </c>
    </row>
    <row r="256" spans="2:29" ht="30" customHeight="1" x14ac:dyDescent="0.3">
      <c r="B256" s="20" t="str">
        <f>_xlfn.CONCAT(tbResults[[#This Row],[Series Title]],".",tbResults[[#This Row],[Game]])</f>
        <v>2.2.06.05.1</v>
      </c>
      <c r="C256" s="15">
        <v>2</v>
      </c>
      <c r="D256" s="15">
        <v>2</v>
      </c>
      <c r="E256" s="15">
        <v>6</v>
      </c>
      <c r="F256" s="15">
        <v>5</v>
      </c>
      <c r="G256" s="15">
        <v>1</v>
      </c>
      <c r="H256" s="19" t="str">
        <f>_xlfn.CONCAT(tbResults[[#This Row],[Season]],".",tbResults[[#This Row],[Stage]])</f>
        <v>2.2</v>
      </c>
      <c r="I256" s="19" t="str">
        <f>_xlfn.CONCAT(tbResults[[#This Row],[Season]],".",tbResults[[#This Row],[Stage]],".",TEXT(tbResults[[#This Row],[Week]],"00"))</f>
        <v>2.2.06</v>
      </c>
      <c r="J256" s="19" t="str">
        <f>_xlfn.CONCAT(tbResults[[#This Row],[Week Title]],".",TEXT(tbResults[[#This Row],[Match]],"00"))</f>
        <v>2.2.06.05</v>
      </c>
      <c r="K256" s="20" t="str">
        <f>_xlfn.CONCAT(tbResults[[#This Row],[Game Title]], " ", tbResults[[#This Row],[Player1]], " vs ", tbResults[[#This Row],[Player2]] )</f>
        <v>2.2.06.05.1 k1llsen vs spart1e</v>
      </c>
      <c r="L256" s="6" t="s">
        <v>31</v>
      </c>
      <c r="M256" s="6" t="s">
        <v>50</v>
      </c>
      <c r="N256" s="6" t="s">
        <v>33</v>
      </c>
      <c r="O256" s="6" t="s">
        <v>35</v>
      </c>
      <c r="P256" s="6" t="s">
        <v>36</v>
      </c>
      <c r="Q256" s="8">
        <v>9</v>
      </c>
      <c r="R256" s="8">
        <v>11</v>
      </c>
      <c r="S256" s="8" t="s">
        <v>81</v>
      </c>
      <c r="T256" s="16" t="s">
        <v>31</v>
      </c>
      <c r="U256" s="16" t="s">
        <v>39</v>
      </c>
      <c r="V256" s="46" t="str">
        <f>IF(tbResults[[#This Row],[Player1 Score]]&gt;tbResults[[#This Row],[Player2 Score]],tbResults[[#This Row],[Player1]],tbResults[[#This Row],[Player2]])</f>
        <v>spart1e</v>
      </c>
      <c r="W256" s="48" t="str">
        <f>IF(tbResults[[#This Row],[Player1 Score]]&gt;tbResults[[#This Row],[Player2 Score]],tbResults[[#This Row],[Player2]],tbResults[[#This Row],[Player1]])</f>
        <v>k1llsen</v>
      </c>
      <c r="X256" s="11" t="str">
        <f>IF(tbResults[[#This Row],[Winner]]=tbResults[[#This Row],[Player1]],tbResults[[#This Row],[Player1 Pick]],tbResults[[#This Row],[Player2 Pick]])</f>
        <v>Visor</v>
      </c>
      <c r="Y256" s="11" t="str">
        <f>IF(tbResults[[#This Row],[Loser]]=tbResults[[#This Row],[Player1]],tbResults[[#This Row],[Player1 Pick]],tbResults[[#This Row],[Player2 Pick]])</f>
        <v>Doom</v>
      </c>
      <c r="Z256" s="32">
        <f>SUM(tbResults[[#This Row],[Player1 Score]],tbResults[[#This Row],[Player2 Score]])</f>
        <v>20</v>
      </c>
      <c r="AA256" s="32">
        <f>ABS(tbResults[[#This Row],[Player1 Score]]-tbResults[[#This Row],[Player2 Score]])</f>
        <v>2</v>
      </c>
      <c r="AB256" s="37">
        <f>IF(tbResults[[#This Row],[Player1 Score]]&gt;tbResults[[#This Row],[Player2 Score]],tbResults[[#This Row],[Player1 Score]],tbResults[[#This Row],[Player2 Score]])</f>
        <v>11</v>
      </c>
      <c r="AC256" s="37">
        <f>IF(tbResults[[#This Row],[Player1 Score]]&lt;tbResults[[#This Row],[Player2 Score]],tbResults[[#This Row],[Player1 Score]],tbResults[[#This Row],[Player2 Score]])</f>
        <v>9</v>
      </c>
    </row>
    <row r="257" spans="2:29" ht="30" customHeight="1" x14ac:dyDescent="0.3">
      <c r="B257" s="20" t="str">
        <f>_xlfn.CONCAT(tbResults[[#This Row],[Series Title]],".",tbResults[[#This Row],[Game]])</f>
        <v>2.2.06.05.2</v>
      </c>
      <c r="C257" s="15">
        <v>2</v>
      </c>
      <c r="D257" s="15">
        <v>2</v>
      </c>
      <c r="E257" s="15">
        <v>6</v>
      </c>
      <c r="F257" s="15">
        <v>5</v>
      </c>
      <c r="G257" s="15">
        <v>2</v>
      </c>
      <c r="H257" s="19" t="str">
        <f>_xlfn.CONCAT(tbResults[[#This Row],[Season]],".",tbResults[[#This Row],[Stage]])</f>
        <v>2.2</v>
      </c>
      <c r="I257" s="19" t="str">
        <f>_xlfn.CONCAT(tbResults[[#This Row],[Season]],".",tbResults[[#This Row],[Stage]],".",TEXT(tbResults[[#This Row],[Week]],"00"))</f>
        <v>2.2.06</v>
      </c>
      <c r="J257" s="19" t="str">
        <f>_xlfn.CONCAT(tbResults[[#This Row],[Week Title]],".",TEXT(tbResults[[#This Row],[Match]],"00"))</f>
        <v>2.2.06.05</v>
      </c>
      <c r="K257" s="20" t="str">
        <f>_xlfn.CONCAT(tbResults[[#This Row],[Game Title]], " ", tbResults[[#This Row],[Player1]], " vs ", tbResults[[#This Row],[Player2]] )</f>
        <v>2.2.06.05.2 k1llsen vs spart1e</v>
      </c>
      <c r="L257" s="6" t="s">
        <v>31</v>
      </c>
      <c r="M257" s="6" t="s">
        <v>50</v>
      </c>
      <c r="N257" s="6" t="s">
        <v>40</v>
      </c>
      <c r="O257" s="6" t="s">
        <v>27</v>
      </c>
      <c r="P257" s="6" t="s">
        <v>22</v>
      </c>
      <c r="Q257" s="8">
        <v>17</v>
      </c>
      <c r="R257" s="8">
        <v>8</v>
      </c>
      <c r="S257" s="8" t="s">
        <v>81</v>
      </c>
      <c r="T257" s="16" t="s">
        <v>50</v>
      </c>
      <c r="U257" s="16" t="s">
        <v>21</v>
      </c>
      <c r="V257" s="46" t="str">
        <f>IF(tbResults[[#This Row],[Player1 Score]]&gt;tbResults[[#This Row],[Player2 Score]],tbResults[[#This Row],[Player1]],tbResults[[#This Row],[Player2]])</f>
        <v>k1llsen</v>
      </c>
      <c r="W257" s="48" t="str">
        <f>IF(tbResults[[#This Row],[Player1 Score]]&gt;tbResults[[#This Row],[Player2 Score]],tbResults[[#This Row],[Player2]],tbResults[[#This Row],[Player1]])</f>
        <v>spart1e</v>
      </c>
      <c r="X257" s="11" t="str">
        <f>IF(tbResults[[#This Row],[Winner]]=tbResults[[#This Row],[Player1]],tbResults[[#This Row],[Player1 Pick]],tbResults[[#This Row],[Player2 Pick]])</f>
        <v>Keel</v>
      </c>
      <c r="Y257" s="11" t="str">
        <f>IF(tbResults[[#This Row],[Loser]]=tbResults[[#This Row],[Player1]],tbResults[[#This Row],[Player1 Pick]],tbResults[[#This Row],[Player2 Pick]])</f>
        <v>Strogg</v>
      </c>
      <c r="Z257" s="32">
        <f>SUM(tbResults[[#This Row],[Player1 Score]],tbResults[[#This Row],[Player2 Score]])</f>
        <v>25</v>
      </c>
      <c r="AA257" s="32">
        <f>ABS(tbResults[[#This Row],[Player1 Score]]-tbResults[[#This Row],[Player2 Score]])</f>
        <v>9</v>
      </c>
      <c r="AB257" s="37">
        <f>IF(tbResults[[#This Row],[Player1 Score]]&gt;tbResults[[#This Row],[Player2 Score]],tbResults[[#This Row],[Player1 Score]],tbResults[[#This Row],[Player2 Score]])</f>
        <v>17</v>
      </c>
      <c r="AC257" s="37">
        <f>IF(tbResults[[#This Row],[Player1 Score]]&lt;tbResults[[#This Row],[Player2 Score]],tbResults[[#This Row],[Player1 Score]],tbResults[[#This Row],[Player2 Score]])</f>
        <v>8</v>
      </c>
    </row>
    <row r="258" spans="2:29" ht="30" customHeight="1" x14ac:dyDescent="0.3">
      <c r="B258" s="20" t="str">
        <f>_xlfn.CONCAT(tbResults[[#This Row],[Series Title]],".",tbResults[[#This Row],[Game]])</f>
        <v>2.2.06.05.3</v>
      </c>
      <c r="C258" s="15">
        <v>2</v>
      </c>
      <c r="D258" s="15">
        <v>2</v>
      </c>
      <c r="E258" s="15">
        <v>6</v>
      </c>
      <c r="F258" s="15">
        <v>5</v>
      </c>
      <c r="G258" s="15">
        <v>3</v>
      </c>
      <c r="H258" s="19" t="str">
        <f>_xlfn.CONCAT(tbResults[[#This Row],[Season]],".",tbResults[[#This Row],[Stage]])</f>
        <v>2.2</v>
      </c>
      <c r="I258" s="19" t="str">
        <f>_xlfn.CONCAT(tbResults[[#This Row],[Season]],".",tbResults[[#This Row],[Stage]],".",TEXT(tbResults[[#This Row],[Week]],"00"))</f>
        <v>2.2.06</v>
      </c>
      <c r="J258" s="19" t="str">
        <f>_xlfn.CONCAT(tbResults[[#This Row],[Week Title]],".",TEXT(tbResults[[#This Row],[Match]],"00"))</f>
        <v>2.2.06.05</v>
      </c>
      <c r="K258" s="20" t="str">
        <f>_xlfn.CONCAT(tbResults[[#This Row],[Game Title]], " ", tbResults[[#This Row],[Player1]], " vs ", tbResults[[#This Row],[Player2]] )</f>
        <v>2.2.06.05.3 k1llsen vs spart1e</v>
      </c>
      <c r="L258" s="6" t="s">
        <v>31</v>
      </c>
      <c r="M258" s="6" t="s">
        <v>50</v>
      </c>
      <c r="N258" s="6" t="s">
        <v>32</v>
      </c>
      <c r="O258" s="6" t="s">
        <v>28</v>
      </c>
      <c r="P258" s="6" t="s">
        <v>34</v>
      </c>
      <c r="Q258" s="8">
        <v>7</v>
      </c>
      <c r="R258" s="8">
        <v>5</v>
      </c>
      <c r="S258" s="8" t="s">
        <v>81</v>
      </c>
      <c r="T258" s="16" t="s">
        <v>31</v>
      </c>
      <c r="U258" s="16" t="s">
        <v>37</v>
      </c>
      <c r="V258" s="46" t="str">
        <f>IF(tbResults[[#This Row],[Player1 Score]]&gt;tbResults[[#This Row],[Player2 Score]],tbResults[[#This Row],[Player1]],tbResults[[#This Row],[Player2]])</f>
        <v>k1llsen</v>
      </c>
      <c r="W258" s="48" t="str">
        <f>IF(tbResults[[#This Row],[Player1 Score]]&gt;tbResults[[#This Row],[Player2 Score]],tbResults[[#This Row],[Player2]],tbResults[[#This Row],[Player1]])</f>
        <v>spart1e</v>
      </c>
      <c r="X258" s="11" t="str">
        <f>IF(tbResults[[#This Row],[Winner]]=tbResults[[#This Row],[Player1]],tbResults[[#This Row],[Player1 Pick]],tbResults[[#This Row],[Player2 Pick]])</f>
        <v>BJ Blazkowicz</v>
      </c>
      <c r="Y258" s="11" t="str">
        <f>IF(tbResults[[#This Row],[Loser]]=tbResults[[#This Row],[Player1]],tbResults[[#This Row],[Player1 Pick]],tbResults[[#This Row],[Player2 Pick]])</f>
        <v>Galena</v>
      </c>
      <c r="Z258" s="32">
        <f>SUM(tbResults[[#This Row],[Player1 Score]],tbResults[[#This Row],[Player2 Score]])</f>
        <v>12</v>
      </c>
      <c r="AA258" s="32">
        <f>ABS(tbResults[[#This Row],[Player1 Score]]-tbResults[[#This Row],[Player2 Score]])</f>
        <v>2</v>
      </c>
      <c r="AB258" s="37">
        <f>IF(tbResults[[#This Row],[Player1 Score]]&gt;tbResults[[#This Row],[Player2 Score]],tbResults[[#This Row],[Player1 Score]],tbResults[[#This Row],[Player2 Score]])</f>
        <v>7</v>
      </c>
      <c r="AC258" s="37">
        <f>IF(tbResults[[#This Row],[Player1 Score]]&lt;tbResults[[#This Row],[Player2 Score]],tbResults[[#This Row],[Player1 Score]],tbResults[[#This Row],[Player2 Score]])</f>
        <v>5</v>
      </c>
    </row>
    <row r="259" spans="2:29" ht="30" customHeight="1" x14ac:dyDescent="0.3">
      <c r="B259" s="20" t="str">
        <f>_xlfn.CONCAT(tbResults[[#This Row],[Series Title]],".",tbResults[[#This Row],[Game]])</f>
        <v>2.2.07.01.1</v>
      </c>
      <c r="C259" s="15">
        <v>2</v>
      </c>
      <c r="D259" s="15">
        <v>2</v>
      </c>
      <c r="E259" s="15">
        <v>7</v>
      </c>
      <c r="F259" s="15">
        <v>1</v>
      </c>
      <c r="G259" s="15">
        <v>1</v>
      </c>
      <c r="H259" s="19" t="str">
        <f>_xlfn.CONCAT(tbResults[[#This Row],[Season]],".",tbResults[[#This Row],[Stage]])</f>
        <v>2.2</v>
      </c>
      <c r="I259" s="19" t="str">
        <f>_xlfn.CONCAT(tbResults[[#This Row],[Season]],".",tbResults[[#This Row],[Stage]],".",TEXT(tbResults[[#This Row],[Week]],"00"))</f>
        <v>2.2.07</v>
      </c>
      <c r="J259" s="19" t="str">
        <f>_xlfn.CONCAT(tbResults[[#This Row],[Week Title]],".",TEXT(tbResults[[#This Row],[Match]],"00"))</f>
        <v>2.2.07.01</v>
      </c>
      <c r="K259" s="20" t="str">
        <f>_xlfn.CONCAT(tbResults[[#This Row],[Game Title]], " ", tbResults[[#This Row],[Player1]], " vs ", tbResults[[#This Row],[Player2]] )</f>
        <v>2.2.07.01.1 spart1e vs cnz</v>
      </c>
      <c r="L259" s="6" t="s">
        <v>50</v>
      </c>
      <c r="M259" s="6" t="s">
        <v>54</v>
      </c>
      <c r="N259" s="6" t="s">
        <v>43</v>
      </c>
      <c r="O259" s="6" t="s">
        <v>25</v>
      </c>
      <c r="P259" s="6" t="s">
        <v>34</v>
      </c>
      <c r="Q259" s="8">
        <v>10</v>
      </c>
      <c r="R259" s="8">
        <v>9</v>
      </c>
      <c r="S259" s="8" t="s">
        <v>82</v>
      </c>
      <c r="T259" s="16" t="s">
        <v>54</v>
      </c>
      <c r="U259" s="16" t="s">
        <v>37</v>
      </c>
      <c r="V259" s="46" t="str">
        <f>IF(tbResults[[#This Row],[Player1 Score]]&gt;tbResults[[#This Row],[Player2 Score]],tbResults[[#This Row],[Player1]],tbResults[[#This Row],[Player2]])</f>
        <v>spart1e</v>
      </c>
      <c r="W259" s="48" t="str">
        <f>IF(tbResults[[#This Row],[Player1 Score]]&gt;tbResults[[#This Row],[Player2 Score]],tbResults[[#This Row],[Player2]],tbResults[[#This Row],[Player1]])</f>
        <v>cnz</v>
      </c>
      <c r="X259" s="11" t="str">
        <f>IF(tbResults[[#This Row],[Winner]]=tbResults[[#This Row],[Player1]],tbResults[[#This Row],[Player1 Pick]],tbResults[[#This Row],[Player2 Pick]])</f>
        <v>Sorlag</v>
      </c>
      <c r="Y259" s="11" t="str">
        <f>IF(tbResults[[#This Row],[Loser]]=tbResults[[#This Row],[Player1]],tbResults[[#This Row],[Player1 Pick]],tbResults[[#This Row],[Player2 Pick]])</f>
        <v>Galena</v>
      </c>
      <c r="Z259" s="32">
        <f>SUM(tbResults[[#This Row],[Player1 Score]],tbResults[[#This Row],[Player2 Score]])</f>
        <v>19</v>
      </c>
      <c r="AA259" s="32">
        <f>ABS(tbResults[[#This Row],[Player1 Score]]-tbResults[[#This Row],[Player2 Score]])</f>
        <v>1</v>
      </c>
      <c r="AB259" s="37">
        <f>IF(tbResults[[#This Row],[Player1 Score]]&gt;tbResults[[#This Row],[Player2 Score]],tbResults[[#This Row],[Player1 Score]],tbResults[[#This Row],[Player2 Score]])</f>
        <v>10</v>
      </c>
      <c r="AC259" s="37">
        <f>IF(tbResults[[#This Row],[Player1 Score]]&lt;tbResults[[#This Row],[Player2 Score]],tbResults[[#This Row],[Player1 Score]],tbResults[[#This Row],[Player2 Score]])</f>
        <v>9</v>
      </c>
    </row>
    <row r="260" spans="2:29" ht="30" customHeight="1" x14ac:dyDescent="0.3">
      <c r="B260" s="20" t="str">
        <f>_xlfn.CONCAT(tbResults[[#This Row],[Series Title]],".",tbResults[[#This Row],[Game]])</f>
        <v>2.2.07.01.2</v>
      </c>
      <c r="C260" s="15">
        <v>2</v>
      </c>
      <c r="D260" s="15">
        <v>2</v>
      </c>
      <c r="E260" s="15">
        <v>7</v>
      </c>
      <c r="F260" s="15">
        <v>1</v>
      </c>
      <c r="G260" s="15">
        <v>2</v>
      </c>
      <c r="H260" s="19" t="str">
        <f>_xlfn.CONCAT(tbResults[[#This Row],[Season]],".",tbResults[[#This Row],[Stage]])</f>
        <v>2.2</v>
      </c>
      <c r="I260" s="19" t="str">
        <f>_xlfn.CONCAT(tbResults[[#This Row],[Season]],".",tbResults[[#This Row],[Stage]],".",TEXT(tbResults[[#This Row],[Week]],"00"))</f>
        <v>2.2.07</v>
      </c>
      <c r="J260" s="19" t="str">
        <f>_xlfn.CONCAT(tbResults[[#This Row],[Week Title]],".",TEXT(tbResults[[#This Row],[Match]],"00"))</f>
        <v>2.2.07.01</v>
      </c>
      <c r="K260" s="20" t="str">
        <f>_xlfn.CONCAT(tbResults[[#This Row],[Game Title]], " ", tbResults[[#This Row],[Player1]], " vs ", tbResults[[#This Row],[Player2]] )</f>
        <v>2.2.07.01.2 spart1e vs cnz</v>
      </c>
      <c r="L260" s="6" t="s">
        <v>50</v>
      </c>
      <c r="M260" s="6" t="s">
        <v>54</v>
      </c>
      <c r="N260" s="6" t="s">
        <v>26</v>
      </c>
      <c r="O260" s="6" t="s">
        <v>39</v>
      </c>
      <c r="P260" s="6" t="s">
        <v>38</v>
      </c>
      <c r="Q260" s="8">
        <v>7</v>
      </c>
      <c r="R260" s="8">
        <v>3</v>
      </c>
      <c r="S260" s="8" t="s">
        <v>81</v>
      </c>
      <c r="T260" s="16" t="s">
        <v>50</v>
      </c>
      <c r="U260" s="16" t="s">
        <v>22</v>
      </c>
      <c r="V260" s="46" t="str">
        <f>IF(tbResults[[#This Row],[Player1 Score]]&gt;tbResults[[#This Row],[Player2 Score]],tbResults[[#This Row],[Player1]],tbResults[[#This Row],[Player2]])</f>
        <v>spart1e</v>
      </c>
      <c r="W260" s="48" t="str">
        <f>IF(tbResults[[#This Row],[Player1 Score]]&gt;tbResults[[#This Row],[Player2 Score]],tbResults[[#This Row],[Player2]],tbResults[[#This Row],[Player1]])</f>
        <v>cnz</v>
      </c>
      <c r="X260" s="11" t="str">
        <f>IF(tbResults[[#This Row],[Winner]]=tbResults[[#This Row],[Player1]],tbResults[[#This Row],[Player1 Pick]],tbResults[[#This Row],[Player2 Pick]])</f>
        <v>Anarki</v>
      </c>
      <c r="Y260" s="11" t="str">
        <f>IF(tbResults[[#This Row],[Loser]]=tbResults[[#This Row],[Player1]],tbResults[[#This Row],[Player1 Pick]],tbResults[[#This Row],[Player2 Pick]])</f>
        <v>Nyx</v>
      </c>
      <c r="Z260" s="32">
        <f>SUM(tbResults[[#This Row],[Player1 Score]],tbResults[[#This Row],[Player2 Score]])</f>
        <v>10</v>
      </c>
      <c r="AA260" s="32">
        <f>ABS(tbResults[[#This Row],[Player1 Score]]-tbResults[[#This Row],[Player2 Score]])</f>
        <v>4</v>
      </c>
      <c r="AB260" s="37">
        <f>IF(tbResults[[#This Row],[Player1 Score]]&gt;tbResults[[#This Row],[Player2 Score]],tbResults[[#This Row],[Player1 Score]],tbResults[[#This Row],[Player2 Score]])</f>
        <v>7</v>
      </c>
      <c r="AC260" s="37">
        <f>IF(tbResults[[#This Row],[Player1 Score]]&lt;tbResults[[#This Row],[Player2 Score]],tbResults[[#This Row],[Player1 Score]],tbResults[[#This Row],[Player2 Score]])</f>
        <v>3</v>
      </c>
    </row>
    <row r="261" spans="2:29" ht="30" customHeight="1" x14ac:dyDescent="0.3">
      <c r="B261" s="20" t="str">
        <f>_xlfn.CONCAT(tbResults[[#This Row],[Series Title]],".",tbResults[[#This Row],[Game]])</f>
        <v>2.2.07.01.3</v>
      </c>
      <c r="C261" s="15">
        <v>2</v>
      </c>
      <c r="D261" s="15">
        <v>2</v>
      </c>
      <c r="E261" s="15">
        <v>7</v>
      </c>
      <c r="F261" s="15">
        <v>1</v>
      </c>
      <c r="G261" s="15">
        <v>3</v>
      </c>
      <c r="H261" s="19" t="str">
        <f>_xlfn.CONCAT(tbResults[[#This Row],[Season]],".",tbResults[[#This Row],[Stage]])</f>
        <v>2.2</v>
      </c>
      <c r="I261" s="19" t="str">
        <f>_xlfn.CONCAT(tbResults[[#This Row],[Season]],".",tbResults[[#This Row],[Stage]],".",TEXT(tbResults[[#This Row],[Week]],"00"))</f>
        <v>2.2.07</v>
      </c>
      <c r="J261" s="19" t="str">
        <f>_xlfn.CONCAT(tbResults[[#This Row],[Week Title]],".",TEXT(tbResults[[#This Row],[Match]],"00"))</f>
        <v>2.2.07.01</v>
      </c>
      <c r="K261" s="20" t="str">
        <f>_xlfn.CONCAT(tbResults[[#This Row],[Game Title]], " ", tbResults[[#This Row],[Player1]], " vs ", tbResults[[#This Row],[Player2]] )</f>
        <v>2.2.07.01.3 spart1e vs cnz</v>
      </c>
      <c r="L261" s="6" t="s">
        <v>50</v>
      </c>
      <c r="M261" s="6" t="s">
        <v>54</v>
      </c>
      <c r="N261" s="6" t="s">
        <v>32</v>
      </c>
      <c r="O261" s="6" t="s">
        <v>36</v>
      </c>
      <c r="P261" s="6" t="s">
        <v>35</v>
      </c>
      <c r="Q261" s="8">
        <v>7</v>
      </c>
      <c r="R261" s="8">
        <v>12</v>
      </c>
      <c r="S261" s="8" t="s">
        <v>81</v>
      </c>
      <c r="T261" s="16" t="s">
        <v>54</v>
      </c>
      <c r="U261" s="16" t="s">
        <v>55</v>
      </c>
      <c r="V261" s="46" t="str">
        <f>IF(tbResults[[#This Row],[Player1 Score]]&gt;tbResults[[#This Row],[Player2 Score]],tbResults[[#This Row],[Player1]],tbResults[[#This Row],[Player2]])</f>
        <v>cnz</v>
      </c>
      <c r="W261" s="48" t="str">
        <f>IF(tbResults[[#This Row],[Player1 Score]]&gt;tbResults[[#This Row],[Player2 Score]],tbResults[[#This Row],[Player2]],tbResults[[#This Row],[Player1]])</f>
        <v>spart1e</v>
      </c>
      <c r="X261" s="11" t="str">
        <f>IF(tbResults[[#This Row],[Winner]]=tbResults[[#This Row],[Player1]],tbResults[[#This Row],[Player1 Pick]],tbResults[[#This Row],[Player2 Pick]])</f>
        <v>Doom</v>
      </c>
      <c r="Y261" s="11" t="str">
        <f>IF(tbResults[[#This Row],[Loser]]=tbResults[[#This Row],[Player1]],tbResults[[#This Row],[Player1 Pick]],tbResults[[#This Row],[Player2 Pick]])</f>
        <v>Visor</v>
      </c>
      <c r="Z261" s="32">
        <f>SUM(tbResults[[#This Row],[Player1 Score]],tbResults[[#This Row],[Player2 Score]])</f>
        <v>19</v>
      </c>
      <c r="AA261" s="32">
        <f>ABS(tbResults[[#This Row],[Player1 Score]]-tbResults[[#This Row],[Player2 Score]])</f>
        <v>5</v>
      </c>
      <c r="AB261" s="37">
        <f>IF(tbResults[[#This Row],[Player1 Score]]&gt;tbResults[[#This Row],[Player2 Score]],tbResults[[#This Row],[Player1 Score]],tbResults[[#This Row],[Player2 Score]])</f>
        <v>12</v>
      </c>
      <c r="AC261" s="37">
        <f>IF(tbResults[[#This Row],[Player1 Score]]&lt;tbResults[[#This Row],[Player2 Score]],tbResults[[#This Row],[Player1 Score]],tbResults[[#This Row],[Player2 Score]])</f>
        <v>7</v>
      </c>
    </row>
    <row r="262" spans="2:29" ht="30" customHeight="1" x14ac:dyDescent="0.3">
      <c r="B262" s="20" t="str">
        <f>_xlfn.CONCAT(tbResults[[#This Row],[Series Title]],".",tbResults[[#This Row],[Game]])</f>
        <v>2.2.07.02.1</v>
      </c>
      <c r="C262" s="15">
        <v>2</v>
      </c>
      <c r="D262" s="15">
        <v>2</v>
      </c>
      <c r="E262" s="15">
        <v>7</v>
      </c>
      <c r="F262" s="15">
        <v>2</v>
      </c>
      <c r="G262" s="15">
        <v>1</v>
      </c>
      <c r="H262" s="19" t="str">
        <f>_xlfn.CONCAT(tbResults[[#This Row],[Season]],".",tbResults[[#This Row],[Stage]])</f>
        <v>2.2</v>
      </c>
      <c r="I262" s="19" t="str">
        <f>_xlfn.CONCAT(tbResults[[#This Row],[Season]],".",tbResults[[#This Row],[Stage]],".",TEXT(tbResults[[#This Row],[Week]],"00"))</f>
        <v>2.2.07</v>
      </c>
      <c r="J262" s="19" t="str">
        <f>_xlfn.CONCAT(tbResults[[#This Row],[Week Title]],".",TEXT(tbResults[[#This Row],[Match]],"00"))</f>
        <v>2.2.07.02</v>
      </c>
      <c r="K262" s="20" t="str">
        <f>_xlfn.CONCAT(tbResults[[#This Row],[Game Title]], " ", tbResults[[#This Row],[Player1]], " vs ", tbResults[[#This Row],[Player2]] )</f>
        <v>2.2.07.02.1 dooi vs DaHanG</v>
      </c>
      <c r="L262" s="6" t="s">
        <v>5</v>
      </c>
      <c r="M262" s="6" t="s">
        <v>42</v>
      </c>
      <c r="N262" s="6" t="s">
        <v>19</v>
      </c>
      <c r="O262" s="6" t="s">
        <v>21</v>
      </c>
      <c r="P262" s="6" t="s">
        <v>35</v>
      </c>
      <c r="Q262" s="8">
        <v>5</v>
      </c>
      <c r="R262" s="8">
        <v>28</v>
      </c>
      <c r="S262" s="8" t="s">
        <v>81</v>
      </c>
      <c r="T262" s="16" t="s">
        <v>42</v>
      </c>
      <c r="U262" s="16" t="s">
        <v>27</v>
      </c>
      <c r="V262" s="46" t="str">
        <f>IF(tbResults[[#This Row],[Player1 Score]]&gt;tbResults[[#This Row],[Player2 Score]],tbResults[[#This Row],[Player1]],tbResults[[#This Row],[Player2]])</f>
        <v>DaHanG</v>
      </c>
      <c r="W262" s="48" t="str">
        <f>IF(tbResults[[#This Row],[Player1 Score]]&gt;tbResults[[#This Row],[Player2 Score]],tbResults[[#This Row],[Player2]],tbResults[[#This Row],[Player1]])</f>
        <v>dooi</v>
      </c>
      <c r="X262" s="11" t="str">
        <f>IF(tbResults[[#This Row],[Winner]]=tbResults[[#This Row],[Player1]],tbResults[[#This Row],[Player1 Pick]],tbResults[[#This Row],[Player2 Pick]])</f>
        <v>Doom</v>
      </c>
      <c r="Y262" s="11" t="str">
        <f>IF(tbResults[[#This Row],[Loser]]=tbResults[[#This Row],[Player1]],tbResults[[#This Row],[Player1 Pick]],tbResults[[#This Row],[Player2 Pick]])</f>
        <v>Ranger</v>
      </c>
      <c r="Z262" s="32">
        <f>SUM(tbResults[[#This Row],[Player1 Score]],tbResults[[#This Row],[Player2 Score]])</f>
        <v>33</v>
      </c>
      <c r="AA262" s="32">
        <f>ABS(tbResults[[#This Row],[Player1 Score]]-tbResults[[#This Row],[Player2 Score]])</f>
        <v>23</v>
      </c>
      <c r="AB262" s="37">
        <f>IF(tbResults[[#This Row],[Player1 Score]]&gt;tbResults[[#This Row],[Player2 Score]],tbResults[[#This Row],[Player1 Score]],tbResults[[#This Row],[Player2 Score]])</f>
        <v>28</v>
      </c>
      <c r="AC262" s="37">
        <f>IF(tbResults[[#This Row],[Player1 Score]]&lt;tbResults[[#This Row],[Player2 Score]],tbResults[[#This Row],[Player1 Score]],tbResults[[#This Row],[Player2 Score]])</f>
        <v>5</v>
      </c>
    </row>
    <row r="263" spans="2:29" ht="30" customHeight="1" x14ac:dyDescent="0.3">
      <c r="B263" s="20" t="str">
        <f>_xlfn.CONCAT(tbResults[[#This Row],[Series Title]],".",tbResults[[#This Row],[Game]])</f>
        <v>2.2.07.02.2</v>
      </c>
      <c r="C263" s="15">
        <v>2</v>
      </c>
      <c r="D263" s="15">
        <v>2</v>
      </c>
      <c r="E263" s="15">
        <v>7</v>
      </c>
      <c r="F263" s="15">
        <v>2</v>
      </c>
      <c r="G263" s="15">
        <v>2</v>
      </c>
      <c r="H263" s="19" t="str">
        <f>_xlfn.CONCAT(tbResults[[#This Row],[Season]],".",tbResults[[#This Row],[Stage]])</f>
        <v>2.2</v>
      </c>
      <c r="I263" s="19" t="str">
        <f>_xlfn.CONCAT(tbResults[[#This Row],[Season]],".",tbResults[[#This Row],[Stage]],".",TEXT(tbResults[[#This Row],[Week]],"00"))</f>
        <v>2.2.07</v>
      </c>
      <c r="J263" s="19" t="str">
        <f>_xlfn.CONCAT(tbResults[[#This Row],[Week Title]],".",TEXT(tbResults[[#This Row],[Match]],"00"))</f>
        <v>2.2.07.02</v>
      </c>
      <c r="K263" s="20" t="str">
        <f>_xlfn.CONCAT(tbResults[[#This Row],[Game Title]], " ", tbResults[[#This Row],[Player1]], " vs ", tbResults[[#This Row],[Player2]] )</f>
        <v>2.2.07.02.2 dooi vs DaHanG</v>
      </c>
      <c r="L263" s="6" t="s">
        <v>5</v>
      </c>
      <c r="M263" s="6" t="s">
        <v>42</v>
      </c>
      <c r="N263" s="6" t="s">
        <v>40</v>
      </c>
      <c r="O263" s="6" t="s">
        <v>55</v>
      </c>
      <c r="P263" s="6" t="s">
        <v>25</v>
      </c>
      <c r="Q263" s="8">
        <v>9</v>
      </c>
      <c r="R263" s="8">
        <v>28</v>
      </c>
      <c r="S263" s="8" t="s">
        <v>81</v>
      </c>
      <c r="T263" s="16" t="s">
        <v>5</v>
      </c>
      <c r="U263" s="16" t="s">
        <v>44</v>
      </c>
      <c r="V263" s="46" t="str">
        <f>IF(tbResults[[#This Row],[Player1 Score]]&gt;tbResults[[#This Row],[Player2 Score]],tbResults[[#This Row],[Player1]],tbResults[[#This Row],[Player2]])</f>
        <v>DaHanG</v>
      </c>
      <c r="W263" s="48" t="str">
        <f>IF(tbResults[[#This Row],[Player1 Score]]&gt;tbResults[[#This Row],[Player2 Score]],tbResults[[#This Row],[Player2]],tbResults[[#This Row],[Player1]])</f>
        <v>dooi</v>
      </c>
      <c r="X263" s="11" t="str">
        <f>IF(tbResults[[#This Row],[Winner]]=tbResults[[#This Row],[Player1]],tbResults[[#This Row],[Player1 Pick]],tbResults[[#This Row],[Player2 Pick]])</f>
        <v>Sorlag</v>
      </c>
      <c r="Y263" s="11" t="str">
        <f>IF(tbResults[[#This Row],[Loser]]=tbResults[[#This Row],[Player1]],tbResults[[#This Row],[Player1 Pick]],tbResults[[#This Row],[Player2 Pick]])</f>
        <v>Athena</v>
      </c>
      <c r="Z263" s="32">
        <f>SUM(tbResults[[#This Row],[Player1 Score]],tbResults[[#This Row],[Player2 Score]])</f>
        <v>37</v>
      </c>
      <c r="AA263" s="32">
        <f>ABS(tbResults[[#This Row],[Player1 Score]]-tbResults[[#This Row],[Player2 Score]])</f>
        <v>19</v>
      </c>
      <c r="AB263" s="37">
        <f>IF(tbResults[[#This Row],[Player1 Score]]&gt;tbResults[[#This Row],[Player2 Score]],tbResults[[#This Row],[Player1 Score]],tbResults[[#This Row],[Player2 Score]])</f>
        <v>28</v>
      </c>
      <c r="AC263" s="37">
        <f>IF(tbResults[[#This Row],[Player1 Score]]&lt;tbResults[[#This Row],[Player2 Score]],tbResults[[#This Row],[Player1 Score]],tbResults[[#This Row],[Player2 Score]])</f>
        <v>9</v>
      </c>
    </row>
    <row r="264" spans="2:29" ht="30" customHeight="1" x14ac:dyDescent="0.3">
      <c r="B264" s="20" t="str">
        <f>_xlfn.CONCAT(tbResults[[#This Row],[Series Title]],".",tbResults[[#This Row],[Game]])</f>
        <v>2.2.07.02.3</v>
      </c>
      <c r="C264" s="15">
        <v>2</v>
      </c>
      <c r="D264" s="15">
        <v>2</v>
      </c>
      <c r="E264" s="15">
        <v>7</v>
      </c>
      <c r="F264" s="15">
        <v>2</v>
      </c>
      <c r="G264" s="15">
        <v>3</v>
      </c>
      <c r="H264" s="19" t="str">
        <f>_xlfn.CONCAT(tbResults[[#This Row],[Season]],".",tbResults[[#This Row],[Stage]])</f>
        <v>2.2</v>
      </c>
      <c r="I264" s="19" t="str">
        <f>_xlfn.CONCAT(tbResults[[#This Row],[Season]],".",tbResults[[#This Row],[Stage]],".",TEXT(tbResults[[#This Row],[Week]],"00"))</f>
        <v>2.2.07</v>
      </c>
      <c r="J264" s="19" t="str">
        <f>_xlfn.CONCAT(tbResults[[#This Row],[Week Title]],".",TEXT(tbResults[[#This Row],[Match]],"00"))</f>
        <v>2.2.07.02</v>
      </c>
      <c r="K264" s="20" t="str">
        <f>_xlfn.CONCAT(tbResults[[#This Row],[Game Title]], " ", tbResults[[#This Row],[Player1]], " vs ", tbResults[[#This Row],[Player2]] )</f>
        <v>2.2.07.02.3 dooi vs DaHanG</v>
      </c>
      <c r="L264" s="6" t="s">
        <v>5</v>
      </c>
      <c r="M264" s="6" t="s">
        <v>42</v>
      </c>
      <c r="N264" s="6" t="s">
        <v>26</v>
      </c>
      <c r="O264" s="6" t="s">
        <v>38</v>
      </c>
      <c r="P264" s="6" t="s">
        <v>22</v>
      </c>
      <c r="Q264" s="8">
        <v>2</v>
      </c>
      <c r="R264" s="8">
        <v>10</v>
      </c>
      <c r="S264" s="8" t="s">
        <v>81</v>
      </c>
      <c r="T264" s="16" t="s">
        <v>42</v>
      </c>
      <c r="U264" s="16" t="s">
        <v>24</v>
      </c>
      <c r="V264" s="46" t="str">
        <f>IF(tbResults[[#This Row],[Player1 Score]]&gt;tbResults[[#This Row],[Player2 Score]],tbResults[[#This Row],[Player1]],tbResults[[#This Row],[Player2]])</f>
        <v>DaHanG</v>
      </c>
      <c r="W264" s="48" t="str">
        <f>IF(tbResults[[#This Row],[Player1 Score]]&gt;tbResults[[#This Row],[Player2 Score]],tbResults[[#This Row],[Player2]],tbResults[[#This Row],[Player1]])</f>
        <v>dooi</v>
      </c>
      <c r="X264" s="11" t="str">
        <f>IF(tbResults[[#This Row],[Winner]]=tbResults[[#This Row],[Player1]],tbResults[[#This Row],[Player1 Pick]],tbResults[[#This Row],[Player2 Pick]])</f>
        <v>Strogg</v>
      </c>
      <c r="Y264" s="11" t="str">
        <f>IF(tbResults[[#This Row],[Loser]]=tbResults[[#This Row],[Player1]],tbResults[[#This Row],[Player1 Pick]],tbResults[[#This Row],[Player2 Pick]])</f>
        <v>Nyx</v>
      </c>
      <c r="Z264" s="32">
        <f>SUM(tbResults[[#This Row],[Player1 Score]],tbResults[[#This Row],[Player2 Score]])</f>
        <v>12</v>
      </c>
      <c r="AA264" s="32">
        <f>ABS(tbResults[[#This Row],[Player1 Score]]-tbResults[[#This Row],[Player2 Score]])</f>
        <v>8</v>
      </c>
      <c r="AB264" s="37">
        <f>IF(tbResults[[#This Row],[Player1 Score]]&gt;tbResults[[#This Row],[Player2 Score]],tbResults[[#This Row],[Player1 Score]],tbResults[[#This Row],[Player2 Score]])</f>
        <v>10</v>
      </c>
      <c r="AC264" s="37">
        <f>IF(tbResults[[#This Row],[Player1 Score]]&lt;tbResults[[#This Row],[Player2 Score]],tbResults[[#This Row],[Player1 Score]],tbResults[[#This Row],[Player2 Score]])</f>
        <v>2</v>
      </c>
    </row>
    <row r="265" spans="2:29" ht="30" customHeight="1" x14ac:dyDescent="0.3">
      <c r="B265" s="20" t="str">
        <f>_xlfn.CONCAT(tbResults[[#This Row],[Series Title]],".",tbResults[[#This Row],[Game]])</f>
        <v>2.2.07.03.1</v>
      </c>
      <c r="C265" s="15">
        <v>2</v>
      </c>
      <c r="D265" s="15">
        <v>2</v>
      </c>
      <c r="E265" s="15">
        <v>7</v>
      </c>
      <c r="F265" s="15">
        <v>3</v>
      </c>
      <c r="G265" s="15">
        <v>1</v>
      </c>
      <c r="H265" s="19" t="str">
        <f>_xlfn.CONCAT(tbResults[[#This Row],[Season]],".",tbResults[[#This Row],[Stage]])</f>
        <v>2.2</v>
      </c>
      <c r="I265" s="19" t="str">
        <f>_xlfn.CONCAT(tbResults[[#This Row],[Season]],".",tbResults[[#This Row],[Stage]],".",TEXT(tbResults[[#This Row],[Week]],"00"))</f>
        <v>2.2.07</v>
      </c>
      <c r="J265" s="19" t="str">
        <f>_xlfn.CONCAT(tbResults[[#This Row],[Week Title]],".",TEXT(tbResults[[#This Row],[Match]],"00"))</f>
        <v>2.2.07.03</v>
      </c>
      <c r="K265" s="20" t="str">
        <f>_xlfn.CONCAT(tbResults[[#This Row],[Game Title]], " ", tbResults[[#This Row],[Player1]], " vs ", tbResults[[#This Row],[Player2]] )</f>
        <v>2.2.07.03.1 Nosfa vs Psygib</v>
      </c>
      <c r="L265" s="6" t="s">
        <v>11</v>
      </c>
      <c r="M265" s="6" t="s">
        <v>30</v>
      </c>
      <c r="N265" s="6" t="s">
        <v>26</v>
      </c>
      <c r="O265" s="6" t="s">
        <v>22</v>
      </c>
      <c r="P265" s="6" t="s">
        <v>39</v>
      </c>
      <c r="Q265" s="8">
        <v>22</v>
      </c>
      <c r="R265" s="8">
        <v>6</v>
      </c>
      <c r="S265" s="8" t="s">
        <v>81</v>
      </c>
      <c r="T265" s="16" t="s">
        <v>30</v>
      </c>
      <c r="U265" s="16" t="s">
        <v>44</v>
      </c>
      <c r="V265" s="46" t="str">
        <f>IF(tbResults[[#This Row],[Player1 Score]]&gt;tbResults[[#This Row],[Player2 Score]],tbResults[[#This Row],[Player1]],tbResults[[#This Row],[Player2]])</f>
        <v>Nosfa</v>
      </c>
      <c r="W265" s="48" t="str">
        <f>IF(tbResults[[#This Row],[Player1 Score]]&gt;tbResults[[#This Row],[Player2 Score]],tbResults[[#This Row],[Player2]],tbResults[[#This Row],[Player1]])</f>
        <v>Psygib</v>
      </c>
      <c r="X265" s="11" t="str">
        <f>IF(tbResults[[#This Row],[Winner]]=tbResults[[#This Row],[Player1]],tbResults[[#This Row],[Player1 Pick]],tbResults[[#This Row],[Player2 Pick]])</f>
        <v>Strogg</v>
      </c>
      <c r="Y265" s="11" t="str">
        <f>IF(tbResults[[#This Row],[Loser]]=tbResults[[#This Row],[Player1]],tbResults[[#This Row],[Player1 Pick]],tbResults[[#This Row],[Player2 Pick]])</f>
        <v>Anarki</v>
      </c>
      <c r="Z265" s="32">
        <f>SUM(tbResults[[#This Row],[Player1 Score]],tbResults[[#This Row],[Player2 Score]])</f>
        <v>28</v>
      </c>
      <c r="AA265" s="32">
        <f>ABS(tbResults[[#This Row],[Player1 Score]]-tbResults[[#This Row],[Player2 Score]])</f>
        <v>16</v>
      </c>
      <c r="AB265" s="37">
        <f>IF(tbResults[[#This Row],[Player1 Score]]&gt;tbResults[[#This Row],[Player2 Score]],tbResults[[#This Row],[Player1 Score]],tbResults[[#This Row],[Player2 Score]])</f>
        <v>22</v>
      </c>
      <c r="AC265" s="37">
        <f>IF(tbResults[[#This Row],[Player1 Score]]&lt;tbResults[[#This Row],[Player2 Score]],tbResults[[#This Row],[Player1 Score]],tbResults[[#This Row],[Player2 Score]])</f>
        <v>6</v>
      </c>
    </row>
    <row r="266" spans="2:29" ht="30" customHeight="1" x14ac:dyDescent="0.3">
      <c r="B266" s="20" t="str">
        <f>_xlfn.CONCAT(tbResults[[#This Row],[Series Title]],".",tbResults[[#This Row],[Game]])</f>
        <v>2.2.07.03.2</v>
      </c>
      <c r="C266" s="15">
        <v>2</v>
      </c>
      <c r="D266" s="15">
        <v>2</v>
      </c>
      <c r="E266" s="15">
        <v>7</v>
      </c>
      <c r="F266" s="15">
        <v>3</v>
      </c>
      <c r="G266" s="15">
        <v>2</v>
      </c>
      <c r="H266" s="19" t="str">
        <f>_xlfn.CONCAT(tbResults[[#This Row],[Season]],".",tbResults[[#This Row],[Stage]])</f>
        <v>2.2</v>
      </c>
      <c r="I266" s="19" t="str">
        <f>_xlfn.CONCAT(tbResults[[#This Row],[Season]],".",tbResults[[#This Row],[Stage]],".",TEXT(tbResults[[#This Row],[Week]],"00"))</f>
        <v>2.2.07</v>
      </c>
      <c r="J266" s="19" t="str">
        <f>_xlfn.CONCAT(tbResults[[#This Row],[Week Title]],".",TEXT(tbResults[[#This Row],[Match]],"00"))</f>
        <v>2.2.07.03</v>
      </c>
      <c r="K266" s="20" t="str">
        <f>_xlfn.CONCAT(tbResults[[#This Row],[Game Title]], " ", tbResults[[#This Row],[Player1]], " vs ", tbResults[[#This Row],[Player2]] )</f>
        <v>2.2.07.03.2 Nosfa vs Psygib</v>
      </c>
      <c r="L266" s="6" t="s">
        <v>11</v>
      </c>
      <c r="M266" s="6" t="s">
        <v>30</v>
      </c>
      <c r="N266" s="6" t="s">
        <v>19</v>
      </c>
      <c r="O266" s="6" t="s">
        <v>55</v>
      </c>
      <c r="P266" s="6" t="s">
        <v>21</v>
      </c>
      <c r="Q266" s="8">
        <v>16</v>
      </c>
      <c r="R266" s="8">
        <v>-1</v>
      </c>
      <c r="S266" s="8" t="s">
        <v>81</v>
      </c>
      <c r="T266" s="16" t="s">
        <v>11</v>
      </c>
      <c r="U266" s="16" t="s">
        <v>35</v>
      </c>
      <c r="V266" s="46" t="str">
        <f>IF(tbResults[[#This Row],[Player1 Score]]&gt;tbResults[[#This Row],[Player2 Score]],tbResults[[#This Row],[Player1]],tbResults[[#This Row],[Player2]])</f>
        <v>Nosfa</v>
      </c>
      <c r="W266" s="48" t="str">
        <f>IF(tbResults[[#This Row],[Player1 Score]]&gt;tbResults[[#This Row],[Player2 Score]],tbResults[[#This Row],[Player2]],tbResults[[#This Row],[Player1]])</f>
        <v>Psygib</v>
      </c>
      <c r="X266" s="11" t="str">
        <f>IF(tbResults[[#This Row],[Winner]]=tbResults[[#This Row],[Player1]],tbResults[[#This Row],[Player1 Pick]],tbResults[[#This Row],[Player2 Pick]])</f>
        <v>Athena</v>
      </c>
      <c r="Y266" s="11" t="str">
        <f>IF(tbResults[[#This Row],[Loser]]=tbResults[[#This Row],[Player1]],tbResults[[#This Row],[Player1 Pick]],tbResults[[#This Row],[Player2 Pick]])</f>
        <v>Ranger</v>
      </c>
      <c r="Z266" s="32">
        <f>SUM(tbResults[[#This Row],[Player1 Score]],tbResults[[#This Row],[Player2 Score]])</f>
        <v>15</v>
      </c>
      <c r="AA266" s="32">
        <f>ABS(tbResults[[#This Row],[Player1 Score]]-tbResults[[#This Row],[Player2 Score]])</f>
        <v>17</v>
      </c>
      <c r="AB266" s="37">
        <f>IF(tbResults[[#This Row],[Player1 Score]]&gt;tbResults[[#This Row],[Player2 Score]],tbResults[[#This Row],[Player1 Score]],tbResults[[#This Row],[Player2 Score]])</f>
        <v>16</v>
      </c>
      <c r="AC266" s="37">
        <f>IF(tbResults[[#This Row],[Player1 Score]]&lt;tbResults[[#This Row],[Player2 Score]],tbResults[[#This Row],[Player1 Score]],tbResults[[#This Row],[Player2 Score]])</f>
        <v>-1</v>
      </c>
    </row>
    <row r="267" spans="2:29" ht="30" customHeight="1" x14ac:dyDescent="0.3">
      <c r="B267" s="20" t="str">
        <f>_xlfn.CONCAT(tbResults[[#This Row],[Series Title]],".",tbResults[[#This Row],[Game]])</f>
        <v>2.2.07.03.3</v>
      </c>
      <c r="C267" s="15">
        <v>2</v>
      </c>
      <c r="D267" s="15">
        <v>2</v>
      </c>
      <c r="E267" s="15">
        <v>7</v>
      </c>
      <c r="F267" s="15">
        <v>3</v>
      </c>
      <c r="G267" s="15">
        <v>3</v>
      </c>
      <c r="H267" s="19" t="str">
        <f>_xlfn.CONCAT(tbResults[[#This Row],[Season]],".",tbResults[[#This Row],[Stage]])</f>
        <v>2.2</v>
      </c>
      <c r="I267" s="19" t="str">
        <f>_xlfn.CONCAT(tbResults[[#This Row],[Season]],".",tbResults[[#This Row],[Stage]],".",TEXT(tbResults[[#This Row],[Week]],"00"))</f>
        <v>2.2.07</v>
      </c>
      <c r="J267" s="19" t="str">
        <f>_xlfn.CONCAT(tbResults[[#This Row],[Week Title]],".",TEXT(tbResults[[#This Row],[Match]],"00"))</f>
        <v>2.2.07.03</v>
      </c>
      <c r="K267" s="20" t="str">
        <f>_xlfn.CONCAT(tbResults[[#This Row],[Game Title]], " ", tbResults[[#This Row],[Player1]], " vs ", tbResults[[#This Row],[Player2]] )</f>
        <v>2.2.07.03.3 Nosfa vs Psygib</v>
      </c>
      <c r="L267" s="6" t="s">
        <v>11</v>
      </c>
      <c r="M267" s="6" t="s">
        <v>30</v>
      </c>
      <c r="N267" s="6" t="s">
        <v>33</v>
      </c>
      <c r="O267" s="6" t="s">
        <v>36</v>
      </c>
      <c r="P267" s="6" t="s">
        <v>28</v>
      </c>
      <c r="Q267" s="8">
        <v>11</v>
      </c>
      <c r="R267" s="8">
        <v>8</v>
      </c>
      <c r="S267" s="8" t="s">
        <v>81</v>
      </c>
      <c r="T267" s="16" t="s">
        <v>30</v>
      </c>
      <c r="U267" s="16" t="s">
        <v>25</v>
      </c>
      <c r="V267" s="46" t="str">
        <f>IF(tbResults[[#This Row],[Player1 Score]]&gt;tbResults[[#This Row],[Player2 Score]],tbResults[[#This Row],[Player1]],tbResults[[#This Row],[Player2]])</f>
        <v>Nosfa</v>
      </c>
      <c r="W267" s="48" t="str">
        <f>IF(tbResults[[#This Row],[Player1 Score]]&gt;tbResults[[#This Row],[Player2 Score]],tbResults[[#This Row],[Player2]],tbResults[[#This Row],[Player1]])</f>
        <v>Psygib</v>
      </c>
      <c r="X267" s="11" t="str">
        <f>IF(tbResults[[#This Row],[Winner]]=tbResults[[#This Row],[Player1]],tbResults[[#This Row],[Player1 Pick]],tbResults[[#This Row],[Player2 Pick]])</f>
        <v>Visor</v>
      </c>
      <c r="Y267" s="11" t="str">
        <f>IF(tbResults[[#This Row],[Loser]]=tbResults[[#This Row],[Player1]],tbResults[[#This Row],[Player1 Pick]],tbResults[[#This Row],[Player2 Pick]])</f>
        <v>BJ Blazkowicz</v>
      </c>
      <c r="Z267" s="32">
        <f>SUM(tbResults[[#This Row],[Player1 Score]],tbResults[[#This Row],[Player2 Score]])</f>
        <v>19</v>
      </c>
      <c r="AA267" s="32">
        <f>ABS(tbResults[[#This Row],[Player1 Score]]-tbResults[[#This Row],[Player2 Score]])</f>
        <v>3</v>
      </c>
      <c r="AB267" s="37">
        <f>IF(tbResults[[#This Row],[Player1 Score]]&gt;tbResults[[#This Row],[Player2 Score]],tbResults[[#This Row],[Player1 Score]],tbResults[[#This Row],[Player2 Score]])</f>
        <v>11</v>
      </c>
      <c r="AC267" s="37">
        <f>IF(tbResults[[#This Row],[Player1 Score]]&lt;tbResults[[#This Row],[Player2 Score]],tbResults[[#This Row],[Player1 Score]],tbResults[[#This Row],[Player2 Score]])</f>
        <v>8</v>
      </c>
    </row>
    <row r="268" spans="2:29" ht="30" customHeight="1" x14ac:dyDescent="0.3">
      <c r="B268" s="20" t="str">
        <f>_xlfn.CONCAT(tbResults[[#This Row],[Series Title]],".",tbResults[[#This Row],[Game]])</f>
        <v>2.2.07.04.1</v>
      </c>
      <c r="C268" s="15">
        <v>2</v>
      </c>
      <c r="D268" s="15">
        <v>2</v>
      </c>
      <c r="E268" s="15">
        <v>7</v>
      </c>
      <c r="F268" s="15">
        <v>4</v>
      </c>
      <c r="G268" s="15">
        <v>1</v>
      </c>
      <c r="H268" s="19" t="str">
        <f>_xlfn.CONCAT(tbResults[[#This Row],[Season]],".",tbResults[[#This Row],[Stage]])</f>
        <v>2.2</v>
      </c>
      <c r="I268" s="19" t="str">
        <f>_xlfn.CONCAT(tbResults[[#This Row],[Season]],".",tbResults[[#This Row],[Stage]],".",TEXT(tbResults[[#This Row],[Week]],"00"))</f>
        <v>2.2.07</v>
      </c>
      <c r="J268" s="19" t="str">
        <f>_xlfn.CONCAT(tbResults[[#This Row],[Week Title]],".",TEXT(tbResults[[#This Row],[Match]],"00"))</f>
        <v>2.2.07.04</v>
      </c>
      <c r="K268" s="20" t="str">
        <f>_xlfn.CONCAT(tbResults[[#This Row],[Game Title]], " ", tbResults[[#This Row],[Player1]], " vs ", tbResults[[#This Row],[Player2]] )</f>
        <v>2.2.07.04.1 coollerz vs Garpy</v>
      </c>
      <c r="L268" s="6" t="s">
        <v>48</v>
      </c>
      <c r="M268" s="6" t="s">
        <v>101</v>
      </c>
      <c r="N268" s="6" t="s">
        <v>32</v>
      </c>
      <c r="O268" s="6" t="s">
        <v>25</v>
      </c>
      <c r="P268" s="6" t="s">
        <v>22</v>
      </c>
      <c r="Q268" s="8">
        <v>9</v>
      </c>
      <c r="R268" s="8">
        <v>13</v>
      </c>
      <c r="S268" s="8" t="s">
        <v>81</v>
      </c>
      <c r="T268" s="16" t="s">
        <v>101</v>
      </c>
      <c r="U268" s="16" t="s">
        <v>34</v>
      </c>
      <c r="V268" s="46" t="str">
        <f>IF(tbResults[[#This Row],[Player1 Score]]&gt;tbResults[[#This Row],[Player2 Score]],tbResults[[#This Row],[Player1]],tbResults[[#This Row],[Player2]])</f>
        <v>Garpy</v>
      </c>
      <c r="W268" s="48" t="str">
        <f>IF(tbResults[[#This Row],[Player1 Score]]&gt;tbResults[[#This Row],[Player2 Score]],tbResults[[#This Row],[Player2]],tbResults[[#This Row],[Player1]])</f>
        <v>coollerz</v>
      </c>
      <c r="X268" s="11" t="str">
        <f>IF(tbResults[[#This Row],[Winner]]=tbResults[[#This Row],[Player1]],tbResults[[#This Row],[Player1 Pick]],tbResults[[#This Row],[Player2 Pick]])</f>
        <v>Strogg</v>
      </c>
      <c r="Y268" s="11" t="str">
        <f>IF(tbResults[[#This Row],[Loser]]=tbResults[[#This Row],[Player1]],tbResults[[#This Row],[Player1 Pick]],tbResults[[#This Row],[Player2 Pick]])</f>
        <v>Sorlag</v>
      </c>
      <c r="Z268" s="32">
        <f>SUM(tbResults[[#This Row],[Player1 Score]],tbResults[[#This Row],[Player2 Score]])</f>
        <v>22</v>
      </c>
      <c r="AA268" s="32">
        <f>ABS(tbResults[[#This Row],[Player1 Score]]-tbResults[[#This Row],[Player2 Score]])</f>
        <v>4</v>
      </c>
      <c r="AB268" s="37">
        <f>IF(tbResults[[#This Row],[Player1 Score]]&gt;tbResults[[#This Row],[Player2 Score]],tbResults[[#This Row],[Player1 Score]],tbResults[[#This Row],[Player2 Score]])</f>
        <v>13</v>
      </c>
      <c r="AC268" s="37">
        <f>IF(tbResults[[#This Row],[Player1 Score]]&lt;tbResults[[#This Row],[Player2 Score]],tbResults[[#This Row],[Player1 Score]],tbResults[[#This Row],[Player2 Score]])</f>
        <v>9</v>
      </c>
    </row>
    <row r="269" spans="2:29" ht="30" customHeight="1" x14ac:dyDescent="0.3">
      <c r="B269" s="20" t="str">
        <f>_xlfn.CONCAT(tbResults[[#This Row],[Series Title]],".",tbResults[[#This Row],[Game]])</f>
        <v>2.2.07.04.2</v>
      </c>
      <c r="C269" s="15">
        <v>2</v>
      </c>
      <c r="D269" s="15">
        <v>2</v>
      </c>
      <c r="E269" s="15">
        <v>7</v>
      </c>
      <c r="F269" s="15">
        <v>4</v>
      </c>
      <c r="G269" s="15">
        <v>2</v>
      </c>
      <c r="H269" s="19" t="str">
        <f>_xlfn.CONCAT(tbResults[[#This Row],[Season]],".",tbResults[[#This Row],[Stage]])</f>
        <v>2.2</v>
      </c>
      <c r="I269" s="19" t="str">
        <f>_xlfn.CONCAT(tbResults[[#This Row],[Season]],".",tbResults[[#This Row],[Stage]],".",TEXT(tbResults[[#This Row],[Week]],"00"))</f>
        <v>2.2.07</v>
      </c>
      <c r="J269" s="19" t="str">
        <f>_xlfn.CONCAT(tbResults[[#This Row],[Week Title]],".",TEXT(tbResults[[#This Row],[Match]],"00"))</f>
        <v>2.2.07.04</v>
      </c>
      <c r="K269" s="20" t="str">
        <f>_xlfn.CONCAT(tbResults[[#This Row],[Game Title]], " ", tbResults[[#This Row],[Player1]], " vs ", tbResults[[#This Row],[Player2]] )</f>
        <v>2.2.07.04.2 coollerz vs Garpy</v>
      </c>
      <c r="L269" s="6" t="s">
        <v>48</v>
      </c>
      <c r="M269" s="6" t="s">
        <v>101</v>
      </c>
      <c r="N269" s="6" t="s">
        <v>40</v>
      </c>
      <c r="O269" s="6" t="s">
        <v>27</v>
      </c>
      <c r="P269" s="6" t="s">
        <v>37</v>
      </c>
      <c r="Q269" s="8">
        <v>4</v>
      </c>
      <c r="R269" s="8">
        <v>7</v>
      </c>
      <c r="S269" s="8" t="s">
        <v>81</v>
      </c>
      <c r="T269" s="16" t="s">
        <v>48</v>
      </c>
      <c r="U269" s="16" t="s">
        <v>35</v>
      </c>
      <c r="V269" s="46" t="str">
        <f>IF(tbResults[[#This Row],[Player1 Score]]&gt;tbResults[[#This Row],[Player2 Score]],tbResults[[#This Row],[Player1]],tbResults[[#This Row],[Player2]])</f>
        <v>Garpy</v>
      </c>
      <c r="W269" s="48" t="str">
        <f>IF(tbResults[[#This Row],[Player1 Score]]&gt;tbResults[[#This Row],[Player2 Score]],tbResults[[#This Row],[Player2]],tbResults[[#This Row],[Player1]])</f>
        <v>coollerz</v>
      </c>
      <c r="X269" s="11" t="str">
        <f>IF(tbResults[[#This Row],[Winner]]=tbResults[[#This Row],[Player1]],tbResults[[#This Row],[Player1 Pick]],tbResults[[#This Row],[Player2 Pick]])</f>
        <v>Eisen</v>
      </c>
      <c r="Y269" s="11" t="str">
        <f>IF(tbResults[[#This Row],[Loser]]=tbResults[[#This Row],[Player1]],tbResults[[#This Row],[Player1 Pick]],tbResults[[#This Row],[Player2 Pick]])</f>
        <v>Keel</v>
      </c>
      <c r="Z269" s="32">
        <f>SUM(tbResults[[#This Row],[Player1 Score]],tbResults[[#This Row],[Player2 Score]])</f>
        <v>11</v>
      </c>
      <c r="AA269" s="32">
        <f>ABS(tbResults[[#This Row],[Player1 Score]]-tbResults[[#This Row],[Player2 Score]])</f>
        <v>3</v>
      </c>
      <c r="AB269" s="37">
        <f>IF(tbResults[[#This Row],[Player1 Score]]&gt;tbResults[[#This Row],[Player2 Score]],tbResults[[#This Row],[Player1 Score]],tbResults[[#This Row],[Player2 Score]])</f>
        <v>7</v>
      </c>
      <c r="AC269" s="37">
        <f>IF(tbResults[[#This Row],[Player1 Score]]&lt;tbResults[[#This Row],[Player2 Score]],tbResults[[#This Row],[Player1 Score]],tbResults[[#This Row],[Player2 Score]])</f>
        <v>4</v>
      </c>
    </row>
    <row r="270" spans="2:29" ht="30" customHeight="1" x14ac:dyDescent="0.3">
      <c r="B270" s="20" t="str">
        <f>_xlfn.CONCAT(tbResults[[#This Row],[Series Title]],".",tbResults[[#This Row],[Game]])</f>
        <v>2.2.07.04.3</v>
      </c>
      <c r="C270" s="15">
        <v>2</v>
      </c>
      <c r="D270" s="15">
        <v>2</v>
      </c>
      <c r="E270" s="15">
        <v>7</v>
      </c>
      <c r="F270" s="15">
        <v>4</v>
      </c>
      <c r="G270" s="15">
        <v>3</v>
      </c>
      <c r="H270" s="19" t="str">
        <f>_xlfn.CONCAT(tbResults[[#This Row],[Season]],".",tbResults[[#This Row],[Stage]])</f>
        <v>2.2</v>
      </c>
      <c r="I270" s="19" t="str">
        <f>_xlfn.CONCAT(tbResults[[#This Row],[Season]],".",tbResults[[#This Row],[Stage]],".",TEXT(tbResults[[#This Row],[Week]],"00"))</f>
        <v>2.2.07</v>
      </c>
      <c r="J270" s="19" t="str">
        <f>_xlfn.CONCAT(tbResults[[#This Row],[Week Title]],".",TEXT(tbResults[[#This Row],[Match]],"00"))</f>
        <v>2.2.07.04</v>
      </c>
      <c r="K270" s="20" t="str">
        <f>_xlfn.CONCAT(tbResults[[#This Row],[Game Title]], " ", tbResults[[#This Row],[Player1]], " vs ", tbResults[[#This Row],[Player2]] )</f>
        <v>2.2.07.04.3 coollerz vs Garpy</v>
      </c>
      <c r="L270" s="6" t="s">
        <v>48</v>
      </c>
      <c r="M270" s="6" t="s">
        <v>101</v>
      </c>
      <c r="N270" s="6" t="s">
        <v>26</v>
      </c>
      <c r="O270" s="6" t="s">
        <v>39</v>
      </c>
      <c r="P270" s="6" t="s">
        <v>21</v>
      </c>
      <c r="Q270" s="8">
        <v>9</v>
      </c>
      <c r="R270" s="8">
        <v>6</v>
      </c>
      <c r="S270" s="8" t="s">
        <v>81</v>
      </c>
      <c r="T270" s="16" t="s">
        <v>101</v>
      </c>
      <c r="U270" s="16" t="s">
        <v>36</v>
      </c>
      <c r="V270" s="46" t="str">
        <f>IF(tbResults[[#This Row],[Player1 Score]]&gt;tbResults[[#This Row],[Player2 Score]],tbResults[[#This Row],[Player1]],tbResults[[#This Row],[Player2]])</f>
        <v>coollerz</v>
      </c>
      <c r="W270" s="48" t="str">
        <f>IF(tbResults[[#This Row],[Player1 Score]]&gt;tbResults[[#This Row],[Player2 Score]],tbResults[[#This Row],[Player2]],tbResults[[#This Row],[Player1]])</f>
        <v>Garpy</v>
      </c>
      <c r="X270" s="11" t="str">
        <f>IF(tbResults[[#This Row],[Winner]]=tbResults[[#This Row],[Player1]],tbResults[[#This Row],[Player1 Pick]],tbResults[[#This Row],[Player2 Pick]])</f>
        <v>Anarki</v>
      </c>
      <c r="Y270" s="11" t="str">
        <f>IF(tbResults[[#This Row],[Loser]]=tbResults[[#This Row],[Player1]],tbResults[[#This Row],[Player1 Pick]],tbResults[[#This Row],[Player2 Pick]])</f>
        <v>Ranger</v>
      </c>
      <c r="Z270" s="32">
        <f>SUM(tbResults[[#This Row],[Player1 Score]],tbResults[[#This Row],[Player2 Score]])</f>
        <v>15</v>
      </c>
      <c r="AA270" s="32">
        <f>ABS(tbResults[[#This Row],[Player1 Score]]-tbResults[[#This Row],[Player2 Score]])</f>
        <v>3</v>
      </c>
      <c r="AB270" s="37">
        <f>IF(tbResults[[#This Row],[Player1 Score]]&gt;tbResults[[#This Row],[Player2 Score]],tbResults[[#This Row],[Player1 Score]],tbResults[[#This Row],[Player2 Score]])</f>
        <v>9</v>
      </c>
      <c r="AC270" s="37">
        <f>IF(tbResults[[#This Row],[Player1 Score]]&lt;tbResults[[#This Row],[Player2 Score]],tbResults[[#This Row],[Player1 Score]],tbResults[[#This Row],[Player2 Score]])</f>
        <v>6</v>
      </c>
    </row>
    <row r="271" spans="2:29" ht="30" customHeight="1" x14ac:dyDescent="0.3">
      <c r="B271" s="20" t="str">
        <f>_xlfn.CONCAT(tbResults[[#This Row],[Series Title]],".",tbResults[[#This Row],[Game]])</f>
        <v>2.2.07.05.1</v>
      </c>
      <c r="C271" s="15">
        <v>2</v>
      </c>
      <c r="D271" s="15">
        <v>2</v>
      </c>
      <c r="E271" s="15">
        <v>7</v>
      </c>
      <c r="F271" s="15">
        <v>5</v>
      </c>
      <c r="G271" s="15">
        <v>1</v>
      </c>
      <c r="H271" s="19" t="str">
        <f>_xlfn.CONCAT(tbResults[[#This Row],[Season]],".",tbResults[[#This Row],[Stage]])</f>
        <v>2.2</v>
      </c>
      <c r="I271" s="19" t="str">
        <f>_xlfn.CONCAT(tbResults[[#This Row],[Season]],".",tbResults[[#This Row],[Stage]],".",TEXT(tbResults[[#This Row],[Week]],"00"))</f>
        <v>2.2.07</v>
      </c>
      <c r="J271" s="19" t="str">
        <f>_xlfn.CONCAT(tbResults[[#This Row],[Week Title]],".",TEXT(tbResults[[#This Row],[Match]],"00"))</f>
        <v>2.2.07.05</v>
      </c>
      <c r="K271" s="20" t="str">
        <f>_xlfn.CONCAT(tbResults[[#This Row],[Game Title]], " ", tbResults[[#This Row],[Player1]], " vs ", tbResults[[#This Row],[Player2]] )</f>
        <v>2.2.07.05.1 dramis vs Zenaku</v>
      </c>
      <c r="L271" s="6" t="s">
        <v>188</v>
      </c>
      <c r="M271" s="6" t="s">
        <v>29</v>
      </c>
      <c r="N271" s="6" t="s">
        <v>26</v>
      </c>
      <c r="O271" s="6" t="s">
        <v>22</v>
      </c>
      <c r="P271" s="6" t="s">
        <v>25</v>
      </c>
      <c r="Q271" s="8">
        <v>11</v>
      </c>
      <c r="R271" s="8">
        <v>12</v>
      </c>
      <c r="S271" s="8" t="s">
        <v>81</v>
      </c>
      <c r="T271" s="16" t="s">
        <v>29</v>
      </c>
      <c r="U271" s="16" t="s">
        <v>44</v>
      </c>
      <c r="V271" s="46" t="str">
        <f>IF(tbResults[[#This Row],[Player1 Score]]&gt;tbResults[[#This Row],[Player2 Score]],tbResults[[#This Row],[Player1]],tbResults[[#This Row],[Player2]])</f>
        <v>Zenaku</v>
      </c>
      <c r="W271" s="48" t="str">
        <f>IF(tbResults[[#This Row],[Player1 Score]]&gt;tbResults[[#This Row],[Player2 Score]],tbResults[[#This Row],[Player2]],tbResults[[#This Row],[Player1]])</f>
        <v>dramis</v>
      </c>
      <c r="X271" s="11" t="str">
        <f>IF(tbResults[[#This Row],[Winner]]=tbResults[[#This Row],[Player1]],tbResults[[#This Row],[Player1 Pick]],tbResults[[#This Row],[Player2 Pick]])</f>
        <v>Sorlag</v>
      </c>
      <c r="Y271" s="11" t="str">
        <f>IF(tbResults[[#This Row],[Loser]]=tbResults[[#This Row],[Player1]],tbResults[[#This Row],[Player1 Pick]],tbResults[[#This Row],[Player2 Pick]])</f>
        <v>Strogg</v>
      </c>
      <c r="Z271" s="32">
        <f>SUM(tbResults[[#This Row],[Player1 Score]],tbResults[[#This Row],[Player2 Score]])</f>
        <v>23</v>
      </c>
      <c r="AA271" s="32">
        <f>ABS(tbResults[[#This Row],[Player1 Score]]-tbResults[[#This Row],[Player2 Score]])</f>
        <v>1</v>
      </c>
      <c r="AB271" s="37">
        <f>IF(tbResults[[#This Row],[Player1 Score]]&gt;tbResults[[#This Row],[Player2 Score]],tbResults[[#This Row],[Player1 Score]],tbResults[[#This Row],[Player2 Score]])</f>
        <v>12</v>
      </c>
      <c r="AC271" s="37">
        <f>IF(tbResults[[#This Row],[Player1 Score]]&lt;tbResults[[#This Row],[Player2 Score]],tbResults[[#This Row],[Player1 Score]],tbResults[[#This Row],[Player2 Score]])</f>
        <v>11</v>
      </c>
    </row>
    <row r="272" spans="2:29" ht="30" customHeight="1" x14ac:dyDescent="0.3">
      <c r="B272" s="20" t="str">
        <f>_xlfn.CONCAT(tbResults[[#This Row],[Series Title]],".",tbResults[[#This Row],[Game]])</f>
        <v>2.2.07.05.2</v>
      </c>
      <c r="C272" s="15">
        <v>2</v>
      </c>
      <c r="D272" s="15">
        <v>2</v>
      </c>
      <c r="E272" s="15">
        <v>7</v>
      </c>
      <c r="F272" s="15">
        <v>5</v>
      </c>
      <c r="G272" s="15">
        <v>2</v>
      </c>
      <c r="H272" s="19" t="str">
        <f>_xlfn.CONCAT(tbResults[[#This Row],[Season]],".",tbResults[[#This Row],[Stage]])</f>
        <v>2.2</v>
      </c>
      <c r="I272" s="19" t="str">
        <f>_xlfn.CONCAT(tbResults[[#This Row],[Season]],".",tbResults[[#This Row],[Stage]],".",TEXT(tbResults[[#This Row],[Week]],"00"))</f>
        <v>2.2.07</v>
      </c>
      <c r="J272" s="19" t="str">
        <f>_xlfn.CONCAT(tbResults[[#This Row],[Week Title]],".",TEXT(tbResults[[#This Row],[Match]],"00"))</f>
        <v>2.2.07.05</v>
      </c>
      <c r="K272" s="20" t="str">
        <f>_xlfn.CONCAT(tbResults[[#This Row],[Game Title]], " ", tbResults[[#This Row],[Player1]], " vs ", tbResults[[#This Row],[Player2]] )</f>
        <v>2.2.07.05.2 dramis vs Zenaku</v>
      </c>
      <c r="L272" s="6" t="s">
        <v>188</v>
      </c>
      <c r="M272" s="6" t="s">
        <v>29</v>
      </c>
      <c r="N272" s="6" t="s">
        <v>33</v>
      </c>
      <c r="O272" s="6" t="s">
        <v>39</v>
      </c>
      <c r="P272" s="6" t="s">
        <v>35</v>
      </c>
      <c r="Q272" s="8">
        <v>5</v>
      </c>
      <c r="R272" s="8">
        <v>14</v>
      </c>
      <c r="S272" s="8" t="s">
        <v>81</v>
      </c>
      <c r="T272" s="16" t="s">
        <v>12</v>
      </c>
      <c r="U272" s="16" t="s">
        <v>27</v>
      </c>
      <c r="V272" s="46" t="str">
        <f>IF(tbResults[[#This Row],[Player1 Score]]&gt;tbResults[[#This Row],[Player2 Score]],tbResults[[#This Row],[Player1]],tbResults[[#This Row],[Player2]])</f>
        <v>Zenaku</v>
      </c>
      <c r="W272" s="48" t="str">
        <f>IF(tbResults[[#This Row],[Player1 Score]]&gt;tbResults[[#This Row],[Player2 Score]],tbResults[[#This Row],[Player2]],tbResults[[#This Row],[Player1]])</f>
        <v>dramis</v>
      </c>
      <c r="X272" s="11" t="str">
        <f>IF(tbResults[[#This Row],[Winner]]=tbResults[[#This Row],[Player1]],tbResults[[#This Row],[Player1 Pick]],tbResults[[#This Row],[Player2 Pick]])</f>
        <v>Doom</v>
      </c>
      <c r="Y272" s="11" t="str">
        <f>IF(tbResults[[#This Row],[Loser]]=tbResults[[#This Row],[Player1]],tbResults[[#This Row],[Player1 Pick]],tbResults[[#This Row],[Player2 Pick]])</f>
        <v>Anarki</v>
      </c>
      <c r="Z272" s="32">
        <f>SUM(tbResults[[#This Row],[Player1 Score]],tbResults[[#This Row],[Player2 Score]])</f>
        <v>19</v>
      </c>
      <c r="AA272" s="32">
        <f>ABS(tbResults[[#This Row],[Player1 Score]]-tbResults[[#This Row],[Player2 Score]])</f>
        <v>9</v>
      </c>
      <c r="AB272" s="37">
        <f>IF(tbResults[[#This Row],[Player1 Score]]&gt;tbResults[[#This Row],[Player2 Score]],tbResults[[#This Row],[Player1 Score]],tbResults[[#This Row],[Player2 Score]])</f>
        <v>14</v>
      </c>
      <c r="AC272" s="37">
        <f>IF(tbResults[[#This Row],[Player1 Score]]&lt;tbResults[[#This Row],[Player2 Score]],tbResults[[#This Row],[Player1 Score]],tbResults[[#This Row],[Player2 Score]])</f>
        <v>5</v>
      </c>
    </row>
    <row r="273" spans="2:29" ht="30" customHeight="1" x14ac:dyDescent="0.3">
      <c r="B273" s="20" t="str">
        <f>_xlfn.CONCAT(tbResults[[#This Row],[Series Title]],".",tbResults[[#This Row],[Game]])</f>
        <v>2.2.07.05.3</v>
      </c>
      <c r="C273" s="15">
        <v>2</v>
      </c>
      <c r="D273" s="15">
        <v>2</v>
      </c>
      <c r="E273" s="15">
        <v>7</v>
      </c>
      <c r="F273" s="15">
        <v>5</v>
      </c>
      <c r="G273" s="15">
        <v>3</v>
      </c>
      <c r="H273" s="19" t="str">
        <f>_xlfn.CONCAT(tbResults[[#This Row],[Season]],".",tbResults[[#This Row],[Stage]])</f>
        <v>2.2</v>
      </c>
      <c r="I273" s="19" t="str">
        <f>_xlfn.CONCAT(tbResults[[#This Row],[Season]],".",tbResults[[#This Row],[Stage]],".",TEXT(tbResults[[#This Row],[Week]],"00"))</f>
        <v>2.2.07</v>
      </c>
      <c r="J273" s="19" t="str">
        <f>_xlfn.CONCAT(tbResults[[#This Row],[Week Title]],".",TEXT(tbResults[[#This Row],[Match]],"00"))</f>
        <v>2.2.07.05</v>
      </c>
      <c r="K273" s="20" t="str">
        <f>_xlfn.CONCAT(tbResults[[#This Row],[Game Title]], " ", tbResults[[#This Row],[Player1]], " vs ", tbResults[[#This Row],[Player2]] )</f>
        <v>2.2.07.05.3 dramis vs Zenaku</v>
      </c>
      <c r="L273" s="6" t="s">
        <v>188</v>
      </c>
      <c r="M273" s="6" t="s">
        <v>29</v>
      </c>
      <c r="N273" s="6" t="s">
        <v>43</v>
      </c>
      <c r="O273" s="6" t="s">
        <v>21</v>
      </c>
      <c r="P273" s="6" t="s">
        <v>34</v>
      </c>
      <c r="Q273" s="8">
        <v>7</v>
      </c>
      <c r="R273" s="8">
        <v>5</v>
      </c>
      <c r="S273" s="8" t="s">
        <v>81</v>
      </c>
      <c r="T273" s="16" t="s">
        <v>29</v>
      </c>
      <c r="U273" s="16" t="s">
        <v>37</v>
      </c>
      <c r="V273" s="46" t="str">
        <f>IF(tbResults[[#This Row],[Player1 Score]]&gt;tbResults[[#This Row],[Player2 Score]],tbResults[[#This Row],[Player1]],tbResults[[#This Row],[Player2]])</f>
        <v>dramis</v>
      </c>
      <c r="W273" s="48" t="str">
        <f>IF(tbResults[[#This Row],[Player1 Score]]&gt;tbResults[[#This Row],[Player2 Score]],tbResults[[#This Row],[Player2]],tbResults[[#This Row],[Player1]])</f>
        <v>Zenaku</v>
      </c>
      <c r="X273" s="11" t="str">
        <f>IF(tbResults[[#This Row],[Winner]]=tbResults[[#This Row],[Player1]],tbResults[[#This Row],[Player1 Pick]],tbResults[[#This Row],[Player2 Pick]])</f>
        <v>Ranger</v>
      </c>
      <c r="Y273" s="11" t="str">
        <f>IF(tbResults[[#This Row],[Loser]]=tbResults[[#This Row],[Player1]],tbResults[[#This Row],[Player1 Pick]],tbResults[[#This Row],[Player2 Pick]])</f>
        <v>Galena</v>
      </c>
      <c r="Z273" s="32">
        <f>SUM(tbResults[[#This Row],[Player1 Score]],tbResults[[#This Row],[Player2 Score]])</f>
        <v>12</v>
      </c>
      <c r="AA273" s="32">
        <f>ABS(tbResults[[#This Row],[Player1 Score]]-tbResults[[#This Row],[Player2 Score]])</f>
        <v>2</v>
      </c>
      <c r="AB273" s="37">
        <f>IF(tbResults[[#This Row],[Player1 Score]]&gt;tbResults[[#This Row],[Player2 Score]],tbResults[[#This Row],[Player1 Score]],tbResults[[#This Row],[Player2 Score]])</f>
        <v>7</v>
      </c>
      <c r="AC273" s="37">
        <f>IF(tbResults[[#This Row],[Player1 Score]]&lt;tbResults[[#This Row],[Player2 Score]],tbResults[[#This Row],[Player1 Score]],tbResults[[#This Row],[Player2 Score]])</f>
        <v>5</v>
      </c>
    </row>
    <row r="274" spans="2:29" ht="30" customHeight="1" x14ac:dyDescent="0.3">
      <c r="B274" s="20" t="str">
        <f>_xlfn.CONCAT(tbResults[[#This Row],[Series Title]],".",tbResults[[#This Row],[Game]])</f>
        <v>2.2.07.06.1</v>
      </c>
      <c r="C274" s="15">
        <v>2</v>
      </c>
      <c r="D274" s="15">
        <v>2</v>
      </c>
      <c r="E274" s="15">
        <v>7</v>
      </c>
      <c r="F274" s="15">
        <v>6</v>
      </c>
      <c r="G274" s="15">
        <v>1</v>
      </c>
      <c r="H274" s="19" t="str">
        <f>_xlfn.CONCAT(tbResults[[#This Row],[Season]],".",tbResults[[#This Row],[Stage]])</f>
        <v>2.2</v>
      </c>
      <c r="I274" s="19" t="str">
        <f>_xlfn.CONCAT(tbResults[[#This Row],[Season]],".",tbResults[[#This Row],[Stage]],".",TEXT(tbResults[[#This Row],[Week]],"00"))</f>
        <v>2.2.07</v>
      </c>
      <c r="J274" s="19" t="str">
        <f>_xlfn.CONCAT(tbResults[[#This Row],[Week Title]],".",TEXT(tbResults[[#This Row],[Match]],"00"))</f>
        <v>2.2.07.06</v>
      </c>
      <c r="K274" s="20" t="str">
        <f>_xlfn.CONCAT(tbResults[[#This Row],[Game Title]], " ", tbResults[[#This Row],[Player1]], " vs ", tbResults[[#This Row],[Player2]] )</f>
        <v>2.2.07.06.1 Rapha vs Effortless</v>
      </c>
      <c r="L274" s="6" t="s">
        <v>47</v>
      </c>
      <c r="M274" s="6" t="s">
        <v>6</v>
      </c>
      <c r="N274" s="6" t="s">
        <v>43</v>
      </c>
      <c r="O274" s="6" t="s">
        <v>44</v>
      </c>
      <c r="P274" s="6" t="s">
        <v>34</v>
      </c>
      <c r="Q274" s="8">
        <v>12</v>
      </c>
      <c r="R274" s="8">
        <v>3</v>
      </c>
      <c r="S274" s="8" t="s">
        <v>81</v>
      </c>
      <c r="U274" s="16"/>
      <c r="V274" s="46" t="str">
        <f>IF(tbResults[[#This Row],[Player1 Score]]&gt;tbResults[[#This Row],[Player2 Score]],tbResults[[#This Row],[Player1]],tbResults[[#This Row],[Player2]])</f>
        <v>Rapha</v>
      </c>
      <c r="W274" s="48" t="str">
        <f>IF(tbResults[[#This Row],[Player1 Score]]&gt;tbResults[[#This Row],[Player2 Score]],tbResults[[#This Row],[Player2]],tbResults[[#This Row],[Player1]])</f>
        <v>Effortless</v>
      </c>
      <c r="X274" s="11" t="str">
        <f>IF(tbResults[[#This Row],[Winner]]=tbResults[[#This Row],[Player1]],tbResults[[#This Row],[Player1 Pick]],tbResults[[#This Row],[Player2 Pick]])</f>
        <v>Scalebearer</v>
      </c>
      <c r="Y274" s="11" t="str">
        <f>IF(tbResults[[#This Row],[Loser]]=tbResults[[#This Row],[Player1]],tbResults[[#This Row],[Player1 Pick]],tbResults[[#This Row],[Player2 Pick]])</f>
        <v>Galena</v>
      </c>
      <c r="Z274" s="32">
        <f>SUM(tbResults[[#This Row],[Player1 Score]],tbResults[[#This Row],[Player2 Score]])</f>
        <v>15</v>
      </c>
      <c r="AA274" s="32">
        <f>ABS(tbResults[[#This Row],[Player1 Score]]-tbResults[[#This Row],[Player2 Score]])</f>
        <v>9</v>
      </c>
      <c r="AB274" s="37">
        <f>IF(tbResults[[#This Row],[Player1 Score]]&gt;tbResults[[#This Row],[Player2 Score]],tbResults[[#This Row],[Player1 Score]],tbResults[[#This Row],[Player2 Score]])</f>
        <v>12</v>
      </c>
      <c r="AC274" s="37">
        <f>IF(tbResults[[#This Row],[Player1 Score]]&lt;tbResults[[#This Row],[Player2 Score]],tbResults[[#This Row],[Player1 Score]],tbResults[[#This Row],[Player2 Score]])</f>
        <v>3</v>
      </c>
    </row>
    <row r="275" spans="2:29" ht="30" customHeight="1" x14ac:dyDescent="0.3">
      <c r="B275" s="20" t="str">
        <f>_xlfn.CONCAT(tbResults[[#This Row],[Series Title]],".",tbResults[[#This Row],[Game]])</f>
        <v>2.2.07.06.2</v>
      </c>
      <c r="C275" s="15">
        <v>2</v>
      </c>
      <c r="D275" s="15">
        <v>2</v>
      </c>
      <c r="E275" s="15">
        <v>7</v>
      </c>
      <c r="F275" s="15">
        <v>6</v>
      </c>
      <c r="G275" s="15">
        <v>2</v>
      </c>
      <c r="H275" s="19" t="str">
        <f>_xlfn.CONCAT(tbResults[[#This Row],[Season]],".",tbResults[[#This Row],[Stage]])</f>
        <v>2.2</v>
      </c>
      <c r="I275" s="19" t="str">
        <f>_xlfn.CONCAT(tbResults[[#This Row],[Season]],".",tbResults[[#This Row],[Stage]],".",TEXT(tbResults[[#This Row],[Week]],"00"))</f>
        <v>2.2.07</v>
      </c>
      <c r="J275" s="19" t="str">
        <f>_xlfn.CONCAT(tbResults[[#This Row],[Week Title]],".",TEXT(tbResults[[#This Row],[Match]],"00"))</f>
        <v>2.2.07.06</v>
      </c>
      <c r="K275" s="20" t="str">
        <f>_xlfn.CONCAT(tbResults[[#This Row],[Game Title]], " ", tbResults[[#This Row],[Player1]], " vs ", tbResults[[#This Row],[Player2]] )</f>
        <v>2.2.07.06.2 Rapha vs Effortless</v>
      </c>
      <c r="L275" s="6" t="s">
        <v>47</v>
      </c>
      <c r="M275" s="6" t="s">
        <v>6</v>
      </c>
      <c r="N275" s="6" t="s">
        <v>32</v>
      </c>
      <c r="O275" s="6" t="s">
        <v>37</v>
      </c>
      <c r="P275" s="6" t="s">
        <v>21</v>
      </c>
      <c r="Q275" s="8">
        <v>13</v>
      </c>
      <c r="R275" s="8">
        <v>5</v>
      </c>
      <c r="S275" s="8" t="s">
        <v>81</v>
      </c>
      <c r="U275" s="16"/>
      <c r="V275" s="46" t="str">
        <f>IF(tbResults[[#This Row],[Player1 Score]]&gt;tbResults[[#This Row],[Player2 Score]],tbResults[[#This Row],[Player1]],tbResults[[#This Row],[Player2]])</f>
        <v>Rapha</v>
      </c>
      <c r="W275" s="48" t="str">
        <f>IF(tbResults[[#This Row],[Player1 Score]]&gt;tbResults[[#This Row],[Player2 Score]],tbResults[[#This Row],[Player2]],tbResults[[#This Row],[Player1]])</f>
        <v>Effortless</v>
      </c>
      <c r="X275" s="11" t="str">
        <f>IF(tbResults[[#This Row],[Winner]]=tbResults[[#This Row],[Player1]],tbResults[[#This Row],[Player1 Pick]],tbResults[[#This Row],[Player2 Pick]])</f>
        <v>Eisen</v>
      </c>
      <c r="Y275" s="11" t="str">
        <f>IF(tbResults[[#This Row],[Loser]]=tbResults[[#This Row],[Player1]],tbResults[[#This Row],[Player1 Pick]],tbResults[[#This Row],[Player2 Pick]])</f>
        <v>Ranger</v>
      </c>
      <c r="Z275" s="32">
        <f>SUM(tbResults[[#This Row],[Player1 Score]],tbResults[[#This Row],[Player2 Score]])</f>
        <v>18</v>
      </c>
      <c r="AA275" s="32">
        <f>ABS(tbResults[[#This Row],[Player1 Score]]-tbResults[[#This Row],[Player2 Score]])</f>
        <v>8</v>
      </c>
      <c r="AB275" s="37">
        <f>IF(tbResults[[#This Row],[Player1 Score]]&gt;tbResults[[#This Row],[Player2 Score]],tbResults[[#This Row],[Player1 Score]],tbResults[[#This Row],[Player2 Score]])</f>
        <v>13</v>
      </c>
      <c r="AC275" s="37">
        <f>IF(tbResults[[#This Row],[Player1 Score]]&lt;tbResults[[#This Row],[Player2 Score]],tbResults[[#This Row],[Player1 Score]],tbResults[[#This Row],[Player2 Score]])</f>
        <v>5</v>
      </c>
    </row>
    <row r="276" spans="2:29" ht="30" customHeight="1" x14ac:dyDescent="0.3">
      <c r="B276" s="20" t="str">
        <f>_xlfn.CONCAT(tbResults[[#This Row],[Series Title]],".",tbResults[[#This Row],[Game]])</f>
        <v>2.2.07.06.3</v>
      </c>
      <c r="C276" s="15">
        <v>2</v>
      </c>
      <c r="D276" s="15">
        <v>2</v>
      </c>
      <c r="E276" s="15">
        <v>7</v>
      </c>
      <c r="F276" s="15">
        <v>6</v>
      </c>
      <c r="G276" s="15">
        <v>3</v>
      </c>
      <c r="H276" s="19" t="str">
        <f>_xlfn.CONCAT(tbResults[[#This Row],[Season]],".",tbResults[[#This Row],[Stage]])</f>
        <v>2.2</v>
      </c>
      <c r="I276" s="19" t="str">
        <f>_xlfn.CONCAT(tbResults[[#This Row],[Season]],".",tbResults[[#This Row],[Stage]],".",TEXT(tbResults[[#This Row],[Week]],"00"))</f>
        <v>2.2.07</v>
      </c>
      <c r="J276" s="19" t="str">
        <f>_xlfn.CONCAT(tbResults[[#This Row],[Week Title]],".",TEXT(tbResults[[#This Row],[Match]],"00"))</f>
        <v>2.2.07.06</v>
      </c>
      <c r="K276" s="20" t="str">
        <f>_xlfn.CONCAT(tbResults[[#This Row],[Game Title]], " ", tbResults[[#This Row],[Player1]], " vs ", tbResults[[#This Row],[Player2]] )</f>
        <v>2.2.07.06.3 Rapha vs Effortless</v>
      </c>
      <c r="L276" s="6" t="s">
        <v>47</v>
      </c>
      <c r="M276" s="6" t="s">
        <v>6</v>
      </c>
      <c r="N276" s="6" t="s">
        <v>19</v>
      </c>
      <c r="O276" s="6" t="s">
        <v>55</v>
      </c>
      <c r="P276" s="6" t="s">
        <v>22</v>
      </c>
      <c r="Q276" s="8">
        <v>14</v>
      </c>
      <c r="R276" s="8">
        <v>5</v>
      </c>
      <c r="S276" s="8" t="s">
        <v>81</v>
      </c>
      <c r="U276" s="16"/>
      <c r="V276" s="46" t="str">
        <f>IF(tbResults[[#This Row],[Player1 Score]]&gt;tbResults[[#This Row],[Player2 Score]],tbResults[[#This Row],[Player1]],tbResults[[#This Row],[Player2]])</f>
        <v>Rapha</v>
      </c>
      <c r="W276" s="48" t="str">
        <f>IF(tbResults[[#This Row],[Player1 Score]]&gt;tbResults[[#This Row],[Player2 Score]],tbResults[[#This Row],[Player2]],tbResults[[#This Row],[Player1]])</f>
        <v>Effortless</v>
      </c>
      <c r="X276" s="11" t="str">
        <f>IF(tbResults[[#This Row],[Winner]]=tbResults[[#This Row],[Player1]],tbResults[[#This Row],[Player1 Pick]],tbResults[[#This Row],[Player2 Pick]])</f>
        <v>Athena</v>
      </c>
      <c r="Y276" s="11" t="str">
        <f>IF(tbResults[[#This Row],[Loser]]=tbResults[[#This Row],[Player1]],tbResults[[#This Row],[Player1 Pick]],tbResults[[#This Row],[Player2 Pick]])</f>
        <v>Strogg</v>
      </c>
      <c r="Z276" s="32">
        <f>SUM(tbResults[[#This Row],[Player1 Score]],tbResults[[#This Row],[Player2 Score]])</f>
        <v>19</v>
      </c>
      <c r="AA276" s="32">
        <f>ABS(tbResults[[#This Row],[Player1 Score]]-tbResults[[#This Row],[Player2 Score]])</f>
        <v>9</v>
      </c>
      <c r="AB276" s="37">
        <f>IF(tbResults[[#This Row],[Player1 Score]]&gt;tbResults[[#This Row],[Player2 Score]],tbResults[[#This Row],[Player1 Score]],tbResults[[#This Row],[Player2 Score]])</f>
        <v>14</v>
      </c>
      <c r="AC276" s="37">
        <f>IF(tbResults[[#This Row],[Player1 Score]]&lt;tbResults[[#This Row],[Player2 Score]],tbResults[[#This Row],[Player1 Score]],tbResults[[#This Row],[Player2 Score]])</f>
        <v>5</v>
      </c>
    </row>
    <row r="277" spans="2:29" ht="30" customHeight="1" x14ac:dyDescent="0.3">
      <c r="B277" s="20" t="str">
        <f>_xlfn.CONCAT(tbResults[[#This Row],[Series Title]],".",tbResults[[#This Row],[Game]])</f>
        <v>2.2.08.01.1</v>
      </c>
      <c r="C277" s="15">
        <v>2</v>
      </c>
      <c r="D277" s="15">
        <v>2</v>
      </c>
      <c r="E277" s="15">
        <v>8</v>
      </c>
      <c r="F277" s="15">
        <v>1</v>
      </c>
      <c r="G277" s="15">
        <v>1</v>
      </c>
      <c r="H277" s="19" t="str">
        <f>_xlfn.CONCAT(tbResults[[#This Row],[Season]],".",tbResults[[#This Row],[Stage]])</f>
        <v>2.2</v>
      </c>
      <c r="I277" s="19" t="str">
        <f>_xlfn.CONCAT(tbResults[[#This Row],[Season]],".",tbResults[[#This Row],[Stage]],".",TEXT(tbResults[[#This Row],[Week]],"00"))</f>
        <v>2.2.08</v>
      </c>
      <c r="J277" s="19" t="str">
        <f>_xlfn.CONCAT(tbResults[[#This Row],[Week Title]],".",TEXT(tbResults[[#This Row],[Match]],"00"))</f>
        <v>2.2.08.01</v>
      </c>
      <c r="K277" s="20" t="str">
        <f>_xlfn.CONCAT(tbResults[[#This Row],[Game Title]], " ", tbResults[[#This Row],[Player1]], " vs ", tbResults[[#This Row],[Player2]] )</f>
        <v>2.2.08.01.1 cnz vs Base</v>
      </c>
      <c r="L277" s="6" t="s">
        <v>54</v>
      </c>
      <c r="M277" s="6" t="s">
        <v>51</v>
      </c>
      <c r="N277" s="6" t="s">
        <v>40</v>
      </c>
      <c r="O277" s="6" t="s">
        <v>25</v>
      </c>
      <c r="P277" s="38" t="s">
        <v>35</v>
      </c>
      <c r="Q277" s="8">
        <v>3</v>
      </c>
      <c r="R277" s="8">
        <v>4</v>
      </c>
      <c r="S277" s="8" t="s">
        <v>82</v>
      </c>
      <c r="T277" s="16" t="s">
        <v>51</v>
      </c>
      <c r="U277" s="16" t="s">
        <v>27</v>
      </c>
      <c r="V277" s="47" t="str">
        <f>IF(tbResults[[#This Row],[Player1 Score]]&gt;tbResults[[#This Row],[Player2 Score]],tbResults[[#This Row],[Player1]],tbResults[[#This Row],[Player2]])</f>
        <v>Base</v>
      </c>
      <c r="W277" s="49" t="str">
        <f>IF(tbResults[[#This Row],[Player1 Score]]&gt;tbResults[[#This Row],[Player2 Score]],tbResults[[#This Row],[Player2]],tbResults[[#This Row],[Player1]])</f>
        <v>cnz</v>
      </c>
      <c r="X277" s="39" t="str">
        <f>IF(tbResults[[#This Row],[Winner]]=tbResults[[#This Row],[Player1]],tbResults[[#This Row],[Player1 Pick]],tbResults[[#This Row],[Player2 Pick]])</f>
        <v>Doom</v>
      </c>
      <c r="Y277" s="39" t="str">
        <f>IF(tbResults[[#This Row],[Loser]]=tbResults[[#This Row],[Player1]],tbResults[[#This Row],[Player1 Pick]],tbResults[[#This Row],[Player2 Pick]])</f>
        <v>Sorlag</v>
      </c>
      <c r="Z277" s="37">
        <f>SUM(tbResults[[#This Row],[Player1 Score]],tbResults[[#This Row],[Player2 Score]])</f>
        <v>7</v>
      </c>
      <c r="AA277" s="37">
        <f>ABS(tbResults[[#This Row],[Player1 Score]]-tbResults[[#This Row],[Player2 Score]])</f>
        <v>1</v>
      </c>
      <c r="AB277" s="37">
        <f>IF(tbResults[[#This Row],[Player1 Score]]&gt;tbResults[[#This Row],[Player2 Score]],tbResults[[#This Row],[Player1 Score]],tbResults[[#This Row],[Player2 Score]])</f>
        <v>4</v>
      </c>
      <c r="AC277" s="37">
        <f>IF(tbResults[[#This Row],[Player1 Score]]&lt;tbResults[[#This Row],[Player2 Score]],tbResults[[#This Row],[Player1 Score]],tbResults[[#This Row],[Player2 Score]])</f>
        <v>3</v>
      </c>
    </row>
    <row r="278" spans="2:29" ht="30" customHeight="1" x14ac:dyDescent="0.3">
      <c r="B278" s="20" t="str">
        <f>_xlfn.CONCAT(tbResults[[#This Row],[Series Title]],".",tbResults[[#This Row],[Game]])</f>
        <v>2.2.08.01.2</v>
      </c>
      <c r="C278" s="15">
        <v>2</v>
      </c>
      <c r="D278" s="15">
        <v>2</v>
      </c>
      <c r="E278" s="15">
        <v>8</v>
      </c>
      <c r="F278" s="15">
        <v>1</v>
      </c>
      <c r="G278" s="15">
        <v>2</v>
      </c>
      <c r="H278" s="19" t="str">
        <f>_xlfn.CONCAT(tbResults[[#This Row],[Season]],".",tbResults[[#This Row],[Stage]])</f>
        <v>2.2</v>
      </c>
      <c r="I278" s="19" t="str">
        <f>_xlfn.CONCAT(tbResults[[#This Row],[Season]],".",tbResults[[#This Row],[Stage]],".",TEXT(tbResults[[#This Row],[Week]],"00"))</f>
        <v>2.2.08</v>
      </c>
      <c r="J278" s="19" t="str">
        <f>_xlfn.CONCAT(tbResults[[#This Row],[Week Title]],".",TEXT(tbResults[[#This Row],[Match]],"00"))</f>
        <v>2.2.08.01</v>
      </c>
      <c r="K278" s="20" t="str">
        <f>_xlfn.CONCAT(tbResults[[#This Row],[Game Title]], " ", tbResults[[#This Row],[Player1]], " vs ", tbResults[[#This Row],[Player2]] )</f>
        <v>2.2.08.01.2 cnz vs Base</v>
      </c>
      <c r="L278" s="6" t="s">
        <v>54</v>
      </c>
      <c r="M278" s="6" t="s">
        <v>51</v>
      </c>
      <c r="N278" s="6" t="s">
        <v>43</v>
      </c>
      <c r="O278" s="6" t="s">
        <v>37</v>
      </c>
      <c r="P278" s="38" t="s">
        <v>34</v>
      </c>
      <c r="Q278" s="8">
        <v>5</v>
      </c>
      <c r="R278" s="8">
        <v>3</v>
      </c>
      <c r="S278" s="8" t="s">
        <v>81</v>
      </c>
      <c r="T278" s="16" t="s">
        <v>54</v>
      </c>
      <c r="U278" s="16" t="s">
        <v>44</v>
      </c>
      <c r="V278" s="47" t="str">
        <f>IF(tbResults[[#This Row],[Player1 Score]]&gt;tbResults[[#This Row],[Player2 Score]],tbResults[[#This Row],[Player1]],tbResults[[#This Row],[Player2]])</f>
        <v>cnz</v>
      </c>
      <c r="W278" s="49" t="str">
        <f>IF(tbResults[[#This Row],[Player1 Score]]&gt;tbResults[[#This Row],[Player2 Score]],tbResults[[#This Row],[Player2]],tbResults[[#This Row],[Player1]])</f>
        <v>Base</v>
      </c>
      <c r="X278" s="39" t="str">
        <f>IF(tbResults[[#This Row],[Winner]]=tbResults[[#This Row],[Player1]],tbResults[[#This Row],[Player1 Pick]],tbResults[[#This Row],[Player2 Pick]])</f>
        <v>Eisen</v>
      </c>
      <c r="Y278" s="39" t="str">
        <f>IF(tbResults[[#This Row],[Loser]]=tbResults[[#This Row],[Player1]],tbResults[[#This Row],[Player1 Pick]],tbResults[[#This Row],[Player2 Pick]])</f>
        <v>Galena</v>
      </c>
      <c r="Z278" s="37">
        <f>SUM(tbResults[[#This Row],[Player1 Score]],tbResults[[#This Row],[Player2 Score]])</f>
        <v>8</v>
      </c>
      <c r="AA278" s="37">
        <f>ABS(tbResults[[#This Row],[Player1 Score]]-tbResults[[#This Row],[Player2 Score]])</f>
        <v>2</v>
      </c>
      <c r="AB278" s="37">
        <f>IF(tbResults[[#This Row],[Player1 Score]]&gt;tbResults[[#This Row],[Player2 Score]],tbResults[[#This Row],[Player1 Score]],tbResults[[#This Row],[Player2 Score]])</f>
        <v>5</v>
      </c>
      <c r="AC278" s="37">
        <f>IF(tbResults[[#This Row],[Player1 Score]]&lt;tbResults[[#This Row],[Player2 Score]],tbResults[[#This Row],[Player1 Score]],tbResults[[#This Row],[Player2 Score]])</f>
        <v>3</v>
      </c>
    </row>
    <row r="279" spans="2:29" ht="30" customHeight="1" x14ac:dyDescent="0.3">
      <c r="B279" s="20" t="str">
        <f>_xlfn.CONCAT(tbResults[[#This Row],[Series Title]],".",tbResults[[#This Row],[Game]])</f>
        <v>2.2.08.01.3</v>
      </c>
      <c r="C279" s="15">
        <v>2</v>
      </c>
      <c r="D279" s="15">
        <v>2</v>
      </c>
      <c r="E279" s="15">
        <v>8</v>
      </c>
      <c r="F279" s="15">
        <v>1</v>
      </c>
      <c r="G279" s="15">
        <v>3</v>
      </c>
      <c r="H279" s="19" t="str">
        <f>_xlfn.CONCAT(tbResults[[#This Row],[Season]],".",tbResults[[#This Row],[Stage]])</f>
        <v>2.2</v>
      </c>
      <c r="I279" s="19" t="str">
        <f>_xlfn.CONCAT(tbResults[[#This Row],[Season]],".",tbResults[[#This Row],[Stage]],".",TEXT(tbResults[[#This Row],[Week]],"00"))</f>
        <v>2.2.08</v>
      </c>
      <c r="J279" s="19" t="str">
        <f>_xlfn.CONCAT(tbResults[[#This Row],[Week Title]],".",TEXT(tbResults[[#This Row],[Match]],"00"))</f>
        <v>2.2.08.01</v>
      </c>
      <c r="K279" s="20" t="str">
        <f>_xlfn.CONCAT(tbResults[[#This Row],[Game Title]], " ", tbResults[[#This Row],[Player1]], " vs ", tbResults[[#This Row],[Player2]] )</f>
        <v>2.2.08.01.3 cnz vs Base</v>
      </c>
      <c r="L279" s="6" t="s">
        <v>54</v>
      </c>
      <c r="M279" s="6" t="s">
        <v>51</v>
      </c>
      <c r="N279" s="6" t="s">
        <v>19</v>
      </c>
      <c r="O279" s="6" t="s">
        <v>21</v>
      </c>
      <c r="P279" s="38" t="s">
        <v>25</v>
      </c>
      <c r="Q279" s="8">
        <v>6</v>
      </c>
      <c r="R279" s="8">
        <v>15</v>
      </c>
      <c r="S279" s="8" t="s">
        <v>81</v>
      </c>
      <c r="T279" s="16" t="s">
        <v>51</v>
      </c>
      <c r="U279" s="16" t="s">
        <v>55</v>
      </c>
      <c r="V279" s="47" t="str">
        <f>IF(tbResults[[#This Row],[Player1 Score]]&gt;tbResults[[#This Row],[Player2 Score]],tbResults[[#This Row],[Player1]],tbResults[[#This Row],[Player2]])</f>
        <v>Base</v>
      </c>
      <c r="W279" s="49" t="str">
        <f>IF(tbResults[[#This Row],[Player1 Score]]&gt;tbResults[[#This Row],[Player2 Score]],tbResults[[#This Row],[Player2]],tbResults[[#This Row],[Player1]])</f>
        <v>cnz</v>
      </c>
      <c r="X279" s="39" t="str">
        <f>IF(tbResults[[#This Row],[Winner]]=tbResults[[#This Row],[Player1]],tbResults[[#This Row],[Player1 Pick]],tbResults[[#This Row],[Player2 Pick]])</f>
        <v>Sorlag</v>
      </c>
      <c r="Y279" s="39" t="str">
        <f>IF(tbResults[[#This Row],[Loser]]=tbResults[[#This Row],[Player1]],tbResults[[#This Row],[Player1 Pick]],tbResults[[#This Row],[Player2 Pick]])</f>
        <v>Ranger</v>
      </c>
      <c r="Z279" s="37">
        <f>SUM(tbResults[[#This Row],[Player1 Score]],tbResults[[#This Row],[Player2 Score]])</f>
        <v>21</v>
      </c>
      <c r="AA279" s="37">
        <f>ABS(tbResults[[#This Row],[Player1 Score]]-tbResults[[#This Row],[Player2 Score]])</f>
        <v>9</v>
      </c>
      <c r="AB279" s="37">
        <f>IF(tbResults[[#This Row],[Player1 Score]]&gt;tbResults[[#This Row],[Player2 Score]],tbResults[[#This Row],[Player1 Score]],tbResults[[#This Row],[Player2 Score]])</f>
        <v>15</v>
      </c>
      <c r="AC279" s="37">
        <f>IF(tbResults[[#This Row],[Player1 Score]]&lt;tbResults[[#This Row],[Player2 Score]],tbResults[[#This Row],[Player1 Score]],tbResults[[#This Row],[Player2 Score]])</f>
        <v>6</v>
      </c>
    </row>
    <row r="280" spans="2:29" ht="30" customHeight="1" x14ac:dyDescent="0.3">
      <c r="B280" s="20" t="str">
        <f>_xlfn.CONCAT(tbResults[[#This Row],[Series Title]],".",tbResults[[#This Row],[Game]])</f>
        <v>2.2.08.02.1</v>
      </c>
      <c r="C280" s="15">
        <v>2</v>
      </c>
      <c r="D280" s="15">
        <v>2</v>
      </c>
      <c r="E280" s="15">
        <v>8</v>
      </c>
      <c r="F280" s="15">
        <v>2</v>
      </c>
      <c r="G280" s="15">
        <v>1</v>
      </c>
      <c r="H280" s="19" t="str">
        <f>_xlfn.CONCAT(tbResults[[#This Row],[Season]],".",tbResults[[#This Row],[Stage]])</f>
        <v>2.2</v>
      </c>
      <c r="I280" s="19" t="str">
        <f>_xlfn.CONCAT(tbResults[[#This Row],[Season]],".",tbResults[[#This Row],[Stage]],".",TEXT(tbResults[[#This Row],[Week]],"00"))</f>
        <v>2.2.08</v>
      </c>
      <c r="J280" s="19" t="str">
        <f>_xlfn.CONCAT(tbResults[[#This Row],[Week Title]],".",TEXT(tbResults[[#This Row],[Match]],"00"))</f>
        <v>2.2.08.02</v>
      </c>
      <c r="K280" s="20" t="str">
        <f>_xlfn.CONCAT(tbResults[[#This Row],[Game Title]], " ", tbResults[[#This Row],[Player1]], " vs ", tbResults[[#This Row],[Player2]] )</f>
        <v>2.2.08.02.1 Nosfa vs DaHanG</v>
      </c>
      <c r="L280" s="6" t="s">
        <v>11</v>
      </c>
      <c r="M280" s="6" t="s">
        <v>42</v>
      </c>
      <c r="N280" s="6" t="s">
        <v>23</v>
      </c>
      <c r="O280" s="6" t="s">
        <v>21</v>
      </c>
      <c r="P280" s="38" t="s">
        <v>36</v>
      </c>
      <c r="Q280" s="8">
        <v>4</v>
      </c>
      <c r="R280" s="8">
        <v>5</v>
      </c>
      <c r="S280" s="8" t="s">
        <v>81</v>
      </c>
      <c r="T280" s="16" t="s">
        <v>42</v>
      </c>
      <c r="U280" s="16" t="s">
        <v>22</v>
      </c>
      <c r="V280" s="47" t="str">
        <f>IF(tbResults[[#This Row],[Player1 Score]]&gt;tbResults[[#This Row],[Player2 Score]],tbResults[[#This Row],[Player1]],tbResults[[#This Row],[Player2]])</f>
        <v>DaHanG</v>
      </c>
      <c r="W280" s="49" t="str">
        <f>IF(tbResults[[#This Row],[Player1 Score]]&gt;tbResults[[#This Row],[Player2 Score]],tbResults[[#This Row],[Player2]],tbResults[[#This Row],[Player1]])</f>
        <v>Nosfa</v>
      </c>
      <c r="X280" s="39" t="str">
        <f>IF(tbResults[[#This Row],[Winner]]=tbResults[[#This Row],[Player1]],tbResults[[#This Row],[Player1 Pick]],tbResults[[#This Row],[Player2 Pick]])</f>
        <v>Visor</v>
      </c>
      <c r="Y280" s="39" t="str">
        <f>IF(tbResults[[#This Row],[Loser]]=tbResults[[#This Row],[Player1]],tbResults[[#This Row],[Player1 Pick]],tbResults[[#This Row],[Player2 Pick]])</f>
        <v>Ranger</v>
      </c>
      <c r="Z280" s="37">
        <f>SUM(tbResults[[#This Row],[Player1 Score]],tbResults[[#This Row],[Player2 Score]])</f>
        <v>9</v>
      </c>
      <c r="AA280" s="37">
        <f>ABS(tbResults[[#This Row],[Player1 Score]]-tbResults[[#This Row],[Player2 Score]])</f>
        <v>1</v>
      </c>
      <c r="AB280" s="37">
        <f>IF(tbResults[[#This Row],[Player1 Score]]&gt;tbResults[[#This Row],[Player2 Score]],tbResults[[#This Row],[Player1 Score]],tbResults[[#This Row],[Player2 Score]])</f>
        <v>5</v>
      </c>
      <c r="AC280" s="37">
        <f>IF(tbResults[[#This Row],[Player1 Score]]&lt;tbResults[[#This Row],[Player2 Score]],tbResults[[#This Row],[Player1 Score]],tbResults[[#This Row],[Player2 Score]])</f>
        <v>4</v>
      </c>
    </row>
    <row r="281" spans="2:29" ht="30" customHeight="1" x14ac:dyDescent="0.3">
      <c r="B281" s="20" t="str">
        <f>_xlfn.CONCAT(tbResults[[#This Row],[Series Title]],".",tbResults[[#This Row],[Game]])</f>
        <v>2.2.08.02.2</v>
      </c>
      <c r="C281" s="15">
        <v>2</v>
      </c>
      <c r="D281" s="15">
        <v>2</v>
      </c>
      <c r="E281" s="15">
        <v>8</v>
      </c>
      <c r="F281" s="15">
        <v>2</v>
      </c>
      <c r="G281" s="15">
        <v>2</v>
      </c>
      <c r="H281" s="19" t="str">
        <f>_xlfn.CONCAT(tbResults[[#This Row],[Season]],".",tbResults[[#This Row],[Stage]])</f>
        <v>2.2</v>
      </c>
      <c r="I281" s="19" t="str">
        <f>_xlfn.CONCAT(tbResults[[#This Row],[Season]],".",tbResults[[#This Row],[Stage]],".",TEXT(tbResults[[#This Row],[Week]],"00"))</f>
        <v>2.2.08</v>
      </c>
      <c r="J281" s="19" t="str">
        <f>_xlfn.CONCAT(tbResults[[#This Row],[Week Title]],".",TEXT(tbResults[[#This Row],[Match]],"00"))</f>
        <v>2.2.08.02</v>
      </c>
      <c r="K281" s="20" t="str">
        <f>_xlfn.CONCAT(tbResults[[#This Row],[Game Title]], " ", tbResults[[#This Row],[Player1]], " vs ", tbResults[[#This Row],[Player2]] )</f>
        <v>2.2.08.02.2 Nosfa vs DaHanG</v>
      </c>
      <c r="L281" s="6" t="s">
        <v>11</v>
      </c>
      <c r="M281" s="6" t="s">
        <v>42</v>
      </c>
      <c r="N281" s="6" t="s">
        <v>33</v>
      </c>
      <c r="O281" s="6" t="s">
        <v>36</v>
      </c>
      <c r="P281" s="38" t="s">
        <v>34</v>
      </c>
      <c r="Q281" s="8">
        <v>4</v>
      </c>
      <c r="R281" s="8">
        <v>9</v>
      </c>
      <c r="S281" s="8" t="s">
        <v>81</v>
      </c>
      <c r="T281" s="16" t="s">
        <v>11</v>
      </c>
      <c r="U281" s="16" t="s">
        <v>44</v>
      </c>
      <c r="V281" s="47" t="str">
        <f>IF(tbResults[[#This Row],[Player1 Score]]&gt;tbResults[[#This Row],[Player2 Score]],tbResults[[#This Row],[Player1]],tbResults[[#This Row],[Player2]])</f>
        <v>DaHanG</v>
      </c>
      <c r="W281" s="49" t="str">
        <f>IF(tbResults[[#This Row],[Player1 Score]]&gt;tbResults[[#This Row],[Player2 Score]],tbResults[[#This Row],[Player2]],tbResults[[#This Row],[Player1]])</f>
        <v>Nosfa</v>
      </c>
      <c r="X281" s="39" t="str">
        <f>IF(tbResults[[#This Row],[Winner]]=tbResults[[#This Row],[Player1]],tbResults[[#This Row],[Player1 Pick]],tbResults[[#This Row],[Player2 Pick]])</f>
        <v>Galena</v>
      </c>
      <c r="Y281" s="39" t="str">
        <f>IF(tbResults[[#This Row],[Loser]]=tbResults[[#This Row],[Player1]],tbResults[[#This Row],[Player1 Pick]],tbResults[[#This Row],[Player2 Pick]])</f>
        <v>Visor</v>
      </c>
      <c r="Z281" s="37">
        <f>SUM(tbResults[[#This Row],[Player1 Score]],tbResults[[#This Row],[Player2 Score]])</f>
        <v>13</v>
      </c>
      <c r="AA281" s="37">
        <f>ABS(tbResults[[#This Row],[Player1 Score]]-tbResults[[#This Row],[Player2 Score]])</f>
        <v>5</v>
      </c>
      <c r="AB281" s="37">
        <f>IF(tbResults[[#This Row],[Player1 Score]]&gt;tbResults[[#This Row],[Player2 Score]],tbResults[[#This Row],[Player1 Score]],tbResults[[#This Row],[Player2 Score]])</f>
        <v>9</v>
      </c>
      <c r="AC281" s="37">
        <f>IF(tbResults[[#This Row],[Player1 Score]]&lt;tbResults[[#This Row],[Player2 Score]],tbResults[[#This Row],[Player1 Score]],tbResults[[#This Row],[Player2 Score]])</f>
        <v>4</v>
      </c>
    </row>
    <row r="282" spans="2:29" ht="30" customHeight="1" x14ac:dyDescent="0.3">
      <c r="B282" s="20" t="str">
        <f>_xlfn.CONCAT(tbResults[[#This Row],[Series Title]],".",tbResults[[#This Row],[Game]])</f>
        <v>2.2.08.02.3</v>
      </c>
      <c r="C282" s="15">
        <v>2</v>
      </c>
      <c r="D282" s="15">
        <v>2</v>
      </c>
      <c r="E282" s="15">
        <v>8</v>
      </c>
      <c r="F282" s="15">
        <v>2</v>
      </c>
      <c r="G282" s="15">
        <v>3</v>
      </c>
      <c r="H282" s="19" t="str">
        <f>_xlfn.CONCAT(tbResults[[#This Row],[Season]],".",tbResults[[#This Row],[Stage]])</f>
        <v>2.2</v>
      </c>
      <c r="I282" s="19" t="str">
        <f>_xlfn.CONCAT(tbResults[[#This Row],[Season]],".",tbResults[[#This Row],[Stage]],".",TEXT(tbResults[[#This Row],[Week]],"00"))</f>
        <v>2.2.08</v>
      </c>
      <c r="J282" s="19" t="str">
        <f>_xlfn.CONCAT(tbResults[[#This Row],[Week Title]],".",TEXT(tbResults[[#This Row],[Match]],"00"))</f>
        <v>2.2.08.02</v>
      </c>
      <c r="K282" s="20" t="str">
        <f>_xlfn.CONCAT(tbResults[[#This Row],[Game Title]], " ", tbResults[[#This Row],[Player1]], " vs ", tbResults[[#This Row],[Player2]] )</f>
        <v>2.2.08.02.3 Nosfa vs DaHanG</v>
      </c>
      <c r="L282" s="6" t="s">
        <v>11</v>
      </c>
      <c r="M282" s="6" t="s">
        <v>42</v>
      </c>
      <c r="N282" s="6" t="s">
        <v>40</v>
      </c>
      <c r="O282" s="6" t="s">
        <v>55</v>
      </c>
      <c r="P282" s="38" t="s">
        <v>35</v>
      </c>
      <c r="Q282" s="8">
        <v>5</v>
      </c>
      <c r="R282" s="8">
        <v>34</v>
      </c>
      <c r="S282" s="8" t="s">
        <v>81</v>
      </c>
      <c r="T282" s="16" t="s">
        <v>42</v>
      </c>
      <c r="U282" s="16" t="s">
        <v>27</v>
      </c>
      <c r="V282" s="47" t="str">
        <f>IF(tbResults[[#This Row],[Player1 Score]]&gt;tbResults[[#This Row],[Player2 Score]],tbResults[[#This Row],[Player1]],tbResults[[#This Row],[Player2]])</f>
        <v>DaHanG</v>
      </c>
      <c r="W282" s="49" t="str">
        <f>IF(tbResults[[#This Row],[Player1 Score]]&gt;tbResults[[#This Row],[Player2 Score]],tbResults[[#This Row],[Player2]],tbResults[[#This Row],[Player1]])</f>
        <v>Nosfa</v>
      </c>
      <c r="X282" s="39" t="str">
        <f>IF(tbResults[[#This Row],[Winner]]=tbResults[[#This Row],[Player1]],tbResults[[#This Row],[Player1 Pick]],tbResults[[#This Row],[Player2 Pick]])</f>
        <v>Doom</v>
      </c>
      <c r="Y282" s="39" t="str">
        <f>IF(tbResults[[#This Row],[Loser]]=tbResults[[#This Row],[Player1]],tbResults[[#This Row],[Player1 Pick]],tbResults[[#This Row],[Player2 Pick]])</f>
        <v>Athena</v>
      </c>
      <c r="Z282" s="37">
        <f>SUM(tbResults[[#This Row],[Player1 Score]],tbResults[[#This Row],[Player2 Score]])</f>
        <v>39</v>
      </c>
      <c r="AA282" s="37">
        <f>ABS(tbResults[[#This Row],[Player1 Score]]-tbResults[[#This Row],[Player2 Score]])</f>
        <v>29</v>
      </c>
      <c r="AB282" s="37">
        <f>IF(tbResults[[#This Row],[Player1 Score]]&gt;tbResults[[#This Row],[Player2 Score]],tbResults[[#This Row],[Player1 Score]],tbResults[[#This Row],[Player2 Score]])</f>
        <v>34</v>
      </c>
      <c r="AC282" s="37">
        <f>IF(tbResults[[#This Row],[Player1 Score]]&lt;tbResults[[#This Row],[Player2 Score]],tbResults[[#This Row],[Player1 Score]],tbResults[[#This Row],[Player2 Score]])</f>
        <v>5</v>
      </c>
    </row>
    <row r="283" spans="2:29" ht="30" customHeight="1" x14ac:dyDescent="0.3">
      <c r="B283" s="20" t="str">
        <f>_xlfn.CONCAT(tbResults[[#This Row],[Series Title]],".",tbResults[[#This Row],[Game]])</f>
        <v>2.2.08.03.1</v>
      </c>
      <c r="C283" s="15">
        <v>2</v>
      </c>
      <c r="D283" s="15">
        <v>2</v>
      </c>
      <c r="E283" s="15">
        <v>8</v>
      </c>
      <c r="F283" s="15">
        <v>3</v>
      </c>
      <c r="G283" s="15">
        <v>1</v>
      </c>
      <c r="H283" s="19" t="str">
        <f>_xlfn.CONCAT(tbResults[[#This Row],[Season]],".",tbResults[[#This Row],[Stage]])</f>
        <v>2.2</v>
      </c>
      <c r="I283" s="19" t="str">
        <f>_xlfn.CONCAT(tbResults[[#This Row],[Season]],".",tbResults[[#This Row],[Stage]],".",TEXT(tbResults[[#This Row],[Week]],"00"))</f>
        <v>2.2.08</v>
      </c>
      <c r="J283" s="19" t="str">
        <f>_xlfn.CONCAT(tbResults[[#This Row],[Week Title]],".",TEXT(tbResults[[#This Row],[Match]],"00"))</f>
        <v>2.2.08.03</v>
      </c>
      <c r="K283" s="20" t="str">
        <f>_xlfn.CONCAT(tbResults[[#This Row],[Game Title]], " ", tbResults[[#This Row],[Player1]], " vs ", tbResults[[#This Row],[Player2]] )</f>
        <v>2.2.08.03.1 cha1n vs dooi</v>
      </c>
      <c r="L283" s="6" t="s">
        <v>53</v>
      </c>
      <c r="M283" s="6" t="s">
        <v>5</v>
      </c>
      <c r="N283" s="6" t="s">
        <v>19</v>
      </c>
      <c r="O283" s="6" t="s">
        <v>55</v>
      </c>
      <c r="P283" s="38" t="s">
        <v>35</v>
      </c>
      <c r="Q283" s="8">
        <v>13</v>
      </c>
      <c r="R283" s="8">
        <v>7</v>
      </c>
      <c r="S283" s="8" t="s">
        <v>81</v>
      </c>
      <c r="T283" s="16" t="s">
        <v>5</v>
      </c>
      <c r="U283" s="16" t="s">
        <v>44</v>
      </c>
      <c r="V283" s="47" t="str">
        <f>IF(tbResults[[#This Row],[Player1 Score]]&gt;tbResults[[#This Row],[Player2 Score]],tbResults[[#This Row],[Player1]],tbResults[[#This Row],[Player2]])</f>
        <v>cha1n</v>
      </c>
      <c r="W283" s="49" t="str">
        <f>IF(tbResults[[#This Row],[Player1 Score]]&gt;tbResults[[#This Row],[Player2 Score]],tbResults[[#This Row],[Player2]],tbResults[[#This Row],[Player1]])</f>
        <v>dooi</v>
      </c>
      <c r="X283" s="39" t="str">
        <f>IF(tbResults[[#This Row],[Winner]]=tbResults[[#This Row],[Player1]],tbResults[[#This Row],[Player1 Pick]],tbResults[[#This Row],[Player2 Pick]])</f>
        <v>Athena</v>
      </c>
      <c r="Y283" s="39" t="str">
        <f>IF(tbResults[[#This Row],[Loser]]=tbResults[[#This Row],[Player1]],tbResults[[#This Row],[Player1 Pick]],tbResults[[#This Row],[Player2 Pick]])</f>
        <v>Doom</v>
      </c>
      <c r="Z283" s="37">
        <f>SUM(tbResults[[#This Row],[Player1 Score]],tbResults[[#This Row],[Player2 Score]])</f>
        <v>20</v>
      </c>
      <c r="AA283" s="37">
        <f>ABS(tbResults[[#This Row],[Player1 Score]]-tbResults[[#This Row],[Player2 Score]])</f>
        <v>6</v>
      </c>
      <c r="AB283" s="37">
        <f>IF(tbResults[[#This Row],[Player1 Score]]&gt;tbResults[[#This Row],[Player2 Score]],tbResults[[#This Row],[Player1 Score]],tbResults[[#This Row],[Player2 Score]])</f>
        <v>13</v>
      </c>
      <c r="AC283" s="37">
        <f>IF(tbResults[[#This Row],[Player1 Score]]&lt;tbResults[[#This Row],[Player2 Score]],tbResults[[#This Row],[Player1 Score]],tbResults[[#This Row],[Player2 Score]])</f>
        <v>7</v>
      </c>
    </row>
    <row r="284" spans="2:29" ht="30" customHeight="1" x14ac:dyDescent="0.3">
      <c r="B284" s="20" t="str">
        <f>_xlfn.CONCAT(tbResults[[#This Row],[Series Title]],".",tbResults[[#This Row],[Game]])</f>
        <v>2.2.08.03.2</v>
      </c>
      <c r="C284" s="15">
        <v>2</v>
      </c>
      <c r="D284" s="15">
        <v>2</v>
      </c>
      <c r="E284" s="15">
        <v>8</v>
      </c>
      <c r="F284" s="15">
        <v>3</v>
      </c>
      <c r="G284" s="15">
        <v>2</v>
      </c>
      <c r="H284" s="19" t="str">
        <f>_xlfn.CONCAT(tbResults[[#This Row],[Season]],".",tbResults[[#This Row],[Stage]])</f>
        <v>2.2</v>
      </c>
      <c r="I284" s="19" t="str">
        <f>_xlfn.CONCAT(tbResults[[#This Row],[Season]],".",tbResults[[#This Row],[Stage]],".",TEXT(tbResults[[#This Row],[Week]],"00"))</f>
        <v>2.2.08</v>
      </c>
      <c r="J284" s="19" t="str">
        <f>_xlfn.CONCAT(tbResults[[#This Row],[Week Title]],".",TEXT(tbResults[[#This Row],[Match]],"00"))</f>
        <v>2.2.08.03</v>
      </c>
      <c r="K284" s="20" t="str">
        <f>_xlfn.CONCAT(tbResults[[#This Row],[Game Title]], " ", tbResults[[#This Row],[Player1]], " vs ", tbResults[[#This Row],[Player2]] )</f>
        <v>2.2.08.03.2 cha1n vs dooi</v>
      </c>
      <c r="L284" s="6" t="s">
        <v>53</v>
      </c>
      <c r="M284" s="6" t="s">
        <v>5</v>
      </c>
      <c r="N284" s="6" t="s">
        <v>23</v>
      </c>
      <c r="O284" s="6" t="s">
        <v>25</v>
      </c>
      <c r="P284" s="38" t="s">
        <v>22</v>
      </c>
      <c r="Q284" s="8">
        <v>1</v>
      </c>
      <c r="R284" s="8">
        <v>2</v>
      </c>
      <c r="S284" s="8" t="s">
        <v>82</v>
      </c>
      <c r="T284" s="16" t="s">
        <v>53</v>
      </c>
      <c r="U284" s="16" t="s">
        <v>39</v>
      </c>
      <c r="V284" s="47" t="str">
        <f>IF(tbResults[[#This Row],[Player1 Score]]&gt;tbResults[[#This Row],[Player2 Score]],tbResults[[#This Row],[Player1]],tbResults[[#This Row],[Player2]])</f>
        <v>dooi</v>
      </c>
      <c r="W284" s="49" t="str">
        <f>IF(tbResults[[#This Row],[Player1 Score]]&gt;tbResults[[#This Row],[Player2 Score]],tbResults[[#This Row],[Player2]],tbResults[[#This Row],[Player1]])</f>
        <v>cha1n</v>
      </c>
      <c r="X284" s="39" t="str">
        <f>IF(tbResults[[#This Row],[Winner]]=tbResults[[#This Row],[Player1]],tbResults[[#This Row],[Player1 Pick]],tbResults[[#This Row],[Player2 Pick]])</f>
        <v>Strogg</v>
      </c>
      <c r="Y284" s="39" t="str">
        <f>IF(tbResults[[#This Row],[Loser]]=tbResults[[#This Row],[Player1]],tbResults[[#This Row],[Player1 Pick]],tbResults[[#This Row],[Player2 Pick]])</f>
        <v>Sorlag</v>
      </c>
      <c r="Z284" s="37">
        <f>SUM(tbResults[[#This Row],[Player1 Score]],tbResults[[#This Row],[Player2 Score]])</f>
        <v>3</v>
      </c>
      <c r="AA284" s="37">
        <f>ABS(tbResults[[#This Row],[Player1 Score]]-tbResults[[#This Row],[Player2 Score]])</f>
        <v>1</v>
      </c>
      <c r="AB284" s="37">
        <f>IF(tbResults[[#This Row],[Player1 Score]]&gt;tbResults[[#This Row],[Player2 Score]],tbResults[[#This Row],[Player1 Score]],tbResults[[#This Row],[Player2 Score]])</f>
        <v>2</v>
      </c>
      <c r="AC284" s="37">
        <f>IF(tbResults[[#This Row],[Player1 Score]]&lt;tbResults[[#This Row],[Player2 Score]],tbResults[[#This Row],[Player1 Score]],tbResults[[#This Row],[Player2 Score]])</f>
        <v>1</v>
      </c>
    </row>
    <row r="285" spans="2:29" ht="30" customHeight="1" x14ac:dyDescent="0.3">
      <c r="B285" s="20" t="str">
        <f>_xlfn.CONCAT(tbResults[[#This Row],[Series Title]],".",tbResults[[#This Row],[Game]])</f>
        <v>2.2.08.03.3</v>
      </c>
      <c r="C285" s="15">
        <v>2</v>
      </c>
      <c r="D285" s="15">
        <v>2</v>
      </c>
      <c r="E285" s="15">
        <v>8</v>
      </c>
      <c r="F285" s="15">
        <v>3</v>
      </c>
      <c r="G285" s="15">
        <v>3</v>
      </c>
      <c r="H285" s="19" t="str">
        <f>_xlfn.CONCAT(tbResults[[#This Row],[Season]],".",tbResults[[#This Row],[Stage]])</f>
        <v>2.2</v>
      </c>
      <c r="I285" s="19" t="str">
        <f>_xlfn.CONCAT(tbResults[[#This Row],[Season]],".",tbResults[[#This Row],[Stage]],".",TEXT(tbResults[[#This Row],[Week]],"00"))</f>
        <v>2.2.08</v>
      </c>
      <c r="J285" s="19" t="str">
        <f>_xlfn.CONCAT(tbResults[[#This Row],[Week Title]],".",TEXT(tbResults[[#This Row],[Match]],"00"))</f>
        <v>2.2.08.03</v>
      </c>
      <c r="K285" s="20" t="str">
        <f>_xlfn.CONCAT(tbResults[[#This Row],[Game Title]], " ", tbResults[[#This Row],[Player1]], " vs ", tbResults[[#This Row],[Player2]] )</f>
        <v>2.2.08.03.3 cha1n vs dooi</v>
      </c>
      <c r="L285" s="6" t="s">
        <v>53</v>
      </c>
      <c r="M285" s="6" t="s">
        <v>5</v>
      </c>
      <c r="N285" s="6" t="s">
        <v>40</v>
      </c>
      <c r="O285" s="6" t="s">
        <v>37</v>
      </c>
      <c r="P285" s="38" t="s">
        <v>21</v>
      </c>
      <c r="Q285" s="8">
        <v>11</v>
      </c>
      <c r="R285" s="8">
        <v>9</v>
      </c>
      <c r="S285" s="8" t="s">
        <v>81</v>
      </c>
      <c r="T285" s="16" t="s">
        <v>5</v>
      </c>
      <c r="U285" s="16" t="s">
        <v>27</v>
      </c>
      <c r="V285" s="47" t="str">
        <f>IF(tbResults[[#This Row],[Player1 Score]]&gt;tbResults[[#This Row],[Player2 Score]],tbResults[[#This Row],[Player1]],tbResults[[#This Row],[Player2]])</f>
        <v>cha1n</v>
      </c>
      <c r="W285" s="49" t="str">
        <f>IF(tbResults[[#This Row],[Player1 Score]]&gt;tbResults[[#This Row],[Player2 Score]],tbResults[[#This Row],[Player2]],tbResults[[#This Row],[Player1]])</f>
        <v>dooi</v>
      </c>
      <c r="X285" s="39" t="str">
        <f>IF(tbResults[[#This Row],[Winner]]=tbResults[[#This Row],[Player1]],tbResults[[#This Row],[Player1 Pick]],tbResults[[#This Row],[Player2 Pick]])</f>
        <v>Eisen</v>
      </c>
      <c r="Y285" s="39" t="str">
        <f>IF(tbResults[[#This Row],[Loser]]=tbResults[[#This Row],[Player1]],tbResults[[#This Row],[Player1 Pick]],tbResults[[#This Row],[Player2 Pick]])</f>
        <v>Ranger</v>
      </c>
      <c r="Z285" s="37">
        <f>SUM(tbResults[[#This Row],[Player1 Score]],tbResults[[#This Row],[Player2 Score]])</f>
        <v>20</v>
      </c>
      <c r="AA285" s="37">
        <f>ABS(tbResults[[#This Row],[Player1 Score]]-tbResults[[#This Row],[Player2 Score]])</f>
        <v>2</v>
      </c>
      <c r="AB285" s="37">
        <f>IF(tbResults[[#This Row],[Player1 Score]]&gt;tbResults[[#This Row],[Player2 Score]],tbResults[[#This Row],[Player1 Score]],tbResults[[#This Row],[Player2 Score]])</f>
        <v>11</v>
      </c>
      <c r="AC285" s="37">
        <f>IF(tbResults[[#This Row],[Player1 Score]]&lt;tbResults[[#This Row],[Player2 Score]],tbResults[[#This Row],[Player1 Score]],tbResults[[#This Row],[Player2 Score]])</f>
        <v>9</v>
      </c>
    </row>
    <row r="286" spans="2:29" ht="30" customHeight="1" x14ac:dyDescent="0.3">
      <c r="B286" s="20" t="str">
        <f>_xlfn.CONCAT(tbResults[[#This Row],[Series Title]],".",tbResults[[#This Row],[Game]])</f>
        <v>2.2.08.04.1</v>
      </c>
      <c r="C286" s="15">
        <v>2</v>
      </c>
      <c r="D286" s="15">
        <v>2</v>
      </c>
      <c r="E286" s="15">
        <v>8</v>
      </c>
      <c r="F286" s="15">
        <v>4</v>
      </c>
      <c r="G286" s="15">
        <v>1</v>
      </c>
      <c r="H286" s="19" t="str">
        <f>_xlfn.CONCAT(tbResults[[#This Row],[Season]],".",tbResults[[#This Row],[Stage]])</f>
        <v>2.2</v>
      </c>
      <c r="I286" s="19" t="str">
        <f>_xlfn.CONCAT(tbResults[[#This Row],[Season]],".",tbResults[[#This Row],[Stage]],".",TEXT(tbResults[[#This Row],[Week]],"00"))</f>
        <v>2.2.08</v>
      </c>
      <c r="J286" s="19" t="str">
        <f>_xlfn.CONCAT(tbResults[[#This Row],[Week Title]],".",TEXT(tbResults[[#This Row],[Match]],"00"))</f>
        <v>2.2.08.04</v>
      </c>
      <c r="K286" s="20" t="str">
        <f>_xlfn.CONCAT(tbResults[[#This Row],[Game Title]], " ", tbResults[[#This Row],[Player1]], " vs ", tbResults[[#This Row],[Player2]] )</f>
        <v>2.2.08.04.1 Av3k vs spart1e</v>
      </c>
      <c r="L286" s="6" t="s">
        <v>52</v>
      </c>
      <c r="M286" s="6" t="s">
        <v>50</v>
      </c>
      <c r="N286" s="6" t="s">
        <v>19</v>
      </c>
      <c r="O286" s="6" t="s">
        <v>22</v>
      </c>
      <c r="P286" s="38" t="s">
        <v>25</v>
      </c>
      <c r="Q286" s="8">
        <v>8</v>
      </c>
      <c r="R286" s="8">
        <v>9</v>
      </c>
      <c r="S286" s="8" t="s">
        <v>81</v>
      </c>
      <c r="T286" s="16" t="s">
        <v>50</v>
      </c>
      <c r="U286" s="16" t="s">
        <v>35</v>
      </c>
      <c r="V286" s="47" t="str">
        <f>IF(tbResults[[#This Row],[Player1 Score]]&gt;tbResults[[#This Row],[Player2 Score]],tbResults[[#This Row],[Player1]],tbResults[[#This Row],[Player2]])</f>
        <v>spart1e</v>
      </c>
      <c r="W286" s="49" t="str">
        <f>IF(tbResults[[#This Row],[Player1 Score]]&gt;tbResults[[#This Row],[Player2 Score]],tbResults[[#This Row],[Player2]],tbResults[[#This Row],[Player1]])</f>
        <v>Av3k</v>
      </c>
      <c r="X286" s="39" t="str">
        <f>IF(tbResults[[#This Row],[Winner]]=tbResults[[#This Row],[Player1]],tbResults[[#This Row],[Player1 Pick]],tbResults[[#This Row],[Player2 Pick]])</f>
        <v>Sorlag</v>
      </c>
      <c r="Y286" s="39" t="str">
        <f>IF(tbResults[[#This Row],[Loser]]=tbResults[[#This Row],[Player1]],tbResults[[#This Row],[Player1 Pick]],tbResults[[#This Row],[Player2 Pick]])</f>
        <v>Strogg</v>
      </c>
      <c r="Z286" s="37">
        <f>SUM(tbResults[[#This Row],[Player1 Score]],tbResults[[#This Row],[Player2 Score]])</f>
        <v>17</v>
      </c>
      <c r="AA286" s="37">
        <f>ABS(tbResults[[#This Row],[Player1 Score]]-tbResults[[#This Row],[Player2 Score]])</f>
        <v>1</v>
      </c>
      <c r="AB286" s="37">
        <f>IF(tbResults[[#This Row],[Player1 Score]]&gt;tbResults[[#This Row],[Player2 Score]],tbResults[[#This Row],[Player1 Score]],tbResults[[#This Row],[Player2 Score]])</f>
        <v>9</v>
      </c>
      <c r="AC286" s="37">
        <f>IF(tbResults[[#This Row],[Player1 Score]]&lt;tbResults[[#This Row],[Player2 Score]],tbResults[[#This Row],[Player1 Score]],tbResults[[#This Row],[Player2 Score]])</f>
        <v>8</v>
      </c>
    </row>
    <row r="287" spans="2:29" ht="30" customHeight="1" x14ac:dyDescent="0.3">
      <c r="B287" s="20" t="str">
        <f>_xlfn.CONCAT(tbResults[[#This Row],[Series Title]],".",tbResults[[#This Row],[Game]])</f>
        <v>2.2.08.04.2</v>
      </c>
      <c r="C287" s="15">
        <v>2</v>
      </c>
      <c r="D287" s="15">
        <v>2</v>
      </c>
      <c r="E287" s="15">
        <v>8</v>
      </c>
      <c r="F287" s="15">
        <v>4</v>
      </c>
      <c r="G287" s="15">
        <v>2</v>
      </c>
      <c r="H287" s="19" t="str">
        <f>_xlfn.CONCAT(tbResults[[#This Row],[Season]],".",tbResults[[#This Row],[Stage]])</f>
        <v>2.2</v>
      </c>
      <c r="I287" s="19" t="str">
        <f>_xlfn.CONCAT(tbResults[[#This Row],[Season]],".",tbResults[[#This Row],[Stage]],".",TEXT(tbResults[[#This Row],[Week]],"00"))</f>
        <v>2.2.08</v>
      </c>
      <c r="J287" s="19" t="str">
        <f>_xlfn.CONCAT(tbResults[[#This Row],[Week Title]],".",TEXT(tbResults[[#This Row],[Match]],"00"))</f>
        <v>2.2.08.04</v>
      </c>
      <c r="K287" s="20" t="str">
        <f>_xlfn.CONCAT(tbResults[[#This Row],[Game Title]], " ", tbResults[[#This Row],[Player1]], " vs ", tbResults[[#This Row],[Player2]] )</f>
        <v>2.2.08.04.2 Av3k vs spart1e</v>
      </c>
      <c r="L287" s="6" t="s">
        <v>52</v>
      </c>
      <c r="M287" s="6" t="s">
        <v>50</v>
      </c>
      <c r="N287" s="6" t="s">
        <v>33</v>
      </c>
      <c r="O287" s="6" t="s">
        <v>21</v>
      </c>
      <c r="P287" s="38" t="s">
        <v>34</v>
      </c>
      <c r="Q287" s="8">
        <v>8</v>
      </c>
      <c r="R287" s="8">
        <v>10</v>
      </c>
      <c r="S287" s="8" t="s">
        <v>81</v>
      </c>
      <c r="T287" s="16" t="s">
        <v>52</v>
      </c>
      <c r="U287" s="16" t="s">
        <v>39</v>
      </c>
      <c r="V287" s="47" t="str">
        <f>IF(tbResults[[#This Row],[Player1 Score]]&gt;tbResults[[#This Row],[Player2 Score]],tbResults[[#This Row],[Player1]],tbResults[[#This Row],[Player2]])</f>
        <v>spart1e</v>
      </c>
      <c r="W287" s="49" t="str">
        <f>IF(tbResults[[#This Row],[Player1 Score]]&gt;tbResults[[#This Row],[Player2 Score]],tbResults[[#This Row],[Player2]],tbResults[[#This Row],[Player1]])</f>
        <v>Av3k</v>
      </c>
      <c r="X287" s="39" t="str">
        <f>IF(tbResults[[#This Row],[Winner]]=tbResults[[#This Row],[Player1]],tbResults[[#This Row],[Player1 Pick]],tbResults[[#This Row],[Player2 Pick]])</f>
        <v>Galena</v>
      </c>
      <c r="Y287" s="39" t="str">
        <f>IF(tbResults[[#This Row],[Loser]]=tbResults[[#This Row],[Player1]],tbResults[[#This Row],[Player1 Pick]],tbResults[[#This Row],[Player2 Pick]])</f>
        <v>Ranger</v>
      </c>
      <c r="Z287" s="37">
        <f>SUM(tbResults[[#This Row],[Player1 Score]],tbResults[[#This Row],[Player2 Score]])</f>
        <v>18</v>
      </c>
      <c r="AA287" s="37">
        <f>ABS(tbResults[[#This Row],[Player1 Score]]-tbResults[[#This Row],[Player2 Score]])</f>
        <v>2</v>
      </c>
      <c r="AB287" s="37">
        <f>IF(tbResults[[#This Row],[Player1 Score]]&gt;tbResults[[#This Row],[Player2 Score]],tbResults[[#This Row],[Player1 Score]],tbResults[[#This Row],[Player2 Score]])</f>
        <v>10</v>
      </c>
      <c r="AC287" s="37">
        <f>IF(tbResults[[#This Row],[Player1 Score]]&lt;tbResults[[#This Row],[Player2 Score]],tbResults[[#This Row],[Player1 Score]],tbResults[[#This Row],[Player2 Score]])</f>
        <v>8</v>
      </c>
    </row>
    <row r="288" spans="2:29" ht="30" customHeight="1" x14ac:dyDescent="0.3">
      <c r="B288" s="20" t="str">
        <f>_xlfn.CONCAT(tbResults[[#This Row],[Series Title]],".",tbResults[[#This Row],[Game]])</f>
        <v>2.2.08.04.3</v>
      </c>
      <c r="C288" s="15">
        <v>2</v>
      </c>
      <c r="D288" s="15">
        <v>2</v>
      </c>
      <c r="E288" s="15">
        <v>8</v>
      </c>
      <c r="F288" s="15">
        <v>4</v>
      </c>
      <c r="G288" s="15">
        <v>3</v>
      </c>
      <c r="H288" s="19" t="str">
        <f>_xlfn.CONCAT(tbResults[[#This Row],[Season]],".",tbResults[[#This Row],[Stage]])</f>
        <v>2.2</v>
      </c>
      <c r="I288" s="19" t="str">
        <f>_xlfn.CONCAT(tbResults[[#This Row],[Season]],".",tbResults[[#This Row],[Stage]],".",TEXT(tbResults[[#This Row],[Week]],"00"))</f>
        <v>2.2.08</v>
      </c>
      <c r="J288" s="19" t="str">
        <f>_xlfn.CONCAT(tbResults[[#This Row],[Week Title]],".",TEXT(tbResults[[#This Row],[Match]],"00"))</f>
        <v>2.2.08.04</v>
      </c>
      <c r="K288" s="20" t="str">
        <f>_xlfn.CONCAT(tbResults[[#This Row],[Game Title]], " ", tbResults[[#This Row],[Player1]], " vs ", tbResults[[#This Row],[Player2]] )</f>
        <v>2.2.08.04.3 Av3k vs spart1e</v>
      </c>
      <c r="L288" s="6" t="s">
        <v>52</v>
      </c>
      <c r="M288" s="6" t="s">
        <v>50</v>
      </c>
      <c r="N288" s="6" t="s">
        <v>26</v>
      </c>
      <c r="O288" s="6" t="s">
        <v>27</v>
      </c>
      <c r="P288" s="38" t="s">
        <v>44</v>
      </c>
      <c r="Q288" s="8">
        <v>14</v>
      </c>
      <c r="R288" s="8">
        <v>7</v>
      </c>
      <c r="S288" s="8" t="s">
        <v>81</v>
      </c>
      <c r="T288" s="16" t="s">
        <v>50</v>
      </c>
      <c r="U288" s="16" t="s">
        <v>36</v>
      </c>
      <c r="V288" s="47" t="str">
        <f>IF(tbResults[[#This Row],[Player1 Score]]&gt;tbResults[[#This Row],[Player2 Score]],tbResults[[#This Row],[Player1]],tbResults[[#This Row],[Player2]])</f>
        <v>Av3k</v>
      </c>
      <c r="W288" s="49" t="str">
        <f>IF(tbResults[[#This Row],[Player1 Score]]&gt;tbResults[[#This Row],[Player2 Score]],tbResults[[#This Row],[Player2]],tbResults[[#This Row],[Player1]])</f>
        <v>spart1e</v>
      </c>
      <c r="X288" s="39" t="str">
        <f>IF(tbResults[[#This Row],[Winner]]=tbResults[[#This Row],[Player1]],tbResults[[#This Row],[Player1 Pick]],tbResults[[#This Row],[Player2 Pick]])</f>
        <v>Keel</v>
      </c>
      <c r="Y288" s="39" t="str">
        <f>IF(tbResults[[#This Row],[Loser]]=tbResults[[#This Row],[Player1]],tbResults[[#This Row],[Player1 Pick]],tbResults[[#This Row],[Player2 Pick]])</f>
        <v>Scalebearer</v>
      </c>
      <c r="Z288" s="37">
        <f>SUM(tbResults[[#This Row],[Player1 Score]],tbResults[[#This Row],[Player2 Score]])</f>
        <v>21</v>
      </c>
      <c r="AA288" s="37">
        <f>ABS(tbResults[[#This Row],[Player1 Score]]-tbResults[[#This Row],[Player2 Score]])</f>
        <v>7</v>
      </c>
      <c r="AB288" s="37">
        <f>IF(tbResults[[#This Row],[Player1 Score]]&gt;tbResults[[#This Row],[Player2 Score]],tbResults[[#This Row],[Player1 Score]],tbResults[[#This Row],[Player2 Score]])</f>
        <v>14</v>
      </c>
      <c r="AC288" s="37">
        <f>IF(tbResults[[#This Row],[Player1 Score]]&lt;tbResults[[#This Row],[Player2 Score]],tbResults[[#This Row],[Player1 Score]],tbResults[[#This Row],[Player2 Score]])</f>
        <v>7</v>
      </c>
    </row>
    <row r="289" spans="2:29" ht="30" customHeight="1" x14ac:dyDescent="0.3">
      <c r="B289" s="20" t="str">
        <f>_xlfn.CONCAT(tbResults[[#This Row],[Series Title]],".",tbResults[[#This Row],[Game]])</f>
        <v>2.2.08.05.1</v>
      </c>
      <c r="C289" s="15">
        <v>2</v>
      </c>
      <c r="D289" s="15">
        <v>2</v>
      </c>
      <c r="E289" s="15">
        <v>8</v>
      </c>
      <c r="F289" s="15">
        <v>5</v>
      </c>
      <c r="G289" s="15">
        <v>1</v>
      </c>
      <c r="H289" s="19" t="str">
        <f>_xlfn.CONCAT(tbResults[[#This Row],[Season]],".",tbResults[[#This Row],[Stage]])</f>
        <v>2.2</v>
      </c>
      <c r="I289" s="19" t="str">
        <f>_xlfn.CONCAT(tbResults[[#This Row],[Season]],".",tbResults[[#This Row],[Stage]],".",TEXT(tbResults[[#This Row],[Week]],"00"))</f>
        <v>2.2.08</v>
      </c>
      <c r="J289" s="19" t="str">
        <f>_xlfn.CONCAT(tbResults[[#This Row],[Week Title]],".",TEXT(tbResults[[#This Row],[Match]],"00"))</f>
        <v>2.2.08.05</v>
      </c>
      <c r="K289" s="20" t="str">
        <f>_xlfn.CONCAT(tbResults[[#This Row],[Game Title]], " ", tbResults[[#This Row],[Player1]], " vs ", tbResults[[#This Row],[Player2]] )</f>
        <v>2.2.08.05.1 dramis vs Maxter</v>
      </c>
      <c r="L289" s="6" t="s">
        <v>188</v>
      </c>
      <c r="M289" s="6" t="s">
        <v>86</v>
      </c>
      <c r="N289" s="6" t="s">
        <v>19</v>
      </c>
      <c r="O289" s="6" t="s">
        <v>22</v>
      </c>
      <c r="P289" s="38" t="s">
        <v>21</v>
      </c>
      <c r="Q289" s="8">
        <v>6</v>
      </c>
      <c r="R289" s="8">
        <v>8</v>
      </c>
      <c r="S289" s="8" t="s">
        <v>81</v>
      </c>
      <c r="T289" s="16" t="s">
        <v>12</v>
      </c>
      <c r="U289" s="16" t="s">
        <v>55</v>
      </c>
      <c r="V289" s="47" t="str">
        <f>IF(tbResults[[#This Row],[Player1 Score]]&gt;tbResults[[#This Row],[Player2 Score]],tbResults[[#This Row],[Player1]],tbResults[[#This Row],[Player2]])</f>
        <v>Maxter</v>
      </c>
      <c r="W289" s="49" t="str">
        <f>IF(tbResults[[#This Row],[Player1 Score]]&gt;tbResults[[#This Row],[Player2 Score]],tbResults[[#This Row],[Player2]],tbResults[[#This Row],[Player1]])</f>
        <v>dramis</v>
      </c>
      <c r="X289" s="39" t="str">
        <f>IF(tbResults[[#This Row],[Winner]]=tbResults[[#This Row],[Player1]],tbResults[[#This Row],[Player1 Pick]],tbResults[[#This Row],[Player2 Pick]])</f>
        <v>Ranger</v>
      </c>
      <c r="Y289" s="39" t="str">
        <f>IF(tbResults[[#This Row],[Loser]]=tbResults[[#This Row],[Player1]],tbResults[[#This Row],[Player1 Pick]],tbResults[[#This Row],[Player2 Pick]])</f>
        <v>Strogg</v>
      </c>
      <c r="Z289" s="37">
        <f>SUM(tbResults[[#This Row],[Player1 Score]],tbResults[[#This Row],[Player2 Score]])</f>
        <v>14</v>
      </c>
      <c r="AA289" s="37">
        <f>ABS(tbResults[[#This Row],[Player1 Score]]-tbResults[[#This Row],[Player2 Score]])</f>
        <v>2</v>
      </c>
      <c r="AB289" s="37">
        <f>IF(tbResults[[#This Row],[Player1 Score]]&gt;tbResults[[#This Row],[Player2 Score]],tbResults[[#This Row],[Player1 Score]],tbResults[[#This Row],[Player2 Score]])</f>
        <v>8</v>
      </c>
      <c r="AC289" s="37">
        <f>IF(tbResults[[#This Row],[Player1 Score]]&lt;tbResults[[#This Row],[Player2 Score]],tbResults[[#This Row],[Player1 Score]],tbResults[[#This Row],[Player2 Score]])</f>
        <v>6</v>
      </c>
    </row>
    <row r="290" spans="2:29" ht="30" customHeight="1" x14ac:dyDescent="0.3">
      <c r="B290" s="20" t="str">
        <f>_xlfn.CONCAT(tbResults[[#This Row],[Series Title]],".",tbResults[[#This Row],[Game]])</f>
        <v>2.2.08.05.2</v>
      </c>
      <c r="C290" s="15">
        <v>2</v>
      </c>
      <c r="D290" s="15">
        <v>2</v>
      </c>
      <c r="E290" s="15">
        <v>8</v>
      </c>
      <c r="F290" s="15">
        <v>5</v>
      </c>
      <c r="G290" s="15">
        <v>2</v>
      </c>
      <c r="H290" s="19" t="str">
        <f>_xlfn.CONCAT(tbResults[[#This Row],[Season]],".",tbResults[[#This Row],[Stage]])</f>
        <v>2.2</v>
      </c>
      <c r="I290" s="19" t="str">
        <f>_xlfn.CONCAT(tbResults[[#This Row],[Season]],".",tbResults[[#This Row],[Stage]],".",TEXT(tbResults[[#This Row],[Week]],"00"))</f>
        <v>2.2.08</v>
      </c>
      <c r="J290" s="19" t="str">
        <f>_xlfn.CONCAT(tbResults[[#This Row],[Week Title]],".",TEXT(tbResults[[#This Row],[Match]],"00"))</f>
        <v>2.2.08.05</v>
      </c>
      <c r="K290" s="20" t="str">
        <f>_xlfn.CONCAT(tbResults[[#This Row],[Game Title]], " ", tbResults[[#This Row],[Player1]], " vs ", tbResults[[#This Row],[Player2]] )</f>
        <v>2.2.08.05.2 dramis vs Maxter</v>
      </c>
      <c r="L290" s="6" t="s">
        <v>188</v>
      </c>
      <c r="M290" s="6" t="s">
        <v>86</v>
      </c>
      <c r="N290" s="6" t="s">
        <v>26</v>
      </c>
      <c r="O290" s="6" t="s">
        <v>44</v>
      </c>
      <c r="P290" s="38" t="s">
        <v>27</v>
      </c>
      <c r="Q290" s="8">
        <v>8</v>
      </c>
      <c r="R290" s="8">
        <v>9</v>
      </c>
      <c r="S290" s="8" t="s">
        <v>82</v>
      </c>
      <c r="T290" s="16" t="s">
        <v>41</v>
      </c>
      <c r="U290" s="16" t="s">
        <v>25</v>
      </c>
      <c r="V290" s="47" t="str">
        <f>IF(tbResults[[#This Row],[Player1 Score]]&gt;tbResults[[#This Row],[Player2 Score]],tbResults[[#This Row],[Player1]],tbResults[[#This Row],[Player2]])</f>
        <v>Maxter</v>
      </c>
      <c r="W290" s="49" t="str">
        <f>IF(tbResults[[#This Row],[Player1 Score]]&gt;tbResults[[#This Row],[Player2 Score]],tbResults[[#This Row],[Player2]],tbResults[[#This Row],[Player1]])</f>
        <v>dramis</v>
      </c>
      <c r="X290" s="39" t="str">
        <f>IF(tbResults[[#This Row],[Winner]]=tbResults[[#This Row],[Player1]],tbResults[[#This Row],[Player1 Pick]],tbResults[[#This Row],[Player2 Pick]])</f>
        <v>Keel</v>
      </c>
      <c r="Y290" s="39" t="str">
        <f>IF(tbResults[[#This Row],[Loser]]=tbResults[[#This Row],[Player1]],tbResults[[#This Row],[Player1 Pick]],tbResults[[#This Row],[Player2 Pick]])</f>
        <v>Scalebearer</v>
      </c>
      <c r="Z290" s="37">
        <f>SUM(tbResults[[#This Row],[Player1 Score]],tbResults[[#This Row],[Player2 Score]])</f>
        <v>17</v>
      </c>
      <c r="AA290" s="37">
        <f>ABS(tbResults[[#This Row],[Player1 Score]]-tbResults[[#This Row],[Player2 Score]])</f>
        <v>1</v>
      </c>
      <c r="AB290" s="37">
        <f>IF(tbResults[[#This Row],[Player1 Score]]&gt;tbResults[[#This Row],[Player2 Score]],tbResults[[#This Row],[Player1 Score]],tbResults[[#This Row],[Player2 Score]])</f>
        <v>9</v>
      </c>
      <c r="AC290" s="37">
        <f>IF(tbResults[[#This Row],[Player1 Score]]&lt;tbResults[[#This Row],[Player2 Score]],tbResults[[#This Row],[Player1 Score]],tbResults[[#This Row],[Player2 Score]])</f>
        <v>8</v>
      </c>
    </row>
    <row r="291" spans="2:29" ht="30" customHeight="1" x14ac:dyDescent="0.3">
      <c r="B291" s="20" t="str">
        <f>_xlfn.CONCAT(tbResults[[#This Row],[Series Title]],".",tbResults[[#This Row],[Game]])</f>
        <v>2.2.08.05.3</v>
      </c>
      <c r="C291" s="15">
        <v>2</v>
      </c>
      <c r="D291" s="15">
        <v>2</v>
      </c>
      <c r="E291" s="15">
        <v>8</v>
      </c>
      <c r="F291" s="15">
        <v>5</v>
      </c>
      <c r="G291" s="15">
        <v>3</v>
      </c>
      <c r="H291" s="19" t="str">
        <f>_xlfn.CONCAT(tbResults[[#This Row],[Season]],".",tbResults[[#This Row],[Stage]])</f>
        <v>2.2</v>
      </c>
      <c r="I291" s="19" t="str">
        <f>_xlfn.CONCAT(tbResults[[#This Row],[Season]],".",tbResults[[#This Row],[Stage]],".",TEXT(tbResults[[#This Row],[Week]],"00"))</f>
        <v>2.2.08</v>
      </c>
      <c r="J291" s="19" t="str">
        <f>_xlfn.CONCAT(tbResults[[#This Row],[Week Title]],".",TEXT(tbResults[[#This Row],[Match]],"00"))</f>
        <v>2.2.08.05</v>
      </c>
      <c r="K291" s="20" t="str">
        <f>_xlfn.CONCAT(tbResults[[#This Row],[Game Title]], " ", tbResults[[#This Row],[Player1]], " vs ", tbResults[[#This Row],[Player2]] )</f>
        <v>2.2.08.05.3 dramis vs Maxter</v>
      </c>
      <c r="L291" s="6" t="s">
        <v>188</v>
      </c>
      <c r="M291" s="6" t="s">
        <v>86</v>
      </c>
      <c r="N291" s="6" t="s">
        <v>43</v>
      </c>
      <c r="O291" s="6" t="s">
        <v>34</v>
      </c>
      <c r="P291" s="38" t="s">
        <v>28</v>
      </c>
      <c r="Q291" s="8">
        <v>7</v>
      </c>
      <c r="R291" s="8">
        <v>9</v>
      </c>
      <c r="S291" s="8" t="s">
        <v>81</v>
      </c>
      <c r="T291" s="16" t="s">
        <v>12</v>
      </c>
      <c r="U291" s="16" t="s">
        <v>37</v>
      </c>
      <c r="V291" s="47" t="str">
        <f>IF(tbResults[[#This Row],[Player1 Score]]&gt;tbResults[[#This Row],[Player2 Score]],tbResults[[#This Row],[Player1]],tbResults[[#This Row],[Player2]])</f>
        <v>Maxter</v>
      </c>
      <c r="W291" s="49" t="str">
        <f>IF(tbResults[[#This Row],[Player1 Score]]&gt;tbResults[[#This Row],[Player2 Score]],tbResults[[#This Row],[Player2]],tbResults[[#This Row],[Player1]])</f>
        <v>dramis</v>
      </c>
      <c r="X291" s="39" t="str">
        <f>IF(tbResults[[#This Row],[Winner]]=tbResults[[#This Row],[Player1]],tbResults[[#This Row],[Player1 Pick]],tbResults[[#This Row],[Player2 Pick]])</f>
        <v>BJ Blazkowicz</v>
      </c>
      <c r="Y291" s="39" t="str">
        <f>IF(tbResults[[#This Row],[Loser]]=tbResults[[#This Row],[Player1]],tbResults[[#This Row],[Player1 Pick]],tbResults[[#This Row],[Player2 Pick]])</f>
        <v>Galena</v>
      </c>
      <c r="Z291" s="37">
        <f>SUM(tbResults[[#This Row],[Player1 Score]],tbResults[[#This Row],[Player2 Score]])</f>
        <v>16</v>
      </c>
      <c r="AA291" s="37">
        <f>ABS(tbResults[[#This Row],[Player1 Score]]-tbResults[[#This Row],[Player2 Score]])</f>
        <v>2</v>
      </c>
      <c r="AB291" s="37">
        <f>IF(tbResults[[#This Row],[Player1 Score]]&gt;tbResults[[#This Row],[Player2 Score]],tbResults[[#This Row],[Player1 Score]],tbResults[[#This Row],[Player2 Score]])</f>
        <v>9</v>
      </c>
      <c r="AC291" s="37">
        <f>IF(tbResults[[#This Row],[Player1 Score]]&lt;tbResults[[#This Row],[Player2 Score]],tbResults[[#This Row],[Player1 Score]],tbResults[[#This Row],[Player2 Score]])</f>
        <v>7</v>
      </c>
    </row>
    <row r="292" spans="2:29" ht="30" customHeight="1" x14ac:dyDescent="0.3">
      <c r="B292" s="20" t="str">
        <f>_xlfn.CONCAT(tbResults[[#This Row],[Series Title]],".",tbResults[[#This Row],[Game]])</f>
        <v>2.2.08.06.1</v>
      </c>
      <c r="C292" s="15">
        <v>2</v>
      </c>
      <c r="D292" s="15">
        <v>2</v>
      </c>
      <c r="E292" s="15">
        <v>8</v>
      </c>
      <c r="F292" s="15">
        <v>6</v>
      </c>
      <c r="G292" s="15">
        <v>1</v>
      </c>
      <c r="H292" s="19" t="str">
        <f>_xlfn.CONCAT(tbResults[[#This Row],[Season]],".",tbResults[[#This Row],[Stage]])</f>
        <v>2.2</v>
      </c>
      <c r="I292" s="19" t="str">
        <f>_xlfn.CONCAT(tbResults[[#This Row],[Season]],".",tbResults[[#This Row],[Stage]],".",TEXT(tbResults[[#This Row],[Week]],"00"))</f>
        <v>2.2.08</v>
      </c>
      <c r="J292" s="19" t="str">
        <f>_xlfn.CONCAT(tbResults[[#This Row],[Week Title]],".",TEXT(tbResults[[#This Row],[Match]],"00"))</f>
        <v>2.2.08.06</v>
      </c>
      <c r="K292" s="20" t="str">
        <f>_xlfn.CONCAT(tbResults[[#This Row],[Game Title]], " ", tbResults[[#This Row],[Player1]], " vs ", tbResults[[#This Row],[Player2]] )</f>
        <v>2.2.08.06.1 coollerz vs Cypher</v>
      </c>
      <c r="L292" s="6" t="s">
        <v>48</v>
      </c>
      <c r="M292" s="6" t="s">
        <v>14</v>
      </c>
      <c r="N292" s="6" t="s">
        <v>19</v>
      </c>
      <c r="O292" s="6" t="s">
        <v>21</v>
      </c>
      <c r="P292" s="38" t="s">
        <v>22</v>
      </c>
      <c r="Q292" s="8">
        <v>4</v>
      </c>
      <c r="R292" s="8">
        <v>0</v>
      </c>
      <c r="S292" s="8" t="s">
        <v>81</v>
      </c>
      <c r="T292" s="16" t="s">
        <v>48</v>
      </c>
      <c r="U292" s="16" t="s">
        <v>35</v>
      </c>
      <c r="V292" s="47" t="str">
        <f>IF(tbResults[[#This Row],[Player1 Score]]&gt;tbResults[[#This Row],[Player2 Score]],tbResults[[#This Row],[Player1]],tbResults[[#This Row],[Player2]])</f>
        <v>coollerz</v>
      </c>
      <c r="W292" s="49" t="str">
        <f>IF(tbResults[[#This Row],[Player1 Score]]&gt;tbResults[[#This Row],[Player2 Score]],tbResults[[#This Row],[Player2]],tbResults[[#This Row],[Player1]])</f>
        <v>Cypher</v>
      </c>
      <c r="X292" s="39" t="str">
        <f>IF(tbResults[[#This Row],[Winner]]=tbResults[[#This Row],[Player1]],tbResults[[#This Row],[Player1 Pick]],tbResults[[#This Row],[Player2 Pick]])</f>
        <v>Ranger</v>
      </c>
      <c r="Y292" s="39" t="str">
        <f>IF(tbResults[[#This Row],[Loser]]=tbResults[[#This Row],[Player1]],tbResults[[#This Row],[Player1 Pick]],tbResults[[#This Row],[Player2 Pick]])</f>
        <v>Strogg</v>
      </c>
      <c r="Z292" s="37">
        <f>SUM(tbResults[[#This Row],[Player1 Score]],tbResults[[#This Row],[Player2 Score]])</f>
        <v>4</v>
      </c>
      <c r="AA292" s="37">
        <f>ABS(tbResults[[#This Row],[Player1 Score]]-tbResults[[#This Row],[Player2 Score]])</f>
        <v>4</v>
      </c>
      <c r="AB292" s="37">
        <f>IF(tbResults[[#This Row],[Player1 Score]]&gt;tbResults[[#This Row],[Player2 Score]],tbResults[[#This Row],[Player1 Score]],tbResults[[#This Row],[Player2 Score]])</f>
        <v>4</v>
      </c>
      <c r="AC292" s="37">
        <f>IF(tbResults[[#This Row],[Player1 Score]]&lt;tbResults[[#This Row],[Player2 Score]],tbResults[[#This Row],[Player1 Score]],tbResults[[#This Row],[Player2 Score]])</f>
        <v>0</v>
      </c>
    </row>
    <row r="293" spans="2:29" ht="30" customHeight="1" x14ac:dyDescent="0.3">
      <c r="B293" s="20" t="str">
        <f>_xlfn.CONCAT(tbResults[[#This Row],[Series Title]],".",tbResults[[#This Row],[Game]])</f>
        <v>2.2.08.06.2</v>
      </c>
      <c r="C293" s="15">
        <v>2</v>
      </c>
      <c r="D293" s="15">
        <v>2</v>
      </c>
      <c r="E293" s="15">
        <v>8</v>
      </c>
      <c r="F293" s="15">
        <v>6</v>
      </c>
      <c r="G293" s="15">
        <v>2</v>
      </c>
      <c r="H293" s="19" t="str">
        <f>_xlfn.CONCAT(tbResults[[#This Row],[Season]],".",tbResults[[#This Row],[Stage]])</f>
        <v>2.2</v>
      </c>
      <c r="I293" s="19" t="str">
        <f>_xlfn.CONCAT(tbResults[[#This Row],[Season]],".",tbResults[[#This Row],[Stage]],".",TEXT(tbResults[[#This Row],[Week]],"00"))</f>
        <v>2.2.08</v>
      </c>
      <c r="J293" s="19" t="str">
        <f>_xlfn.CONCAT(tbResults[[#This Row],[Week Title]],".",TEXT(tbResults[[#This Row],[Match]],"00"))</f>
        <v>2.2.08.06</v>
      </c>
      <c r="K293" s="20" t="str">
        <f>_xlfn.CONCAT(tbResults[[#This Row],[Game Title]], " ", tbResults[[#This Row],[Player1]], " vs ", tbResults[[#This Row],[Player2]] )</f>
        <v>2.2.08.06.2 coollerz vs Cypher</v>
      </c>
      <c r="L293" s="6" t="s">
        <v>48</v>
      </c>
      <c r="M293" s="6" t="s">
        <v>14</v>
      </c>
      <c r="N293" s="6" t="s">
        <v>23</v>
      </c>
      <c r="O293" s="6" t="s">
        <v>25</v>
      </c>
      <c r="P293" s="38" t="s">
        <v>34</v>
      </c>
      <c r="Q293" s="8">
        <v>1</v>
      </c>
      <c r="R293" s="8">
        <v>0</v>
      </c>
      <c r="S293" s="8" t="s">
        <v>81</v>
      </c>
      <c r="T293" s="16" t="s">
        <v>14</v>
      </c>
      <c r="U293" s="16" t="s">
        <v>39</v>
      </c>
      <c r="V293" s="47" t="str">
        <f>IF(tbResults[[#This Row],[Player1 Score]]&gt;tbResults[[#This Row],[Player2 Score]],tbResults[[#This Row],[Player1]],tbResults[[#This Row],[Player2]])</f>
        <v>coollerz</v>
      </c>
      <c r="W293" s="49" t="str">
        <f>IF(tbResults[[#This Row],[Player1 Score]]&gt;tbResults[[#This Row],[Player2 Score]],tbResults[[#This Row],[Player2]],tbResults[[#This Row],[Player1]])</f>
        <v>Cypher</v>
      </c>
      <c r="X293" s="39" t="str">
        <f>IF(tbResults[[#This Row],[Winner]]=tbResults[[#This Row],[Player1]],tbResults[[#This Row],[Player1 Pick]],tbResults[[#This Row],[Player2 Pick]])</f>
        <v>Sorlag</v>
      </c>
      <c r="Y293" s="39" t="str">
        <f>IF(tbResults[[#This Row],[Loser]]=tbResults[[#This Row],[Player1]],tbResults[[#This Row],[Player1 Pick]],tbResults[[#This Row],[Player2 Pick]])</f>
        <v>Galena</v>
      </c>
      <c r="Z293" s="37">
        <f>SUM(tbResults[[#This Row],[Player1 Score]],tbResults[[#This Row],[Player2 Score]])</f>
        <v>1</v>
      </c>
      <c r="AA293" s="37">
        <f>ABS(tbResults[[#This Row],[Player1 Score]]-tbResults[[#This Row],[Player2 Score]])</f>
        <v>1</v>
      </c>
      <c r="AB293" s="37">
        <f>IF(tbResults[[#This Row],[Player1 Score]]&gt;tbResults[[#This Row],[Player2 Score]],tbResults[[#This Row],[Player1 Score]],tbResults[[#This Row],[Player2 Score]])</f>
        <v>1</v>
      </c>
      <c r="AC293" s="37">
        <f>IF(tbResults[[#This Row],[Player1 Score]]&lt;tbResults[[#This Row],[Player2 Score]],tbResults[[#This Row],[Player1 Score]],tbResults[[#This Row],[Player2 Score]])</f>
        <v>0</v>
      </c>
    </row>
    <row r="294" spans="2:29" ht="30" customHeight="1" x14ac:dyDescent="0.3">
      <c r="B294" s="20" t="str">
        <f>_xlfn.CONCAT(tbResults[[#This Row],[Series Title]],".",tbResults[[#This Row],[Game]])</f>
        <v>2.2.08.06.3</v>
      </c>
      <c r="C294" s="15">
        <v>2</v>
      </c>
      <c r="D294" s="15">
        <v>2</v>
      </c>
      <c r="E294" s="15">
        <v>8</v>
      </c>
      <c r="F294" s="15">
        <v>6</v>
      </c>
      <c r="G294" s="15">
        <v>3</v>
      </c>
      <c r="H294" s="19" t="str">
        <f>_xlfn.CONCAT(tbResults[[#This Row],[Season]],".",tbResults[[#This Row],[Stage]])</f>
        <v>2.2</v>
      </c>
      <c r="I294" s="19" t="str">
        <f>_xlfn.CONCAT(tbResults[[#This Row],[Season]],".",tbResults[[#This Row],[Stage]],".",TEXT(tbResults[[#This Row],[Week]],"00"))</f>
        <v>2.2.08</v>
      </c>
      <c r="J294" s="19" t="str">
        <f>_xlfn.CONCAT(tbResults[[#This Row],[Week Title]],".",TEXT(tbResults[[#This Row],[Match]],"00"))</f>
        <v>2.2.08.06</v>
      </c>
      <c r="K294" s="20" t="str">
        <f>_xlfn.CONCAT(tbResults[[#This Row],[Game Title]], " ", tbResults[[#This Row],[Player1]], " vs ", tbResults[[#This Row],[Player2]] )</f>
        <v>2.2.08.06.3 coollerz vs Cypher</v>
      </c>
      <c r="L294" s="6" t="s">
        <v>48</v>
      </c>
      <c r="M294" s="6" t="s">
        <v>14</v>
      </c>
      <c r="N294" s="6" t="s">
        <v>43</v>
      </c>
      <c r="O294" s="6" t="s">
        <v>27</v>
      </c>
      <c r="P294" s="38" t="s">
        <v>28</v>
      </c>
      <c r="Q294" s="8">
        <v>7</v>
      </c>
      <c r="R294" s="8">
        <v>11</v>
      </c>
      <c r="S294" s="8" t="s">
        <v>81</v>
      </c>
      <c r="T294" s="16" t="s">
        <v>48</v>
      </c>
      <c r="U294" s="16" t="s">
        <v>37</v>
      </c>
      <c r="V294" s="47" t="str">
        <f>IF(tbResults[[#This Row],[Player1 Score]]&gt;tbResults[[#This Row],[Player2 Score]],tbResults[[#This Row],[Player1]],tbResults[[#This Row],[Player2]])</f>
        <v>Cypher</v>
      </c>
      <c r="W294" s="49" t="str">
        <f>IF(tbResults[[#This Row],[Player1 Score]]&gt;tbResults[[#This Row],[Player2 Score]],tbResults[[#This Row],[Player2]],tbResults[[#This Row],[Player1]])</f>
        <v>coollerz</v>
      </c>
      <c r="X294" s="39" t="str">
        <f>IF(tbResults[[#This Row],[Winner]]=tbResults[[#This Row],[Player1]],tbResults[[#This Row],[Player1 Pick]],tbResults[[#This Row],[Player2 Pick]])</f>
        <v>BJ Blazkowicz</v>
      </c>
      <c r="Y294" s="39" t="str">
        <f>IF(tbResults[[#This Row],[Loser]]=tbResults[[#This Row],[Player1]],tbResults[[#This Row],[Player1 Pick]],tbResults[[#This Row],[Player2 Pick]])</f>
        <v>Keel</v>
      </c>
      <c r="Z294" s="37">
        <f>SUM(tbResults[[#This Row],[Player1 Score]],tbResults[[#This Row],[Player2 Score]])</f>
        <v>18</v>
      </c>
      <c r="AA294" s="37">
        <f>ABS(tbResults[[#This Row],[Player1 Score]]-tbResults[[#This Row],[Player2 Score]])</f>
        <v>4</v>
      </c>
      <c r="AB294" s="37">
        <f>IF(tbResults[[#This Row],[Player1 Score]]&gt;tbResults[[#This Row],[Player2 Score]],tbResults[[#This Row],[Player1 Score]],tbResults[[#This Row],[Player2 Score]])</f>
        <v>11</v>
      </c>
      <c r="AC294" s="37">
        <f>IF(tbResults[[#This Row],[Player1 Score]]&lt;tbResults[[#This Row],[Player2 Score]],tbResults[[#This Row],[Player1 Score]],tbResults[[#This Row],[Player2 Score]])</f>
        <v>7</v>
      </c>
    </row>
    <row r="295" spans="2:29" ht="30" customHeight="1" x14ac:dyDescent="0.3">
      <c r="B295" s="20" t="str">
        <f>_xlfn.CONCAT(tbResults[[#This Row],[Series Title]],".",tbResults[[#This Row],[Game]])</f>
        <v>2.2.08.07.1</v>
      </c>
      <c r="C295" s="15">
        <v>2</v>
      </c>
      <c r="D295" s="15">
        <v>2</v>
      </c>
      <c r="E295" s="15">
        <v>8</v>
      </c>
      <c r="F295" s="15">
        <v>7</v>
      </c>
      <c r="G295" s="15">
        <v>1</v>
      </c>
      <c r="H295" s="19" t="str">
        <f>_xlfn.CONCAT(tbResults[[#This Row],[Season]],".",tbResults[[#This Row],[Stage]])</f>
        <v>2.2</v>
      </c>
      <c r="I295" s="19" t="str">
        <f>_xlfn.CONCAT(tbResults[[#This Row],[Season]],".",tbResults[[#This Row],[Stage]],".",TEXT(tbResults[[#This Row],[Week]],"00"))</f>
        <v>2.2.08</v>
      </c>
      <c r="J295" s="19" t="str">
        <f>_xlfn.CONCAT(tbResults[[#This Row],[Week Title]],".",TEXT(tbResults[[#This Row],[Match]],"00"))</f>
        <v>2.2.08.07</v>
      </c>
      <c r="K295" s="20" t="str">
        <f>_xlfn.CONCAT(tbResults[[#This Row],[Game Title]], " ", tbResults[[#This Row],[Player1]], " vs ", tbResults[[#This Row],[Player2]] )</f>
        <v>2.2.08.07.1 Raisy vs Vengeurr</v>
      </c>
      <c r="L295" s="6" t="s">
        <v>49</v>
      </c>
      <c r="M295" s="6" t="s">
        <v>13</v>
      </c>
      <c r="N295" s="6" t="s">
        <v>32</v>
      </c>
      <c r="O295" s="6" t="s">
        <v>22</v>
      </c>
      <c r="P295" s="38" t="s">
        <v>34</v>
      </c>
      <c r="Q295" s="8">
        <v>12</v>
      </c>
      <c r="R295" s="8">
        <v>11</v>
      </c>
      <c r="S295" s="8" t="s">
        <v>82</v>
      </c>
      <c r="T295" s="16" t="s">
        <v>49</v>
      </c>
      <c r="U295" s="16" t="s">
        <v>92</v>
      </c>
      <c r="V295" s="47" t="str">
        <f>IF(tbResults[[#This Row],[Player1 Score]]&gt;tbResults[[#This Row],[Player2 Score]],tbResults[[#This Row],[Player1]],tbResults[[#This Row],[Player2]])</f>
        <v>Raisy</v>
      </c>
      <c r="W295" s="49" t="str">
        <f>IF(tbResults[[#This Row],[Player1 Score]]&gt;tbResults[[#This Row],[Player2 Score]],tbResults[[#This Row],[Player2]],tbResults[[#This Row],[Player1]])</f>
        <v>Vengeurr</v>
      </c>
      <c r="X295" s="39" t="str">
        <f>IF(tbResults[[#This Row],[Winner]]=tbResults[[#This Row],[Player1]],tbResults[[#This Row],[Player1 Pick]],tbResults[[#This Row],[Player2 Pick]])</f>
        <v>Strogg</v>
      </c>
      <c r="Y295" s="39" t="str">
        <f>IF(tbResults[[#This Row],[Loser]]=tbResults[[#This Row],[Player1]],tbResults[[#This Row],[Player1 Pick]],tbResults[[#This Row],[Player2 Pick]])</f>
        <v>Galena</v>
      </c>
      <c r="Z295" s="37">
        <f>SUM(tbResults[[#This Row],[Player1 Score]],tbResults[[#This Row],[Player2 Score]])</f>
        <v>23</v>
      </c>
      <c r="AA295" s="37">
        <f>ABS(tbResults[[#This Row],[Player1 Score]]-tbResults[[#This Row],[Player2 Score]])</f>
        <v>1</v>
      </c>
      <c r="AB295" s="37">
        <f>IF(tbResults[[#This Row],[Player1 Score]]&gt;tbResults[[#This Row],[Player2 Score]],tbResults[[#This Row],[Player1 Score]],tbResults[[#This Row],[Player2 Score]])</f>
        <v>12</v>
      </c>
      <c r="AC295" s="37">
        <f>IF(tbResults[[#This Row],[Player1 Score]]&lt;tbResults[[#This Row],[Player2 Score]],tbResults[[#This Row],[Player1 Score]],tbResults[[#This Row],[Player2 Score]])</f>
        <v>11</v>
      </c>
    </row>
    <row r="296" spans="2:29" ht="30" customHeight="1" x14ac:dyDescent="0.3">
      <c r="B296" s="20" t="str">
        <f>_xlfn.CONCAT(tbResults[[#This Row],[Series Title]],".",tbResults[[#This Row],[Game]])</f>
        <v>2.2.08.07.2</v>
      </c>
      <c r="C296" s="15">
        <v>2</v>
      </c>
      <c r="D296" s="15">
        <v>2</v>
      </c>
      <c r="E296" s="15">
        <v>8</v>
      </c>
      <c r="F296" s="15">
        <v>7</v>
      </c>
      <c r="G296" s="15">
        <v>2</v>
      </c>
      <c r="H296" s="19" t="str">
        <f>_xlfn.CONCAT(tbResults[[#This Row],[Season]],".",tbResults[[#This Row],[Stage]])</f>
        <v>2.2</v>
      </c>
      <c r="I296" s="19" t="str">
        <f>_xlfn.CONCAT(tbResults[[#This Row],[Season]],".",tbResults[[#This Row],[Stage]],".",TEXT(tbResults[[#This Row],[Week]],"00"))</f>
        <v>2.2.08</v>
      </c>
      <c r="J296" s="19" t="str">
        <f>_xlfn.CONCAT(tbResults[[#This Row],[Week Title]],".",TEXT(tbResults[[#This Row],[Match]],"00"))</f>
        <v>2.2.08.07</v>
      </c>
      <c r="K296" s="20" t="str">
        <f>_xlfn.CONCAT(tbResults[[#This Row],[Game Title]], " ", tbResults[[#This Row],[Player1]], " vs ", tbResults[[#This Row],[Player2]] )</f>
        <v>2.2.08.07.2 Raisy vs Vengeurr</v>
      </c>
      <c r="L296" s="6" t="s">
        <v>49</v>
      </c>
      <c r="M296" s="6" t="s">
        <v>13</v>
      </c>
      <c r="N296" s="6" t="s">
        <v>19</v>
      </c>
      <c r="O296" s="6" t="s">
        <v>36</v>
      </c>
      <c r="P296" s="38" t="s">
        <v>35</v>
      </c>
      <c r="Q296" s="8">
        <v>6</v>
      </c>
      <c r="R296" s="8">
        <v>12</v>
      </c>
      <c r="S296" s="8" t="s">
        <v>81</v>
      </c>
      <c r="T296" s="16" t="s">
        <v>13</v>
      </c>
      <c r="U296" s="16" t="s">
        <v>25</v>
      </c>
      <c r="V296" s="47" t="str">
        <f>IF(tbResults[[#This Row],[Player1 Score]]&gt;tbResults[[#This Row],[Player2 Score]],tbResults[[#This Row],[Player1]],tbResults[[#This Row],[Player2]])</f>
        <v>Vengeurr</v>
      </c>
      <c r="W296" s="49" t="str">
        <f>IF(tbResults[[#This Row],[Player1 Score]]&gt;tbResults[[#This Row],[Player2 Score]],tbResults[[#This Row],[Player2]],tbResults[[#This Row],[Player1]])</f>
        <v>Raisy</v>
      </c>
      <c r="X296" s="39" t="str">
        <f>IF(tbResults[[#This Row],[Winner]]=tbResults[[#This Row],[Player1]],tbResults[[#This Row],[Player1 Pick]],tbResults[[#This Row],[Player2 Pick]])</f>
        <v>Doom</v>
      </c>
      <c r="Y296" s="39" t="str">
        <f>IF(tbResults[[#This Row],[Loser]]=tbResults[[#This Row],[Player1]],tbResults[[#This Row],[Player1 Pick]],tbResults[[#This Row],[Player2 Pick]])</f>
        <v>Visor</v>
      </c>
      <c r="Z296" s="37">
        <f>SUM(tbResults[[#This Row],[Player1 Score]],tbResults[[#This Row],[Player2 Score]])</f>
        <v>18</v>
      </c>
      <c r="AA296" s="37">
        <f>ABS(tbResults[[#This Row],[Player1 Score]]-tbResults[[#This Row],[Player2 Score]])</f>
        <v>6</v>
      </c>
      <c r="AB296" s="37">
        <f>IF(tbResults[[#This Row],[Player1 Score]]&gt;tbResults[[#This Row],[Player2 Score]],tbResults[[#This Row],[Player1 Score]],tbResults[[#This Row],[Player2 Score]])</f>
        <v>12</v>
      </c>
      <c r="AC296" s="37">
        <f>IF(tbResults[[#This Row],[Player1 Score]]&lt;tbResults[[#This Row],[Player2 Score]],tbResults[[#This Row],[Player1 Score]],tbResults[[#This Row],[Player2 Score]])</f>
        <v>6</v>
      </c>
    </row>
    <row r="297" spans="2:29" ht="30" customHeight="1" x14ac:dyDescent="0.3">
      <c r="B297" s="20" t="str">
        <f>_xlfn.CONCAT(tbResults[[#This Row],[Series Title]],".",tbResults[[#This Row],[Game]])</f>
        <v>2.2.08.07.3</v>
      </c>
      <c r="C297" s="15">
        <v>2</v>
      </c>
      <c r="D297" s="15">
        <v>2</v>
      </c>
      <c r="E297" s="15">
        <v>8</v>
      </c>
      <c r="F297" s="15">
        <v>7</v>
      </c>
      <c r="G297" s="15">
        <v>3</v>
      </c>
      <c r="H297" s="19" t="str">
        <f>_xlfn.CONCAT(tbResults[[#This Row],[Season]],".",tbResults[[#This Row],[Stage]])</f>
        <v>2.2</v>
      </c>
      <c r="I297" s="19" t="str">
        <f>_xlfn.CONCAT(tbResults[[#This Row],[Season]],".",tbResults[[#This Row],[Stage]],".",TEXT(tbResults[[#This Row],[Week]],"00"))</f>
        <v>2.2.08</v>
      </c>
      <c r="J297" s="19" t="str">
        <f>_xlfn.CONCAT(tbResults[[#This Row],[Week Title]],".",TEXT(tbResults[[#This Row],[Match]],"00"))</f>
        <v>2.2.08.07</v>
      </c>
      <c r="K297" s="20" t="str">
        <f>_xlfn.CONCAT(tbResults[[#This Row],[Game Title]], " ", tbResults[[#This Row],[Player1]], " vs ", tbResults[[#This Row],[Player2]] )</f>
        <v>2.2.08.07.3 Raisy vs Vengeurr</v>
      </c>
      <c r="L297" s="6" t="s">
        <v>49</v>
      </c>
      <c r="M297" s="6" t="s">
        <v>13</v>
      </c>
      <c r="N297" s="6" t="s">
        <v>26</v>
      </c>
      <c r="O297" s="6" t="s">
        <v>21</v>
      </c>
      <c r="P297" s="38" t="s">
        <v>39</v>
      </c>
      <c r="Q297" s="8">
        <v>7</v>
      </c>
      <c r="R297" s="8">
        <v>11</v>
      </c>
      <c r="S297" s="8" t="s">
        <v>81</v>
      </c>
      <c r="T297" s="16" t="s">
        <v>49</v>
      </c>
      <c r="U297" s="16" t="s">
        <v>27</v>
      </c>
      <c r="V297" s="47" t="str">
        <f>IF(tbResults[[#This Row],[Player1 Score]]&gt;tbResults[[#This Row],[Player2 Score]],tbResults[[#This Row],[Player1]],tbResults[[#This Row],[Player2]])</f>
        <v>Vengeurr</v>
      </c>
      <c r="W297" s="49" t="str">
        <f>IF(tbResults[[#This Row],[Player1 Score]]&gt;tbResults[[#This Row],[Player2 Score]],tbResults[[#This Row],[Player2]],tbResults[[#This Row],[Player1]])</f>
        <v>Raisy</v>
      </c>
      <c r="X297" s="39" t="str">
        <f>IF(tbResults[[#This Row],[Winner]]=tbResults[[#This Row],[Player1]],tbResults[[#This Row],[Player1 Pick]],tbResults[[#This Row],[Player2 Pick]])</f>
        <v>Anarki</v>
      </c>
      <c r="Y297" s="39" t="str">
        <f>IF(tbResults[[#This Row],[Loser]]=tbResults[[#This Row],[Player1]],tbResults[[#This Row],[Player1 Pick]],tbResults[[#This Row],[Player2 Pick]])</f>
        <v>Ranger</v>
      </c>
      <c r="Z297" s="37">
        <f>SUM(tbResults[[#This Row],[Player1 Score]],tbResults[[#This Row],[Player2 Score]])</f>
        <v>18</v>
      </c>
      <c r="AA297" s="37">
        <f>ABS(tbResults[[#This Row],[Player1 Score]]-tbResults[[#This Row],[Player2 Score]])</f>
        <v>4</v>
      </c>
      <c r="AB297" s="37">
        <f>IF(tbResults[[#This Row],[Player1 Score]]&gt;tbResults[[#This Row],[Player2 Score]],tbResults[[#This Row],[Player1 Score]],tbResults[[#This Row],[Player2 Score]])</f>
        <v>11</v>
      </c>
      <c r="AC297" s="37">
        <f>IF(tbResults[[#This Row],[Player1 Score]]&lt;tbResults[[#This Row],[Player2 Score]],tbResults[[#This Row],[Player1 Score]],tbResults[[#This Row],[Player2 Score]])</f>
        <v>7</v>
      </c>
    </row>
    <row r="298" spans="2:29" ht="30" customHeight="1" x14ac:dyDescent="0.3">
      <c r="B298" s="20" t="str">
        <f>_xlfn.CONCAT(tbResults[[#This Row],[Series Title]],".",tbResults[[#This Row],[Game]])</f>
        <v>2.2.09.01.1</v>
      </c>
      <c r="C298" s="15">
        <v>2</v>
      </c>
      <c r="D298" s="15">
        <v>2</v>
      </c>
      <c r="E298" s="15">
        <v>9</v>
      </c>
      <c r="F298" s="15">
        <v>1</v>
      </c>
      <c r="G298" s="15">
        <v>1</v>
      </c>
      <c r="H298" s="19" t="str">
        <f>_xlfn.CONCAT(tbResults[[#This Row],[Season]],".",tbResults[[#This Row],[Stage]])</f>
        <v>2.2</v>
      </c>
      <c r="I298" s="19" t="str">
        <f>_xlfn.CONCAT(tbResults[[#This Row],[Season]],".",tbResults[[#This Row],[Stage]],".",TEXT(tbResults[[#This Row],[Week]],"00"))</f>
        <v>2.2.09</v>
      </c>
      <c r="J298" s="19" t="str">
        <f>_xlfn.CONCAT(tbResults[[#This Row],[Week Title]],".",TEXT(tbResults[[#This Row],[Match]],"00"))</f>
        <v>2.2.09.01</v>
      </c>
      <c r="K298" s="20" t="str">
        <f>_xlfn.CONCAT(tbResults[[#This Row],[Game Title]], " ", tbResults[[#This Row],[Player1]], " vs ", tbResults[[#This Row],[Player2]] )</f>
        <v>2.2.09.01.1 Zenaku vs Maxter</v>
      </c>
      <c r="L298" s="40" t="s">
        <v>29</v>
      </c>
      <c r="M298" s="40" t="s">
        <v>86</v>
      </c>
      <c r="N298" s="40" t="s">
        <v>23</v>
      </c>
      <c r="O298" s="40" t="s">
        <v>22</v>
      </c>
      <c r="P298" s="42" t="s">
        <v>21</v>
      </c>
      <c r="Q298" s="8">
        <v>8</v>
      </c>
      <c r="R298" s="8">
        <v>9</v>
      </c>
      <c r="S298" s="44" t="s">
        <v>81</v>
      </c>
      <c r="T298" s="45" t="s">
        <v>41</v>
      </c>
      <c r="U298" s="45" t="s">
        <v>39</v>
      </c>
      <c r="V298" s="47" t="str">
        <f>IF(tbResults[[#This Row],[Player1 Score]]&gt;tbResults[[#This Row],[Player2 Score]],tbResults[[#This Row],[Player1]],tbResults[[#This Row],[Player2]])</f>
        <v>Maxter</v>
      </c>
      <c r="W298" s="49" t="str">
        <f>IF(tbResults[[#This Row],[Player1 Score]]&gt;tbResults[[#This Row],[Player2 Score]],tbResults[[#This Row],[Player2]],tbResults[[#This Row],[Player1]])</f>
        <v>Zenaku</v>
      </c>
      <c r="X298" s="39" t="str">
        <f>IF(tbResults[[#This Row],[Winner]]=tbResults[[#This Row],[Player1]],tbResults[[#This Row],[Player1 Pick]],tbResults[[#This Row],[Player2 Pick]])</f>
        <v>Ranger</v>
      </c>
      <c r="Y298" s="39" t="str">
        <f>IF(tbResults[[#This Row],[Loser]]=tbResults[[#This Row],[Player1]],tbResults[[#This Row],[Player1 Pick]],tbResults[[#This Row],[Player2 Pick]])</f>
        <v>Strogg</v>
      </c>
      <c r="Z298" s="37">
        <f>SUM(tbResults[[#This Row],[Player1 Score]],tbResults[[#This Row],[Player2 Score]])</f>
        <v>17</v>
      </c>
      <c r="AA298" s="37">
        <f>ABS(tbResults[[#This Row],[Player1 Score]]-tbResults[[#This Row],[Player2 Score]])</f>
        <v>1</v>
      </c>
      <c r="AB298" s="37">
        <f>IF(tbResults[[#This Row],[Player1 Score]]&gt;tbResults[[#This Row],[Player2 Score]],tbResults[[#This Row],[Player1 Score]],tbResults[[#This Row],[Player2 Score]])</f>
        <v>9</v>
      </c>
      <c r="AC298" s="37">
        <f>IF(tbResults[[#This Row],[Player1 Score]]&lt;tbResults[[#This Row],[Player2 Score]],tbResults[[#This Row],[Player1 Score]],tbResults[[#This Row],[Player2 Score]])</f>
        <v>8</v>
      </c>
    </row>
    <row r="299" spans="2:29" ht="30" customHeight="1" x14ac:dyDescent="0.3">
      <c r="B299" s="20" t="str">
        <f>_xlfn.CONCAT(tbResults[[#This Row],[Series Title]],".",tbResults[[#This Row],[Game]])</f>
        <v>2.2.09.01.2</v>
      </c>
      <c r="C299" s="15">
        <v>2</v>
      </c>
      <c r="D299" s="15">
        <v>2</v>
      </c>
      <c r="E299" s="15">
        <v>9</v>
      </c>
      <c r="F299" s="15">
        <v>1</v>
      </c>
      <c r="G299" s="15">
        <v>2</v>
      </c>
      <c r="H299" s="19" t="str">
        <f>_xlfn.CONCAT(tbResults[[#This Row],[Season]],".",tbResults[[#This Row],[Stage]])</f>
        <v>2.2</v>
      </c>
      <c r="I299" s="19" t="str">
        <f>_xlfn.CONCAT(tbResults[[#This Row],[Season]],".",tbResults[[#This Row],[Stage]],".",TEXT(tbResults[[#This Row],[Week]],"00"))</f>
        <v>2.2.09</v>
      </c>
      <c r="J299" s="19" t="str">
        <f>_xlfn.CONCAT(tbResults[[#This Row],[Week Title]],".",TEXT(tbResults[[#This Row],[Match]],"00"))</f>
        <v>2.2.09.01</v>
      </c>
      <c r="K299" s="20" t="str">
        <f>_xlfn.CONCAT(tbResults[[#This Row],[Game Title]], " ", tbResults[[#This Row],[Player1]], " vs ", tbResults[[#This Row],[Player2]] )</f>
        <v>2.2.09.01.2 Zenaku vs Maxter</v>
      </c>
      <c r="L299" s="40" t="s">
        <v>29</v>
      </c>
      <c r="M299" s="40" t="s">
        <v>86</v>
      </c>
      <c r="N299" s="40" t="s">
        <v>33</v>
      </c>
      <c r="O299" s="40" t="s">
        <v>25</v>
      </c>
      <c r="P299" s="42" t="s">
        <v>35</v>
      </c>
      <c r="Q299" s="8">
        <v>10</v>
      </c>
      <c r="R299" s="8">
        <v>12</v>
      </c>
      <c r="S299" s="44" t="s">
        <v>81</v>
      </c>
      <c r="T299" s="45" t="s">
        <v>29</v>
      </c>
      <c r="U299" s="45" t="s">
        <v>34</v>
      </c>
      <c r="V299" s="47" t="str">
        <f>IF(tbResults[[#This Row],[Player1 Score]]&gt;tbResults[[#This Row],[Player2 Score]],tbResults[[#This Row],[Player1]],tbResults[[#This Row],[Player2]])</f>
        <v>Maxter</v>
      </c>
      <c r="W299" s="49" t="str">
        <f>IF(tbResults[[#This Row],[Player1 Score]]&gt;tbResults[[#This Row],[Player2 Score]],tbResults[[#This Row],[Player2]],tbResults[[#This Row],[Player1]])</f>
        <v>Zenaku</v>
      </c>
      <c r="X299" s="39" t="str">
        <f>IF(tbResults[[#This Row],[Winner]]=tbResults[[#This Row],[Player1]],tbResults[[#This Row],[Player1 Pick]],tbResults[[#This Row],[Player2 Pick]])</f>
        <v>Doom</v>
      </c>
      <c r="Y299" s="39" t="str">
        <f>IF(tbResults[[#This Row],[Loser]]=tbResults[[#This Row],[Player1]],tbResults[[#This Row],[Player1 Pick]],tbResults[[#This Row],[Player2 Pick]])</f>
        <v>Sorlag</v>
      </c>
      <c r="Z299" s="37">
        <f>SUM(tbResults[[#This Row],[Player1 Score]],tbResults[[#This Row],[Player2 Score]])</f>
        <v>22</v>
      </c>
      <c r="AA299" s="37">
        <f>ABS(tbResults[[#This Row],[Player1 Score]]-tbResults[[#This Row],[Player2 Score]])</f>
        <v>2</v>
      </c>
      <c r="AB299" s="37">
        <f>IF(tbResults[[#This Row],[Player1 Score]]&gt;tbResults[[#This Row],[Player2 Score]],tbResults[[#This Row],[Player1 Score]],tbResults[[#This Row],[Player2 Score]])</f>
        <v>12</v>
      </c>
      <c r="AC299" s="37">
        <f>IF(tbResults[[#This Row],[Player1 Score]]&lt;tbResults[[#This Row],[Player2 Score]],tbResults[[#This Row],[Player1 Score]],tbResults[[#This Row],[Player2 Score]])</f>
        <v>10</v>
      </c>
    </row>
    <row r="300" spans="2:29" ht="30" customHeight="1" x14ac:dyDescent="0.3">
      <c r="B300" s="20" t="str">
        <f>_xlfn.CONCAT(tbResults[[#This Row],[Series Title]],".",tbResults[[#This Row],[Game]])</f>
        <v>2.2.09.01.3</v>
      </c>
      <c r="C300" s="15">
        <v>2</v>
      </c>
      <c r="D300" s="15">
        <v>2</v>
      </c>
      <c r="E300" s="15">
        <v>9</v>
      </c>
      <c r="F300" s="15">
        <v>1</v>
      </c>
      <c r="G300" s="15">
        <v>3</v>
      </c>
      <c r="H300" s="19" t="str">
        <f>_xlfn.CONCAT(tbResults[[#This Row],[Season]],".",tbResults[[#This Row],[Stage]])</f>
        <v>2.2</v>
      </c>
      <c r="I300" s="19" t="str">
        <f>_xlfn.CONCAT(tbResults[[#This Row],[Season]],".",tbResults[[#This Row],[Stage]],".",TEXT(tbResults[[#This Row],[Week]],"00"))</f>
        <v>2.2.09</v>
      </c>
      <c r="J300" s="19" t="str">
        <f>_xlfn.CONCAT(tbResults[[#This Row],[Week Title]],".",TEXT(tbResults[[#This Row],[Match]],"00"))</f>
        <v>2.2.09.01</v>
      </c>
      <c r="K300" s="20" t="str">
        <f>_xlfn.CONCAT(tbResults[[#This Row],[Game Title]], " ", tbResults[[#This Row],[Player1]], " vs ", tbResults[[#This Row],[Player2]] )</f>
        <v>2.2.09.01.3 Zenaku vs Maxter</v>
      </c>
      <c r="L300" s="40" t="s">
        <v>29</v>
      </c>
      <c r="M300" s="40" t="s">
        <v>86</v>
      </c>
      <c r="N300" s="40" t="s">
        <v>40</v>
      </c>
      <c r="O300" s="40" t="s">
        <v>44</v>
      </c>
      <c r="P300" s="42" t="s">
        <v>27</v>
      </c>
      <c r="Q300" s="8">
        <v>10</v>
      </c>
      <c r="R300" s="8">
        <v>11</v>
      </c>
      <c r="S300" s="44" t="s">
        <v>82</v>
      </c>
      <c r="T300" s="45" t="s">
        <v>41</v>
      </c>
      <c r="U300" s="45" t="s">
        <v>152</v>
      </c>
      <c r="V300" s="47" t="str">
        <f>IF(tbResults[[#This Row],[Player1 Score]]&gt;tbResults[[#This Row],[Player2 Score]],tbResults[[#This Row],[Player1]],tbResults[[#This Row],[Player2]])</f>
        <v>Maxter</v>
      </c>
      <c r="W300" s="49" t="str">
        <f>IF(tbResults[[#This Row],[Player1 Score]]&gt;tbResults[[#This Row],[Player2 Score]],tbResults[[#This Row],[Player2]],tbResults[[#This Row],[Player1]])</f>
        <v>Zenaku</v>
      </c>
      <c r="X300" s="39" t="str">
        <f>IF(tbResults[[#This Row],[Winner]]=tbResults[[#This Row],[Player1]],tbResults[[#This Row],[Player1 Pick]],tbResults[[#This Row],[Player2 Pick]])</f>
        <v>Keel</v>
      </c>
      <c r="Y300" s="39" t="str">
        <f>IF(tbResults[[#This Row],[Loser]]=tbResults[[#This Row],[Player1]],tbResults[[#This Row],[Player1 Pick]],tbResults[[#This Row],[Player2 Pick]])</f>
        <v>Scalebearer</v>
      </c>
      <c r="Z300" s="37">
        <f>SUM(tbResults[[#This Row],[Player1 Score]],tbResults[[#This Row],[Player2 Score]])</f>
        <v>21</v>
      </c>
      <c r="AA300" s="37">
        <f>ABS(tbResults[[#This Row],[Player1 Score]]-tbResults[[#This Row],[Player2 Score]])</f>
        <v>1</v>
      </c>
      <c r="AB300" s="37">
        <f>IF(tbResults[[#This Row],[Player1 Score]]&gt;tbResults[[#This Row],[Player2 Score]],tbResults[[#This Row],[Player1 Score]],tbResults[[#This Row],[Player2 Score]])</f>
        <v>11</v>
      </c>
      <c r="AC300" s="37">
        <f>IF(tbResults[[#This Row],[Player1 Score]]&lt;tbResults[[#This Row],[Player2 Score]],tbResults[[#This Row],[Player1 Score]],tbResults[[#This Row],[Player2 Score]])</f>
        <v>10</v>
      </c>
    </row>
    <row r="301" spans="2:29" ht="30" customHeight="1" x14ac:dyDescent="0.3">
      <c r="B301" s="20" t="str">
        <f>_xlfn.CONCAT(tbResults[[#This Row],[Series Title]],".",tbResults[[#This Row],[Game]])</f>
        <v>2.2.09.02.1</v>
      </c>
      <c r="C301" s="15">
        <v>2</v>
      </c>
      <c r="D301" s="15">
        <v>2</v>
      </c>
      <c r="E301" s="15">
        <v>9</v>
      </c>
      <c r="F301" s="15">
        <v>2</v>
      </c>
      <c r="G301" s="15">
        <v>1</v>
      </c>
      <c r="H301" s="19" t="str">
        <f>_xlfn.CONCAT(tbResults[[#This Row],[Season]],".",tbResults[[#This Row],[Stage]])</f>
        <v>2.2</v>
      </c>
      <c r="I301" s="19" t="str">
        <f>_xlfn.CONCAT(tbResults[[#This Row],[Season]],".",tbResults[[#This Row],[Stage]],".",TEXT(tbResults[[#This Row],[Week]],"00"))</f>
        <v>2.2.09</v>
      </c>
      <c r="J301" s="19" t="str">
        <f>_xlfn.CONCAT(tbResults[[#This Row],[Week Title]],".",TEXT(tbResults[[#This Row],[Match]],"00"))</f>
        <v>2.2.09.02</v>
      </c>
      <c r="K301" s="20" t="str">
        <f>_xlfn.CONCAT(tbResults[[#This Row],[Game Title]], " ", tbResults[[#This Row],[Player1]], " vs ", tbResults[[#This Row],[Player2]] )</f>
        <v>2.2.09.02.1 dooi vs Nosfa</v>
      </c>
      <c r="L301" s="40" t="s">
        <v>5</v>
      </c>
      <c r="M301" s="40" t="s">
        <v>11</v>
      </c>
      <c r="N301" s="40" t="s">
        <v>26</v>
      </c>
      <c r="O301" s="40" t="s">
        <v>22</v>
      </c>
      <c r="P301" s="42" t="s">
        <v>25</v>
      </c>
      <c r="Q301" s="8">
        <v>6</v>
      </c>
      <c r="R301" s="8">
        <v>7</v>
      </c>
      <c r="S301" s="44" t="s">
        <v>81</v>
      </c>
      <c r="T301" s="45" t="s">
        <v>5</v>
      </c>
      <c r="U301" s="45" t="s">
        <v>44</v>
      </c>
      <c r="V301" s="47" t="str">
        <f>IF(tbResults[[#This Row],[Player1 Score]]&gt;tbResults[[#This Row],[Player2 Score]],tbResults[[#This Row],[Player1]],tbResults[[#This Row],[Player2]])</f>
        <v>Nosfa</v>
      </c>
      <c r="W301" s="49" t="str">
        <f>IF(tbResults[[#This Row],[Player1 Score]]&gt;tbResults[[#This Row],[Player2 Score]],tbResults[[#This Row],[Player2]],tbResults[[#This Row],[Player1]])</f>
        <v>dooi</v>
      </c>
      <c r="X301" s="39" t="str">
        <f>IF(tbResults[[#This Row],[Winner]]=tbResults[[#This Row],[Player1]],tbResults[[#This Row],[Player1 Pick]],tbResults[[#This Row],[Player2 Pick]])</f>
        <v>Sorlag</v>
      </c>
      <c r="Y301" s="39" t="str">
        <f>IF(tbResults[[#This Row],[Loser]]=tbResults[[#This Row],[Player1]],tbResults[[#This Row],[Player1 Pick]],tbResults[[#This Row],[Player2 Pick]])</f>
        <v>Strogg</v>
      </c>
      <c r="Z301" s="37">
        <f>SUM(tbResults[[#This Row],[Player1 Score]],tbResults[[#This Row],[Player2 Score]])</f>
        <v>13</v>
      </c>
      <c r="AA301" s="37">
        <f>ABS(tbResults[[#This Row],[Player1 Score]]-tbResults[[#This Row],[Player2 Score]])</f>
        <v>1</v>
      </c>
      <c r="AB301" s="37">
        <f>IF(tbResults[[#This Row],[Player1 Score]]&gt;tbResults[[#This Row],[Player2 Score]],tbResults[[#This Row],[Player1 Score]],tbResults[[#This Row],[Player2 Score]])</f>
        <v>7</v>
      </c>
      <c r="AC301" s="37">
        <f>IF(tbResults[[#This Row],[Player1 Score]]&lt;tbResults[[#This Row],[Player2 Score]],tbResults[[#This Row],[Player1 Score]],tbResults[[#This Row],[Player2 Score]])</f>
        <v>6</v>
      </c>
    </row>
    <row r="302" spans="2:29" ht="30" customHeight="1" x14ac:dyDescent="0.3">
      <c r="B302" s="20" t="str">
        <f>_xlfn.CONCAT(tbResults[[#This Row],[Series Title]],".",tbResults[[#This Row],[Game]])</f>
        <v>2.2.09.02.2</v>
      </c>
      <c r="C302" s="15">
        <v>2</v>
      </c>
      <c r="D302" s="15">
        <v>2</v>
      </c>
      <c r="E302" s="15">
        <v>9</v>
      </c>
      <c r="F302" s="15">
        <v>2</v>
      </c>
      <c r="G302" s="15">
        <v>2</v>
      </c>
      <c r="H302" s="19" t="str">
        <f>_xlfn.CONCAT(tbResults[[#This Row],[Season]],".",tbResults[[#This Row],[Stage]])</f>
        <v>2.2</v>
      </c>
      <c r="I302" s="19" t="str">
        <f>_xlfn.CONCAT(tbResults[[#This Row],[Season]],".",tbResults[[#This Row],[Stage]],".",TEXT(tbResults[[#This Row],[Week]],"00"))</f>
        <v>2.2.09</v>
      </c>
      <c r="J302" s="19" t="str">
        <f>_xlfn.CONCAT(tbResults[[#This Row],[Week Title]],".",TEXT(tbResults[[#This Row],[Match]],"00"))</f>
        <v>2.2.09.02</v>
      </c>
      <c r="K302" s="20" t="str">
        <f>_xlfn.CONCAT(tbResults[[#This Row],[Game Title]], " ", tbResults[[#This Row],[Player1]], " vs ", tbResults[[#This Row],[Player2]] )</f>
        <v>2.2.09.02.2 dooi vs Nosfa</v>
      </c>
      <c r="L302" s="40" t="s">
        <v>5</v>
      </c>
      <c r="M302" s="40" t="s">
        <v>11</v>
      </c>
      <c r="N302" s="40" t="s">
        <v>23</v>
      </c>
      <c r="O302" s="40" t="s">
        <v>36</v>
      </c>
      <c r="P302" s="42" t="s">
        <v>21</v>
      </c>
      <c r="Q302" s="8">
        <v>5</v>
      </c>
      <c r="R302" s="8">
        <v>14</v>
      </c>
      <c r="S302" s="44" t="s">
        <v>81</v>
      </c>
      <c r="T302" s="45" t="s">
        <v>11</v>
      </c>
      <c r="U302" s="45" t="s">
        <v>34</v>
      </c>
      <c r="V302" s="47" t="str">
        <f>IF(tbResults[[#This Row],[Player1 Score]]&gt;tbResults[[#This Row],[Player2 Score]],tbResults[[#This Row],[Player1]],tbResults[[#This Row],[Player2]])</f>
        <v>Nosfa</v>
      </c>
      <c r="W302" s="49" t="str">
        <f>IF(tbResults[[#This Row],[Player1 Score]]&gt;tbResults[[#This Row],[Player2 Score]],tbResults[[#This Row],[Player2]],tbResults[[#This Row],[Player1]])</f>
        <v>dooi</v>
      </c>
      <c r="X302" s="39" t="str">
        <f>IF(tbResults[[#This Row],[Winner]]=tbResults[[#This Row],[Player1]],tbResults[[#This Row],[Player1 Pick]],tbResults[[#This Row],[Player2 Pick]])</f>
        <v>Ranger</v>
      </c>
      <c r="Y302" s="39" t="str">
        <f>IF(tbResults[[#This Row],[Loser]]=tbResults[[#This Row],[Player1]],tbResults[[#This Row],[Player1 Pick]],tbResults[[#This Row],[Player2 Pick]])</f>
        <v>Visor</v>
      </c>
      <c r="Z302" s="37">
        <f>SUM(tbResults[[#This Row],[Player1 Score]],tbResults[[#This Row],[Player2 Score]])</f>
        <v>19</v>
      </c>
      <c r="AA302" s="37">
        <f>ABS(tbResults[[#This Row],[Player1 Score]]-tbResults[[#This Row],[Player2 Score]])</f>
        <v>9</v>
      </c>
      <c r="AB302" s="37">
        <f>IF(tbResults[[#This Row],[Player1 Score]]&gt;tbResults[[#This Row],[Player2 Score]],tbResults[[#This Row],[Player1 Score]],tbResults[[#This Row],[Player2 Score]])</f>
        <v>14</v>
      </c>
      <c r="AC302" s="37">
        <f>IF(tbResults[[#This Row],[Player1 Score]]&lt;tbResults[[#This Row],[Player2 Score]],tbResults[[#This Row],[Player1 Score]],tbResults[[#This Row],[Player2 Score]])</f>
        <v>5</v>
      </c>
    </row>
    <row r="303" spans="2:29" ht="30" customHeight="1" x14ac:dyDescent="0.3">
      <c r="B303" s="20" t="str">
        <f>_xlfn.CONCAT(tbResults[[#This Row],[Series Title]],".",tbResults[[#This Row],[Game]])</f>
        <v>2.2.09.02.3</v>
      </c>
      <c r="C303" s="15">
        <v>2</v>
      </c>
      <c r="D303" s="15">
        <v>2</v>
      </c>
      <c r="E303" s="15">
        <v>9</v>
      </c>
      <c r="F303" s="15">
        <v>2</v>
      </c>
      <c r="G303" s="15">
        <v>3</v>
      </c>
      <c r="H303" s="19" t="str">
        <f>_xlfn.CONCAT(tbResults[[#This Row],[Season]],".",tbResults[[#This Row],[Stage]])</f>
        <v>2.2</v>
      </c>
      <c r="I303" s="19" t="str">
        <f>_xlfn.CONCAT(tbResults[[#This Row],[Season]],".",tbResults[[#This Row],[Stage]],".",TEXT(tbResults[[#This Row],[Week]],"00"))</f>
        <v>2.2.09</v>
      </c>
      <c r="J303" s="19" t="str">
        <f>_xlfn.CONCAT(tbResults[[#This Row],[Week Title]],".",TEXT(tbResults[[#This Row],[Match]],"00"))</f>
        <v>2.2.09.02</v>
      </c>
      <c r="K303" s="20" t="str">
        <f>_xlfn.CONCAT(tbResults[[#This Row],[Game Title]], " ", tbResults[[#This Row],[Player1]], " vs ", tbResults[[#This Row],[Player2]] )</f>
        <v>2.2.09.02.3 dooi vs Nosfa</v>
      </c>
      <c r="L303" s="40" t="s">
        <v>5</v>
      </c>
      <c r="M303" s="40" t="s">
        <v>11</v>
      </c>
      <c r="N303" s="40" t="s">
        <v>43</v>
      </c>
      <c r="O303" s="40" t="s">
        <v>37</v>
      </c>
      <c r="P303" s="42" t="s">
        <v>28</v>
      </c>
      <c r="Q303" s="8">
        <v>2</v>
      </c>
      <c r="R303" s="8">
        <v>21</v>
      </c>
      <c r="S303" s="44" t="s">
        <v>81</v>
      </c>
      <c r="T303" s="45" t="s">
        <v>5</v>
      </c>
      <c r="U303" s="45" t="s">
        <v>27</v>
      </c>
      <c r="V303" s="47" t="str">
        <f>IF(tbResults[[#This Row],[Player1 Score]]&gt;tbResults[[#This Row],[Player2 Score]],tbResults[[#This Row],[Player1]],tbResults[[#This Row],[Player2]])</f>
        <v>Nosfa</v>
      </c>
      <c r="W303" s="49" t="str">
        <f>IF(tbResults[[#This Row],[Player1 Score]]&gt;tbResults[[#This Row],[Player2 Score]],tbResults[[#This Row],[Player2]],tbResults[[#This Row],[Player1]])</f>
        <v>dooi</v>
      </c>
      <c r="X303" s="39" t="str">
        <f>IF(tbResults[[#This Row],[Winner]]=tbResults[[#This Row],[Player1]],tbResults[[#This Row],[Player1 Pick]],tbResults[[#This Row],[Player2 Pick]])</f>
        <v>BJ Blazkowicz</v>
      </c>
      <c r="Y303" s="39" t="str">
        <f>IF(tbResults[[#This Row],[Loser]]=tbResults[[#This Row],[Player1]],tbResults[[#This Row],[Player1 Pick]],tbResults[[#This Row],[Player2 Pick]])</f>
        <v>Eisen</v>
      </c>
      <c r="Z303" s="37">
        <f>SUM(tbResults[[#This Row],[Player1 Score]],tbResults[[#This Row],[Player2 Score]])</f>
        <v>23</v>
      </c>
      <c r="AA303" s="37">
        <f>ABS(tbResults[[#This Row],[Player1 Score]]-tbResults[[#This Row],[Player2 Score]])</f>
        <v>19</v>
      </c>
      <c r="AB303" s="37">
        <f>IF(tbResults[[#This Row],[Player1 Score]]&gt;tbResults[[#This Row],[Player2 Score]],tbResults[[#This Row],[Player1 Score]],tbResults[[#This Row],[Player2 Score]])</f>
        <v>21</v>
      </c>
      <c r="AC303" s="37">
        <f>IF(tbResults[[#This Row],[Player1 Score]]&lt;tbResults[[#This Row],[Player2 Score]],tbResults[[#This Row],[Player1 Score]],tbResults[[#This Row],[Player2 Score]])</f>
        <v>2</v>
      </c>
    </row>
    <row r="304" spans="2:29" ht="30" customHeight="1" x14ac:dyDescent="0.3">
      <c r="B304" s="20" t="str">
        <f>_xlfn.CONCAT(tbResults[[#This Row],[Series Title]],".",tbResults[[#This Row],[Game]])</f>
        <v>2.2.09.03.1</v>
      </c>
      <c r="C304" s="15">
        <v>2</v>
      </c>
      <c r="D304" s="15">
        <v>2</v>
      </c>
      <c r="E304" s="15">
        <v>9</v>
      </c>
      <c r="F304" s="15">
        <v>3</v>
      </c>
      <c r="G304" s="15">
        <v>1</v>
      </c>
      <c r="H304" s="19" t="str">
        <f>_xlfn.CONCAT(tbResults[[#This Row],[Season]],".",tbResults[[#This Row],[Stage]])</f>
        <v>2.2</v>
      </c>
      <c r="I304" s="19" t="str">
        <f>_xlfn.CONCAT(tbResults[[#This Row],[Season]],".",tbResults[[#This Row],[Stage]],".",TEXT(tbResults[[#This Row],[Week]],"00"))</f>
        <v>2.2.09</v>
      </c>
      <c r="J304" s="19" t="str">
        <f>_xlfn.CONCAT(tbResults[[#This Row],[Week Title]],".",TEXT(tbResults[[#This Row],[Match]],"00"))</f>
        <v>2.2.09.03</v>
      </c>
      <c r="K304" s="20" t="str">
        <f>_xlfn.CONCAT(tbResults[[#This Row],[Game Title]], " ", tbResults[[#This Row],[Player1]], " vs ", tbResults[[#This Row],[Player2]] )</f>
        <v>2.2.09.03.1 dramis vs Effortless</v>
      </c>
      <c r="L304" s="40" t="s">
        <v>188</v>
      </c>
      <c r="M304" s="40" t="s">
        <v>6</v>
      </c>
      <c r="N304" s="40" t="s">
        <v>32</v>
      </c>
      <c r="O304" s="40" t="s">
        <v>22</v>
      </c>
      <c r="P304" s="42" t="s">
        <v>27</v>
      </c>
      <c r="Q304" s="8">
        <v>9</v>
      </c>
      <c r="R304" s="8">
        <v>15</v>
      </c>
      <c r="S304" s="44" t="s">
        <v>81</v>
      </c>
      <c r="T304" s="45" t="s">
        <v>12</v>
      </c>
      <c r="U304" s="45" t="s">
        <v>25</v>
      </c>
      <c r="V304" s="47" t="str">
        <f>IF(tbResults[[#This Row],[Player1 Score]]&gt;tbResults[[#This Row],[Player2 Score]],tbResults[[#This Row],[Player1]],tbResults[[#This Row],[Player2]])</f>
        <v>Effortless</v>
      </c>
      <c r="W304" s="49" t="str">
        <f>IF(tbResults[[#This Row],[Player1 Score]]&gt;tbResults[[#This Row],[Player2 Score]],tbResults[[#This Row],[Player2]],tbResults[[#This Row],[Player1]])</f>
        <v>dramis</v>
      </c>
      <c r="X304" s="39" t="str">
        <f>IF(tbResults[[#This Row],[Winner]]=tbResults[[#This Row],[Player1]],tbResults[[#This Row],[Player1 Pick]],tbResults[[#This Row],[Player2 Pick]])</f>
        <v>Keel</v>
      </c>
      <c r="Y304" s="39" t="str">
        <f>IF(tbResults[[#This Row],[Loser]]=tbResults[[#This Row],[Player1]],tbResults[[#This Row],[Player1 Pick]],tbResults[[#This Row],[Player2 Pick]])</f>
        <v>Strogg</v>
      </c>
      <c r="Z304" s="37">
        <f>SUM(tbResults[[#This Row],[Player1 Score]],tbResults[[#This Row],[Player2 Score]])</f>
        <v>24</v>
      </c>
      <c r="AA304" s="37">
        <f>ABS(tbResults[[#This Row],[Player1 Score]]-tbResults[[#This Row],[Player2 Score]])</f>
        <v>6</v>
      </c>
      <c r="AB304" s="37">
        <f>IF(tbResults[[#This Row],[Player1 Score]]&gt;tbResults[[#This Row],[Player2 Score]],tbResults[[#This Row],[Player1 Score]],tbResults[[#This Row],[Player2 Score]])</f>
        <v>15</v>
      </c>
      <c r="AC304" s="37">
        <f>IF(tbResults[[#This Row],[Player1 Score]]&lt;tbResults[[#This Row],[Player2 Score]],tbResults[[#This Row],[Player1 Score]],tbResults[[#This Row],[Player2 Score]])</f>
        <v>9</v>
      </c>
    </row>
    <row r="305" spans="2:29" ht="30" customHeight="1" x14ac:dyDescent="0.3">
      <c r="B305" s="20" t="str">
        <f>_xlfn.CONCAT(tbResults[[#This Row],[Series Title]],".",tbResults[[#This Row],[Game]])</f>
        <v>2.2.09.03.2</v>
      </c>
      <c r="C305" s="15">
        <v>2</v>
      </c>
      <c r="D305" s="15">
        <v>2</v>
      </c>
      <c r="E305" s="15">
        <v>9</v>
      </c>
      <c r="F305" s="15">
        <v>3</v>
      </c>
      <c r="G305" s="15">
        <v>2</v>
      </c>
      <c r="H305" s="19" t="str">
        <f>_xlfn.CONCAT(tbResults[[#This Row],[Season]],".",tbResults[[#This Row],[Stage]])</f>
        <v>2.2</v>
      </c>
      <c r="I305" s="19" t="str">
        <f>_xlfn.CONCAT(tbResults[[#This Row],[Season]],".",tbResults[[#This Row],[Stage]],".",TEXT(tbResults[[#This Row],[Week]],"00"))</f>
        <v>2.2.09</v>
      </c>
      <c r="J305" s="19" t="str">
        <f>_xlfn.CONCAT(tbResults[[#This Row],[Week Title]],".",TEXT(tbResults[[#This Row],[Match]],"00"))</f>
        <v>2.2.09.03</v>
      </c>
      <c r="K305" s="20" t="str">
        <f>_xlfn.CONCAT(tbResults[[#This Row],[Game Title]], " ", tbResults[[#This Row],[Player1]], " vs ", tbResults[[#This Row],[Player2]] )</f>
        <v>2.2.09.03.2 dramis vs Effortless</v>
      </c>
      <c r="L305" s="40" t="s">
        <v>188</v>
      </c>
      <c r="M305" s="40" t="s">
        <v>6</v>
      </c>
      <c r="N305" s="40" t="s">
        <v>40</v>
      </c>
      <c r="O305" s="40" t="s">
        <v>55</v>
      </c>
      <c r="P305" s="42" t="s">
        <v>21</v>
      </c>
      <c r="Q305" s="8">
        <v>7</v>
      </c>
      <c r="R305" s="8">
        <v>16</v>
      </c>
      <c r="S305" s="44" t="s">
        <v>81</v>
      </c>
      <c r="T305" s="45" t="s">
        <v>6</v>
      </c>
      <c r="U305" s="45" t="s">
        <v>35</v>
      </c>
      <c r="V305" s="47" t="str">
        <f>IF(tbResults[[#This Row],[Player1 Score]]&gt;tbResults[[#This Row],[Player2 Score]],tbResults[[#This Row],[Player1]],tbResults[[#This Row],[Player2]])</f>
        <v>Effortless</v>
      </c>
      <c r="W305" s="49" t="str">
        <f>IF(tbResults[[#This Row],[Player1 Score]]&gt;tbResults[[#This Row],[Player2 Score]],tbResults[[#This Row],[Player2]],tbResults[[#This Row],[Player1]])</f>
        <v>dramis</v>
      </c>
      <c r="X305" s="39" t="str">
        <f>IF(tbResults[[#This Row],[Winner]]=tbResults[[#This Row],[Player1]],tbResults[[#This Row],[Player1 Pick]],tbResults[[#This Row],[Player2 Pick]])</f>
        <v>Ranger</v>
      </c>
      <c r="Y305" s="39" t="str">
        <f>IF(tbResults[[#This Row],[Loser]]=tbResults[[#This Row],[Player1]],tbResults[[#This Row],[Player1 Pick]],tbResults[[#This Row],[Player2 Pick]])</f>
        <v>Athena</v>
      </c>
      <c r="Z305" s="37">
        <f>SUM(tbResults[[#This Row],[Player1 Score]],tbResults[[#This Row],[Player2 Score]])</f>
        <v>23</v>
      </c>
      <c r="AA305" s="37">
        <f>ABS(tbResults[[#This Row],[Player1 Score]]-tbResults[[#This Row],[Player2 Score]])</f>
        <v>9</v>
      </c>
      <c r="AB305" s="37">
        <f>IF(tbResults[[#This Row],[Player1 Score]]&gt;tbResults[[#This Row],[Player2 Score]],tbResults[[#This Row],[Player1 Score]],tbResults[[#This Row],[Player2 Score]])</f>
        <v>16</v>
      </c>
      <c r="AC305" s="37">
        <f>IF(tbResults[[#This Row],[Player1 Score]]&lt;tbResults[[#This Row],[Player2 Score]],tbResults[[#This Row],[Player1 Score]],tbResults[[#This Row],[Player2 Score]])</f>
        <v>7</v>
      </c>
    </row>
    <row r="306" spans="2:29" ht="30" customHeight="1" x14ac:dyDescent="0.3">
      <c r="B306" s="20" t="str">
        <f>_xlfn.CONCAT(tbResults[[#This Row],[Series Title]],".",tbResults[[#This Row],[Game]])</f>
        <v>2.2.09.03.3</v>
      </c>
      <c r="C306" s="15">
        <v>2</v>
      </c>
      <c r="D306" s="15">
        <v>2</v>
      </c>
      <c r="E306" s="15">
        <v>9</v>
      </c>
      <c r="F306" s="15">
        <v>3</v>
      </c>
      <c r="G306" s="15">
        <v>3</v>
      </c>
      <c r="H306" s="19" t="str">
        <f>_xlfn.CONCAT(tbResults[[#This Row],[Season]],".",tbResults[[#This Row],[Stage]])</f>
        <v>2.2</v>
      </c>
      <c r="I306" s="19" t="str">
        <f>_xlfn.CONCAT(tbResults[[#This Row],[Season]],".",tbResults[[#This Row],[Stage]],".",TEXT(tbResults[[#This Row],[Week]],"00"))</f>
        <v>2.2.09</v>
      </c>
      <c r="J306" s="19" t="str">
        <f>_xlfn.CONCAT(tbResults[[#This Row],[Week Title]],".",TEXT(tbResults[[#This Row],[Match]],"00"))</f>
        <v>2.2.09.03</v>
      </c>
      <c r="K306" s="20" t="str">
        <f>_xlfn.CONCAT(tbResults[[#This Row],[Game Title]], " ", tbResults[[#This Row],[Player1]], " vs ", tbResults[[#This Row],[Player2]] )</f>
        <v>2.2.09.03.3 dramis vs Effortless</v>
      </c>
      <c r="L306" s="40" t="s">
        <v>188</v>
      </c>
      <c r="M306" s="40" t="s">
        <v>6</v>
      </c>
      <c r="N306" s="40" t="s">
        <v>43</v>
      </c>
      <c r="O306" s="40" t="s">
        <v>44</v>
      </c>
      <c r="P306" s="42" t="s">
        <v>34</v>
      </c>
      <c r="Q306" s="8">
        <v>4</v>
      </c>
      <c r="R306" s="8">
        <v>10</v>
      </c>
      <c r="S306" s="44" t="s">
        <v>81</v>
      </c>
      <c r="T306" s="45" t="s">
        <v>12</v>
      </c>
      <c r="U306" s="45" t="s">
        <v>28</v>
      </c>
      <c r="V306" s="47" t="str">
        <f>IF(tbResults[[#This Row],[Player1 Score]]&gt;tbResults[[#This Row],[Player2 Score]],tbResults[[#This Row],[Player1]],tbResults[[#This Row],[Player2]])</f>
        <v>Effortless</v>
      </c>
      <c r="W306" s="49" t="str">
        <f>IF(tbResults[[#This Row],[Player1 Score]]&gt;tbResults[[#This Row],[Player2 Score]],tbResults[[#This Row],[Player2]],tbResults[[#This Row],[Player1]])</f>
        <v>dramis</v>
      </c>
      <c r="X306" s="39" t="str">
        <f>IF(tbResults[[#This Row],[Winner]]=tbResults[[#This Row],[Player1]],tbResults[[#This Row],[Player1 Pick]],tbResults[[#This Row],[Player2 Pick]])</f>
        <v>Galena</v>
      </c>
      <c r="Y306" s="39" t="str">
        <f>IF(tbResults[[#This Row],[Loser]]=tbResults[[#This Row],[Player1]],tbResults[[#This Row],[Player1 Pick]],tbResults[[#This Row],[Player2 Pick]])</f>
        <v>Scalebearer</v>
      </c>
      <c r="Z306" s="37">
        <f>SUM(tbResults[[#This Row],[Player1 Score]],tbResults[[#This Row],[Player2 Score]])</f>
        <v>14</v>
      </c>
      <c r="AA306" s="37">
        <f>ABS(tbResults[[#This Row],[Player1 Score]]-tbResults[[#This Row],[Player2 Score]])</f>
        <v>6</v>
      </c>
      <c r="AB306" s="37">
        <f>IF(tbResults[[#This Row],[Player1 Score]]&gt;tbResults[[#This Row],[Player2 Score]],tbResults[[#This Row],[Player1 Score]],tbResults[[#This Row],[Player2 Score]])</f>
        <v>10</v>
      </c>
      <c r="AC306" s="37">
        <f>IF(tbResults[[#This Row],[Player1 Score]]&lt;tbResults[[#This Row],[Player2 Score]],tbResults[[#This Row],[Player1 Score]],tbResults[[#This Row],[Player2 Score]])</f>
        <v>4</v>
      </c>
    </row>
    <row r="307" spans="2:29" ht="30" customHeight="1" x14ac:dyDescent="0.3">
      <c r="B307" s="20" t="str">
        <f>_xlfn.CONCAT(tbResults[[#This Row],[Series Title]],".",tbResults[[#This Row],[Game]])</f>
        <v>2.2.09.04.1</v>
      </c>
      <c r="C307" s="15">
        <v>2</v>
      </c>
      <c r="D307" s="15">
        <v>2</v>
      </c>
      <c r="E307" s="15">
        <v>9</v>
      </c>
      <c r="F307" s="15">
        <v>4</v>
      </c>
      <c r="G307" s="15">
        <v>1</v>
      </c>
      <c r="H307" s="19" t="str">
        <f>_xlfn.CONCAT(tbResults[[#This Row],[Season]],".",tbResults[[#This Row],[Stage]])</f>
        <v>2.2</v>
      </c>
      <c r="I307" s="19" t="str">
        <f>_xlfn.CONCAT(tbResults[[#This Row],[Season]],".",tbResults[[#This Row],[Stage]],".",TEXT(tbResults[[#This Row],[Week]],"00"))</f>
        <v>2.2.09</v>
      </c>
      <c r="J307" s="19" t="str">
        <f>_xlfn.CONCAT(tbResults[[#This Row],[Week Title]],".",TEXT(tbResults[[#This Row],[Match]],"00"))</f>
        <v>2.2.09.04</v>
      </c>
      <c r="K307" s="20" t="str">
        <f>_xlfn.CONCAT(tbResults[[#This Row],[Game Title]], " ", tbResults[[#This Row],[Player1]], " vs ", tbResults[[#This Row],[Player2]] )</f>
        <v>2.2.09.04.1 DaHanG vs cha1n</v>
      </c>
      <c r="L307" s="40" t="s">
        <v>42</v>
      </c>
      <c r="M307" s="40" t="s">
        <v>53</v>
      </c>
      <c r="N307" s="40" t="s">
        <v>33</v>
      </c>
      <c r="O307" s="40" t="s">
        <v>35</v>
      </c>
      <c r="P307" s="42" t="s">
        <v>55</v>
      </c>
      <c r="Q307" s="8">
        <v>9</v>
      </c>
      <c r="R307" s="8">
        <v>7</v>
      </c>
      <c r="S307" s="44" t="s">
        <v>81</v>
      </c>
      <c r="T307" s="45" t="s">
        <v>53</v>
      </c>
      <c r="U307" s="45" t="s">
        <v>39</v>
      </c>
      <c r="V307" s="47" t="str">
        <f>IF(tbResults[[#This Row],[Player1 Score]]&gt;tbResults[[#This Row],[Player2 Score]],tbResults[[#This Row],[Player1]],tbResults[[#This Row],[Player2]])</f>
        <v>DaHanG</v>
      </c>
      <c r="W307" s="49" t="str">
        <f>IF(tbResults[[#This Row],[Player1 Score]]&gt;tbResults[[#This Row],[Player2 Score]],tbResults[[#This Row],[Player2]],tbResults[[#This Row],[Player1]])</f>
        <v>cha1n</v>
      </c>
      <c r="X307" s="39" t="str">
        <f>IF(tbResults[[#This Row],[Winner]]=tbResults[[#This Row],[Player1]],tbResults[[#This Row],[Player1 Pick]],tbResults[[#This Row],[Player2 Pick]])</f>
        <v>Doom</v>
      </c>
      <c r="Y307" s="39" t="str">
        <f>IF(tbResults[[#This Row],[Loser]]=tbResults[[#This Row],[Player1]],tbResults[[#This Row],[Player1 Pick]],tbResults[[#This Row],[Player2 Pick]])</f>
        <v>Athena</v>
      </c>
      <c r="Z307" s="37">
        <f>SUM(tbResults[[#This Row],[Player1 Score]],tbResults[[#This Row],[Player2 Score]])</f>
        <v>16</v>
      </c>
      <c r="AA307" s="37">
        <f>ABS(tbResults[[#This Row],[Player1 Score]]-tbResults[[#This Row],[Player2 Score]])</f>
        <v>2</v>
      </c>
      <c r="AB307" s="37">
        <f>IF(tbResults[[#This Row],[Player1 Score]]&gt;tbResults[[#This Row],[Player2 Score]],tbResults[[#This Row],[Player1 Score]],tbResults[[#This Row],[Player2 Score]])</f>
        <v>9</v>
      </c>
      <c r="AC307" s="37">
        <f>IF(tbResults[[#This Row],[Player1 Score]]&lt;tbResults[[#This Row],[Player2 Score]],tbResults[[#This Row],[Player1 Score]],tbResults[[#This Row],[Player2 Score]])</f>
        <v>7</v>
      </c>
    </row>
    <row r="308" spans="2:29" ht="30" customHeight="1" x14ac:dyDescent="0.3">
      <c r="B308" s="20" t="str">
        <f>_xlfn.CONCAT(tbResults[[#This Row],[Series Title]],".",tbResults[[#This Row],[Game]])</f>
        <v>2.2.09.04.2</v>
      </c>
      <c r="C308" s="15">
        <v>2</v>
      </c>
      <c r="D308" s="15">
        <v>2</v>
      </c>
      <c r="E308" s="15">
        <v>9</v>
      </c>
      <c r="F308" s="15">
        <v>4</v>
      </c>
      <c r="G308" s="15">
        <v>2</v>
      </c>
      <c r="H308" s="19" t="str">
        <f>_xlfn.CONCAT(tbResults[[#This Row],[Season]],".",tbResults[[#This Row],[Stage]])</f>
        <v>2.2</v>
      </c>
      <c r="I308" s="19" t="str">
        <f>_xlfn.CONCAT(tbResults[[#This Row],[Season]],".",tbResults[[#This Row],[Stage]],".",TEXT(tbResults[[#This Row],[Week]],"00"))</f>
        <v>2.2.09</v>
      </c>
      <c r="J308" s="19" t="str">
        <f>_xlfn.CONCAT(tbResults[[#This Row],[Week Title]],".",TEXT(tbResults[[#This Row],[Match]],"00"))</f>
        <v>2.2.09.04</v>
      </c>
      <c r="K308" s="20" t="str">
        <f>_xlfn.CONCAT(tbResults[[#This Row],[Game Title]], " ", tbResults[[#This Row],[Player1]], " vs ", tbResults[[#This Row],[Player2]] )</f>
        <v>2.2.09.04.2 DaHanG vs cha1n</v>
      </c>
      <c r="L308" s="40" t="s">
        <v>42</v>
      </c>
      <c r="M308" s="40" t="s">
        <v>53</v>
      </c>
      <c r="N308" s="40" t="s">
        <v>26</v>
      </c>
      <c r="O308" s="40" t="s">
        <v>21</v>
      </c>
      <c r="P308" s="42" t="s">
        <v>25</v>
      </c>
      <c r="Q308" s="8">
        <v>7</v>
      </c>
      <c r="R308" s="8">
        <v>4</v>
      </c>
      <c r="S308" s="44" t="s">
        <v>81</v>
      </c>
      <c r="T308" s="45" t="s">
        <v>42</v>
      </c>
      <c r="U308" s="45" t="s">
        <v>22</v>
      </c>
      <c r="V308" s="47" t="str">
        <f>IF(tbResults[[#This Row],[Player1 Score]]&gt;tbResults[[#This Row],[Player2 Score]],tbResults[[#This Row],[Player1]],tbResults[[#This Row],[Player2]])</f>
        <v>DaHanG</v>
      </c>
      <c r="W308" s="49" t="str">
        <f>IF(tbResults[[#This Row],[Player1 Score]]&gt;tbResults[[#This Row],[Player2 Score]],tbResults[[#This Row],[Player2]],tbResults[[#This Row],[Player1]])</f>
        <v>cha1n</v>
      </c>
      <c r="X308" s="39" t="str">
        <f>IF(tbResults[[#This Row],[Winner]]=tbResults[[#This Row],[Player1]],tbResults[[#This Row],[Player1 Pick]],tbResults[[#This Row],[Player2 Pick]])</f>
        <v>Ranger</v>
      </c>
      <c r="Y308" s="39" t="str">
        <f>IF(tbResults[[#This Row],[Loser]]=tbResults[[#This Row],[Player1]],tbResults[[#This Row],[Player1 Pick]],tbResults[[#This Row],[Player2 Pick]])</f>
        <v>Sorlag</v>
      </c>
      <c r="Z308" s="37">
        <f>SUM(tbResults[[#This Row],[Player1 Score]],tbResults[[#This Row],[Player2 Score]])</f>
        <v>11</v>
      </c>
      <c r="AA308" s="37">
        <f>ABS(tbResults[[#This Row],[Player1 Score]]-tbResults[[#This Row],[Player2 Score]])</f>
        <v>3</v>
      </c>
      <c r="AB308" s="37">
        <f>IF(tbResults[[#This Row],[Player1 Score]]&gt;tbResults[[#This Row],[Player2 Score]],tbResults[[#This Row],[Player1 Score]],tbResults[[#This Row],[Player2 Score]])</f>
        <v>7</v>
      </c>
      <c r="AC308" s="37">
        <f>IF(tbResults[[#This Row],[Player1 Score]]&lt;tbResults[[#This Row],[Player2 Score]],tbResults[[#This Row],[Player1 Score]],tbResults[[#This Row],[Player2 Score]])</f>
        <v>4</v>
      </c>
    </row>
    <row r="309" spans="2:29" ht="30" customHeight="1" x14ac:dyDescent="0.3">
      <c r="B309" s="20" t="str">
        <f>_xlfn.CONCAT(tbResults[[#This Row],[Series Title]],".",tbResults[[#This Row],[Game]])</f>
        <v>2.2.09.04.3</v>
      </c>
      <c r="C309" s="15">
        <v>2</v>
      </c>
      <c r="D309" s="15">
        <v>2</v>
      </c>
      <c r="E309" s="15">
        <v>9</v>
      </c>
      <c r="F309" s="15">
        <v>4</v>
      </c>
      <c r="G309" s="15">
        <v>3</v>
      </c>
      <c r="H309" s="19" t="str">
        <f>_xlfn.CONCAT(tbResults[[#This Row],[Season]],".",tbResults[[#This Row],[Stage]])</f>
        <v>2.2</v>
      </c>
      <c r="I309" s="19" t="str">
        <f>_xlfn.CONCAT(tbResults[[#This Row],[Season]],".",tbResults[[#This Row],[Stage]],".",TEXT(tbResults[[#This Row],[Week]],"00"))</f>
        <v>2.2.09</v>
      </c>
      <c r="J309" s="19" t="str">
        <f>_xlfn.CONCAT(tbResults[[#This Row],[Week Title]],".",TEXT(tbResults[[#This Row],[Match]],"00"))</f>
        <v>2.2.09.04</v>
      </c>
      <c r="K309" s="20" t="str">
        <f>_xlfn.CONCAT(tbResults[[#This Row],[Game Title]], " ", tbResults[[#This Row],[Player1]], " vs ", tbResults[[#This Row],[Player2]] )</f>
        <v>2.2.09.04.3 DaHanG vs cha1n</v>
      </c>
      <c r="L309" s="40" t="s">
        <v>42</v>
      </c>
      <c r="M309" s="40" t="s">
        <v>53</v>
      </c>
      <c r="N309" s="40" t="s">
        <v>19</v>
      </c>
      <c r="O309" s="40" t="s">
        <v>37</v>
      </c>
      <c r="P309" s="42" t="s">
        <v>34</v>
      </c>
      <c r="Q309" s="8">
        <v>17</v>
      </c>
      <c r="R309" s="8">
        <v>3</v>
      </c>
      <c r="S309" s="44" t="s">
        <v>81</v>
      </c>
      <c r="T309" s="45" t="s">
        <v>53</v>
      </c>
      <c r="U309" s="45" t="s">
        <v>38</v>
      </c>
      <c r="V309" s="47" t="str">
        <f>IF(tbResults[[#This Row],[Player1 Score]]&gt;tbResults[[#This Row],[Player2 Score]],tbResults[[#This Row],[Player1]],tbResults[[#This Row],[Player2]])</f>
        <v>DaHanG</v>
      </c>
      <c r="W309" s="49" t="str">
        <f>IF(tbResults[[#This Row],[Player1 Score]]&gt;tbResults[[#This Row],[Player2 Score]],tbResults[[#This Row],[Player2]],tbResults[[#This Row],[Player1]])</f>
        <v>cha1n</v>
      </c>
      <c r="X309" s="39" t="str">
        <f>IF(tbResults[[#This Row],[Winner]]=tbResults[[#This Row],[Player1]],tbResults[[#This Row],[Player1 Pick]],tbResults[[#This Row],[Player2 Pick]])</f>
        <v>Eisen</v>
      </c>
      <c r="Y309" s="39" t="str">
        <f>IF(tbResults[[#This Row],[Loser]]=tbResults[[#This Row],[Player1]],tbResults[[#This Row],[Player1 Pick]],tbResults[[#This Row],[Player2 Pick]])</f>
        <v>Galena</v>
      </c>
      <c r="Z309" s="37">
        <f>SUM(tbResults[[#This Row],[Player1 Score]],tbResults[[#This Row],[Player2 Score]])</f>
        <v>20</v>
      </c>
      <c r="AA309" s="37">
        <f>ABS(tbResults[[#This Row],[Player1 Score]]-tbResults[[#This Row],[Player2 Score]])</f>
        <v>14</v>
      </c>
      <c r="AB309" s="37">
        <f>IF(tbResults[[#This Row],[Player1 Score]]&gt;tbResults[[#This Row],[Player2 Score]],tbResults[[#This Row],[Player1 Score]],tbResults[[#This Row],[Player2 Score]])</f>
        <v>17</v>
      </c>
      <c r="AC309" s="37">
        <f>IF(tbResults[[#This Row],[Player1 Score]]&lt;tbResults[[#This Row],[Player2 Score]],tbResults[[#This Row],[Player1 Score]],tbResults[[#This Row],[Player2 Score]])</f>
        <v>3</v>
      </c>
    </row>
    <row r="310" spans="2:29" ht="30" customHeight="1" x14ac:dyDescent="0.3">
      <c r="B310" s="20" t="str">
        <f>_xlfn.CONCAT(tbResults[[#This Row],[Series Title]],".",tbResults[[#This Row],[Game]])</f>
        <v>2.2.09.05.1</v>
      </c>
      <c r="C310" s="15">
        <v>2</v>
      </c>
      <c r="D310" s="15">
        <v>2</v>
      </c>
      <c r="E310" s="15">
        <v>9</v>
      </c>
      <c r="F310" s="15">
        <v>5</v>
      </c>
      <c r="G310" s="15">
        <v>1</v>
      </c>
      <c r="H310" s="19" t="str">
        <f>_xlfn.CONCAT(tbResults[[#This Row],[Season]],".",tbResults[[#This Row],[Stage]])</f>
        <v>2.2</v>
      </c>
      <c r="I310" s="19" t="str">
        <f>_xlfn.CONCAT(tbResults[[#This Row],[Season]],".",tbResults[[#This Row],[Stage]],".",TEXT(tbResults[[#This Row],[Week]],"00"))</f>
        <v>2.2.09</v>
      </c>
      <c r="J310" s="19" t="str">
        <f>_xlfn.CONCAT(tbResults[[#This Row],[Week Title]],".",TEXT(tbResults[[#This Row],[Match]],"00"))</f>
        <v>2.2.09.05</v>
      </c>
      <c r="K310" s="20" t="str">
        <f>_xlfn.CONCAT(tbResults[[#This Row],[Game Title]], " ", tbResults[[#This Row],[Player1]], " vs ", tbResults[[#This Row],[Player2]] )</f>
        <v>2.2.09.05.1 Vengeurr vs Base</v>
      </c>
      <c r="L310" s="40" t="s">
        <v>13</v>
      </c>
      <c r="M310" s="40" t="s">
        <v>51</v>
      </c>
      <c r="N310" s="40" t="s">
        <v>23</v>
      </c>
      <c r="O310" s="40" t="s">
        <v>34</v>
      </c>
      <c r="P310" s="42" t="s">
        <v>39</v>
      </c>
      <c r="Q310" s="8">
        <v>9</v>
      </c>
      <c r="R310" s="8">
        <v>4</v>
      </c>
      <c r="S310" s="44" t="s">
        <v>81</v>
      </c>
      <c r="T310" s="45" t="s">
        <v>13</v>
      </c>
      <c r="U310" s="45" t="s">
        <v>22</v>
      </c>
      <c r="V310" s="47" t="str">
        <f>IF(tbResults[[#This Row],[Player1 Score]]&gt;tbResults[[#This Row],[Player2 Score]],tbResults[[#This Row],[Player1]],tbResults[[#This Row],[Player2]])</f>
        <v>Vengeurr</v>
      </c>
      <c r="W310" s="49" t="str">
        <f>IF(tbResults[[#This Row],[Player1 Score]]&gt;tbResults[[#This Row],[Player2 Score]],tbResults[[#This Row],[Player2]],tbResults[[#This Row],[Player1]])</f>
        <v>Base</v>
      </c>
      <c r="X310" s="39" t="str">
        <f>IF(tbResults[[#This Row],[Winner]]=tbResults[[#This Row],[Player1]],tbResults[[#This Row],[Player1 Pick]],tbResults[[#This Row],[Player2 Pick]])</f>
        <v>Galena</v>
      </c>
      <c r="Y310" s="39" t="str">
        <f>IF(tbResults[[#This Row],[Loser]]=tbResults[[#This Row],[Player1]],tbResults[[#This Row],[Player1 Pick]],tbResults[[#This Row],[Player2 Pick]])</f>
        <v>Anarki</v>
      </c>
      <c r="Z310" s="37">
        <f>SUM(tbResults[[#This Row],[Player1 Score]],tbResults[[#This Row],[Player2 Score]])</f>
        <v>13</v>
      </c>
      <c r="AA310" s="37">
        <f>ABS(tbResults[[#This Row],[Player1 Score]]-tbResults[[#This Row],[Player2 Score]])</f>
        <v>5</v>
      </c>
      <c r="AB310" s="37">
        <f>IF(tbResults[[#This Row],[Player1 Score]]&gt;tbResults[[#This Row],[Player2 Score]],tbResults[[#This Row],[Player1 Score]],tbResults[[#This Row],[Player2 Score]])</f>
        <v>9</v>
      </c>
      <c r="AC310" s="37">
        <f>IF(tbResults[[#This Row],[Player1 Score]]&lt;tbResults[[#This Row],[Player2 Score]],tbResults[[#This Row],[Player1 Score]],tbResults[[#This Row],[Player2 Score]])</f>
        <v>4</v>
      </c>
    </row>
    <row r="311" spans="2:29" ht="30" customHeight="1" x14ac:dyDescent="0.3">
      <c r="B311" s="20" t="str">
        <f>_xlfn.CONCAT(tbResults[[#This Row],[Series Title]],".",tbResults[[#This Row],[Game]])</f>
        <v>2.2.09.05.2</v>
      </c>
      <c r="C311" s="15">
        <v>2</v>
      </c>
      <c r="D311" s="15">
        <v>2</v>
      </c>
      <c r="E311" s="15">
        <v>9</v>
      </c>
      <c r="F311" s="15">
        <v>5</v>
      </c>
      <c r="G311" s="15">
        <v>2</v>
      </c>
      <c r="H311" s="19" t="str">
        <f>_xlfn.CONCAT(tbResults[[#This Row],[Season]],".",tbResults[[#This Row],[Stage]])</f>
        <v>2.2</v>
      </c>
      <c r="I311" s="19" t="str">
        <f>_xlfn.CONCAT(tbResults[[#This Row],[Season]],".",tbResults[[#This Row],[Stage]],".",TEXT(tbResults[[#This Row],[Week]],"00"))</f>
        <v>2.2.09</v>
      </c>
      <c r="J311" s="19" t="str">
        <f>_xlfn.CONCAT(tbResults[[#This Row],[Week Title]],".",TEXT(tbResults[[#This Row],[Match]],"00"))</f>
        <v>2.2.09.05</v>
      </c>
      <c r="K311" s="20" t="str">
        <f>_xlfn.CONCAT(tbResults[[#This Row],[Game Title]], " ", tbResults[[#This Row],[Player1]], " vs ", tbResults[[#This Row],[Player2]] )</f>
        <v>2.2.09.05.2 Vengeurr vs Base</v>
      </c>
      <c r="L311" s="40" t="s">
        <v>13</v>
      </c>
      <c r="M311" s="40" t="s">
        <v>51</v>
      </c>
      <c r="N311" s="40" t="s">
        <v>26</v>
      </c>
      <c r="O311" s="40" t="s">
        <v>37</v>
      </c>
      <c r="P311" s="42" t="s">
        <v>25</v>
      </c>
      <c r="Q311" s="8">
        <v>11</v>
      </c>
      <c r="R311" s="8">
        <v>9</v>
      </c>
      <c r="S311" s="44" t="s">
        <v>81</v>
      </c>
      <c r="T311" s="45" t="s">
        <v>51</v>
      </c>
      <c r="U311" s="45" t="s">
        <v>38</v>
      </c>
      <c r="V311" s="47" t="str">
        <f>IF(tbResults[[#This Row],[Player1 Score]]&gt;tbResults[[#This Row],[Player2 Score]],tbResults[[#This Row],[Player1]],tbResults[[#This Row],[Player2]])</f>
        <v>Vengeurr</v>
      </c>
      <c r="W311" s="49" t="str">
        <f>IF(tbResults[[#This Row],[Player1 Score]]&gt;tbResults[[#This Row],[Player2 Score]],tbResults[[#This Row],[Player2]],tbResults[[#This Row],[Player1]])</f>
        <v>Base</v>
      </c>
      <c r="X311" s="39" t="str">
        <f>IF(tbResults[[#This Row],[Winner]]=tbResults[[#This Row],[Player1]],tbResults[[#This Row],[Player1 Pick]],tbResults[[#This Row],[Player2 Pick]])</f>
        <v>Eisen</v>
      </c>
      <c r="Y311" s="39" t="str">
        <f>IF(tbResults[[#This Row],[Loser]]=tbResults[[#This Row],[Player1]],tbResults[[#This Row],[Player1 Pick]],tbResults[[#This Row],[Player2 Pick]])</f>
        <v>Sorlag</v>
      </c>
      <c r="Z311" s="37">
        <f>SUM(tbResults[[#This Row],[Player1 Score]],tbResults[[#This Row],[Player2 Score]])</f>
        <v>20</v>
      </c>
      <c r="AA311" s="37">
        <f>ABS(tbResults[[#This Row],[Player1 Score]]-tbResults[[#This Row],[Player2 Score]])</f>
        <v>2</v>
      </c>
      <c r="AB311" s="37">
        <f>IF(tbResults[[#This Row],[Player1 Score]]&gt;tbResults[[#This Row],[Player2 Score]],tbResults[[#This Row],[Player1 Score]],tbResults[[#This Row],[Player2 Score]])</f>
        <v>11</v>
      </c>
      <c r="AC311" s="37">
        <f>IF(tbResults[[#This Row],[Player1 Score]]&lt;tbResults[[#This Row],[Player2 Score]],tbResults[[#This Row],[Player1 Score]],tbResults[[#This Row],[Player2 Score]])</f>
        <v>9</v>
      </c>
    </row>
    <row r="312" spans="2:29" ht="30" customHeight="1" x14ac:dyDescent="0.3">
      <c r="B312" s="20" t="str">
        <f>_xlfn.CONCAT(tbResults[[#This Row],[Series Title]],".",tbResults[[#This Row],[Game]])</f>
        <v>2.2.09.05.3</v>
      </c>
      <c r="C312" s="15">
        <v>2</v>
      </c>
      <c r="D312" s="15">
        <v>2</v>
      </c>
      <c r="E312" s="15">
        <v>9</v>
      </c>
      <c r="F312" s="15">
        <v>5</v>
      </c>
      <c r="G312" s="15">
        <v>3</v>
      </c>
      <c r="H312" s="19" t="str">
        <f>_xlfn.CONCAT(tbResults[[#This Row],[Season]],".",tbResults[[#This Row],[Stage]])</f>
        <v>2.2</v>
      </c>
      <c r="I312" s="19" t="str">
        <f>_xlfn.CONCAT(tbResults[[#This Row],[Season]],".",tbResults[[#This Row],[Stage]],".",TEXT(tbResults[[#This Row],[Week]],"00"))</f>
        <v>2.2.09</v>
      </c>
      <c r="J312" s="19" t="str">
        <f>_xlfn.CONCAT(tbResults[[#This Row],[Week Title]],".",TEXT(tbResults[[#This Row],[Match]],"00"))</f>
        <v>2.2.09.05</v>
      </c>
      <c r="K312" s="20" t="str">
        <f>_xlfn.CONCAT(tbResults[[#This Row],[Game Title]], " ", tbResults[[#This Row],[Player1]], " vs ", tbResults[[#This Row],[Player2]] )</f>
        <v>2.2.09.05.3 Vengeurr vs Base</v>
      </c>
      <c r="L312" s="40" t="s">
        <v>13</v>
      </c>
      <c r="M312" s="40" t="s">
        <v>51</v>
      </c>
      <c r="N312" s="40" t="s">
        <v>19</v>
      </c>
      <c r="O312" s="40" t="s">
        <v>21</v>
      </c>
      <c r="P312" s="42" t="s">
        <v>55</v>
      </c>
      <c r="Q312" s="8">
        <v>6</v>
      </c>
      <c r="R312" s="8">
        <v>7</v>
      </c>
      <c r="S312" s="44" t="s">
        <v>81</v>
      </c>
      <c r="T312" s="45" t="s">
        <v>13</v>
      </c>
      <c r="U312" s="45" t="s">
        <v>35</v>
      </c>
      <c r="V312" s="47" t="str">
        <f>IF(tbResults[[#This Row],[Player1 Score]]&gt;tbResults[[#This Row],[Player2 Score]],tbResults[[#This Row],[Player1]],tbResults[[#This Row],[Player2]])</f>
        <v>Base</v>
      </c>
      <c r="W312" s="49" t="str">
        <f>IF(tbResults[[#This Row],[Player1 Score]]&gt;tbResults[[#This Row],[Player2 Score]],tbResults[[#This Row],[Player2]],tbResults[[#This Row],[Player1]])</f>
        <v>Vengeurr</v>
      </c>
      <c r="X312" s="39" t="str">
        <f>IF(tbResults[[#This Row],[Winner]]=tbResults[[#This Row],[Player1]],tbResults[[#This Row],[Player1 Pick]],tbResults[[#This Row],[Player2 Pick]])</f>
        <v>Athena</v>
      </c>
      <c r="Y312" s="39" t="str">
        <f>IF(tbResults[[#This Row],[Loser]]=tbResults[[#This Row],[Player1]],tbResults[[#This Row],[Player1 Pick]],tbResults[[#This Row],[Player2 Pick]])</f>
        <v>Ranger</v>
      </c>
      <c r="Z312" s="37">
        <f>SUM(tbResults[[#This Row],[Player1 Score]],tbResults[[#This Row],[Player2 Score]])</f>
        <v>13</v>
      </c>
      <c r="AA312" s="37">
        <f>ABS(tbResults[[#This Row],[Player1 Score]]-tbResults[[#This Row],[Player2 Score]])</f>
        <v>1</v>
      </c>
      <c r="AB312" s="37">
        <f>IF(tbResults[[#This Row],[Player1 Score]]&gt;tbResults[[#This Row],[Player2 Score]],tbResults[[#This Row],[Player1 Score]],tbResults[[#This Row],[Player2 Score]])</f>
        <v>7</v>
      </c>
      <c r="AC312" s="37">
        <f>IF(tbResults[[#This Row],[Player1 Score]]&lt;tbResults[[#This Row],[Player2 Score]],tbResults[[#This Row],[Player1 Score]],tbResults[[#This Row],[Player2 Score]])</f>
        <v>6</v>
      </c>
    </row>
    <row r="313" spans="2:29" ht="30" customHeight="1" x14ac:dyDescent="0.3">
      <c r="B313" s="20" t="str">
        <f>_xlfn.CONCAT(tbResults[[#This Row],[Series Title]],".",tbResults[[#This Row],[Game]])</f>
        <v>2.2.09.06.1</v>
      </c>
      <c r="C313" s="15">
        <v>2</v>
      </c>
      <c r="D313" s="15">
        <v>2</v>
      </c>
      <c r="E313" s="15">
        <v>9</v>
      </c>
      <c r="F313" s="15">
        <v>6</v>
      </c>
      <c r="G313" s="15">
        <v>1</v>
      </c>
      <c r="H313" s="19" t="str">
        <f>_xlfn.CONCAT(tbResults[[#This Row],[Season]],".",tbResults[[#This Row],[Stage]])</f>
        <v>2.2</v>
      </c>
      <c r="I313" s="19" t="str">
        <f>_xlfn.CONCAT(tbResults[[#This Row],[Season]],".",tbResults[[#This Row],[Stage]],".",TEXT(tbResults[[#This Row],[Week]],"00"))</f>
        <v>2.2.09</v>
      </c>
      <c r="J313" s="19" t="str">
        <f>_xlfn.CONCAT(tbResults[[#This Row],[Week Title]],".",TEXT(tbResults[[#This Row],[Match]],"00"))</f>
        <v>2.2.09.06</v>
      </c>
      <c r="K313" s="20" t="str">
        <f>_xlfn.CONCAT(tbResults[[#This Row],[Game Title]], " ", tbResults[[#This Row],[Player1]], " vs ", tbResults[[#This Row],[Player2]] )</f>
        <v>2.2.09.06.1 coollerz vs Av3k</v>
      </c>
      <c r="L313" s="40" t="s">
        <v>48</v>
      </c>
      <c r="M313" s="40" t="s">
        <v>52</v>
      </c>
      <c r="N313" s="50" t="s">
        <v>26</v>
      </c>
      <c r="O313" s="50" t="s">
        <v>34</v>
      </c>
      <c r="P313" s="51" t="s">
        <v>27</v>
      </c>
      <c r="Q313" s="8">
        <v>5</v>
      </c>
      <c r="R313" s="8">
        <v>7</v>
      </c>
      <c r="S313" s="44" t="s">
        <v>81</v>
      </c>
      <c r="T313" s="52" t="s">
        <v>48</v>
      </c>
      <c r="U313" s="52" t="s">
        <v>25</v>
      </c>
      <c r="V313" s="47" t="str">
        <f>IF(tbResults[[#This Row],[Player1 Score]]&gt;tbResults[[#This Row],[Player2 Score]],tbResults[[#This Row],[Player1]],tbResults[[#This Row],[Player2]])</f>
        <v>Av3k</v>
      </c>
      <c r="W313" s="49" t="str">
        <f>IF(tbResults[[#This Row],[Player1 Score]]&gt;tbResults[[#This Row],[Player2 Score]],tbResults[[#This Row],[Player2]],tbResults[[#This Row],[Player1]])</f>
        <v>coollerz</v>
      </c>
      <c r="X313" s="39" t="str">
        <f>IF(tbResults[[#This Row],[Winner]]=tbResults[[#This Row],[Player1]],tbResults[[#This Row],[Player1 Pick]],tbResults[[#This Row],[Player2 Pick]])</f>
        <v>Keel</v>
      </c>
      <c r="Y313" s="39" t="str">
        <f>IF(tbResults[[#This Row],[Loser]]=tbResults[[#This Row],[Player1]],tbResults[[#This Row],[Player1 Pick]],tbResults[[#This Row],[Player2 Pick]])</f>
        <v>Galena</v>
      </c>
      <c r="Z313" s="37">
        <f>SUM(tbResults[[#This Row],[Player1 Score]],tbResults[[#This Row],[Player2 Score]])</f>
        <v>12</v>
      </c>
      <c r="AA313" s="37">
        <f>ABS(tbResults[[#This Row],[Player1 Score]]-tbResults[[#This Row],[Player2 Score]])</f>
        <v>2</v>
      </c>
      <c r="AB313" s="37">
        <f>IF(tbResults[[#This Row],[Player1 Score]]&gt;tbResults[[#This Row],[Player2 Score]],tbResults[[#This Row],[Player1 Score]],tbResults[[#This Row],[Player2 Score]])</f>
        <v>7</v>
      </c>
      <c r="AC313" s="37">
        <f>IF(tbResults[[#This Row],[Player1 Score]]&lt;tbResults[[#This Row],[Player2 Score]],tbResults[[#This Row],[Player1 Score]],tbResults[[#This Row],[Player2 Score]])</f>
        <v>5</v>
      </c>
    </row>
    <row r="314" spans="2:29" ht="30" customHeight="1" x14ac:dyDescent="0.3">
      <c r="B314" s="20" t="str">
        <f>_xlfn.CONCAT(tbResults[[#This Row],[Series Title]],".",tbResults[[#This Row],[Game]])</f>
        <v>2.2.09.06.2</v>
      </c>
      <c r="C314" s="15">
        <v>2</v>
      </c>
      <c r="D314" s="15">
        <v>2</v>
      </c>
      <c r="E314" s="15">
        <v>9</v>
      </c>
      <c r="F314" s="15">
        <v>6</v>
      </c>
      <c r="G314" s="15">
        <v>2</v>
      </c>
      <c r="H314" s="19" t="str">
        <f>_xlfn.CONCAT(tbResults[[#This Row],[Season]],".",tbResults[[#This Row],[Stage]])</f>
        <v>2.2</v>
      </c>
      <c r="I314" s="19" t="str">
        <f>_xlfn.CONCAT(tbResults[[#This Row],[Season]],".",tbResults[[#This Row],[Stage]],".",TEXT(tbResults[[#This Row],[Week]],"00"))</f>
        <v>2.2.09</v>
      </c>
      <c r="J314" s="19" t="str">
        <f>_xlfn.CONCAT(tbResults[[#This Row],[Week Title]],".",TEXT(tbResults[[#This Row],[Match]],"00"))</f>
        <v>2.2.09.06</v>
      </c>
      <c r="K314" s="20" t="str">
        <f>_xlfn.CONCAT(tbResults[[#This Row],[Game Title]], " ", tbResults[[#This Row],[Player1]], " vs ", tbResults[[#This Row],[Player2]] )</f>
        <v>2.2.09.06.2 coollerz vs Av3k</v>
      </c>
      <c r="L314" s="40" t="s">
        <v>48</v>
      </c>
      <c r="M314" s="40" t="s">
        <v>52</v>
      </c>
      <c r="N314" s="50" t="s">
        <v>23</v>
      </c>
      <c r="O314" s="50" t="s">
        <v>39</v>
      </c>
      <c r="P314" s="51" t="s">
        <v>22</v>
      </c>
      <c r="Q314" s="8">
        <v>5</v>
      </c>
      <c r="R314" s="8">
        <v>7</v>
      </c>
      <c r="S314" s="44" t="s">
        <v>81</v>
      </c>
      <c r="T314" s="52" t="s">
        <v>52</v>
      </c>
      <c r="U314" s="52" t="s">
        <v>35</v>
      </c>
      <c r="V314" s="47" t="str">
        <f>IF(tbResults[[#This Row],[Player1 Score]]&gt;tbResults[[#This Row],[Player2 Score]],tbResults[[#This Row],[Player1]],tbResults[[#This Row],[Player2]])</f>
        <v>Av3k</v>
      </c>
      <c r="W314" s="49" t="str">
        <f>IF(tbResults[[#This Row],[Player1 Score]]&gt;tbResults[[#This Row],[Player2 Score]],tbResults[[#This Row],[Player2]],tbResults[[#This Row],[Player1]])</f>
        <v>coollerz</v>
      </c>
      <c r="X314" s="39" t="str">
        <f>IF(tbResults[[#This Row],[Winner]]=tbResults[[#This Row],[Player1]],tbResults[[#This Row],[Player1 Pick]],tbResults[[#This Row],[Player2 Pick]])</f>
        <v>Strogg</v>
      </c>
      <c r="Y314" s="39" t="str">
        <f>IF(tbResults[[#This Row],[Loser]]=tbResults[[#This Row],[Player1]],tbResults[[#This Row],[Player1 Pick]],tbResults[[#This Row],[Player2 Pick]])</f>
        <v>Anarki</v>
      </c>
      <c r="Z314" s="37">
        <f>SUM(tbResults[[#This Row],[Player1 Score]],tbResults[[#This Row],[Player2 Score]])</f>
        <v>12</v>
      </c>
      <c r="AA314" s="37">
        <f>ABS(tbResults[[#This Row],[Player1 Score]]-tbResults[[#This Row],[Player2 Score]])</f>
        <v>2</v>
      </c>
      <c r="AB314" s="37">
        <f>IF(tbResults[[#This Row],[Player1 Score]]&gt;tbResults[[#This Row],[Player2 Score]],tbResults[[#This Row],[Player1 Score]],tbResults[[#This Row],[Player2 Score]])</f>
        <v>7</v>
      </c>
      <c r="AC314" s="37">
        <f>IF(tbResults[[#This Row],[Player1 Score]]&lt;tbResults[[#This Row],[Player2 Score]],tbResults[[#This Row],[Player1 Score]],tbResults[[#This Row],[Player2 Score]])</f>
        <v>5</v>
      </c>
    </row>
    <row r="315" spans="2:29" ht="30" customHeight="1" x14ac:dyDescent="0.3">
      <c r="B315" s="20" t="str">
        <f>_xlfn.CONCAT(tbResults[[#This Row],[Series Title]],".",tbResults[[#This Row],[Game]])</f>
        <v>2.2.09.06.3</v>
      </c>
      <c r="C315" s="15">
        <v>2</v>
      </c>
      <c r="D315" s="15">
        <v>2</v>
      </c>
      <c r="E315" s="15">
        <v>9</v>
      </c>
      <c r="F315" s="15">
        <v>6</v>
      </c>
      <c r="G315" s="15">
        <v>3</v>
      </c>
      <c r="H315" s="19" t="str">
        <f>_xlfn.CONCAT(tbResults[[#This Row],[Season]],".",tbResults[[#This Row],[Stage]])</f>
        <v>2.2</v>
      </c>
      <c r="I315" s="19" t="str">
        <f>_xlfn.CONCAT(tbResults[[#This Row],[Season]],".",tbResults[[#This Row],[Stage]],".",TEXT(tbResults[[#This Row],[Week]],"00"))</f>
        <v>2.2.09</v>
      </c>
      <c r="J315" s="19" t="str">
        <f>_xlfn.CONCAT(tbResults[[#This Row],[Week Title]],".",TEXT(tbResults[[#This Row],[Match]],"00"))</f>
        <v>2.2.09.06</v>
      </c>
      <c r="K315" s="20" t="str">
        <f>_xlfn.CONCAT(tbResults[[#This Row],[Game Title]], " ", tbResults[[#This Row],[Player1]], " vs ", tbResults[[#This Row],[Player2]] )</f>
        <v>2.2.09.06.3 coollerz vs Av3k</v>
      </c>
      <c r="L315" s="40" t="s">
        <v>48</v>
      </c>
      <c r="M315" s="40" t="s">
        <v>52</v>
      </c>
      <c r="N315" s="50" t="s">
        <v>19</v>
      </c>
      <c r="O315" s="50" t="s">
        <v>36</v>
      </c>
      <c r="P315" s="51" t="s">
        <v>37</v>
      </c>
      <c r="Q315" s="8">
        <v>9</v>
      </c>
      <c r="R315" s="8">
        <v>10</v>
      </c>
      <c r="S315" s="44" t="s">
        <v>81</v>
      </c>
      <c r="T315" s="52" t="s">
        <v>48</v>
      </c>
      <c r="U315" s="52" t="s">
        <v>21</v>
      </c>
      <c r="V315" s="47" t="str">
        <f>IF(tbResults[[#This Row],[Player1 Score]]&gt;tbResults[[#This Row],[Player2 Score]],tbResults[[#This Row],[Player1]],tbResults[[#This Row],[Player2]])</f>
        <v>Av3k</v>
      </c>
      <c r="W315" s="49" t="str">
        <f>IF(tbResults[[#This Row],[Player1 Score]]&gt;tbResults[[#This Row],[Player2 Score]],tbResults[[#This Row],[Player2]],tbResults[[#This Row],[Player1]])</f>
        <v>coollerz</v>
      </c>
      <c r="X315" s="39" t="str">
        <f>IF(tbResults[[#This Row],[Winner]]=tbResults[[#This Row],[Player1]],tbResults[[#This Row],[Player1 Pick]],tbResults[[#This Row],[Player2 Pick]])</f>
        <v>Eisen</v>
      </c>
      <c r="Y315" s="39" t="str">
        <f>IF(tbResults[[#This Row],[Loser]]=tbResults[[#This Row],[Player1]],tbResults[[#This Row],[Player1 Pick]],tbResults[[#This Row],[Player2 Pick]])</f>
        <v>Visor</v>
      </c>
      <c r="Z315" s="37">
        <f>SUM(tbResults[[#This Row],[Player1 Score]],tbResults[[#This Row],[Player2 Score]])</f>
        <v>19</v>
      </c>
      <c r="AA315" s="37">
        <f>ABS(tbResults[[#This Row],[Player1 Score]]-tbResults[[#This Row],[Player2 Score]])</f>
        <v>1</v>
      </c>
      <c r="AB315" s="37">
        <f>IF(tbResults[[#This Row],[Player1 Score]]&gt;tbResults[[#This Row],[Player2 Score]],tbResults[[#This Row],[Player1 Score]],tbResults[[#This Row],[Player2 Score]])</f>
        <v>10</v>
      </c>
      <c r="AC315" s="37">
        <f>IF(tbResults[[#This Row],[Player1 Score]]&lt;tbResults[[#This Row],[Player2 Score]],tbResults[[#This Row],[Player1 Score]],tbResults[[#This Row],[Player2 Score]])</f>
        <v>9</v>
      </c>
    </row>
    <row r="316" spans="2:29" ht="30" customHeight="1" x14ac:dyDescent="0.3">
      <c r="B316" s="53" t="str">
        <f>_xlfn.CONCAT(tbResults[[#This Row],[Series Title]],".",tbResults[[#This Row],[Game]])</f>
        <v>2.2.10.01.1</v>
      </c>
      <c r="C316" s="54">
        <v>2</v>
      </c>
      <c r="D316" s="15">
        <v>2</v>
      </c>
      <c r="E316" s="54">
        <v>10</v>
      </c>
      <c r="F316" s="54">
        <v>1</v>
      </c>
      <c r="G316" s="54">
        <v>1</v>
      </c>
      <c r="H316" s="55" t="str">
        <f>_xlfn.CONCAT(tbResults[[#This Row],[Season]],".",tbResults[[#This Row],[Stage]])</f>
        <v>2.2</v>
      </c>
      <c r="I316" s="55" t="str">
        <f>_xlfn.CONCAT(tbResults[[#This Row],[Season]],".",tbResults[[#This Row],[Stage]],".",TEXT(tbResults[[#This Row],[Week]],"00"))</f>
        <v>2.2.10</v>
      </c>
      <c r="J316" s="55" t="str">
        <f>_xlfn.CONCAT(tbResults[[#This Row],[Week Title]],".",TEXT(tbResults[[#This Row],[Match]],"00"))</f>
        <v>2.2.10.01</v>
      </c>
      <c r="K316" s="53" t="str">
        <f>_xlfn.CONCAT(tbResults[[#This Row],[Game Title]], " ", tbResults[[#This Row],[Player1]], " vs ", tbResults[[#This Row],[Player2]] )</f>
        <v>2.2.10.01.1 k1llsen vs cnz</v>
      </c>
      <c r="L316" s="50" t="s">
        <v>31</v>
      </c>
      <c r="M316" s="50" t="s">
        <v>54</v>
      </c>
      <c r="N316" s="50" t="s">
        <v>23</v>
      </c>
      <c r="O316" s="50" t="s">
        <v>25</v>
      </c>
      <c r="P316" s="51" t="s">
        <v>39</v>
      </c>
      <c r="Q316" s="56">
        <v>8</v>
      </c>
      <c r="R316" s="56">
        <v>11</v>
      </c>
      <c r="S316" s="44" t="s">
        <v>81</v>
      </c>
      <c r="T316" s="52" t="s">
        <v>31</v>
      </c>
      <c r="U316" s="52" t="s">
        <v>38</v>
      </c>
      <c r="V316" s="47" t="str">
        <f>IF(tbResults[[#This Row],[Player1 Score]]&gt;tbResults[[#This Row],[Player2 Score]],tbResults[[#This Row],[Player1]],tbResults[[#This Row],[Player2]])</f>
        <v>cnz</v>
      </c>
      <c r="W316" s="49" t="str">
        <f>IF(tbResults[[#This Row],[Player1 Score]]&gt;tbResults[[#This Row],[Player2 Score]],tbResults[[#This Row],[Player2]],tbResults[[#This Row],[Player1]])</f>
        <v>k1llsen</v>
      </c>
      <c r="X316" s="57" t="str">
        <f>IF(tbResults[[#This Row],[Winner]]=tbResults[[#This Row],[Player1]],tbResults[[#This Row],[Player1 Pick]],tbResults[[#This Row],[Player2 Pick]])</f>
        <v>Anarki</v>
      </c>
      <c r="Y316" s="57" t="str">
        <f>IF(tbResults[[#This Row],[Loser]]=tbResults[[#This Row],[Player1]],tbResults[[#This Row],[Player1 Pick]],tbResults[[#This Row],[Player2 Pick]])</f>
        <v>Sorlag</v>
      </c>
      <c r="Z316" s="58">
        <f>SUM(tbResults[[#This Row],[Player1 Score]],tbResults[[#This Row],[Player2 Score]])</f>
        <v>19</v>
      </c>
      <c r="AA316" s="58">
        <f>ABS(tbResults[[#This Row],[Player1 Score]]-tbResults[[#This Row],[Player2 Score]])</f>
        <v>3</v>
      </c>
      <c r="AB316" s="58">
        <f>IF(tbResults[[#This Row],[Player1 Score]]&gt;tbResults[[#This Row],[Player2 Score]],tbResults[[#This Row],[Player1 Score]],tbResults[[#This Row],[Player2 Score]])</f>
        <v>11</v>
      </c>
      <c r="AC316" s="58">
        <f>IF(tbResults[[#This Row],[Player1 Score]]&lt;tbResults[[#This Row],[Player2 Score]],tbResults[[#This Row],[Player1 Score]],tbResults[[#This Row],[Player2 Score]])</f>
        <v>8</v>
      </c>
    </row>
    <row r="317" spans="2:29" ht="30" customHeight="1" x14ac:dyDescent="0.3">
      <c r="B317" s="53" t="str">
        <f>_xlfn.CONCAT(tbResults[[#This Row],[Series Title]],".",tbResults[[#This Row],[Game]])</f>
        <v>2.2.10.01.2</v>
      </c>
      <c r="C317" s="54">
        <v>2</v>
      </c>
      <c r="D317" s="15">
        <v>2</v>
      </c>
      <c r="E317" s="54">
        <v>10</v>
      </c>
      <c r="F317" s="54">
        <v>1</v>
      </c>
      <c r="G317" s="54">
        <v>2</v>
      </c>
      <c r="H317" s="55" t="str">
        <f>_xlfn.CONCAT(tbResults[[#This Row],[Season]],".",tbResults[[#This Row],[Stage]])</f>
        <v>2.2</v>
      </c>
      <c r="I317" s="55" t="str">
        <f>_xlfn.CONCAT(tbResults[[#This Row],[Season]],".",tbResults[[#This Row],[Stage]],".",TEXT(tbResults[[#This Row],[Week]],"00"))</f>
        <v>2.2.10</v>
      </c>
      <c r="J317" s="55" t="str">
        <f>_xlfn.CONCAT(tbResults[[#This Row],[Week Title]],".",TEXT(tbResults[[#This Row],[Match]],"00"))</f>
        <v>2.2.10.01</v>
      </c>
      <c r="K317" s="53" t="str">
        <f>_xlfn.CONCAT(tbResults[[#This Row],[Game Title]], " ", tbResults[[#This Row],[Player1]], " vs ", tbResults[[#This Row],[Player2]] )</f>
        <v>2.2.10.01.2 k1llsen vs cnz</v>
      </c>
      <c r="L317" s="50" t="s">
        <v>31</v>
      </c>
      <c r="M317" s="50" t="s">
        <v>54</v>
      </c>
      <c r="N317" s="50" t="s">
        <v>26</v>
      </c>
      <c r="O317" s="50" t="s">
        <v>22</v>
      </c>
      <c r="P317" s="51" t="s">
        <v>37</v>
      </c>
      <c r="Q317" s="56">
        <v>11</v>
      </c>
      <c r="R317" s="56">
        <v>5</v>
      </c>
      <c r="S317" s="44" t="s">
        <v>81</v>
      </c>
      <c r="T317" s="52" t="s">
        <v>54</v>
      </c>
      <c r="U317" s="52" t="s">
        <v>36</v>
      </c>
      <c r="V317" s="47" t="str">
        <f>IF(tbResults[[#This Row],[Player1 Score]]&gt;tbResults[[#This Row],[Player2 Score]],tbResults[[#This Row],[Player1]],tbResults[[#This Row],[Player2]])</f>
        <v>k1llsen</v>
      </c>
      <c r="W317" s="49" t="str">
        <f>IF(tbResults[[#This Row],[Player1 Score]]&gt;tbResults[[#This Row],[Player2 Score]],tbResults[[#This Row],[Player2]],tbResults[[#This Row],[Player1]])</f>
        <v>cnz</v>
      </c>
      <c r="X317" s="57" t="str">
        <f>IF(tbResults[[#This Row],[Winner]]=tbResults[[#This Row],[Player1]],tbResults[[#This Row],[Player1 Pick]],tbResults[[#This Row],[Player2 Pick]])</f>
        <v>Strogg</v>
      </c>
      <c r="Y317" s="57" t="str">
        <f>IF(tbResults[[#This Row],[Loser]]=tbResults[[#This Row],[Player1]],tbResults[[#This Row],[Player1 Pick]],tbResults[[#This Row],[Player2 Pick]])</f>
        <v>Eisen</v>
      </c>
      <c r="Z317" s="58">
        <f>SUM(tbResults[[#This Row],[Player1 Score]],tbResults[[#This Row],[Player2 Score]])</f>
        <v>16</v>
      </c>
      <c r="AA317" s="58">
        <f>ABS(tbResults[[#This Row],[Player1 Score]]-tbResults[[#This Row],[Player2 Score]])</f>
        <v>6</v>
      </c>
      <c r="AB317" s="58">
        <f>IF(tbResults[[#This Row],[Player1 Score]]&gt;tbResults[[#This Row],[Player2 Score]],tbResults[[#This Row],[Player1 Score]],tbResults[[#This Row],[Player2 Score]])</f>
        <v>11</v>
      </c>
      <c r="AC317" s="58">
        <f>IF(tbResults[[#This Row],[Player1 Score]]&lt;tbResults[[#This Row],[Player2 Score]],tbResults[[#This Row],[Player1 Score]],tbResults[[#This Row],[Player2 Score]])</f>
        <v>5</v>
      </c>
    </row>
    <row r="318" spans="2:29" ht="30" customHeight="1" x14ac:dyDescent="0.3">
      <c r="B318" s="53" t="str">
        <f>_xlfn.CONCAT(tbResults[[#This Row],[Series Title]],".",tbResults[[#This Row],[Game]])</f>
        <v>2.2.10.01.3</v>
      </c>
      <c r="C318" s="54">
        <v>2</v>
      </c>
      <c r="D318" s="15">
        <v>2</v>
      </c>
      <c r="E318" s="54">
        <v>10</v>
      </c>
      <c r="F318" s="54">
        <v>1</v>
      </c>
      <c r="G318" s="54">
        <v>3</v>
      </c>
      <c r="H318" s="55" t="str">
        <f>_xlfn.CONCAT(tbResults[[#This Row],[Season]],".",tbResults[[#This Row],[Stage]])</f>
        <v>2.2</v>
      </c>
      <c r="I318" s="55" t="str">
        <f>_xlfn.CONCAT(tbResults[[#This Row],[Season]],".",tbResults[[#This Row],[Stage]],".",TEXT(tbResults[[#This Row],[Week]],"00"))</f>
        <v>2.2.10</v>
      </c>
      <c r="J318" s="55" t="str">
        <f>_xlfn.CONCAT(tbResults[[#This Row],[Week Title]],".",TEXT(tbResults[[#This Row],[Match]],"00"))</f>
        <v>2.2.10.01</v>
      </c>
      <c r="K318" s="53" t="str">
        <f>_xlfn.CONCAT(tbResults[[#This Row],[Game Title]], " ", tbResults[[#This Row],[Player1]], " vs ", tbResults[[#This Row],[Player2]] )</f>
        <v>2.2.10.01.3 k1llsen vs cnz</v>
      </c>
      <c r="L318" s="50" t="s">
        <v>31</v>
      </c>
      <c r="M318" s="50" t="s">
        <v>54</v>
      </c>
      <c r="N318" s="50" t="s">
        <v>32</v>
      </c>
      <c r="O318" s="50" t="s">
        <v>35</v>
      </c>
      <c r="P318" s="51" t="s">
        <v>21</v>
      </c>
      <c r="Q318" s="56">
        <v>8</v>
      </c>
      <c r="R318" s="56">
        <v>5</v>
      </c>
      <c r="S318" s="44" t="s">
        <v>81</v>
      </c>
      <c r="T318" s="52" t="s">
        <v>31</v>
      </c>
      <c r="U318" s="52" t="s">
        <v>34</v>
      </c>
      <c r="V318" s="47" t="str">
        <f>IF(tbResults[[#This Row],[Player1 Score]]&gt;tbResults[[#This Row],[Player2 Score]],tbResults[[#This Row],[Player1]],tbResults[[#This Row],[Player2]])</f>
        <v>k1llsen</v>
      </c>
      <c r="W318" s="49" t="str">
        <f>IF(tbResults[[#This Row],[Player1 Score]]&gt;tbResults[[#This Row],[Player2 Score]],tbResults[[#This Row],[Player2]],tbResults[[#This Row],[Player1]])</f>
        <v>cnz</v>
      </c>
      <c r="X318" s="57" t="str">
        <f>IF(tbResults[[#This Row],[Winner]]=tbResults[[#This Row],[Player1]],tbResults[[#This Row],[Player1 Pick]],tbResults[[#This Row],[Player2 Pick]])</f>
        <v>Doom</v>
      </c>
      <c r="Y318" s="57" t="str">
        <f>IF(tbResults[[#This Row],[Loser]]=tbResults[[#This Row],[Player1]],tbResults[[#This Row],[Player1 Pick]],tbResults[[#This Row],[Player2 Pick]])</f>
        <v>Ranger</v>
      </c>
      <c r="Z318" s="58">
        <f>SUM(tbResults[[#This Row],[Player1 Score]],tbResults[[#This Row],[Player2 Score]])</f>
        <v>13</v>
      </c>
      <c r="AA318" s="58">
        <f>ABS(tbResults[[#This Row],[Player1 Score]]-tbResults[[#This Row],[Player2 Score]])</f>
        <v>3</v>
      </c>
      <c r="AB318" s="58">
        <f>IF(tbResults[[#This Row],[Player1 Score]]&gt;tbResults[[#This Row],[Player2 Score]],tbResults[[#This Row],[Player1 Score]],tbResults[[#This Row],[Player2 Score]])</f>
        <v>8</v>
      </c>
      <c r="AC318" s="58">
        <f>IF(tbResults[[#This Row],[Player1 Score]]&lt;tbResults[[#This Row],[Player2 Score]],tbResults[[#This Row],[Player1 Score]],tbResults[[#This Row],[Player2 Score]])</f>
        <v>5</v>
      </c>
    </row>
    <row r="319" spans="2:29" ht="30" customHeight="1" x14ac:dyDescent="0.3">
      <c r="B319" s="53" t="str">
        <f>_xlfn.CONCAT(tbResults[[#This Row],[Series Title]],".",tbResults[[#This Row],[Game]])</f>
        <v>2.2.10.02.1</v>
      </c>
      <c r="C319" s="54">
        <v>2</v>
      </c>
      <c r="D319" s="15">
        <v>2</v>
      </c>
      <c r="E319" s="54">
        <v>10</v>
      </c>
      <c r="F319" s="54">
        <v>2</v>
      </c>
      <c r="G319" s="54">
        <v>1</v>
      </c>
      <c r="H319" s="55" t="str">
        <f>_xlfn.CONCAT(tbResults[[#This Row],[Season]],".",tbResults[[#This Row],[Stage]])</f>
        <v>2.2</v>
      </c>
      <c r="I319" s="55" t="str">
        <f>_xlfn.CONCAT(tbResults[[#This Row],[Season]],".",tbResults[[#This Row],[Stage]],".",TEXT(tbResults[[#This Row],[Week]],"00"))</f>
        <v>2.2.10</v>
      </c>
      <c r="J319" s="55" t="str">
        <f>_xlfn.CONCAT(tbResults[[#This Row],[Week Title]],".",TEXT(tbResults[[#This Row],[Match]],"00"))</f>
        <v>2.2.10.02</v>
      </c>
      <c r="K319" s="53" t="str">
        <f>_xlfn.CONCAT(tbResults[[#This Row],[Game Title]], " ", tbResults[[#This Row],[Player1]], " vs ", tbResults[[#This Row],[Player2]] )</f>
        <v>2.2.10.02.1 maxter vs Rapha</v>
      </c>
      <c r="L319" s="50" t="s">
        <v>41</v>
      </c>
      <c r="M319" s="50" t="s">
        <v>47</v>
      </c>
      <c r="N319" s="50" t="s">
        <v>19</v>
      </c>
      <c r="O319" s="50" t="s">
        <v>21</v>
      </c>
      <c r="P319" s="51" t="s">
        <v>35</v>
      </c>
      <c r="Q319" s="56">
        <v>6</v>
      </c>
      <c r="R319" s="56">
        <v>12</v>
      </c>
      <c r="S319" s="44" t="s">
        <v>81</v>
      </c>
      <c r="T319" s="52" t="s">
        <v>47</v>
      </c>
      <c r="U319" s="52" t="s">
        <v>55</v>
      </c>
      <c r="V319" s="47" t="str">
        <f>IF(tbResults[[#This Row],[Player1 Score]]&gt;tbResults[[#This Row],[Player2 Score]],tbResults[[#This Row],[Player1]],tbResults[[#This Row],[Player2]])</f>
        <v>Rapha</v>
      </c>
      <c r="W319" s="49" t="str">
        <f>IF(tbResults[[#This Row],[Player1 Score]]&gt;tbResults[[#This Row],[Player2 Score]],tbResults[[#This Row],[Player2]],tbResults[[#This Row],[Player1]])</f>
        <v>maxter</v>
      </c>
      <c r="X319" s="57" t="str">
        <f>IF(tbResults[[#This Row],[Winner]]=tbResults[[#This Row],[Player1]],tbResults[[#This Row],[Player1 Pick]],tbResults[[#This Row],[Player2 Pick]])</f>
        <v>Doom</v>
      </c>
      <c r="Y319" s="57" t="str">
        <f>IF(tbResults[[#This Row],[Loser]]=tbResults[[#This Row],[Player1]],tbResults[[#This Row],[Player1 Pick]],tbResults[[#This Row],[Player2 Pick]])</f>
        <v>Ranger</v>
      </c>
      <c r="Z319" s="58">
        <f>SUM(tbResults[[#This Row],[Player1 Score]],tbResults[[#This Row],[Player2 Score]])</f>
        <v>18</v>
      </c>
      <c r="AA319" s="58">
        <f>ABS(tbResults[[#This Row],[Player1 Score]]-tbResults[[#This Row],[Player2 Score]])</f>
        <v>6</v>
      </c>
      <c r="AB319" s="58">
        <f>IF(tbResults[[#This Row],[Player1 Score]]&gt;tbResults[[#This Row],[Player2 Score]],tbResults[[#This Row],[Player1 Score]],tbResults[[#This Row],[Player2 Score]])</f>
        <v>12</v>
      </c>
      <c r="AC319" s="58">
        <f>IF(tbResults[[#This Row],[Player1 Score]]&lt;tbResults[[#This Row],[Player2 Score]],tbResults[[#This Row],[Player1 Score]],tbResults[[#This Row],[Player2 Score]])</f>
        <v>6</v>
      </c>
    </row>
    <row r="320" spans="2:29" ht="30" customHeight="1" x14ac:dyDescent="0.3">
      <c r="B320" s="53" t="str">
        <f>_xlfn.CONCAT(tbResults[[#This Row],[Series Title]],".",tbResults[[#This Row],[Game]])</f>
        <v>2.2.10.02.2</v>
      </c>
      <c r="C320" s="54">
        <v>2</v>
      </c>
      <c r="D320" s="15">
        <v>2</v>
      </c>
      <c r="E320" s="54">
        <v>10</v>
      </c>
      <c r="F320" s="54">
        <v>2</v>
      </c>
      <c r="G320" s="54">
        <v>2</v>
      </c>
      <c r="H320" s="55" t="str">
        <f>_xlfn.CONCAT(tbResults[[#This Row],[Season]],".",tbResults[[#This Row],[Stage]])</f>
        <v>2.2</v>
      </c>
      <c r="I320" s="55" t="str">
        <f>_xlfn.CONCAT(tbResults[[#This Row],[Season]],".",tbResults[[#This Row],[Stage]],".",TEXT(tbResults[[#This Row],[Week]],"00"))</f>
        <v>2.2.10</v>
      </c>
      <c r="J320" s="55" t="str">
        <f>_xlfn.CONCAT(tbResults[[#This Row],[Week Title]],".",TEXT(tbResults[[#This Row],[Match]],"00"))</f>
        <v>2.2.10.02</v>
      </c>
      <c r="K320" s="53" t="str">
        <f>_xlfn.CONCAT(tbResults[[#This Row],[Game Title]], " ", tbResults[[#This Row],[Player1]], " vs ", tbResults[[#This Row],[Player2]] )</f>
        <v>2.2.10.02.2 maxter vs Rapha</v>
      </c>
      <c r="L320" s="50" t="s">
        <v>41</v>
      </c>
      <c r="M320" s="50" t="s">
        <v>47</v>
      </c>
      <c r="N320" s="50" t="s">
        <v>43</v>
      </c>
      <c r="O320" s="50" t="s">
        <v>44</v>
      </c>
      <c r="P320" s="51" t="s">
        <v>25</v>
      </c>
      <c r="Q320" s="56">
        <v>11</v>
      </c>
      <c r="R320" s="56">
        <v>10</v>
      </c>
      <c r="S320" s="56" t="s">
        <v>82</v>
      </c>
      <c r="T320" s="52" t="s">
        <v>41</v>
      </c>
      <c r="U320" s="52" t="s">
        <v>27</v>
      </c>
      <c r="V320" s="47" t="str">
        <f>IF(tbResults[[#This Row],[Player1 Score]]&gt;tbResults[[#This Row],[Player2 Score]],tbResults[[#This Row],[Player1]],tbResults[[#This Row],[Player2]])</f>
        <v>maxter</v>
      </c>
      <c r="W320" s="49" t="str">
        <f>IF(tbResults[[#This Row],[Player1 Score]]&gt;tbResults[[#This Row],[Player2 Score]],tbResults[[#This Row],[Player2]],tbResults[[#This Row],[Player1]])</f>
        <v>Rapha</v>
      </c>
      <c r="X320" s="57" t="str">
        <f>IF(tbResults[[#This Row],[Winner]]=tbResults[[#This Row],[Player1]],tbResults[[#This Row],[Player1 Pick]],tbResults[[#This Row],[Player2 Pick]])</f>
        <v>Scalebearer</v>
      </c>
      <c r="Y320" s="57" t="str">
        <f>IF(tbResults[[#This Row],[Loser]]=tbResults[[#This Row],[Player1]],tbResults[[#This Row],[Player1 Pick]],tbResults[[#This Row],[Player2 Pick]])</f>
        <v>Sorlag</v>
      </c>
      <c r="Z320" s="58">
        <f>SUM(tbResults[[#This Row],[Player1 Score]],tbResults[[#This Row],[Player2 Score]])</f>
        <v>21</v>
      </c>
      <c r="AA320" s="58">
        <f>ABS(tbResults[[#This Row],[Player1 Score]]-tbResults[[#This Row],[Player2 Score]])</f>
        <v>1</v>
      </c>
      <c r="AB320" s="58">
        <f>IF(tbResults[[#This Row],[Player1 Score]]&gt;tbResults[[#This Row],[Player2 Score]],tbResults[[#This Row],[Player1 Score]],tbResults[[#This Row],[Player2 Score]])</f>
        <v>11</v>
      </c>
      <c r="AC320" s="58">
        <f>IF(tbResults[[#This Row],[Player1 Score]]&lt;tbResults[[#This Row],[Player2 Score]],tbResults[[#This Row],[Player1 Score]],tbResults[[#This Row],[Player2 Score]])</f>
        <v>10</v>
      </c>
    </row>
    <row r="321" spans="2:29" ht="30" customHeight="1" x14ac:dyDescent="0.3">
      <c r="B321" s="53" t="str">
        <f>_xlfn.CONCAT(tbResults[[#This Row],[Series Title]],".",tbResults[[#This Row],[Game]])</f>
        <v>2.2.10.02.3</v>
      </c>
      <c r="C321" s="54">
        <v>2</v>
      </c>
      <c r="D321" s="15">
        <v>2</v>
      </c>
      <c r="E321" s="54">
        <v>10</v>
      </c>
      <c r="F321" s="54">
        <v>2</v>
      </c>
      <c r="G321" s="54">
        <v>3</v>
      </c>
      <c r="H321" s="55" t="str">
        <f>_xlfn.CONCAT(tbResults[[#This Row],[Season]],".",tbResults[[#This Row],[Stage]])</f>
        <v>2.2</v>
      </c>
      <c r="I321" s="55" t="str">
        <f>_xlfn.CONCAT(tbResults[[#This Row],[Season]],".",tbResults[[#This Row],[Stage]],".",TEXT(tbResults[[#This Row],[Week]],"00"))</f>
        <v>2.2.10</v>
      </c>
      <c r="J321" s="55" t="str">
        <f>_xlfn.CONCAT(tbResults[[#This Row],[Week Title]],".",TEXT(tbResults[[#This Row],[Match]],"00"))</f>
        <v>2.2.10.02</v>
      </c>
      <c r="K321" s="53" t="str">
        <f>_xlfn.CONCAT(tbResults[[#This Row],[Game Title]], " ", tbResults[[#This Row],[Player1]], " vs ", tbResults[[#This Row],[Player2]] )</f>
        <v>2.2.10.02.3 maxter vs Rapha</v>
      </c>
      <c r="L321" s="50" t="s">
        <v>41</v>
      </c>
      <c r="M321" s="50" t="s">
        <v>47</v>
      </c>
      <c r="N321" s="50" t="s">
        <v>33</v>
      </c>
      <c r="O321" s="50" t="s">
        <v>22</v>
      </c>
      <c r="P321" s="51" t="s">
        <v>34</v>
      </c>
      <c r="Q321" s="56">
        <v>6</v>
      </c>
      <c r="R321" s="56">
        <v>11</v>
      </c>
      <c r="S321" s="44" t="s">
        <v>81</v>
      </c>
      <c r="T321" s="52" t="s">
        <v>47</v>
      </c>
      <c r="U321" s="52" t="s">
        <v>39</v>
      </c>
      <c r="V321" s="47" t="str">
        <f>IF(tbResults[[#This Row],[Player1 Score]]&gt;tbResults[[#This Row],[Player2 Score]],tbResults[[#This Row],[Player1]],tbResults[[#This Row],[Player2]])</f>
        <v>Rapha</v>
      </c>
      <c r="W321" s="49" t="str">
        <f>IF(tbResults[[#This Row],[Player1 Score]]&gt;tbResults[[#This Row],[Player2 Score]],tbResults[[#This Row],[Player2]],tbResults[[#This Row],[Player1]])</f>
        <v>maxter</v>
      </c>
      <c r="X321" s="57" t="str">
        <f>IF(tbResults[[#This Row],[Winner]]=tbResults[[#This Row],[Player1]],tbResults[[#This Row],[Player1 Pick]],tbResults[[#This Row],[Player2 Pick]])</f>
        <v>Galena</v>
      </c>
      <c r="Y321" s="57" t="str">
        <f>IF(tbResults[[#This Row],[Loser]]=tbResults[[#This Row],[Player1]],tbResults[[#This Row],[Player1 Pick]],tbResults[[#This Row],[Player2 Pick]])</f>
        <v>Strogg</v>
      </c>
      <c r="Z321" s="58">
        <f>SUM(tbResults[[#This Row],[Player1 Score]],tbResults[[#This Row],[Player2 Score]])</f>
        <v>17</v>
      </c>
      <c r="AA321" s="58">
        <f>ABS(tbResults[[#This Row],[Player1 Score]]-tbResults[[#This Row],[Player2 Score]])</f>
        <v>5</v>
      </c>
      <c r="AB321" s="58">
        <f>IF(tbResults[[#This Row],[Player1 Score]]&gt;tbResults[[#This Row],[Player2 Score]],tbResults[[#This Row],[Player1 Score]],tbResults[[#This Row],[Player2 Score]])</f>
        <v>11</v>
      </c>
      <c r="AC321" s="58">
        <f>IF(tbResults[[#This Row],[Player1 Score]]&lt;tbResults[[#This Row],[Player2 Score]],tbResults[[#This Row],[Player1 Score]],tbResults[[#This Row],[Player2 Score]])</f>
        <v>6</v>
      </c>
    </row>
    <row r="322" spans="2:29" ht="30" customHeight="1" x14ac:dyDescent="0.3">
      <c r="B322" s="53" t="str">
        <f>_xlfn.CONCAT(tbResults[[#This Row],[Series Title]],".",tbResults[[#This Row],[Game]])</f>
        <v>2.2.10.03.1</v>
      </c>
      <c r="C322" s="54">
        <v>2</v>
      </c>
      <c r="D322" s="15">
        <v>2</v>
      </c>
      <c r="E322" s="54">
        <v>10</v>
      </c>
      <c r="F322" s="54">
        <v>3</v>
      </c>
      <c r="G322" s="54">
        <v>1</v>
      </c>
      <c r="H322" s="55" t="str">
        <f>_xlfn.CONCAT(tbResults[[#This Row],[Season]],".",tbResults[[#This Row],[Stage]])</f>
        <v>2.2</v>
      </c>
      <c r="I322" s="55" t="str">
        <f>_xlfn.CONCAT(tbResults[[#This Row],[Season]],".",tbResults[[#This Row],[Stage]],".",TEXT(tbResults[[#This Row],[Week]],"00"))</f>
        <v>2.2.10</v>
      </c>
      <c r="J322" s="55" t="str">
        <f>_xlfn.CONCAT(tbResults[[#This Row],[Week Title]],".",TEXT(tbResults[[#This Row],[Match]],"00"))</f>
        <v>2.2.10.03</v>
      </c>
      <c r="K322" s="53" t="str">
        <f>_xlfn.CONCAT(tbResults[[#This Row],[Game Title]], " ", tbResults[[#This Row],[Player1]], " vs ", tbResults[[#This Row],[Player2]] )</f>
        <v>2.2.10.03.1 cha1n vs Psygib</v>
      </c>
      <c r="L322" s="50" t="s">
        <v>53</v>
      </c>
      <c r="M322" s="50" t="s">
        <v>30</v>
      </c>
      <c r="N322" s="60" t="s">
        <v>40</v>
      </c>
      <c r="O322" s="60" t="s">
        <v>35</v>
      </c>
      <c r="P322" s="61" t="s">
        <v>27</v>
      </c>
      <c r="Q322" s="56">
        <v>15</v>
      </c>
      <c r="R322" s="56">
        <v>6</v>
      </c>
      <c r="S322" s="62" t="s">
        <v>81</v>
      </c>
      <c r="T322" s="63" t="s">
        <v>30</v>
      </c>
      <c r="U322" s="63" t="s">
        <v>25</v>
      </c>
      <c r="V322" s="47" t="str">
        <f>IF(tbResults[[#This Row],[Player1 Score]]&gt;tbResults[[#This Row],[Player2 Score]],tbResults[[#This Row],[Player1]],tbResults[[#This Row],[Player2]])</f>
        <v>cha1n</v>
      </c>
      <c r="W322" s="49" t="str">
        <f>IF(tbResults[[#This Row],[Player1 Score]]&gt;tbResults[[#This Row],[Player2 Score]],tbResults[[#This Row],[Player2]],tbResults[[#This Row],[Player1]])</f>
        <v>Psygib</v>
      </c>
      <c r="X322" s="57" t="str">
        <f>IF(tbResults[[#This Row],[Winner]]=tbResults[[#This Row],[Player1]],tbResults[[#This Row],[Player1 Pick]],tbResults[[#This Row],[Player2 Pick]])</f>
        <v>Doom</v>
      </c>
      <c r="Y322" s="57" t="str">
        <f>IF(tbResults[[#This Row],[Loser]]=tbResults[[#This Row],[Player1]],tbResults[[#This Row],[Player1 Pick]],tbResults[[#This Row],[Player2 Pick]])</f>
        <v>Keel</v>
      </c>
      <c r="Z322" s="58">
        <f>SUM(tbResults[[#This Row],[Player1 Score]],tbResults[[#This Row],[Player2 Score]])</f>
        <v>21</v>
      </c>
      <c r="AA322" s="58">
        <f>ABS(tbResults[[#This Row],[Player1 Score]]-tbResults[[#This Row],[Player2 Score]])</f>
        <v>9</v>
      </c>
      <c r="AB322" s="58">
        <f>IF(tbResults[[#This Row],[Player1 Score]]&gt;tbResults[[#This Row],[Player2 Score]],tbResults[[#This Row],[Player1 Score]],tbResults[[#This Row],[Player2 Score]])</f>
        <v>15</v>
      </c>
      <c r="AC322" s="58">
        <f>IF(tbResults[[#This Row],[Player1 Score]]&lt;tbResults[[#This Row],[Player2 Score]],tbResults[[#This Row],[Player1 Score]],tbResults[[#This Row],[Player2 Score]])</f>
        <v>6</v>
      </c>
    </row>
    <row r="323" spans="2:29" ht="30" customHeight="1" x14ac:dyDescent="0.3">
      <c r="B323" s="53" t="str">
        <f>_xlfn.CONCAT(tbResults[[#This Row],[Series Title]],".",tbResults[[#This Row],[Game]])</f>
        <v>2.2.10.03.2</v>
      </c>
      <c r="C323" s="54">
        <v>2</v>
      </c>
      <c r="D323" s="15">
        <v>2</v>
      </c>
      <c r="E323" s="54">
        <v>10</v>
      </c>
      <c r="F323" s="54">
        <v>3</v>
      </c>
      <c r="G323" s="54">
        <v>2</v>
      </c>
      <c r="H323" s="55" t="str">
        <f>_xlfn.CONCAT(tbResults[[#This Row],[Season]],".",tbResults[[#This Row],[Stage]])</f>
        <v>2.2</v>
      </c>
      <c r="I323" s="55" t="str">
        <f>_xlfn.CONCAT(tbResults[[#This Row],[Season]],".",tbResults[[#This Row],[Stage]],".",TEXT(tbResults[[#This Row],[Week]],"00"))</f>
        <v>2.2.10</v>
      </c>
      <c r="J323" s="55" t="str">
        <f>_xlfn.CONCAT(tbResults[[#This Row],[Week Title]],".",TEXT(tbResults[[#This Row],[Match]],"00"))</f>
        <v>2.2.10.03</v>
      </c>
      <c r="K323" s="53" t="str">
        <f>_xlfn.CONCAT(tbResults[[#This Row],[Game Title]], " ", tbResults[[#This Row],[Player1]], " vs ", tbResults[[#This Row],[Player2]] )</f>
        <v>2.2.10.03.2 cha1n vs Psygib</v>
      </c>
      <c r="L323" s="50" t="s">
        <v>53</v>
      </c>
      <c r="M323" s="50" t="s">
        <v>30</v>
      </c>
      <c r="N323" s="60" t="s">
        <v>19</v>
      </c>
      <c r="O323" s="60" t="s">
        <v>21</v>
      </c>
      <c r="P323" s="61" t="s">
        <v>44</v>
      </c>
      <c r="Q323" s="56">
        <v>10</v>
      </c>
      <c r="R323" s="56">
        <v>9</v>
      </c>
      <c r="S323" s="62" t="s">
        <v>82</v>
      </c>
      <c r="T323" s="63" t="s">
        <v>53</v>
      </c>
      <c r="U323" s="63" t="s">
        <v>55</v>
      </c>
      <c r="V323" s="47" t="str">
        <f>IF(tbResults[[#This Row],[Player1 Score]]&gt;tbResults[[#This Row],[Player2 Score]],tbResults[[#This Row],[Player1]],tbResults[[#This Row],[Player2]])</f>
        <v>cha1n</v>
      </c>
      <c r="W323" s="49" t="str">
        <f>IF(tbResults[[#This Row],[Player1 Score]]&gt;tbResults[[#This Row],[Player2 Score]],tbResults[[#This Row],[Player2]],tbResults[[#This Row],[Player1]])</f>
        <v>Psygib</v>
      </c>
      <c r="X323" s="57" t="str">
        <f>IF(tbResults[[#This Row],[Winner]]=tbResults[[#This Row],[Player1]],tbResults[[#This Row],[Player1 Pick]],tbResults[[#This Row],[Player2 Pick]])</f>
        <v>Ranger</v>
      </c>
      <c r="Y323" s="57" t="str">
        <f>IF(tbResults[[#This Row],[Loser]]=tbResults[[#This Row],[Player1]],tbResults[[#This Row],[Player1 Pick]],tbResults[[#This Row],[Player2 Pick]])</f>
        <v>Scalebearer</v>
      </c>
      <c r="Z323" s="58">
        <f>SUM(tbResults[[#This Row],[Player1 Score]],tbResults[[#This Row],[Player2 Score]])</f>
        <v>19</v>
      </c>
      <c r="AA323" s="58">
        <f>ABS(tbResults[[#This Row],[Player1 Score]]-tbResults[[#This Row],[Player2 Score]])</f>
        <v>1</v>
      </c>
      <c r="AB323" s="58">
        <f>IF(tbResults[[#This Row],[Player1 Score]]&gt;tbResults[[#This Row],[Player2 Score]],tbResults[[#This Row],[Player1 Score]],tbResults[[#This Row],[Player2 Score]])</f>
        <v>10</v>
      </c>
      <c r="AC323" s="58">
        <f>IF(tbResults[[#This Row],[Player1 Score]]&lt;tbResults[[#This Row],[Player2 Score]],tbResults[[#This Row],[Player1 Score]],tbResults[[#This Row],[Player2 Score]])</f>
        <v>9</v>
      </c>
    </row>
    <row r="324" spans="2:29" ht="30" customHeight="1" x14ac:dyDescent="0.3">
      <c r="B324" s="53" t="str">
        <f>_xlfn.CONCAT(tbResults[[#This Row],[Series Title]],".",tbResults[[#This Row],[Game]])</f>
        <v>2.2.10.03.3</v>
      </c>
      <c r="C324" s="54">
        <v>2</v>
      </c>
      <c r="D324" s="15">
        <v>2</v>
      </c>
      <c r="E324" s="54">
        <v>10</v>
      </c>
      <c r="F324" s="54">
        <v>3</v>
      </c>
      <c r="G324" s="54">
        <v>3</v>
      </c>
      <c r="H324" s="55" t="str">
        <f>_xlfn.CONCAT(tbResults[[#This Row],[Season]],".",tbResults[[#This Row],[Stage]])</f>
        <v>2.2</v>
      </c>
      <c r="I324" s="55" t="str">
        <f>_xlfn.CONCAT(tbResults[[#This Row],[Season]],".",tbResults[[#This Row],[Stage]],".",TEXT(tbResults[[#This Row],[Week]],"00"))</f>
        <v>2.2.10</v>
      </c>
      <c r="J324" s="55" t="str">
        <f>_xlfn.CONCAT(tbResults[[#This Row],[Week Title]],".",TEXT(tbResults[[#This Row],[Match]],"00"))</f>
        <v>2.2.10.03</v>
      </c>
      <c r="K324" s="53" t="str">
        <f>_xlfn.CONCAT(tbResults[[#This Row],[Game Title]], " ", tbResults[[#This Row],[Player1]], " vs ", tbResults[[#This Row],[Player2]] )</f>
        <v>2.2.10.03.3 cha1n vs Psygib</v>
      </c>
      <c r="L324" s="50" t="s">
        <v>53</v>
      </c>
      <c r="M324" s="50" t="s">
        <v>30</v>
      </c>
      <c r="N324" s="60" t="s">
        <v>33</v>
      </c>
      <c r="O324" s="60" t="s">
        <v>34</v>
      </c>
      <c r="P324" s="61" t="s">
        <v>28</v>
      </c>
      <c r="Q324" s="56">
        <v>14</v>
      </c>
      <c r="R324" s="56">
        <v>5</v>
      </c>
      <c r="S324" s="62" t="s">
        <v>81</v>
      </c>
      <c r="T324" s="63" t="s">
        <v>30</v>
      </c>
      <c r="U324" s="63" t="s">
        <v>39</v>
      </c>
      <c r="V324" s="47" t="str">
        <f>IF(tbResults[[#This Row],[Player1 Score]]&gt;tbResults[[#This Row],[Player2 Score]],tbResults[[#This Row],[Player1]],tbResults[[#This Row],[Player2]])</f>
        <v>cha1n</v>
      </c>
      <c r="W324" s="49" t="str">
        <f>IF(tbResults[[#This Row],[Player1 Score]]&gt;tbResults[[#This Row],[Player2 Score]],tbResults[[#This Row],[Player2]],tbResults[[#This Row],[Player1]])</f>
        <v>Psygib</v>
      </c>
      <c r="X324" s="57" t="str">
        <f>IF(tbResults[[#This Row],[Winner]]=tbResults[[#This Row],[Player1]],tbResults[[#This Row],[Player1 Pick]],tbResults[[#This Row],[Player2 Pick]])</f>
        <v>Galena</v>
      </c>
      <c r="Y324" s="57" t="str">
        <f>IF(tbResults[[#This Row],[Loser]]=tbResults[[#This Row],[Player1]],tbResults[[#This Row],[Player1 Pick]],tbResults[[#This Row],[Player2 Pick]])</f>
        <v>BJ Blazkowicz</v>
      </c>
      <c r="Z324" s="58">
        <f>SUM(tbResults[[#This Row],[Player1 Score]],tbResults[[#This Row],[Player2 Score]])</f>
        <v>19</v>
      </c>
      <c r="AA324" s="58">
        <f>ABS(tbResults[[#This Row],[Player1 Score]]-tbResults[[#This Row],[Player2 Score]])</f>
        <v>9</v>
      </c>
      <c r="AB324" s="58">
        <f>IF(tbResults[[#This Row],[Player1 Score]]&gt;tbResults[[#This Row],[Player2 Score]],tbResults[[#This Row],[Player1 Score]],tbResults[[#This Row],[Player2 Score]])</f>
        <v>14</v>
      </c>
      <c r="AC324" s="58">
        <f>IF(tbResults[[#This Row],[Player1 Score]]&lt;tbResults[[#This Row],[Player2 Score]],tbResults[[#This Row],[Player1 Score]],tbResults[[#This Row],[Player2 Score]])</f>
        <v>5</v>
      </c>
    </row>
    <row r="325" spans="2:29" ht="30" customHeight="1" x14ac:dyDescent="0.3">
      <c r="B325" s="53" t="str">
        <f>_xlfn.CONCAT(tbResults[[#This Row],[Series Title]],".",tbResults[[#This Row],[Game]])</f>
        <v>2.2.10.04.1</v>
      </c>
      <c r="C325" s="54">
        <v>2</v>
      </c>
      <c r="D325" s="15">
        <v>2</v>
      </c>
      <c r="E325" s="54">
        <v>10</v>
      </c>
      <c r="F325" s="54">
        <v>4</v>
      </c>
      <c r="G325" s="54">
        <v>1</v>
      </c>
      <c r="H325" s="55" t="str">
        <f>_xlfn.CONCAT(tbResults[[#This Row],[Season]],".",tbResults[[#This Row],[Stage]])</f>
        <v>2.2</v>
      </c>
      <c r="I325" s="55" t="str">
        <f>_xlfn.CONCAT(tbResults[[#This Row],[Season]],".",tbResults[[#This Row],[Stage]],".",TEXT(tbResults[[#This Row],[Week]],"00"))</f>
        <v>2.2.10</v>
      </c>
      <c r="J325" s="55" t="str">
        <f>_xlfn.CONCAT(tbResults[[#This Row],[Week Title]],".",TEXT(tbResults[[#This Row],[Match]],"00"))</f>
        <v>2.2.10.04</v>
      </c>
      <c r="K325" s="53" t="str">
        <f>_xlfn.CONCAT(tbResults[[#This Row],[Game Title]], " ", tbResults[[#This Row],[Player1]], " vs ", tbResults[[#This Row],[Player2]] )</f>
        <v>2.2.10.04.1 spart1e vs coollerz</v>
      </c>
      <c r="L325" s="50" t="s">
        <v>50</v>
      </c>
      <c r="M325" s="50" t="s">
        <v>48</v>
      </c>
      <c r="N325" s="60" t="s">
        <v>43</v>
      </c>
      <c r="O325" s="60" t="s">
        <v>34</v>
      </c>
      <c r="P325" s="61" t="s">
        <v>25</v>
      </c>
      <c r="Q325" s="56">
        <v>16</v>
      </c>
      <c r="R325" s="56">
        <v>5</v>
      </c>
      <c r="S325" s="62" t="s">
        <v>81</v>
      </c>
      <c r="T325" s="63" t="s">
        <v>48</v>
      </c>
      <c r="U325" s="63" t="s">
        <v>39</v>
      </c>
      <c r="V325" s="47" t="str">
        <f>IF(tbResults[[#This Row],[Player1 Score]]&gt;tbResults[[#This Row],[Player2 Score]],tbResults[[#This Row],[Player1]],tbResults[[#This Row],[Player2]])</f>
        <v>spart1e</v>
      </c>
      <c r="W325" s="49" t="str">
        <f>IF(tbResults[[#This Row],[Player1 Score]]&gt;tbResults[[#This Row],[Player2 Score]],tbResults[[#This Row],[Player2]],tbResults[[#This Row],[Player1]])</f>
        <v>coollerz</v>
      </c>
      <c r="X325" s="57" t="str">
        <f>IF(tbResults[[#This Row],[Winner]]=tbResults[[#This Row],[Player1]],tbResults[[#This Row],[Player1 Pick]],tbResults[[#This Row],[Player2 Pick]])</f>
        <v>Galena</v>
      </c>
      <c r="Y325" s="57" t="str">
        <f>IF(tbResults[[#This Row],[Loser]]=tbResults[[#This Row],[Player1]],tbResults[[#This Row],[Player1 Pick]],tbResults[[#This Row],[Player2 Pick]])</f>
        <v>Sorlag</v>
      </c>
      <c r="Z325" s="58">
        <f>SUM(tbResults[[#This Row],[Player1 Score]],tbResults[[#This Row],[Player2 Score]])</f>
        <v>21</v>
      </c>
      <c r="AA325" s="58">
        <f>ABS(tbResults[[#This Row],[Player1 Score]]-tbResults[[#This Row],[Player2 Score]])</f>
        <v>11</v>
      </c>
      <c r="AB325" s="58">
        <f>IF(tbResults[[#This Row],[Player1 Score]]&gt;tbResults[[#This Row],[Player2 Score]],tbResults[[#This Row],[Player1 Score]],tbResults[[#This Row],[Player2 Score]])</f>
        <v>16</v>
      </c>
      <c r="AC325" s="58">
        <f>IF(tbResults[[#This Row],[Player1 Score]]&lt;tbResults[[#This Row],[Player2 Score]],tbResults[[#This Row],[Player1 Score]],tbResults[[#This Row],[Player2 Score]])</f>
        <v>5</v>
      </c>
    </row>
    <row r="326" spans="2:29" ht="30" customHeight="1" x14ac:dyDescent="0.3">
      <c r="B326" s="53" t="str">
        <f>_xlfn.CONCAT(tbResults[[#This Row],[Series Title]],".",tbResults[[#This Row],[Game]])</f>
        <v>2.2.10.04.2</v>
      </c>
      <c r="C326" s="54">
        <v>2</v>
      </c>
      <c r="D326" s="15">
        <v>2</v>
      </c>
      <c r="E326" s="54">
        <v>10</v>
      </c>
      <c r="F326" s="54">
        <v>4</v>
      </c>
      <c r="G326" s="54">
        <v>2</v>
      </c>
      <c r="H326" s="55" t="str">
        <f>_xlfn.CONCAT(tbResults[[#This Row],[Season]],".",tbResults[[#This Row],[Stage]])</f>
        <v>2.2</v>
      </c>
      <c r="I326" s="55" t="str">
        <f>_xlfn.CONCAT(tbResults[[#This Row],[Season]],".",tbResults[[#This Row],[Stage]],".",TEXT(tbResults[[#This Row],[Week]],"00"))</f>
        <v>2.2.10</v>
      </c>
      <c r="J326" s="55" t="str">
        <f>_xlfn.CONCAT(tbResults[[#This Row],[Week Title]],".",TEXT(tbResults[[#This Row],[Match]],"00"))</f>
        <v>2.2.10.04</v>
      </c>
      <c r="K326" s="53" t="str">
        <f>_xlfn.CONCAT(tbResults[[#This Row],[Game Title]], " ", tbResults[[#This Row],[Player1]], " vs ", tbResults[[#This Row],[Player2]] )</f>
        <v>2.2.10.04.2 spart1e vs coollerz</v>
      </c>
      <c r="L326" s="50" t="s">
        <v>50</v>
      </c>
      <c r="M326" s="50" t="s">
        <v>48</v>
      </c>
      <c r="N326" s="60" t="s">
        <v>23</v>
      </c>
      <c r="O326" s="60" t="s">
        <v>21</v>
      </c>
      <c r="P326" s="61" t="s">
        <v>21</v>
      </c>
      <c r="Q326" s="56">
        <v>6</v>
      </c>
      <c r="R326" s="56">
        <v>7</v>
      </c>
      <c r="S326" s="62" t="s">
        <v>81</v>
      </c>
      <c r="T326" s="63" t="s">
        <v>50</v>
      </c>
      <c r="U326" s="63" t="s">
        <v>22</v>
      </c>
      <c r="V326" s="47" t="str">
        <f>IF(tbResults[[#This Row],[Player1 Score]]&gt;tbResults[[#This Row],[Player2 Score]],tbResults[[#This Row],[Player1]],tbResults[[#This Row],[Player2]])</f>
        <v>coollerz</v>
      </c>
      <c r="W326" s="49" t="str">
        <f>IF(tbResults[[#This Row],[Player1 Score]]&gt;tbResults[[#This Row],[Player2 Score]],tbResults[[#This Row],[Player2]],tbResults[[#This Row],[Player1]])</f>
        <v>spart1e</v>
      </c>
      <c r="X326" s="57" t="str">
        <f>IF(tbResults[[#This Row],[Winner]]=tbResults[[#This Row],[Player1]],tbResults[[#This Row],[Player1 Pick]],tbResults[[#This Row],[Player2 Pick]])</f>
        <v>Ranger</v>
      </c>
      <c r="Y326" s="57" t="str">
        <f>IF(tbResults[[#This Row],[Loser]]=tbResults[[#This Row],[Player1]],tbResults[[#This Row],[Player1 Pick]],tbResults[[#This Row],[Player2 Pick]])</f>
        <v>Ranger</v>
      </c>
      <c r="Z326" s="58">
        <f>SUM(tbResults[[#This Row],[Player1 Score]],tbResults[[#This Row],[Player2 Score]])</f>
        <v>13</v>
      </c>
      <c r="AA326" s="58">
        <f>ABS(tbResults[[#This Row],[Player1 Score]]-tbResults[[#This Row],[Player2 Score]])</f>
        <v>1</v>
      </c>
      <c r="AB326" s="58">
        <f>IF(tbResults[[#This Row],[Player1 Score]]&gt;tbResults[[#This Row],[Player2 Score]],tbResults[[#This Row],[Player1 Score]],tbResults[[#This Row],[Player2 Score]])</f>
        <v>7</v>
      </c>
      <c r="AC326" s="58">
        <f>IF(tbResults[[#This Row],[Player1 Score]]&lt;tbResults[[#This Row],[Player2 Score]],tbResults[[#This Row],[Player1 Score]],tbResults[[#This Row],[Player2 Score]])</f>
        <v>6</v>
      </c>
    </row>
    <row r="327" spans="2:29" ht="30" customHeight="1" x14ac:dyDescent="0.3">
      <c r="B327" s="53" t="str">
        <f>_xlfn.CONCAT(tbResults[[#This Row],[Series Title]],".",tbResults[[#This Row],[Game]])</f>
        <v>2.2.10.04.3</v>
      </c>
      <c r="C327" s="54">
        <v>2</v>
      </c>
      <c r="D327" s="15">
        <v>2</v>
      </c>
      <c r="E327" s="54">
        <v>10</v>
      </c>
      <c r="F327" s="54">
        <v>4</v>
      </c>
      <c r="G327" s="54">
        <v>3</v>
      </c>
      <c r="H327" s="55" t="str">
        <f>_xlfn.CONCAT(tbResults[[#This Row],[Season]],".",tbResults[[#This Row],[Stage]])</f>
        <v>2.2</v>
      </c>
      <c r="I327" s="55" t="str">
        <f>_xlfn.CONCAT(tbResults[[#This Row],[Season]],".",tbResults[[#This Row],[Stage]],".",TEXT(tbResults[[#This Row],[Week]],"00"))</f>
        <v>2.2.10</v>
      </c>
      <c r="J327" s="55" t="str">
        <f>_xlfn.CONCAT(tbResults[[#This Row],[Week Title]],".",TEXT(tbResults[[#This Row],[Match]],"00"))</f>
        <v>2.2.10.04</v>
      </c>
      <c r="K327" s="53" t="str">
        <f>_xlfn.CONCAT(tbResults[[#This Row],[Game Title]], " ", tbResults[[#This Row],[Player1]], " vs ", tbResults[[#This Row],[Player2]] )</f>
        <v>2.2.10.04.3 spart1e vs coollerz</v>
      </c>
      <c r="L327" s="50" t="s">
        <v>50</v>
      </c>
      <c r="M327" s="50" t="s">
        <v>48</v>
      </c>
      <c r="N327" s="60" t="s">
        <v>19</v>
      </c>
      <c r="O327" s="60" t="s">
        <v>38</v>
      </c>
      <c r="P327" s="61" t="s">
        <v>37</v>
      </c>
      <c r="Q327" s="56">
        <v>18</v>
      </c>
      <c r="R327" s="56">
        <v>4</v>
      </c>
      <c r="S327" s="62" t="s">
        <v>81</v>
      </c>
      <c r="T327" s="63" t="s">
        <v>48</v>
      </c>
      <c r="U327" s="63" t="s">
        <v>35</v>
      </c>
      <c r="V327" s="47" t="str">
        <f>IF(tbResults[[#This Row],[Player1 Score]]&gt;tbResults[[#This Row],[Player2 Score]],tbResults[[#This Row],[Player1]],tbResults[[#This Row],[Player2]])</f>
        <v>spart1e</v>
      </c>
      <c r="W327" s="49" t="str">
        <f>IF(tbResults[[#This Row],[Player1 Score]]&gt;tbResults[[#This Row],[Player2 Score]],tbResults[[#This Row],[Player2]],tbResults[[#This Row],[Player1]])</f>
        <v>coollerz</v>
      </c>
      <c r="X327" s="57" t="str">
        <f>IF(tbResults[[#This Row],[Winner]]=tbResults[[#This Row],[Player1]],tbResults[[#This Row],[Player1 Pick]],tbResults[[#This Row],[Player2 Pick]])</f>
        <v>Nyx</v>
      </c>
      <c r="Y327" s="57" t="str">
        <f>IF(tbResults[[#This Row],[Loser]]=tbResults[[#This Row],[Player1]],tbResults[[#This Row],[Player1 Pick]],tbResults[[#This Row],[Player2 Pick]])</f>
        <v>Eisen</v>
      </c>
      <c r="Z327" s="58">
        <f>SUM(tbResults[[#This Row],[Player1 Score]],tbResults[[#This Row],[Player2 Score]])</f>
        <v>22</v>
      </c>
      <c r="AA327" s="58">
        <f>ABS(tbResults[[#This Row],[Player1 Score]]-tbResults[[#This Row],[Player2 Score]])</f>
        <v>14</v>
      </c>
      <c r="AB327" s="58">
        <f>IF(tbResults[[#This Row],[Player1 Score]]&gt;tbResults[[#This Row],[Player2 Score]],tbResults[[#This Row],[Player1 Score]],tbResults[[#This Row],[Player2 Score]])</f>
        <v>18</v>
      </c>
      <c r="AC327" s="58">
        <f>IF(tbResults[[#This Row],[Player1 Score]]&lt;tbResults[[#This Row],[Player2 Score]],tbResults[[#This Row],[Player1 Score]],tbResults[[#This Row],[Player2 Score]])</f>
        <v>4</v>
      </c>
    </row>
    <row r="328" spans="2:29" ht="30" customHeight="1" x14ac:dyDescent="0.3">
      <c r="B328" s="53" t="str">
        <f>_xlfn.CONCAT(tbResults[[#This Row],[Series Title]],".",tbResults[[#This Row],[Game]])</f>
        <v>2.2.10.05.1</v>
      </c>
      <c r="C328" s="54">
        <v>2</v>
      </c>
      <c r="D328" s="15">
        <v>2</v>
      </c>
      <c r="E328" s="54">
        <v>10</v>
      </c>
      <c r="F328" s="54">
        <v>5</v>
      </c>
      <c r="G328" s="54">
        <v>1</v>
      </c>
      <c r="H328" s="55" t="str">
        <f>_xlfn.CONCAT(tbResults[[#This Row],[Season]],".",tbResults[[#This Row],[Stage]])</f>
        <v>2.2</v>
      </c>
      <c r="I328" s="55" t="str">
        <f>_xlfn.CONCAT(tbResults[[#This Row],[Season]],".",tbResults[[#This Row],[Stage]],".",TEXT(tbResults[[#This Row],[Week]],"00"))</f>
        <v>2.2.10</v>
      </c>
      <c r="J328" s="55" t="str">
        <f>_xlfn.CONCAT(tbResults[[#This Row],[Week Title]],".",TEXT(tbResults[[#This Row],[Match]],"00"))</f>
        <v>2.2.10.05</v>
      </c>
      <c r="K328" s="53" t="str">
        <f>_xlfn.CONCAT(tbResults[[#This Row],[Game Title]], " ", tbResults[[#This Row],[Player1]], " vs ", tbResults[[#This Row],[Player2]] )</f>
        <v>2.2.10.05.1 Nosfa vs Zenaku</v>
      </c>
      <c r="L328" s="50" t="s">
        <v>11</v>
      </c>
      <c r="M328" s="50" t="s">
        <v>29</v>
      </c>
      <c r="N328" s="60" t="s">
        <v>33</v>
      </c>
      <c r="O328" s="60" t="s">
        <v>44</v>
      </c>
      <c r="P328" s="61" t="s">
        <v>34</v>
      </c>
      <c r="Q328" s="56">
        <v>6</v>
      </c>
      <c r="R328" s="56">
        <v>4</v>
      </c>
      <c r="S328" s="62" t="s">
        <v>81</v>
      </c>
      <c r="T328" s="63" t="s">
        <v>29</v>
      </c>
      <c r="U328" s="63" t="s">
        <v>27</v>
      </c>
      <c r="V328" s="47" t="str">
        <f>IF(tbResults[[#This Row],[Player1 Score]]&gt;tbResults[[#This Row],[Player2 Score]],tbResults[[#This Row],[Player1]],tbResults[[#This Row],[Player2]])</f>
        <v>Nosfa</v>
      </c>
      <c r="W328" s="49" t="str">
        <f>IF(tbResults[[#This Row],[Player1 Score]]&gt;tbResults[[#This Row],[Player2 Score]],tbResults[[#This Row],[Player2]],tbResults[[#This Row],[Player1]])</f>
        <v>Zenaku</v>
      </c>
      <c r="X328" s="57" t="str">
        <f>IF(tbResults[[#This Row],[Winner]]=tbResults[[#This Row],[Player1]],tbResults[[#This Row],[Player1 Pick]],tbResults[[#This Row],[Player2 Pick]])</f>
        <v>Scalebearer</v>
      </c>
      <c r="Y328" s="57" t="str">
        <f>IF(tbResults[[#This Row],[Loser]]=tbResults[[#This Row],[Player1]],tbResults[[#This Row],[Player1 Pick]],tbResults[[#This Row],[Player2 Pick]])</f>
        <v>Galena</v>
      </c>
      <c r="Z328" s="58">
        <f>SUM(tbResults[[#This Row],[Player1 Score]],tbResults[[#This Row],[Player2 Score]])</f>
        <v>10</v>
      </c>
      <c r="AA328" s="58">
        <f>ABS(tbResults[[#This Row],[Player1 Score]]-tbResults[[#This Row],[Player2 Score]])</f>
        <v>2</v>
      </c>
      <c r="AB328" s="58">
        <f>IF(tbResults[[#This Row],[Player1 Score]]&gt;tbResults[[#This Row],[Player2 Score]],tbResults[[#This Row],[Player1 Score]],tbResults[[#This Row],[Player2 Score]])</f>
        <v>6</v>
      </c>
      <c r="AC328" s="58">
        <f>IF(tbResults[[#This Row],[Player1 Score]]&lt;tbResults[[#This Row],[Player2 Score]],tbResults[[#This Row],[Player1 Score]],tbResults[[#This Row],[Player2 Score]])</f>
        <v>4</v>
      </c>
    </row>
    <row r="329" spans="2:29" ht="30" customHeight="1" x14ac:dyDescent="0.3">
      <c r="B329" s="53" t="str">
        <f>_xlfn.CONCAT(tbResults[[#This Row],[Series Title]],".",tbResults[[#This Row],[Game]])</f>
        <v>2.2.10.05.2</v>
      </c>
      <c r="C329" s="54">
        <v>2</v>
      </c>
      <c r="D329" s="15">
        <v>2</v>
      </c>
      <c r="E329" s="54">
        <v>10</v>
      </c>
      <c r="F329" s="54">
        <v>5</v>
      </c>
      <c r="G329" s="54">
        <v>2</v>
      </c>
      <c r="H329" s="55" t="str">
        <f>_xlfn.CONCAT(tbResults[[#This Row],[Season]],".",tbResults[[#This Row],[Stage]])</f>
        <v>2.2</v>
      </c>
      <c r="I329" s="55" t="str">
        <f>_xlfn.CONCAT(tbResults[[#This Row],[Season]],".",tbResults[[#This Row],[Stage]],".",TEXT(tbResults[[#This Row],[Week]],"00"))</f>
        <v>2.2.10</v>
      </c>
      <c r="J329" s="55" t="str">
        <f>_xlfn.CONCAT(tbResults[[#This Row],[Week Title]],".",TEXT(tbResults[[#This Row],[Match]],"00"))</f>
        <v>2.2.10.05</v>
      </c>
      <c r="K329" s="53" t="str">
        <f>_xlfn.CONCAT(tbResults[[#This Row],[Game Title]], " ", tbResults[[#This Row],[Player1]], " vs ", tbResults[[#This Row],[Player2]] )</f>
        <v>2.2.10.05.2 Nosfa vs Zenaku</v>
      </c>
      <c r="L329" s="50" t="s">
        <v>11</v>
      </c>
      <c r="M329" s="50" t="s">
        <v>29</v>
      </c>
      <c r="N329" s="60" t="s">
        <v>32</v>
      </c>
      <c r="O329" s="60" t="s">
        <v>28</v>
      </c>
      <c r="P329" s="61" t="s">
        <v>22</v>
      </c>
      <c r="Q329" s="56">
        <v>7</v>
      </c>
      <c r="R329" s="56">
        <v>6</v>
      </c>
      <c r="S329" s="62" t="s">
        <v>82</v>
      </c>
      <c r="T329" s="63" t="s">
        <v>11</v>
      </c>
      <c r="U329" s="63" t="s">
        <v>21</v>
      </c>
      <c r="V329" s="47" t="str">
        <f>IF(tbResults[[#This Row],[Player1 Score]]&gt;tbResults[[#This Row],[Player2 Score]],tbResults[[#This Row],[Player1]],tbResults[[#This Row],[Player2]])</f>
        <v>Nosfa</v>
      </c>
      <c r="W329" s="49" t="str">
        <f>IF(tbResults[[#This Row],[Player1 Score]]&gt;tbResults[[#This Row],[Player2 Score]],tbResults[[#This Row],[Player2]],tbResults[[#This Row],[Player1]])</f>
        <v>Zenaku</v>
      </c>
      <c r="X329" s="57" t="str">
        <f>IF(tbResults[[#This Row],[Winner]]=tbResults[[#This Row],[Player1]],tbResults[[#This Row],[Player1 Pick]],tbResults[[#This Row],[Player2 Pick]])</f>
        <v>BJ Blazkowicz</v>
      </c>
      <c r="Y329" s="57" t="str">
        <f>IF(tbResults[[#This Row],[Loser]]=tbResults[[#This Row],[Player1]],tbResults[[#This Row],[Player1 Pick]],tbResults[[#This Row],[Player2 Pick]])</f>
        <v>Strogg</v>
      </c>
      <c r="Z329" s="58">
        <f>SUM(tbResults[[#This Row],[Player1 Score]],tbResults[[#This Row],[Player2 Score]])</f>
        <v>13</v>
      </c>
      <c r="AA329" s="58">
        <f>ABS(tbResults[[#This Row],[Player1 Score]]-tbResults[[#This Row],[Player2 Score]])</f>
        <v>1</v>
      </c>
      <c r="AB329" s="58">
        <f>IF(tbResults[[#This Row],[Player1 Score]]&gt;tbResults[[#This Row],[Player2 Score]],tbResults[[#This Row],[Player1 Score]],tbResults[[#This Row],[Player2 Score]])</f>
        <v>7</v>
      </c>
      <c r="AC329" s="58">
        <f>IF(tbResults[[#This Row],[Player1 Score]]&lt;tbResults[[#This Row],[Player2 Score]],tbResults[[#This Row],[Player1 Score]],tbResults[[#This Row],[Player2 Score]])</f>
        <v>6</v>
      </c>
    </row>
    <row r="330" spans="2:29" ht="30" customHeight="1" x14ac:dyDescent="0.3">
      <c r="B330" s="53" t="str">
        <f>_xlfn.CONCAT(tbResults[[#This Row],[Series Title]],".",tbResults[[#This Row],[Game]])</f>
        <v>2.2.10.05.3</v>
      </c>
      <c r="C330" s="54">
        <v>2</v>
      </c>
      <c r="D330" s="15">
        <v>2</v>
      </c>
      <c r="E330" s="54">
        <v>10</v>
      </c>
      <c r="F330" s="54">
        <v>5</v>
      </c>
      <c r="G330" s="54">
        <v>3</v>
      </c>
      <c r="H330" s="55" t="str">
        <f>_xlfn.CONCAT(tbResults[[#This Row],[Season]],".",tbResults[[#This Row],[Stage]])</f>
        <v>2.2</v>
      </c>
      <c r="I330" s="55" t="str">
        <f>_xlfn.CONCAT(tbResults[[#This Row],[Season]],".",tbResults[[#This Row],[Stage]],".",TEXT(tbResults[[#This Row],[Week]],"00"))</f>
        <v>2.2.10</v>
      </c>
      <c r="J330" s="55" t="str">
        <f>_xlfn.CONCAT(tbResults[[#This Row],[Week Title]],".",TEXT(tbResults[[#This Row],[Match]],"00"))</f>
        <v>2.2.10.05</v>
      </c>
      <c r="K330" s="53" t="str">
        <f>_xlfn.CONCAT(tbResults[[#This Row],[Game Title]], " ", tbResults[[#This Row],[Player1]], " vs ", tbResults[[#This Row],[Player2]] )</f>
        <v>2.2.10.05.3 Nosfa vs Zenaku</v>
      </c>
      <c r="L330" s="50" t="s">
        <v>11</v>
      </c>
      <c r="M330" s="50" t="s">
        <v>29</v>
      </c>
      <c r="N330" s="60" t="s">
        <v>26</v>
      </c>
      <c r="O330" s="60" t="s">
        <v>39</v>
      </c>
      <c r="P330" s="61" t="s">
        <v>37</v>
      </c>
      <c r="Q330" s="56">
        <v>7</v>
      </c>
      <c r="R330" s="56">
        <v>2</v>
      </c>
      <c r="S330" s="62" t="s">
        <v>81</v>
      </c>
      <c r="T330" s="63" t="s">
        <v>29</v>
      </c>
      <c r="U330" s="63" t="s">
        <v>25</v>
      </c>
      <c r="V330" s="47" t="str">
        <f>IF(tbResults[[#This Row],[Player1 Score]]&gt;tbResults[[#This Row],[Player2 Score]],tbResults[[#This Row],[Player1]],tbResults[[#This Row],[Player2]])</f>
        <v>Nosfa</v>
      </c>
      <c r="W330" s="49" t="str">
        <f>IF(tbResults[[#This Row],[Player1 Score]]&gt;tbResults[[#This Row],[Player2 Score]],tbResults[[#This Row],[Player2]],tbResults[[#This Row],[Player1]])</f>
        <v>Zenaku</v>
      </c>
      <c r="X330" s="57" t="str">
        <f>IF(tbResults[[#This Row],[Winner]]=tbResults[[#This Row],[Player1]],tbResults[[#This Row],[Player1 Pick]],tbResults[[#This Row],[Player2 Pick]])</f>
        <v>Anarki</v>
      </c>
      <c r="Y330" s="57" t="str">
        <f>IF(tbResults[[#This Row],[Loser]]=tbResults[[#This Row],[Player1]],tbResults[[#This Row],[Player1 Pick]],tbResults[[#This Row],[Player2 Pick]])</f>
        <v>Eisen</v>
      </c>
      <c r="Z330" s="58">
        <f>SUM(tbResults[[#This Row],[Player1 Score]],tbResults[[#This Row],[Player2 Score]])</f>
        <v>9</v>
      </c>
      <c r="AA330" s="58">
        <f>ABS(tbResults[[#This Row],[Player1 Score]]-tbResults[[#This Row],[Player2 Score]])</f>
        <v>5</v>
      </c>
      <c r="AB330" s="58">
        <f>IF(tbResults[[#This Row],[Player1 Score]]&gt;tbResults[[#This Row],[Player2 Score]],tbResults[[#This Row],[Player1 Score]],tbResults[[#This Row],[Player2 Score]])</f>
        <v>7</v>
      </c>
      <c r="AC330" s="58">
        <f>IF(tbResults[[#This Row],[Player1 Score]]&lt;tbResults[[#This Row],[Player2 Score]],tbResults[[#This Row],[Player1 Score]],tbResults[[#This Row],[Player2 Score]])</f>
        <v>2</v>
      </c>
    </row>
    <row r="331" spans="2:29" ht="30" customHeight="1" x14ac:dyDescent="0.3">
      <c r="B331" s="53" t="str">
        <f>_xlfn.CONCAT(tbResults[[#This Row],[Series Title]],".",tbResults[[#This Row],[Game]])</f>
        <v>2.2.10.06.1</v>
      </c>
      <c r="C331" s="54">
        <v>2</v>
      </c>
      <c r="D331" s="15">
        <v>2</v>
      </c>
      <c r="E331" s="54">
        <v>10</v>
      </c>
      <c r="F331" s="54">
        <v>6</v>
      </c>
      <c r="G331" s="54">
        <v>1</v>
      </c>
      <c r="H331" s="55" t="str">
        <f>_xlfn.CONCAT(tbResults[[#This Row],[Season]],".",tbResults[[#This Row],[Stage]])</f>
        <v>2.2</v>
      </c>
      <c r="I331" s="55" t="str">
        <f>_xlfn.CONCAT(tbResults[[#This Row],[Season]],".",tbResults[[#This Row],[Stage]],".",TEXT(tbResults[[#This Row],[Week]],"00"))</f>
        <v>2.2.10</v>
      </c>
      <c r="J331" s="55" t="str">
        <f>_xlfn.CONCAT(tbResults[[#This Row],[Week Title]],".",TEXT(tbResults[[#This Row],[Match]],"00"))</f>
        <v>2.2.10.06</v>
      </c>
      <c r="K331" s="53" t="str">
        <f>_xlfn.CONCAT(tbResults[[#This Row],[Game Title]], " ", tbResults[[#This Row],[Player1]], " vs ", tbResults[[#This Row],[Player2]] )</f>
        <v>2.2.10.06.1 Raisy vs Base</v>
      </c>
      <c r="L331" s="50" t="s">
        <v>49</v>
      </c>
      <c r="M331" s="50" t="s">
        <v>51</v>
      </c>
      <c r="N331" s="60" t="s">
        <v>19</v>
      </c>
      <c r="O331" s="60" t="s">
        <v>35</v>
      </c>
      <c r="P331" s="61" t="s">
        <v>22</v>
      </c>
      <c r="Q331" s="56">
        <v>10</v>
      </c>
      <c r="R331" s="56">
        <v>12</v>
      </c>
      <c r="S331" s="62" t="s">
        <v>81</v>
      </c>
      <c r="T331" s="63" t="s">
        <v>49</v>
      </c>
      <c r="U331" s="63" t="s">
        <v>92</v>
      </c>
      <c r="V331" s="47" t="str">
        <f>IF(tbResults[[#This Row],[Player1 Score]]&gt;tbResults[[#This Row],[Player2 Score]],tbResults[[#This Row],[Player1]],tbResults[[#This Row],[Player2]])</f>
        <v>Base</v>
      </c>
      <c r="W331" s="49" t="str">
        <f>IF(tbResults[[#This Row],[Player1 Score]]&gt;tbResults[[#This Row],[Player2 Score]],tbResults[[#This Row],[Player2]],tbResults[[#This Row],[Player1]])</f>
        <v>Raisy</v>
      </c>
      <c r="X331" s="57" t="str">
        <f>IF(tbResults[[#This Row],[Winner]]=tbResults[[#This Row],[Player1]],tbResults[[#This Row],[Player1 Pick]],tbResults[[#This Row],[Player2 Pick]])</f>
        <v>Strogg</v>
      </c>
      <c r="Y331" s="57" t="str">
        <f>IF(tbResults[[#This Row],[Loser]]=tbResults[[#This Row],[Player1]],tbResults[[#This Row],[Player1 Pick]],tbResults[[#This Row],[Player2 Pick]])</f>
        <v>Doom</v>
      </c>
      <c r="Z331" s="58">
        <f>SUM(tbResults[[#This Row],[Player1 Score]],tbResults[[#This Row],[Player2 Score]])</f>
        <v>22</v>
      </c>
      <c r="AA331" s="58">
        <f>ABS(tbResults[[#This Row],[Player1 Score]]-tbResults[[#This Row],[Player2 Score]])</f>
        <v>2</v>
      </c>
      <c r="AB331" s="58">
        <f>IF(tbResults[[#This Row],[Player1 Score]]&gt;tbResults[[#This Row],[Player2 Score]],tbResults[[#This Row],[Player1 Score]],tbResults[[#This Row],[Player2 Score]])</f>
        <v>12</v>
      </c>
      <c r="AC331" s="58">
        <f>IF(tbResults[[#This Row],[Player1 Score]]&lt;tbResults[[#This Row],[Player2 Score]],tbResults[[#This Row],[Player1 Score]],tbResults[[#This Row],[Player2 Score]])</f>
        <v>10</v>
      </c>
    </row>
    <row r="332" spans="2:29" ht="30" customHeight="1" x14ac:dyDescent="0.3">
      <c r="B332" s="53" t="str">
        <f>_xlfn.CONCAT(tbResults[[#This Row],[Series Title]],".",tbResults[[#This Row],[Game]])</f>
        <v>2.2.10.06.2</v>
      </c>
      <c r="C332" s="54">
        <v>2</v>
      </c>
      <c r="D332" s="15">
        <v>2</v>
      </c>
      <c r="E332" s="54">
        <v>10</v>
      </c>
      <c r="F332" s="54">
        <v>6</v>
      </c>
      <c r="G332" s="54">
        <v>2</v>
      </c>
      <c r="H332" s="55" t="str">
        <f>_xlfn.CONCAT(tbResults[[#This Row],[Season]],".",tbResults[[#This Row],[Stage]])</f>
        <v>2.2</v>
      </c>
      <c r="I332" s="55" t="str">
        <f>_xlfn.CONCAT(tbResults[[#This Row],[Season]],".",tbResults[[#This Row],[Stage]],".",TEXT(tbResults[[#This Row],[Week]],"00"))</f>
        <v>2.2.10</v>
      </c>
      <c r="J332" s="55" t="str">
        <f>_xlfn.CONCAT(tbResults[[#This Row],[Week Title]],".",TEXT(tbResults[[#This Row],[Match]],"00"))</f>
        <v>2.2.10.06</v>
      </c>
      <c r="K332" s="53" t="str">
        <f>_xlfn.CONCAT(tbResults[[#This Row],[Game Title]], " ", tbResults[[#This Row],[Player1]], " vs ", tbResults[[#This Row],[Player2]] )</f>
        <v>2.2.10.06.2 Raisy vs Base</v>
      </c>
      <c r="L332" s="50" t="s">
        <v>49</v>
      </c>
      <c r="M332" s="50" t="s">
        <v>51</v>
      </c>
      <c r="N332" s="60" t="s">
        <v>26</v>
      </c>
      <c r="O332" s="60" t="s">
        <v>25</v>
      </c>
      <c r="P332" s="61" t="s">
        <v>37</v>
      </c>
      <c r="Q332" s="56">
        <v>14</v>
      </c>
      <c r="R332" s="56">
        <v>9</v>
      </c>
      <c r="S332" s="62" t="s">
        <v>81</v>
      </c>
      <c r="T332" s="63" t="s">
        <v>51</v>
      </c>
      <c r="U332" s="63" t="s">
        <v>39</v>
      </c>
      <c r="V332" s="47" t="str">
        <f>IF(tbResults[[#This Row],[Player1 Score]]&gt;tbResults[[#This Row],[Player2 Score]],tbResults[[#This Row],[Player1]],tbResults[[#This Row],[Player2]])</f>
        <v>Raisy</v>
      </c>
      <c r="W332" s="49" t="str">
        <f>IF(tbResults[[#This Row],[Player1 Score]]&gt;tbResults[[#This Row],[Player2 Score]],tbResults[[#This Row],[Player2]],tbResults[[#This Row],[Player1]])</f>
        <v>Base</v>
      </c>
      <c r="X332" s="57" t="str">
        <f>IF(tbResults[[#This Row],[Winner]]=tbResults[[#This Row],[Player1]],tbResults[[#This Row],[Player1 Pick]],tbResults[[#This Row],[Player2 Pick]])</f>
        <v>Sorlag</v>
      </c>
      <c r="Y332" s="57" t="str">
        <f>IF(tbResults[[#This Row],[Loser]]=tbResults[[#This Row],[Player1]],tbResults[[#This Row],[Player1 Pick]],tbResults[[#This Row],[Player2 Pick]])</f>
        <v>Eisen</v>
      </c>
      <c r="Z332" s="58">
        <f>SUM(tbResults[[#This Row],[Player1 Score]],tbResults[[#This Row],[Player2 Score]])</f>
        <v>23</v>
      </c>
      <c r="AA332" s="58">
        <f>ABS(tbResults[[#This Row],[Player1 Score]]-tbResults[[#This Row],[Player2 Score]])</f>
        <v>5</v>
      </c>
      <c r="AB332" s="58">
        <f>IF(tbResults[[#This Row],[Player1 Score]]&gt;tbResults[[#This Row],[Player2 Score]],tbResults[[#This Row],[Player1 Score]],tbResults[[#This Row],[Player2 Score]])</f>
        <v>14</v>
      </c>
      <c r="AC332" s="58">
        <f>IF(tbResults[[#This Row],[Player1 Score]]&lt;tbResults[[#This Row],[Player2 Score]],tbResults[[#This Row],[Player1 Score]],tbResults[[#This Row],[Player2 Score]])</f>
        <v>9</v>
      </c>
    </row>
    <row r="333" spans="2:29" ht="30" customHeight="1" x14ac:dyDescent="0.3">
      <c r="B333" s="53" t="str">
        <f>_xlfn.CONCAT(tbResults[[#This Row],[Series Title]],".",tbResults[[#This Row],[Game]])</f>
        <v>2.2.10.06.3</v>
      </c>
      <c r="C333" s="54">
        <v>2</v>
      </c>
      <c r="D333" s="15">
        <v>2</v>
      </c>
      <c r="E333" s="54">
        <v>10</v>
      </c>
      <c r="F333" s="54">
        <v>6</v>
      </c>
      <c r="G333" s="54">
        <v>3</v>
      </c>
      <c r="H333" s="55" t="str">
        <f>_xlfn.CONCAT(tbResults[[#This Row],[Season]],".",tbResults[[#This Row],[Stage]])</f>
        <v>2.2</v>
      </c>
      <c r="I333" s="55" t="str">
        <f>_xlfn.CONCAT(tbResults[[#This Row],[Season]],".",tbResults[[#This Row],[Stage]],".",TEXT(tbResults[[#This Row],[Week]],"00"))</f>
        <v>2.2.10</v>
      </c>
      <c r="J333" s="55" t="str">
        <f>_xlfn.CONCAT(tbResults[[#This Row],[Week Title]],".",TEXT(tbResults[[#This Row],[Match]],"00"))</f>
        <v>2.2.10.06</v>
      </c>
      <c r="K333" s="53" t="str">
        <f>_xlfn.CONCAT(tbResults[[#This Row],[Game Title]], " ", tbResults[[#This Row],[Player1]], " vs ", tbResults[[#This Row],[Player2]] )</f>
        <v>2.2.10.06.3 Raisy vs Base</v>
      </c>
      <c r="L333" s="50" t="s">
        <v>49</v>
      </c>
      <c r="M333" s="50" t="s">
        <v>51</v>
      </c>
      <c r="N333" s="60" t="s">
        <v>23</v>
      </c>
      <c r="O333" s="60" t="s">
        <v>36</v>
      </c>
      <c r="P333" s="61" t="s">
        <v>38</v>
      </c>
      <c r="Q333" s="56">
        <v>10</v>
      </c>
      <c r="R333" s="56">
        <v>2</v>
      </c>
      <c r="S333" s="62" t="s">
        <v>81</v>
      </c>
      <c r="T333" s="63" t="s">
        <v>49</v>
      </c>
      <c r="U333" s="63" t="s">
        <v>34</v>
      </c>
      <c r="V333" s="47" t="str">
        <f>IF(tbResults[[#This Row],[Player1 Score]]&gt;tbResults[[#This Row],[Player2 Score]],tbResults[[#This Row],[Player1]],tbResults[[#This Row],[Player2]])</f>
        <v>Raisy</v>
      </c>
      <c r="W333" s="49" t="str">
        <f>IF(tbResults[[#This Row],[Player1 Score]]&gt;tbResults[[#This Row],[Player2 Score]],tbResults[[#This Row],[Player2]],tbResults[[#This Row],[Player1]])</f>
        <v>Base</v>
      </c>
      <c r="X333" s="57" t="str">
        <f>IF(tbResults[[#This Row],[Winner]]=tbResults[[#This Row],[Player1]],tbResults[[#This Row],[Player1 Pick]],tbResults[[#This Row],[Player2 Pick]])</f>
        <v>Visor</v>
      </c>
      <c r="Y333" s="57" t="str">
        <f>IF(tbResults[[#This Row],[Loser]]=tbResults[[#This Row],[Player1]],tbResults[[#This Row],[Player1 Pick]],tbResults[[#This Row],[Player2 Pick]])</f>
        <v>Nyx</v>
      </c>
      <c r="Z333" s="58">
        <f>SUM(tbResults[[#This Row],[Player1 Score]],tbResults[[#This Row],[Player2 Score]])</f>
        <v>12</v>
      </c>
      <c r="AA333" s="58">
        <f>ABS(tbResults[[#This Row],[Player1 Score]]-tbResults[[#This Row],[Player2 Score]])</f>
        <v>8</v>
      </c>
      <c r="AB333" s="58">
        <f>IF(tbResults[[#This Row],[Player1 Score]]&gt;tbResults[[#This Row],[Player2 Score]],tbResults[[#This Row],[Player1 Score]],tbResults[[#This Row],[Player2 Score]])</f>
        <v>10</v>
      </c>
      <c r="AC333" s="58">
        <f>IF(tbResults[[#This Row],[Player1 Score]]&lt;tbResults[[#This Row],[Player2 Score]],tbResults[[#This Row],[Player1 Score]],tbResults[[#This Row],[Player2 Score]])</f>
        <v>2</v>
      </c>
    </row>
    <row r="334" spans="2:29" ht="30" customHeight="1" x14ac:dyDescent="0.3">
      <c r="B334" s="53" t="str">
        <f>_xlfn.CONCAT(tbResults[[#This Row],[Series Title]],".",tbResults[[#This Row],[Game]])</f>
        <v>2.2.10.07.1</v>
      </c>
      <c r="C334" s="54">
        <v>2</v>
      </c>
      <c r="D334" s="15">
        <v>2</v>
      </c>
      <c r="E334" s="54">
        <v>10</v>
      </c>
      <c r="F334" s="54">
        <v>7</v>
      </c>
      <c r="G334" s="54">
        <v>1</v>
      </c>
      <c r="H334" s="55" t="str">
        <f>_xlfn.CONCAT(tbResults[[#This Row],[Season]],".",tbResults[[#This Row],[Stage]])</f>
        <v>2.2</v>
      </c>
      <c r="I334" s="55" t="str">
        <f>_xlfn.CONCAT(tbResults[[#This Row],[Season]],".",tbResults[[#This Row],[Stage]],".",TEXT(tbResults[[#This Row],[Week]],"00"))</f>
        <v>2.2.10</v>
      </c>
      <c r="J334" s="55" t="str">
        <f>_xlfn.CONCAT(tbResults[[#This Row],[Week Title]],".",TEXT(tbResults[[#This Row],[Match]],"00"))</f>
        <v>2.2.10.07</v>
      </c>
      <c r="K334" s="53" t="str">
        <f>_xlfn.CONCAT(tbResults[[#This Row],[Game Title]], " ", tbResults[[#This Row],[Player1]], " vs ", tbResults[[#This Row],[Player2]] )</f>
        <v>2.2.10.07.1 Vengeurr vs Av3k</v>
      </c>
      <c r="L334" s="50" t="s">
        <v>13</v>
      </c>
      <c r="M334" s="50" t="s">
        <v>52</v>
      </c>
      <c r="N334" s="60" t="s">
        <v>32</v>
      </c>
      <c r="O334" s="60" t="s">
        <v>35</v>
      </c>
      <c r="P334" s="61" t="s">
        <v>37</v>
      </c>
      <c r="Q334" s="56">
        <v>11</v>
      </c>
      <c r="R334" s="56">
        <v>17</v>
      </c>
      <c r="S334" s="62" t="s">
        <v>81</v>
      </c>
      <c r="T334" s="63" t="s">
        <v>52</v>
      </c>
      <c r="U334" s="63" t="s">
        <v>34</v>
      </c>
      <c r="V334" s="47" t="str">
        <f>IF(tbResults[[#This Row],[Player1 Score]]&gt;tbResults[[#This Row],[Player2 Score]],tbResults[[#This Row],[Player1]],tbResults[[#This Row],[Player2]])</f>
        <v>Av3k</v>
      </c>
      <c r="W334" s="49" t="str">
        <f>IF(tbResults[[#This Row],[Player1 Score]]&gt;tbResults[[#This Row],[Player2 Score]],tbResults[[#This Row],[Player2]],tbResults[[#This Row],[Player1]])</f>
        <v>Vengeurr</v>
      </c>
      <c r="X334" s="57" t="str">
        <f>IF(tbResults[[#This Row],[Winner]]=tbResults[[#This Row],[Player1]],tbResults[[#This Row],[Player1 Pick]],tbResults[[#This Row],[Player2 Pick]])</f>
        <v>Eisen</v>
      </c>
      <c r="Y334" s="57" t="str">
        <f>IF(tbResults[[#This Row],[Loser]]=tbResults[[#This Row],[Player1]],tbResults[[#This Row],[Player1 Pick]],tbResults[[#This Row],[Player2 Pick]])</f>
        <v>Doom</v>
      </c>
      <c r="Z334" s="58">
        <f>SUM(tbResults[[#This Row],[Player1 Score]],tbResults[[#This Row],[Player2 Score]])</f>
        <v>28</v>
      </c>
      <c r="AA334" s="58">
        <f>ABS(tbResults[[#This Row],[Player1 Score]]-tbResults[[#This Row],[Player2 Score]])</f>
        <v>6</v>
      </c>
      <c r="AB334" s="58">
        <f>IF(tbResults[[#This Row],[Player1 Score]]&gt;tbResults[[#This Row],[Player2 Score]],tbResults[[#This Row],[Player1 Score]],tbResults[[#This Row],[Player2 Score]])</f>
        <v>17</v>
      </c>
      <c r="AC334" s="58">
        <f>IF(tbResults[[#This Row],[Player1 Score]]&lt;tbResults[[#This Row],[Player2 Score]],tbResults[[#This Row],[Player1 Score]],tbResults[[#This Row],[Player2 Score]])</f>
        <v>11</v>
      </c>
    </row>
    <row r="335" spans="2:29" ht="30" customHeight="1" x14ac:dyDescent="0.3">
      <c r="B335" s="53" t="str">
        <f>_xlfn.CONCAT(tbResults[[#This Row],[Series Title]],".",tbResults[[#This Row],[Game]])</f>
        <v>2.2.10.07.2</v>
      </c>
      <c r="C335" s="54">
        <v>2</v>
      </c>
      <c r="D335" s="15">
        <v>2</v>
      </c>
      <c r="E335" s="54">
        <v>10</v>
      </c>
      <c r="F335" s="54">
        <v>7</v>
      </c>
      <c r="G335" s="54">
        <v>2</v>
      </c>
      <c r="H335" s="55" t="str">
        <f>_xlfn.CONCAT(tbResults[[#This Row],[Season]],".",tbResults[[#This Row],[Stage]])</f>
        <v>2.2</v>
      </c>
      <c r="I335" s="55" t="str">
        <f>_xlfn.CONCAT(tbResults[[#This Row],[Season]],".",tbResults[[#This Row],[Stage]],".",TEXT(tbResults[[#This Row],[Week]],"00"))</f>
        <v>2.2.10</v>
      </c>
      <c r="J335" s="55" t="str">
        <f>_xlfn.CONCAT(tbResults[[#This Row],[Week Title]],".",TEXT(tbResults[[#This Row],[Match]],"00"))</f>
        <v>2.2.10.07</v>
      </c>
      <c r="K335" s="53" t="str">
        <f>_xlfn.CONCAT(tbResults[[#This Row],[Game Title]], " ", tbResults[[#This Row],[Player1]], " vs ", tbResults[[#This Row],[Player2]] )</f>
        <v>2.2.10.07.2 Vengeurr vs Av3k</v>
      </c>
      <c r="L335" s="50" t="s">
        <v>13</v>
      </c>
      <c r="M335" s="50" t="s">
        <v>52</v>
      </c>
      <c r="N335" s="60" t="s">
        <v>26</v>
      </c>
      <c r="O335" s="60" t="s">
        <v>39</v>
      </c>
      <c r="P335" s="61" t="s">
        <v>21</v>
      </c>
      <c r="Q335" s="56">
        <v>5</v>
      </c>
      <c r="R335" s="56">
        <v>6</v>
      </c>
      <c r="S335" s="62" t="s">
        <v>82</v>
      </c>
      <c r="T335" s="63" t="s">
        <v>13</v>
      </c>
      <c r="U335" s="63" t="s">
        <v>25</v>
      </c>
      <c r="V335" s="47" t="str">
        <f>IF(tbResults[[#This Row],[Player1 Score]]&gt;tbResults[[#This Row],[Player2 Score]],tbResults[[#This Row],[Player1]],tbResults[[#This Row],[Player2]])</f>
        <v>Av3k</v>
      </c>
      <c r="W335" s="49" t="str">
        <f>IF(tbResults[[#This Row],[Player1 Score]]&gt;tbResults[[#This Row],[Player2 Score]],tbResults[[#This Row],[Player2]],tbResults[[#This Row],[Player1]])</f>
        <v>Vengeurr</v>
      </c>
      <c r="X335" s="57" t="str">
        <f>IF(tbResults[[#This Row],[Winner]]=tbResults[[#This Row],[Player1]],tbResults[[#This Row],[Player1 Pick]],tbResults[[#This Row],[Player2 Pick]])</f>
        <v>Ranger</v>
      </c>
      <c r="Y335" s="57" t="str">
        <f>IF(tbResults[[#This Row],[Loser]]=tbResults[[#This Row],[Player1]],tbResults[[#This Row],[Player1 Pick]],tbResults[[#This Row],[Player2 Pick]])</f>
        <v>Anarki</v>
      </c>
      <c r="Z335" s="58">
        <f>SUM(tbResults[[#This Row],[Player1 Score]],tbResults[[#This Row],[Player2 Score]])</f>
        <v>11</v>
      </c>
      <c r="AA335" s="58">
        <f>ABS(tbResults[[#This Row],[Player1 Score]]-tbResults[[#This Row],[Player2 Score]])</f>
        <v>1</v>
      </c>
      <c r="AB335" s="58">
        <f>IF(tbResults[[#This Row],[Player1 Score]]&gt;tbResults[[#This Row],[Player2 Score]],tbResults[[#This Row],[Player1 Score]],tbResults[[#This Row],[Player2 Score]])</f>
        <v>6</v>
      </c>
      <c r="AC335" s="58">
        <f>IF(tbResults[[#This Row],[Player1 Score]]&lt;tbResults[[#This Row],[Player2 Score]],tbResults[[#This Row],[Player1 Score]],tbResults[[#This Row],[Player2 Score]])</f>
        <v>5</v>
      </c>
    </row>
    <row r="336" spans="2:29" ht="30" customHeight="1" x14ac:dyDescent="0.3">
      <c r="B336" s="53" t="str">
        <f>_xlfn.CONCAT(tbResults[[#This Row],[Series Title]],".",tbResults[[#This Row],[Game]])</f>
        <v>2.2.10.07.3</v>
      </c>
      <c r="C336" s="54">
        <v>2</v>
      </c>
      <c r="D336" s="15">
        <v>2</v>
      </c>
      <c r="E336" s="54">
        <v>10</v>
      </c>
      <c r="F336" s="54">
        <v>7</v>
      </c>
      <c r="G336" s="54">
        <v>3</v>
      </c>
      <c r="H336" s="55" t="str">
        <f>_xlfn.CONCAT(tbResults[[#This Row],[Season]],".",tbResults[[#This Row],[Stage]])</f>
        <v>2.2</v>
      </c>
      <c r="I336" s="55" t="str">
        <f>_xlfn.CONCAT(tbResults[[#This Row],[Season]],".",tbResults[[#This Row],[Stage]],".",TEXT(tbResults[[#This Row],[Week]],"00"))</f>
        <v>2.2.10</v>
      </c>
      <c r="J336" s="55" t="str">
        <f>_xlfn.CONCAT(tbResults[[#This Row],[Week Title]],".",TEXT(tbResults[[#This Row],[Match]],"00"))</f>
        <v>2.2.10.07</v>
      </c>
      <c r="K336" s="53" t="str">
        <f>_xlfn.CONCAT(tbResults[[#This Row],[Game Title]], " ", tbResults[[#This Row],[Player1]], " vs ", tbResults[[#This Row],[Player2]] )</f>
        <v>2.2.10.07.3 Vengeurr vs Av3k</v>
      </c>
      <c r="L336" s="50" t="s">
        <v>13</v>
      </c>
      <c r="M336" s="50" t="s">
        <v>52</v>
      </c>
      <c r="N336" s="60" t="s">
        <v>33</v>
      </c>
      <c r="O336" s="60" t="s">
        <v>22</v>
      </c>
      <c r="P336" s="61" t="s">
        <v>27</v>
      </c>
      <c r="Q336" s="56">
        <v>9</v>
      </c>
      <c r="R336" s="56">
        <v>11</v>
      </c>
      <c r="S336" s="62" t="s">
        <v>81</v>
      </c>
      <c r="T336" s="63" t="s">
        <v>52</v>
      </c>
      <c r="U336" s="63" t="s">
        <v>55</v>
      </c>
      <c r="V336" s="47" t="str">
        <f>IF(tbResults[[#This Row],[Player1 Score]]&gt;tbResults[[#This Row],[Player2 Score]],tbResults[[#This Row],[Player1]],tbResults[[#This Row],[Player2]])</f>
        <v>Av3k</v>
      </c>
      <c r="W336" s="49" t="str">
        <f>IF(tbResults[[#This Row],[Player1 Score]]&gt;tbResults[[#This Row],[Player2 Score]],tbResults[[#This Row],[Player2]],tbResults[[#This Row],[Player1]])</f>
        <v>Vengeurr</v>
      </c>
      <c r="X336" s="57" t="str">
        <f>IF(tbResults[[#This Row],[Winner]]=tbResults[[#This Row],[Player1]],tbResults[[#This Row],[Player1 Pick]],tbResults[[#This Row],[Player2 Pick]])</f>
        <v>Keel</v>
      </c>
      <c r="Y336" s="57" t="str">
        <f>IF(tbResults[[#This Row],[Loser]]=tbResults[[#This Row],[Player1]],tbResults[[#This Row],[Player1 Pick]],tbResults[[#This Row],[Player2 Pick]])</f>
        <v>Strogg</v>
      </c>
      <c r="Z336" s="58">
        <f>SUM(tbResults[[#This Row],[Player1 Score]],tbResults[[#This Row],[Player2 Score]])</f>
        <v>20</v>
      </c>
      <c r="AA336" s="58">
        <f>ABS(tbResults[[#This Row],[Player1 Score]]-tbResults[[#This Row],[Player2 Score]])</f>
        <v>2</v>
      </c>
      <c r="AB336" s="58">
        <f>IF(tbResults[[#This Row],[Player1 Score]]&gt;tbResults[[#This Row],[Player2 Score]],tbResults[[#This Row],[Player1 Score]],tbResults[[#This Row],[Player2 Score]])</f>
        <v>11</v>
      </c>
      <c r="AC336" s="58">
        <f>IF(tbResults[[#This Row],[Player1 Score]]&lt;tbResults[[#This Row],[Player2 Score]],tbResults[[#This Row],[Player1 Score]],tbResults[[#This Row],[Player2 Score]])</f>
        <v>9</v>
      </c>
    </row>
    <row r="337" spans="2:29" ht="30" customHeight="1" x14ac:dyDescent="0.3">
      <c r="B337" s="64" t="str">
        <f>_xlfn.CONCAT(tbResults[[#This Row],[Series Title]],".",tbResults[[#This Row],[Game]])</f>
        <v>2.2.11.01.1</v>
      </c>
      <c r="C337" s="65">
        <v>2</v>
      </c>
      <c r="D337" s="15">
        <v>2</v>
      </c>
      <c r="E337" s="65">
        <v>11</v>
      </c>
      <c r="F337" s="65">
        <v>1</v>
      </c>
      <c r="G337" s="65">
        <v>1</v>
      </c>
      <c r="H337" s="66" t="str">
        <f>_xlfn.CONCAT(tbResults[[#This Row],[Season]],".",tbResults[[#This Row],[Stage]])</f>
        <v>2.2</v>
      </c>
      <c r="I337" s="66" t="str">
        <f>_xlfn.CONCAT(tbResults[[#This Row],[Season]],".",tbResults[[#This Row],[Stage]],".",TEXT(tbResults[[#This Row],[Week]],"00"))</f>
        <v>2.2.11</v>
      </c>
      <c r="J337" s="66" t="str">
        <f>_xlfn.CONCAT(tbResults[[#This Row],[Week Title]],".",TEXT(tbResults[[#This Row],[Match]],"00"))</f>
        <v>2.2.11.01</v>
      </c>
      <c r="K337" s="64" t="str">
        <f>_xlfn.CONCAT(tbResults[[#This Row],[Game Title]], " ", tbResults[[#This Row],[Player1]], " vs ", tbResults[[#This Row],[Player2]] )</f>
        <v>2.2.11.01.1 Garpy vs cnz</v>
      </c>
      <c r="L337" s="60" t="s">
        <v>101</v>
      </c>
      <c r="M337" s="60" t="s">
        <v>54</v>
      </c>
      <c r="N337" s="60" t="s">
        <v>43</v>
      </c>
      <c r="O337" s="60" t="s">
        <v>34</v>
      </c>
      <c r="P337" s="61" t="s">
        <v>37</v>
      </c>
      <c r="Q337" s="62">
        <v>7</v>
      </c>
      <c r="R337" s="62">
        <v>9</v>
      </c>
      <c r="S337" s="62" t="s">
        <v>81</v>
      </c>
      <c r="T337" s="63" t="s">
        <v>101</v>
      </c>
      <c r="U337" s="63" t="s">
        <v>22</v>
      </c>
      <c r="V337" s="47" t="str">
        <f>IF(tbResults[[#This Row],[Player1 Score]]&gt;tbResults[[#This Row],[Player2 Score]],tbResults[[#This Row],[Player1]],tbResults[[#This Row],[Player2]])</f>
        <v>cnz</v>
      </c>
      <c r="W337" s="49" t="str">
        <f>IF(tbResults[[#This Row],[Player1 Score]]&gt;tbResults[[#This Row],[Player2 Score]],tbResults[[#This Row],[Player2]],tbResults[[#This Row],[Player1]])</f>
        <v>Garpy</v>
      </c>
      <c r="X337" s="67" t="str">
        <f>IF(tbResults[[#This Row],[Winner]]=tbResults[[#This Row],[Player1]],tbResults[[#This Row],[Player1 Pick]],tbResults[[#This Row],[Player2 Pick]])</f>
        <v>Eisen</v>
      </c>
      <c r="Y337" s="67" t="str">
        <f>IF(tbResults[[#This Row],[Loser]]=tbResults[[#This Row],[Player1]],tbResults[[#This Row],[Player1 Pick]],tbResults[[#This Row],[Player2 Pick]])</f>
        <v>Galena</v>
      </c>
      <c r="Z337" s="68">
        <f>SUM(tbResults[[#This Row],[Player1 Score]],tbResults[[#This Row],[Player2 Score]])</f>
        <v>16</v>
      </c>
      <c r="AA337" s="68">
        <f>ABS(tbResults[[#This Row],[Player1 Score]]-tbResults[[#This Row],[Player2 Score]])</f>
        <v>2</v>
      </c>
      <c r="AB337" s="68">
        <f>IF(tbResults[[#This Row],[Player1 Score]]&gt;tbResults[[#This Row],[Player2 Score]],tbResults[[#This Row],[Player1 Score]],tbResults[[#This Row],[Player2 Score]])</f>
        <v>9</v>
      </c>
      <c r="AC337" s="68">
        <f>IF(tbResults[[#This Row],[Player1 Score]]&lt;tbResults[[#This Row],[Player2 Score]],tbResults[[#This Row],[Player1 Score]],tbResults[[#This Row],[Player2 Score]])</f>
        <v>7</v>
      </c>
    </row>
    <row r="338" spans="2:29" ht="30" customHeight="1" x14ac:dyDescent="0.3">
      <c r="B338" s="64" t="str">
        <f>_xlfn.CONCAT(tbResults[[#This Row],[Series Title]],".",tbResults[[#This Row],[Game]])</f>
        <v>2.2.11.01.2</v>
      </c>
      <c r="C338" s="65">
        <v>2</v>
      </c>
      <c r="D338" s="65">
        <v>2</v>
      </c>
      <c r="E338" s="65">
        <v>11</v>
      </c>
      <c r="F338" s="65">
        <v>1</v>
      </c>
      <c r="G338" s="65">
        <v>2</v>
      </c>
      <c r="H338" s="66" t="str">
        <f>_xlfn.CONCAT(tbResults[[#This Row],[Season]],".",tbResults[[#This Row],[Stage]])</f>
        <v>2.2</v>
      </c>
      <c r="I338" s="66" t="str">
        <f>_xlfn.CONCAT(tbResults[[#This Row],[Season]],".",tbResults[[#This Row],[Stage]],".",TEXT(tbResults[[#This Row],[Week]],"00"))</f>
        <v>2.2.11</v>
      </c>
      <c r="J338" s="66" t="str">
        <f>_xlfn.CONCAT(tbResults[[#This Row],[Week Title]],".",TEXT(tbResults[[#This Row],[Match]],"00"))</f>
        <v>2.2.11.01</v>
      </c>
      <c r="K338" s="64" t="str">
        <f>_xlfn.CONCAT(tbResults[[#This Row],[Game Title]], " ", tbResults[[#This Row],[Player1]], " vs ", tbResults[[#This Row],[Player2]] )</f>
        <v>2.2.11.01.2 Garpy vs cnz</v>
      </c>
      <c r="L338" s="60" t="s">
        <v>101</v>
      </c>
      <c r="M338" s="60" t="s">
        <v>54</v>
      </c>
      <c r="N338" s="60" t="s">
        <v>32</v>
      </c>
      <c r="O338" s="60" t="s">
        <v>21</v>
      </c>
      <c r="P338" s="61" t="s">
        <v>36</v>
      </c>
      <c r="Q338" s="62">
        <v>19</v>
      </c>
      <c r="R338" s="62">
        <v>9</v>
      </c>
      <c r="S338" s="62" t="s">
        <v>81</v>
      </c>
      <c r="T338" s="63" t="s">
        <v>54</v>
      </c>
      <c r="U338" s="63" t="s">
        <v>35</v>
      </c>
      <c r="V338" s="47" t="str">
        <f>IF(tbResults[[#This Row],[Player1 Score]]&gt;tbResults[[#This Row],[Player2 Score]],tbResults[[#This Row],[Player1]],tbResults[[#This Row],[Player2]])</f>
        <v>Garpy</v>
      </c>
      <c r="W338" s="49" t="str">
        <f>IF(tbResults[[#This Row],[Player1 Score]]&gt;tbResults[[#This Row],[Player2 Score]],tbResults[[#This Row],[Player2]],tbResults[[#This Row],[Player1]])</f>
        <v>cnz</v>
      </c>
      <c r="X338" s="67" t="str">
        <f>IF(tbResults[[#This Row],[Winner]]=tbResults[[#This Row],[Player1]],tbResults[[#This Row],[Player1 Pick]],tbResults[[#This Row],[Player2 Pick]])</f>
        <v>Ranger</v>
      </c>
      <c r="Y338" s="67" t="str">
        <f>IF(tbResults[[#This Row],[Loser]]=tbResults[[#This Row],[Player1]],tbResults[[#This Row],[Player1 Pick]],tbResults[[#This Row],[Player2 Pick]])</f>
        <v>Visor</v>
      </c>
      <c r="Z338" s="68">
        <f>SUM(tbResults[[#This Row],[Player1 Score]],tbResults[[#This Row],[Player2 Score]])</f>
        <v>28</v>
      </c>
      <c r="AA338" s="68">
        <f>ABS(tbResults[[#This Row],[Player1 Score]]-tbResults[[#This Row],[Player2 Score]])</f>
        <v>10</v>
      </c>
      <c r="AB338" s="68">
        <f>IF(tbResults[[#This Row],[Player1 Score]]&gt;tbResults[[#This Row],[Player2 Score]],tbResults[[#This Row],[Player1 Score]],tbResults[[#This Row],[Player2 Score]])</f>
        <v>19</v>
      </c>
      <c r="AC338" s="68">
        <f>IF(tbResults[[#This Row],[Player1 Score]]&lt;tbResults[[#This Row],[Player2 Score]],tbResults[[#This Row],[Player1 Score]],tbResults[[#This Row],[Player2 Score]])</f>
        <v>9</v>
      </c>
    </row>
    <row r="339" spans="2:29" ht="30" customHeight="1" x14ac:dyDescent="0.3">
      <c r="B339" s="64" t="str">
        <f>_xlfn.CONCAT(tbResults[[#This Row],[Series Title]],".",tbResults[[#This Row],[Game]])</f>
        <v>2.2.11.01.3</v>
      </c>
      <c r="C339" s="65">
        <v>2</v>
      </c>
      <c r="D339" s="65">
        <v>2</v>
      </c>
      <c r="E339" s="65">
        <v>11</v>
      </c>
      <c r="F339" s="65">
        <v>1</v>
      </c>
      <c r="G339" s="65">
        <v>3</v>
      </c>
      <c r="H339" s="66" t="str">
        <f>_xlfn.CONCAT(tbResults[[#This Row],[Season]],".",tbResults[[#This Row],[Stage]])</f>
        <v>2.2</v>
      </c>
      <c r="I339" s="66" t="str">
        <f>_xlfn.CONCAT(tbResults[[#This Row],[Season]],".",tbResults[[#This Row],[Stage]],".",TEXT(tbResults[[#This Row],[Week]],"00"))</f>
        <v>2.2.11</v>
      </c>
      <c r="J339" s="66" t="str">
        <f>_xlfn.CONCAT(tbResults[[#This Row],[Week Title]],".",TEXT(tbResults[[#This Row],[Match]],"00"))</f>
        <v>2.2.11.01</v>
      </c>
      <c r="K339" s="64" t="str">
        <f>_xlfn.CONCAT(tbResults[[#This Row],[Game Title]], " ", tbResults[[#This Row],[Player1]], " vs ", tbResults[[#This Row],[Player2]] )</f>
        <v>2.2.11.01.3 Garpy vs cnz</v>
      </c>
      <c r="L339" s="60" t="s">
        <v>101</v>
      </c>
      <c r="M339" s="60" t="s">
        <v>54</v>
      </c>
      <c r="N339" s="60" t="s">
        <v>26</v>
      </c>
      <c r="O339" s="60" t="s">
        <v>25</v>
      </c>
      <c r="P339" s="61" t="s">
        <v>39</v>
      </c>
      <c r="Q339" s="62">
        <v>5</v>
      </c>
      <c r="R339" s="62">
        <v>6</v>
      </c>
      <c r="S339" s="62" t="s">
        <v>81</v>
      </c>
      <c r="T339" s="63" t="s">
        <v>101</v>
      </c>
      <c r="U339" s="63" t="s">
        <v>44</v>
      </c>
      <c r="V339" s="47" t="str">
        <f>IF(tbResults[[#This Row],[Player1 Score]]&gt;tbResults[[#This Row],[Player2 Score]],tbResults[[#This Row],[Player1]],tbResults[[#This Row],[Player2]])</f>
        <v>cnz</v>
      </c>
      <c r="W339" s="49" t="str">
        <f>IF(tbResults[[#This Row],[Player1 Score]]&gt;tbResults[[#This Row],[Player2 Score]],tbResults[[#This Row],[Player2]],tbResults[[#This Row],[Player1]])</f>
        <v>Garpy</v>
      </c>
      <c r="X339" s="67" t="str">
        <f>IF(tbResults[[#This Row],[Winner]]=tbResults[[#This Row],[Player1]],tbResults[[#This Row],[Player1 Pick]],tbResults[[#This Row],[Player2 Pick]])</f>
        <v>Anarki</v>
      </c>
      <c r="Y339" s="67" t="str">
        <f>IF(tbResults[[#This Row],[Loser]]=tbResults[[#This Row],[Player1]],tbResults[[#This Row],[Player1 Pick]],tbResults[[#This Row],[Player2 Pick]])</f>
        <v>Sorlag</v>
      </c>
      <c r="Z339" s="68">
        <f>SUM(tbResults[[#This Row],[Player1 Score]],tbResults[[#This Row],[Player2 Score]])</f>
        <v>11</v>
      </c>
      <c r="AA339" s="68">
        <f>ABS(tbResults[[#This Row],[Player1 Score]]-tbResults[[#This Row],[Player2 Score]])</f>
        <v>1</v>
      </c>
      <c r="AB339" s="68">
        <f>IF(tbResults[[#This Row],[Player1 Score]]&gt;tbResults[[#This Row],[Player2 Score]],tbResults[[#This Row],[Player1 Score]],tbResults[[#This Row],[Player2 Score]])</f>
        <v>6</v>
      </c>
      <c r="AC339" s="68">
        <f>IF(tbResults[[#This Row],[Player1 Score]]&lt;tbResults[[#This Row],[Player2 Score]],tbResults[[#This Row],[Player1 Score]],tbResults[[#This Row],[Player2 Score]])</f>
        <v>5</v>
      </c>
    </row>
    <row r="340" spans="2:29" ht="30" customHeight="1" x14ac:dyDescent="0.3">
      <c r="B340" s="64" t="str">
        <f>_xlfn.CONCAT(tbResults[[#This Row],[Series Title]],".",tbResults[[#This Row],[Game]])</f>
        <v>2.2.11.02.1</v>
      </c>
      <c r="C340" s="65">
        <v>2</v>
      </c>
      <c r="D340" s="65">
        <v>2</v>
      </c>
      <c r="E340" s="65">
        <v>11</v>
      </c>
      <c r="F340" s="65">
        <v>2</v>
      </c>
      <c r="G340" s="65">
        <v>1</v>
      </c>
      <c r="H340" s="66" t="str">
        <f>_xlfn.CONCAT(tbResults[[#This Row],[Season]],".",tbResults[[#This Row],[Stage]])</f>
        <v>2.2</v>
      </c>
      <c r="I340" s="66" t="str">
        <f>_xlfn.CONCAT(tbResults[[#This Row],[Season]],".",tbResults[[#This Row],[Stage]],".",TEXT(tbResults[[#This Row],[Week]],"00"))</f>
        <v>2.2.11</v>
      </c>
      <c r="J340" s="66" t="str">
        <f>_xlfn.CONCAT(tbResults[[#This Row],[Week Title]],".",TEXT(tbResults[[#This Row],[Match]],"00"))</f>
        <v>2.2.11.02</v>
      </c>
      <c r="K340" s="64" t="str">
        <f>_xlfn.CONCAT(tbResults[[#This Row],[Game Title]], " ", tbResults[[#This Row],[Player1]], " vs ", tbResults[[#This Row],[Player2]] )</f>
        <v>2.2.11.02.1 maxter vs Effortless</v>
      </c>
      <c r="L340" s="60" t="s">
        <v>41</v>
      </c>
      <c r="M340" s="60" t="s">
        <v>6</v>
      </c>
      <c r="N340" s="60" t="s">
        <v>33</v>
      </c>
      <c r="O340" s="60" t="s">
        <v>21</v>
      </c>
      <c r="P340" s="61" t="s">
        <v>25</v>
      </c>
      <c r="Q340" s="62">
        <v>9</v>
      </c>
      <c r="R340" s="62">
        <v>11</v>
      </c>
      <c r="S340" s="62" t="s">
        <v>81</v>
      </c>
      <c r="T340" s="63" t="s">
        <v>6</v>
      </c>
      <c r="U340" s="63" t="s">
        <v>34</v>
      </c>
      <c r="V340" s="47" t="str">
        <f>IF(tbResults[[#This Row],[Player1 Score]]&gt;tbResults[[#This Row],[Player2 Score]],tbResults[[#This Row],[Player1]],tbResults[[#This Row],[Player2]])</f>
        <v>Effortless</v>
      </c>
      <c r="W340" s="49" t="str">
        <f>IF(tbResults[[#This Row],[Player1 Score]]&gt;tbResults[[#This Row],[Player2 Score]],tbResults[[#This Row],[Player2]],tbResults[[#This Row],[Player1]])</f>
        <v>maxter</v>
      </c>
      <c r="X340" s="67" t="str">
        <f>IF(tbResults[[#This Row],[Winner]]=tbResults[[#This Row],[Player1]],tbResults[[#This Row],[Player1 Pick]],tbResults[[#This Row],[Player2 Pick]])</f>
        <v>Sorlag</v>
      </c>
      <c r="Y340" s="67" t="str">
        <f>IF(tbResults[[#This Row],[Loser]]=tbResults[[#This Row],[Player1]],tbResults[[#This Row],[Player1 Pick]],tbResults[[#This Row],[Player2 Pick]])</f>
        <v>Ranger</v>
      </c>
      <c r="Z340" s="68">
        <f>SUM(tbResults[[#This Row],[Player1 Score]],tbResults[[#This Row],[Player2 Score]])</f>
        <v>20</v>
      </c>
      <c r="AA340" s="68">
        <f>ABS(tbResults[[#This Row],[Player1 Score]]-tbResults[[#This Row],[Player2 Score]])</f>
        <v>2</v>
      </c>
      <c r="AB340" s="68">
        <f>IF(tbResults[[#This Row],[Player1 Score]]&gt;tbResults[[#This Row],[Player2 Score]],tbResults[[#This Row],[Player1 Score]],tbResults[[#This Row],[Player2 Score]])</f>
        <v>11</v>
      </c>
      <c r="AC340" s="68">
        <f>IF(tbResults[[#This Row],[Player1 Score]]&lt;tbResults[[#This Row],[Player2 Score]],tbResults[[#This Row],[Player1 Score]],tbResults[[#This Row],[Player2 Score]])</f>
        <v>9</v>
      </c>
    </row>
    <row r="341" spans="2:29" ht="30" customHeight="1" x14ac:dyDescent="0.3">
      <c r="B341" s="64" t="str">
        <f>_xlfn.CONCAT(tbResults[[#This Row],[Series Title]],".",tbResults[[#This Row],[Game]])</f>
        <v>2.2.11.02.2</v>
      </c>
      <c r="C341" s="65">
        <v>2</v>
      </c>
      <c r="D341" s="65">
        <v>2</v>
      </c>
      <c r="E341" s="65">
        <v>11</v>
      </c>
      <c r="F341" s="65">
        <v>2</v>
      </c>
      <c r="G341" s="65">
        <v>2</v>
      </c>
      <c r="H341" s="66" t="str">
        <f>_xlfn.CONCAT(tbResults[[#This Row],[Season]],".",tbResults[[#This Row],[Stage]])</f>
        <v>2.2</v>
      </c>
      <c r="I341" s="66" t="str">
        <f>_xlfn.CONCAT(tbResults[[#This Row],[Season]],".",tbResults[[#This Row],[Stage]],".",TEXT(tbResults[[#This Row],[Week]],"00"))</f>
        <v>2.2.11</v>
      </c>
      <c r="J341" s="66" t="str">
        <f>_xlfn.CONCAT(tbResults[[#This Row],[Week Title]],".",TEXT(tbResults[[#This Row],[Match]],"00"))</f>
        <v>2.2.11.02</v>
      </c>
      <c r="K341" s="64" t="str">
        <f>_xlfn.CONCAT(tbResults[[#This Row],[Game Title]], " ", tbResults[[#This Row],[Player1]], " vs ", tbResults[[#This Row],[Player2]] )</f>
        <v>2.2.11.02.2 maxter vs Effortless</v>
      </c>
      <c r="L341" s="60" t="s">
        <v>41</v>
      </c>
      <c r="M341" s="60" t="s">
        <v>6</v>
      </c>
      <c r="N341" s="60" t="s">
        <v>32</v>
      </c>
      <c r="O341" s="60" t="s">
        <v>22</v>
      </c>
      <c r="P341" s="61" t="s">
        <v>27</v>
      </c>
      <c r="Q341" s="62">
        <v>17</v>
      </c>
      <c r="R341" s="62">
        <v>3</v>
      </c>
      <c r="S341" s="62" t="s">
        <v>81</v>
      </c>
      <c r="T341" s="63" t="s">
        <v>41</v>
      </c>
      <c r="U341" s="63" t="s">
        <v>39</v>
      </c>
      <c r="V341" s="47" t="str">
        <f>IF(tbResults[[#This Row],[Player1 Score]]&gt;tbResults[[#This Row],[Player2 Score]],tbResults[[#This Row],[Player1]],tbResults[[#This Row],[Player2]])</f>
        <v>maxter</v>
      </c>
      <c r="W341" s="49" t="str">
        <f>IF(tbResults[[#This Row],[Player1 Score]]&gt;tbResults[[#This Row],[Player2 Score]],tbResults[[#This Row],[Player2]],tbResults[[#This Row],[Player1]])</f>
        <v>Effortless</v>
      </c>
      <c r="X341" s="67" t="str">
        <f>IF(tbResults[[#This Row],[Winner]]=tbResults[[#This Row],[Player1]],tbResults[[#This Row],[Player1 Pick]],tbResults[[#This Row],[Player2 Pick]])</f>
        <v>Strogg</v>
      </c>
      <c r="Y341" s="67" t="str">
        <f>IF(tbResults[[#This Row],[Loser]]=tbResults[[#This Row],[Player1]],tbResults[[#This Row],[Player1 Pick]],tbResults[[#This Row],[Player2 Pick]])</f>
        <v>Keel</v>
      </c>
      <c r="Z341" s="68">
        <f>SUM(tbResults[[#This Row],[Player1 Score]],tbResults[[#This Row],[Player2 Score]])</f>
        <v>20</v>
      </c>
      <c r="AA341" s="68">
        <f>ABS(tbResults[[#This Row],[Player1 Score]]-tbResults[[#This Row],[Player2 Score]])</f>
        <v>14</v>
      </c>
      <c r="AB341" s="68">
        <f>IF(tbResults[[#This Row],[Player1 Score]]&gt;tbResults[[#This Row],[Player2 Score]],tbResults[[#This Row],[Player1 Score]],tbResults[[#This Row],[Player2 Score]])</f>
        <v>17</v>
      </c>
      <c r="AC341" s="68">
        <f>IF(tbResults[[#This Row],[Player1 Score]]&lt;tbResults[[#This Row],[Player2 Score]],tbResults[[#This Row],[Player1 Score]],tbResults[[#This Row],[Player2 Score]])</f>
        <v>3</v>
      </c>
    </row>
    <row r="342" spans="2:29" ht="30" customHeight="1" x14ac:dyDescent="0.3">
      <c r="B342" s="64" t="str">
        <f>_xlfn.CONCAT(tbResults[[#This Row],[Series Title]],".",tbResults[[#This Row],[Game]])</f>
        <v>2.2.11.02.3</v>
      </c>
      <c r="C342" s="65">
        <v>2</v>
      </c>
      <c r="D342" s="65">
        <v>2</v>
      </c>
      <c r="E342" s="65">
        <v>11</v>
      </c>
      <c r="F342" s="65">
        <v>2</v>
      </c>
      <c r="G342" s="65">
        <v>3</v>
      </c>
      <c r="H342" s="66" t="str">
        <f>_xlfn.CONCAT(tbResults[[#This Row],[Season]],".",tbResults[[#This Row],[Stage]])</f>
        <v>2.2</v>
      </c>
      <c r="I342" s="66" t="str">
        <f>_xlfn.CONCAT(tbResults[[#This Row],[Season]],".",tbResults[[#This Row],[Stage]],".",TEXT(tbResults[[#This Row],[Week]],"00"))</f>
        <v>2.2.11</v>
      </c>
      <c r="J342" s="66" t="str">
        <f>_xlfn.CONCAT(tbResults[[#This Row],[Week Title]],".",TEXT(tbResults[[#This Row],[Match]],"00"))</f>
        <v>2.2.11.02</v>
      </c>
      <c r="K342" s="64" t="str">
        <f>_xlfn.CONCAT(tbResults[[#This Row],[Game Title]], " ", tbResults[[#This Row],[Player1]], " vs ", tbResults[[#This Row],[Player2]] )</f>
        <v>2.2.11.02.3 maxter vs Effortless</v>
      </c>
      <c r="L342" s="60" t="s">
        <v>41</v>
      </c>
      <c r="M342" s="60" t="s">
        <v>6</v>
      </c>
      <c r="N342" s="60" t="s">
        <v>19</v>
      </c>
      <c r="O342" s="60" t="s">
        <v>28</v>
      </c>
      <c r="P342" s="61" t="s">
        <v>35</v>
      </c>
      <c r="Q342" s="62">
        <v>10</v>
      </c>
      <c r="R342" s="62">
        <v>11</v>
      </c>
      <c r="S342" s="62" t="s">
        <v>81</v>
      </c>
      <c r="T342" s="63" t="s">
        <v>6</v>
      </c>
      <c r="U342" s="63" t="s">
        <v>55</v>
      </c>
      <c r="V342" s="47" t="str">
        <f>IF(tbResults[[#This Row],[Player1 Score]]&gt;tbResults[[#This Row],[Player2 Score]],tbResults[[#This Row],[Player1]],tbResults[[#This Row],[Player2]])</f>
        <v>Effortless</v>
      </c>
      <c r="W342" s="49" t="str">
        <f>IF(tbResults[[#This Row],[Player1 Score]]&gt;tbResults[[#This Row],[Player2 Score]],tbResults[[#This Row],[Player2]],tbResults[[#This Row],[Player1]])</f>
        <v>maxter</v>
      </c>
      <c r="X342" s="67" t="str">
        <f>IF(tbResults[[#This Row],[Winner]]=tbResults[[#This Row],[Player1]],tbResults[[#This Row],[Player1 Pick]],tbResults[[#This Row],[Player2 Pick]])</f>
        <v>Doom</v>
      </c>
      <c r="Y342" s="67" t="str">
        <f>IF(tbResults[[#This Row],[Loser]]=tbResults[[#This Row],[Player1]],tbResults[[#This Row],[Player1 Pick]],tbResults[[#This Row],[Player2 Pick]])</f>
        <v>BJ Blazkowicz</v>
      </c>
      <c r="Z342" s="68">
        <f>SUM(tbResults[[#This Row],[Player1 Score]],tbResults[[#This Row],[Player2 Score]])</f>
        <v>21</v>
      </c>
      <c r="AA342" s="68">
        <f>ABS(tbResults[[#This Row],[Player1 Score]]-tbResults[[#This Row],[Player2 Score]])</f>
        <v>1</v>
      </c>
      <c r="AB342" s="68">
        <f>IF(tbResults[[#This Row],[Player1 Score]]&gt;tbResults[[#This Row],[Player2 Score]],tbResults[[#This Row],[Player1 Score]],tbResults[[#This Row],[Player2 Score]])</f>
        <v>11</v>
      </c>
      <c r="AC342" s="68">
        <f>IF(tbResults[[#This Row],[Player1 Score]]&lt;tbResults[[#This Row],[Player2 Score]],tbResults[[#This Row],[Player1 Score]],tbResults[[#This Row],[Player2 Score]])</f>
        <v>10</v>
      </c>
    </row>
    <row r="343" spans="2:29" ht="30" customHeight="1" x14ac:dyDescent="0.3">
      <c r="B343" s="64" t="str">
        <f>_xlfn.CONCAT(tbResults[[#This Row],[Series Title]],".",tbResults[[#This Row],[Game]])</f>
        <v>2.2.11.03.1</v>
      </c>
      <c r="C343" s="65">
        <v>2</v>
      </c>
      <c r="D343" s="65">
        <v>2</v>
      </c>
      <c r="E343" s="65">
        <v>11</v>
      </c>
      <c r="F343" s="65">
        <v>3</v>
      </c>
      <c r="G343" s="65">
        <v>1</v>
      </c>
      <c r="H343" s="66" t="str">
        <f>_xlfn.CONCAT(tbResults[[#This Row],[Season]],".",tbResults[[#This Row],[Stage]])</f>
        <v>2.2</v>
      </c>
      <c r="I343" s="66" t="str">
        <f>_xlfn.CONCAT(tbResults[[#This Row],[Season]],".",tbResults[[#This Row],[Stage]],".",TEXT(tbResults[[#This Row],[Week]],"00"))</f>
        <v>2.2.11</v>
      </c>
      <c r="J343" s="66" t="str">
        <f>_xlfn.CONCAT(tbResults[[#This Row],[Week Title]],".",TEXT(tbResults[[#This Row],[Match]],"00"))</f>
        <v>2.2.11.03</v>
      </c>
      <c r="K343" s="64" t="str">
        <f>_xlfn.CONCAT(tbResults[[#This Row],[Game Title]], " ", tbResults[[#This Row],[Player1]], " vs ", tbResults[[#This Row],[Player2]] )</f>
        <v>2.2.11.03.1 spart1e vs Cypher</v>
      </c>
      <c r="L343" s="60" t="s">
        <v>50</v>
      </c>
      <c r="M343" s="60" t="s">
        <v>14</v>
      </c>
      <c r="N343" s="60" t="s">
        <v>33</v>
      </c>
      <c r="O343" s="60" t="s">
        <v>39</v>
      </c>
      <c r="P343" s="61" t="s">
        <v>25</v>
      </c>
      <c r="Q343" s="62">
        <v>17</v>
      </c>
      <c r="R343" s="62">
        <v>9</v>
      </c>
      <c r="S343" s="62" t="s">
        <v>81</v>
      </c>
      <c r="T343" s="63" t="s">
        <v>50</v>
      </c>
      <c r="U343" s="63" t="s">
        <v>35</v>
      </c>
      <c r="V343" s="47" t="str">
        <f>IF(tbResults[[#This Row],[Player1 Score]]&gt;tbResults[[#This Row],[Player2 Score]],tbResults[[#This Row],[Player1]],tbResults[[#This Row],[Player2]])</f>
        <v>spart1e</v>
      </c>
      <c r="W343" s="49" t="str">
        <f>IF(tbResults[[#This Row],[Player1 Score]]&gt;tbResults[[#This Row],[Player2 Score]],tbResults[[#This Row],[Player2]],tbResults[[#This Row],[Player1]])</f>
        <v>Cypher</v>
      </c>
      <c r="X343" s="67" t="str">
        <f>IF(tbResults[[#This Row],[Winner]]=tbResults[[#This Row],[Player1]],tbResults[[#This Row],[Player1 Pick]],tbResults[[#This Row],[Player2 Pick]])</f>
        <v>Anarki</v>
      </c>
      <c r="Y343" s="67" t="str">
        <f>IF(tbResults[[#This Row],[Loser]]=tbResults[[#This Row],[Player1]],tbResults[[#This Row],[Player1 Pick]],tbResults[[#This Row],[Player2 Pick]])</f>
        <v>Sorlag</v>
      </c>
      <c r="Z343" s="68">
        <f>SUM(tbResults[[#This Row],[Player1 Score]],tbResults[[#This Row],[Player2 Score]])</f>
        <v>26</v>
      </c>
      <c r="AA343" s="68">
        <f>ABS(tbResults[[#This Row],[Player1 Score]]-tbResults[[#This Row],[Player2 Score]])</f>
        <v>8</v>
      </c>
      <c r="AB343" s="68">
        <f>IF(tbResults[[#This Row],[Player1 Score]]&gt;tbResults[[#This Row],[Player2 Score]],tbResults[[#This Row],[Player1 Score]],tbResults[[#This Row],[Player2 Score]])</f>
        <v>17</v>
      </c>
      <c r="AC343" s="68">
        <f>IF(tbResults[[#This Row],[Player1 Score]]&lt;tbResults[[#This Row],[Player2 Score]],tbResults[[#This Row],[Player1 Score]],tbResults[[#This Row],[Player2 Score]])</f>
        <v>9</v>
      </c>
    </row>
    <row r="344" spans="2:29" ht="30" customHeight="1" x14ac:dyDescent="0.3">
      <c r="B344" s="64" t="str">
        <f>_xlfn.CONCAT(tbResults[[#This Row],[Series Title]],".",tbResults[[#This Row],[Game]])</f>
        <v>2.2.11.03.2</v>
      </c>
      <c r="C344" s="65">
        <v>2</v>
      </c>
      <c r="D344" s="65">
        <v>2</v>
      </c>
      <c r="E344" s="65">
        <v>11</v>
      </c>
      <c r="F344" s="65">
        <v>3</v>
      </c>
      <c r="G344" s="65">
        <v>2</v>
      </c>
      <c r="H344" s="66" t="str">
        <f>_xlfn.CONCAT(tbResults[[#This Row],[Season]],".",tbResults[[#This Row],[Stage]])</f>
        <v>2.2</v>
      </c>
      <c r="I344" s="66" t="str">
        <f>_xlfn.CONCAT(tbResults[[#This Row],[Season]],".",tbResults[[#This Row],[Stage]],".",TEXT(tbResults[[#This Row],[Week]],"00"))</f>
        <v>2.2.11</v>
      </c>
      <c r="J344" s="66" t="str">
        <f>_xlfn.CONCAT(tbResults[[#This Row],[Week Title]],".",TEXT(tbResults[[#This Row],[Match]],"00"))</f>
        <v>2.2.11.03</v>
      </c>
      <c r="K344" s="64" t="str">
        <f>_xlfn.CONCAT(tbResults[[#This Row],[Game Title]], " ", tbResults[[#This Row],[Player1]], " vs ", tbResults[[#This Row],[Player2]] )</f>
        <v>2.2.11.03.2 spart1e vs Cypher</v>
      </c>
      <c r="L344" s="60" t="s">
        <v>50</v>
      </c>
      <c r="M344" s="60" t="s">
        <v>14</v>
      </c>
      <c r="N344" s="60" t="s">
        <v>43</v>
      </c>
      <c r="O344" s="60" t="s">
        <v>37</v>
      </c>
      <c r="P344" s="61" t="s">
        <v>34</v>
      </c>
      <c r="Q344" s="62">
        <v>4</v>
      </c>
      <c r="R344" s="62">
        <v>16</v>
      </c>
      <c r="S344" s="62" t="s">
        <v>81</v>
      </c>
      <c r="T344" s="63" t="s">
        <v>14</v>
      </c>
      <c r="U344" s="63" t="s">
        <v>28</v>
      </c>
      <c r="V344" s="47" t="str">
        <f>IF(tbResults[[#This Row],[Player1 Score]]&gt;tbResults[[#This Row],[Player2 Score]],tbResults[[#This Row],[Player1]],tbResults[[#This Row],[Player2]])</f>
        <v>Cypher</v>
      </c>
      <c r="W344" s="49" t="str">
        <f>IF(tbResults[[#This Row],[Player1 Score]]&gt;tbResults[[#This Row],[Player2 Score]],tbResults[[#This Row],[Player2]],tbResults[[#This Row],[Player1]])</f>
        <v>spart1e</v>
      </c>
      <c r="X344" s="67" t="str">
        <f>IF(tbResults[[#This Row],[Winner]]=tbResults[[#This Row],[Player1]],tbResults[[#This Row],[Player1 Pick]],tbResults[[#This Row],[Player2 Pick]])</f>
        <v>Galena</v>
      </c>
      <c r="Y344" s="67" t="str">
        <f>IF(tbResults[[#This Row],[Loser]]=tbResults[[#This Row],[Player1]],tbResults[[#This Row],[Player1 Pick]],tbResults[[#This Row],[Player2 Pick]])</f>
        <v>Eisen</v>
      </c>
      <c r="Z344" s="68">
        <f>SUM(tbResults[[#This Row],[Player1 Score]],tbResults[[#This Row],[Player2 Score]])</f>
        <v>20</v>
      </c>
      <c r="AA344" s="68">
        <f>ABS(tbResults[[#This Row],[Player1 Score]]-tbResults[[#This Row],[Player2 Score]])</f>
        <v>12</v>
      </c>
      <c r="AB344" s="68">
        <f>IF(tbResults[[#This Row],[Player1 Score]]&gt;tbResults[[#This Row],[Player2 Score]],tbResults[[#This Row],[Player1 Score]],tbResults[[#This Row],[Player2 Score]])</f>
        <v>16</v>
      </c>
      <c r="AC344" s="68">
        <f>IF(tbResults[[#This Row],[Player1 Score]]&lt;tbResults[[#This Row],[Player2 Score]],tbResults[[#This Row],[Player1 Score]],tbResults[[#This Row],[Player2 Score]])</f>
        <v>4</v>
      </c>
    </row>
    <row r="345" spans="2:29" ht="30" customHeight="1" x14ac:dyDescent="0.3">
      <c r="B345" s="64" t="str">
        <f>_xlfn.CONCAT(tbResults[[#This Row],[Series Title]],".",tbResults[[#This Row],[Game]])</f>
        <v>2.2.11.03.3</v>
      </c>
      <c r="C345" s="65">
        <v>2</v>
      </c>
      <c r="D345" s="65">
        <v>2</v>
      </c>
      <c r="E345" s="65">
        <v>11</v>
      </c>
      <c r="F345" s="65">
        <v>3</v>
      </c>
      <c r="G345" s="65">
        <v>3</v>
      </c>
      <c r="H345" s="66" t="str">
        <f>_xlfn.CONCAT(tbResults[[#This Row],[Season]],".",tbResults[[#This Row],[Stage]])</f>
        <v>2.2</v>
      </c>
      <c r="I345" s="66" t="str">
        <f>_xlfn.CONCAT(tbResults[[#This Row],[Season]],".",tbResults[[#This Row],[Stage]],".",TEXT(tbResults[[#This Row],[Week]],"00"))</f>
        <v>2.2.11</v>
      </c>
      <c r="J345" s="66" t="str">
        <f>_xlfn.CONCAT(tbResults[[#This Row],[Week Title]],".",TEXT(tbResults[[#This Row],[Match]],"00"))</f>
        <v>2.2.11.03</v>
      </c>
      <c r="K345" s="64" t="str">
        <f>_xlfn.CONCAT(tbResults[[#This Row],[Game Title]], " ", tbResults[[#This Row],[Player1]], " vs ", tbResults[[#This Row],[Player2]] )</f>
        <v>2.2.11.03.3 spart1e vs Cypher</v>
      </c>
      <c r="L345" s="60" t="s">
        <v>50</v>
      </c>
      <c r="M345" s="60" t="s">
        <v>14</v>
      </c>
      <c r="N345" s="60" t="s">
        <v>19</v>
      </c>
      <c r="O345" s="60" t="s">
        <v>21</v>
      </c>
      <c r="P345" s="61" t="s">
        <v>27</v>
      </c>
      <c r="Q345" s="62">
        <v>5</v>
      </c>
      <c r="R345" s="62">
        <v>15</v>
      </c>
      <c r="S345" s="62" t="s">
        <v>81</v>
      </c>
      <c r="T345" s="63" t="s">
        <v>50</v>
      </c>
      <c r="U345" s="63" t="s">
        <v>22</v>
      </c>
      <c r="V345" s="47" t="str">
        <f>IF(tbResults[[#This Row],[Player1 Score]]&gt;tbResults[[#This Row],[Player2 Score]],tbResults[[#This Row],[Player1]],tbResults[[#This Row],[Player2]])</f>
        <v>Cypher</v>
      </c>
      <c r="W345" s="49" t="str">
        <f>IF(tbResults[[#This Row],[Player1 Score]]&gt;tbResults[[#This Row],[Player2 Score]],tbResults[[#This Row],[Player2]],tbResults[[#This Row],[Player1]])</f>
        <v>spart1e</v>
      </c>
      <c r="X345" s="67" t="str">
        <f>IF(tbResults[[#This Row],[Winner]]=tbResults[[#This Row],[Player1]],tbResults[[#This Row],[Player1 Pick]],tbResults[[#This Row],[Player2 Pick]])</f>
        <v>Keel</v>
      </c>
      <c r="Y345" s="67" t="str">
        <f>IF(tbResults[[#This Row],[Loser]]=tbResults[[#This Row],[Player1]],tbResults[[#This Row],[Player1 Pick]],tbResults[[#This Row],[Player2 Pick]])</f>
        <v>Ranger</v>
      </c>
      <c r="Z345" s="68">
        <f>SUM(tbResults[[#This Row],[Player1 Score]],tbResults[[#This Row],[Player2 Score]])</f>
        <v>20</v>
      </c>
      <c r="AA345" s="68">
        <f>ABS(tbResults[[#This Row],[Player1 Score]]-tbResults[[#This Row],[Player2 Score]])</f>
        <v>10</v>
      </c>
      <c r="AB345" s="68">
        <f>IF(tbResults[[#This Row],[Player1 Score]]&gt;tbResults[[#This Row],[Player2 Score]],tbResults[[#This Row],[Player1 Score]],tbResults[[#This Row],[Player2 Score]])</f>
        <v>15</v>
      </c>
      <c r="AC345" s="68">
        <f>IF(tbResults[[#This Row],[Player1 Score]]&lt;tbResults[[#This Row],[Player2 Score]],tbResults[[#This Row],[Player1 Score]],tbResults[[#This Row],[Player2 Score]])</f>
        <v>5</v>
      </c>
    </row>
    <row r="346" spans="2:29" ht="30" customHeight="1" x14ac:dyDescent="0.3">
      <c r="B346" s="64" t="str">
        <f>_xlfn.CONCAT(tbResults[[#This Row],[Series Title]],".",tbResults[[#This Row],[Game]])</f>
        <v>2.2.11.04.1</v>
      </c>
      <c r="C346" s="65">
        <v>2</v>
      </c>
      <c r="D346" s="65">
        <v>2</v>
      </c>
      <c r="E346" s="65">
        <v>11</v>
      </c>
      <c r="F346" s="65">
        <v>4</v>
      </c>
      <c r="G346" s="65">
        <v>1</v>
      </c>
      <c r="H346" s="66" t="str">
        <f>_xlfn.CONCAT(tbResults[[#This Row],[Season]],".",tbResults[[#This Row],[Stage]])</f>
        <v>2.2</v>
      </c>
      <c r="I346" s="66" t="str">
        <f>_xlfn.CONCAT(tbResults[[#This Row],[Season]],".",tbResults[[#This Row],[Stage]],".",TEXT(tbResults[[#This Row],[Week]],"00"))</f>
        <v>2.2.11</v>
      </c>
      <c r="J346" s="66" t="str">
        <f>_xlfn.CONCAT(tbResults[[#This Row],[Week Title]],".",TEXT(tbResults[[#This Row],[Match]],"00"))</f>
        <v>2.2.11.04</v>
      </c>
      <c r="K346" s="64" t="str">
        <f>_xlfn.CONCAT(tbResults[[#This Row],[Game Title]], " ", tbResults[[#This Row],[Player1]], " vs ", tbResults[[#This Row],[Player2]] )</f>
        <v>2.2.11.04.1 cha1n vs Zenaku</v>
      </c>
      <c r="L346" s="60" t="s">
        <v>53</v>
      </c>
      <c r="M346" s="60" t="s">
        <v>29</v>
      </c>
      <c r="N346" s="60" t="s">
        <v>26</v>
      </c>
      <c r="O346" s="60" t="s">
        <v>22</v>
      </c>
      <c r="P346" s="61" t="s">
        <v>44</v>
      </c>
      <c r="Q346" s="62">
        <v>4</v>
      </c>
      <c r="R346" s="62">
        <v>7</v>
      </c>
      <c r="S346" s="62" t="s">
        <v>81</v>
      </c>
      <c r="T346" s="63" t="s">
        <v>53</v>
      </c>
      <c r="U346" s="63" t="s">
        <v>39</v>
      </c>
      <c r="V346" s="47" t="str">
        <f>IF(tbResults[[#This Row],[Player1 Score]]&gt;tbResults[[#This Row],[Player2 Score]],tbResults[[#This Row],[Player1]],tbResults[[#This Row],[Player2]])</f>
        <v>Zenaku</v>
      </c>
      <c r="W346" s="49" t="str">
        <f>IF(tbResults[[#This Row],[Player1 Score]]&gt;tbResults[[#This Row],[Player2 Score]],tbResults[[#This Row],[Player2]],tbResults[[#This Row],[Player1]])</f>
        <v>cha1n</v>
      </c>
      <c r="X346" s="67" t="str">
        <f>IF(tbResults[[#This Row],[Winner]]=tbResults[[#This Row],[Player1]],tbResults[[#This Row],[Player1 Pick]],tbResults[[#This Row],[Player2 Pick]])</f>
        <v>Scalebearer</v>
      </c>
      <c r="Y346" s="67" t="str">
        <f>IF(tbResults[[#This Row],[Loser]]=tbResults[[#This Row],[Player1]],tbResults[[#This Row],[Player1 Pick]],tbResults[[#This Row],[Player2 Pick]])</f>
        <v>Strogg</v>
      </c>
      <c r="Z346" s="68">
        <f>SUM(tbResults[[#This Row],[Player1 Score]],tbResults[[#This Row],[Player2 Score]])</f>
        <v>11</v>
      </c>
      <c r="AA346" s="68">
        <f>ABS(tbResults[[#This Row],[Player1 Score]]-tbResults[[#This Row],[Player2 Score]])</f>
        <v>3</v>
      </c>
      <c r="AB346" s="68">
        <f>IF(tbResults[[#This Row],[Player1 Score]]&gt;tbResults[[#This Row],[Player2 Score]],tbResults[[#This Row],[Player1 Score]],tbResults[[#This Row],[Player2 Score]])</f>
        <v>7</v>
      </c>
      <c r="AC346" s="68">
        <f>IF(tbResults[[#This Row],[Player1 Score]]&lt;tbResults[[#This Row],[Player2 Score]],tbResults[[#This Row],[Player1 Score]],tbResults[[#This Row],[Player2 Score]])</f>
        <v>4</v>
      </c>
    </row>
    <row r="347" spans="2:29" ht="30" customHeight="1" x14ac:dyDescent="0.3">
      <c r="B347" s="64" t="str">
        <f>_xlfn.CONCAT(tbResults[[#This Row],[Series Title]],".",tbResults[[#This Row],[Game]])</f>
        <v>2.2.11.04.2</v>
      </c>
      <c r="C347" s="65">
        <v>2</v>
      </c>
      <c r="D347" s="65">
        <v>2</v>
      </c>
      <c r="E347" s="65">
        <v>11</v>
      </c>
      <c r="F347" s="65">
        <v>4</v>
      </c>
      <c r="G347" s="65">
        <v>2</v>
      </c>
      <c r="H347" s="66" t="str">
        <f>_xlfn.CONCAT(tbResults[[#This Row],[Season]],".",tbResults[[#This Row],[Stage]])</f>
        <v>2.2</v>
      </c>
      <c r="I347" s="66" t="str">
        <f>_xlfn.CONCAT(tbResults[[#This Row],[Season]],".",tbResults[[#This Row],[Stage]],".",TEXT(tbResults[[#This Row],[Week]],"00"))</f>
        <v>2.2.11</v>
      </c>
      <c r="J347" s="66" t="str">
        <f>_xlfn.CONCAT(tbResults[[#This Row],[Week Title]],".",TEXT(tbResults[[#This Row],[Match]],"00"))</f>
        <v>2.2.11.04</v>
      </c>
      <c r="K347" s="64" t="str">
        <f>_xlfn.CONCAT(tbResults[[#This Row],[Game Title]], " ", tbResults[[#This Row],[Player1]], " vs ", tbResults[[#This Row],[Player2]] )</f>
        <v>2.2.11.04.2 cha1n vs Zenaku</v>
      </c>
      <c r="L347" s="60" t="s">
        <v>53</v>
      </c>
      <c r="M347" s="60" t="s">
        <v>29</v>
      </c>
      <c r="N347" s="60" t="s">
        <v>40</v>
      </c>
      <c r="O347" s="60" t="s">
        <v>35</v>
      </c>
      <c r="P347" s="61" t="s">
        <v>27</v>
      </c>
      <c r="Q347" s="62">
        <v>6</v>
      </c>
      <c r="R347" s="62">
        <v>3</v>
      </c>
      <c r="S347" s="62" t="s">
        <v>81</v>
      </c>
      <c r="T347" s="63" t="s">
        <v>29</v>
      </c>
      <c r="U347" s="63" t="s">
        <v>25</v>
      </c>
      <c r="V347" s="47" t="str">
        <f>IF(tbResults[[#This Row],[Player1 Score]]&gt;tbResults[[#This Row],[Player2 Score]],tbResults[[#This Row],[Player1]],tbResults[[#This Row],[Player2]])</f>
        <v>cha1n</v>
      </c>
      <c r="W347" s="49" t="str">
        <f>IF(tbResults[[#This Row],[Player1 Score]]&gt;tbResults[[#This Row],[Player2 Score]],tbResults[[#This Row],[Player2]],tbResults[[#This Row],[Player1]])</f>
        <v>Zenaku</v>
      </c>
      <c r="X347" s="67" t="str">
        <f>IF(tbResults[[#This Row],[Winner]]=tbResults[[#This Row],[Player1]],tbResults[[#This Row],[Player1 Pick]],tbResults[[#This Row],[Player2 Pick]])</f>
        <v>Doom</v>
      </c>
      <c r="Y347" s="67" t="str">
        <f>IF(tbResults[[#This Row],[Loser]]=tbResults[[#This Row],[Player1]],tbResults[[#This Row],[Player1 Pick]],tbResults[[#This Row],[Player2 Pick]])</f>
        <v>Keel</v>
      </c>
      <c r="Z347" s="68">
        <f>SUM(tbResults[[#This Row],[Player1 Score]],tbResults[[#This Row],[Player2 Score]])</f>
        <v>9</v>
      </c>
      <c r="AA347" s="68">
        <f>ABS(tbResults[[#This Row],[Player1 Score]]-tbResults[[#This Row],[Player2 Score]])</f>
        <v>3</v>
      </c>
      <c r="AB347" s="68">
        <f>IF(tbResults[[#This Row],[Player1 Score]]&gt;tbResults[[#This Row],[Player2 Score]],tbResults[[#This Row],[Player1 Score]],tbResults[[#This Row],[Player2 Score]])</f>
        <v>6</v>
      </c>
      <c r="AC347" s="68">
        <f>IF(tbResults[[#This Row],[Player1 Score]]&lt;tbResults[[#This Row],[Player2 Score]],tbResults[[#This Row],[Player1 Score]],tbResults[[#This Row],[Player2 Score]])</f>
        <v>3</v>
      </c>
    </row>
    <row r="348" spans="2:29" ht="30" customHeight="1" x14ac:dyDescent="0.3">
      <c r="B348" s="64" t="str">
        <f>_xlfn.CONCAT(tbResults[[#This Row],[Series Title]],".",tbResults[[#This Row],[Game]])</f>
        <v>2.2.11.04.3</v>
      </c>
      <c r="C348" s="65">
        <v>2</v>
      </c>
      <c r="D348" s="65">
        <v>2</v>
      </c>
      <c r="E348" s="65">
        <v>11</v>
      </c>
      <c r="F348" s="65">
        <v>4</v>
      </c>
      <c r="G348" s="65">
        <v>3</v>
      </c>
      <c r="H348" s="66" t="str">
        <f>_xlfn.CONCAT(tbResults[[#This Row],[Season]],".",tbResults[[#This Row],[Stage]])</f>
        <v>2.2</v>
      </c>
      <c r="I348" s="66" t="str">
        <f>_xlfn.CONCAT(tbResults[[#This Row],[Season]],".",tbResults[[#This Row],[Stage]],".",TEXT(tbResults[[#This Row],[Week]],"00"))</f>
        <v>2.2.11</v>
      </c>
      <c r="J348" s="66" t="str">
        <f>_xlfn.CONCAT(tbResults[[#This Row],[Week Title]],".",TEXT(tbResults[[#This Row],[Match]],"00"))</f>
        <v>2.2.11.04</v>
      </c>
      <c r="K348" s="64" t="str">
        <f>_xlfn.CONCAT(tbResults[[#This Row],[Game Title]], " ", tbResults[[#This Row],[Player1]], " vs ", tbResults[[#This Row],[Player2]] )</f>
        <v>2.2.11.04.3 cha1n vs Zenaku</v>
      </c>
      <c r="L348" s="60" t="s">
        <v>53</v>
      </c>
      <c r="M348" s="60" t="s">
        <v>29</v>
      </c>
      <c r="N348" s="60" t="s">
        <v>19</v>
      </c>
      <c r="O348" s="60" t="s">
        <v>55</v>
      </c>
      <c r="P348" s="61" t="s">
        <v>38</v>
      </c>
      <c r="Q348" s="62">
        <v>8</v>
      </c>
      <c r="R348" s="62">
        <v>3</v>
      </c>
      <c r="S348" s="62" t="s">
        <v>81</v>
      </c>
      <c r="T348" s="63" t="s">
        <v>53</v>
      </c>
      <c r="U348" s="63" t="s">
        <v>34</v>
      </c>
      <c r="V348" s="47" t="str">
        <f>IF(tbResults[[#This Row],[Player1 Score]]&gt;tbResults[[#This Row],[Player2 Score]],tbResults[[#This Row],[Player1]],tbResults[[#This Row],[Player2]])</f>
        <v>cha1n</v>
      </c>
      <c r="W348" s="49" t="str">
        <f>IF(tbResults[[#This Row],[Player1 Score]]&gt;tbResults[[#This Row],[Player2 Score]],tbResults[[#This Row],[Player2]],tbResults[[#This Row],[Player1]])</f>
        <v>Zenaku</v>
      </c>
      <c r="X348" s="67" t="str">
        <f>IF(tbResults[[#This Row],[Winner]]=tbResults[[#This Row],[Player1]],tbResults[[#This Row],[Player1 Pick]],tbResults[[#This Row],[Player2 Pick]])</f>
        <v>Athena</v>
      </c>
      <c r="Y348" s="67" t="str">
        <f>IF(tbResults[[#This Row],[Loser]]=tbResults[[#This Row],[Player1]],tbResults[[#This Row],[Player1 Pick]],tbResults[[#This Row],[Player2 Pick]])</f>
        <v>Nyx</v>
      </c>
      <c r="Z348" s="68">
        <f>SUM(tbResults[[#This Row],[Player1 Score]],tbResults[[#This Row],[Player2 Score]])</f>
        <v>11</v>
      </c>
      <c r="AA348" s="68">
        <f>ABS(tbResults[[#This Row],[Player1 Score]]-tbResults[[#This Row],[Player2 Score]])</f>
        <v>5</v>
      </c>
      <c r="AB348" s="68">
        <f>IF(tbResults[[#This Row],[Player1 Score]]&gt;tbResults[[#This Row],[Player2 Score]],tbResults[[#This Row],[Player1 Score]],tbResults[[#This Row],[Player2 Score]])</f>
        <v>8</v>
      </c>
      <c r="AC348" s="68">
        <f>IF(tbResults[[#This Row],[Player1 Score]]&lt;tbResults[[#This Row],[Player2 Score]],tbResults[[#This Row],[Player1 Score]],tbResults[[#This Row],[Player2 Score]])</f>
        <v>3</v>
      </c>
    </row>
    <row r="349" spans="2:29" ht="30" customHeight="1" x14ac:dyDescent="0.3">
      <c r="B349" s="64" t="str">
        <f>_xlfn.CONCAT(tbResults[[#This Row],[Series Title]],".",tbResults[[#This Row],[Game]])</f>
        <v>2.2.11.05.1</v>
      </c>
      <c r="C349" s="65">
        <v>2</v>
      </c>
      <c r="D349" s="65">
        <v>2</v>
      </c>
      <c r="E349" s="65">
        <v>11</v>
      </c>
      <c r="F349" s="65">
        <v>5</v>
      </c>
      <c r="G349" s="65">
        <v>1</v>
      </c>
      <c r="H349" s="66" t="str">
        <f>_xlfn.CONCAT(tbResults[[#This Row],[Season]],".",tbResults[[#This Row],[Stage]])</f>
        <v>2.2</v>
      </c>
      <c r="I349" s="66" t="str">
        <f>_xlfn.CONCAT(tbResults[[#This Row],[Season]],".",tbResults[[#This Row],[Stage]],".",TEXT(tbResults[[#This Row],[Week]],"00"))</f>
        <v>2.2.11</v>
      </c>
      <c r="J349" s="66" t="str">
        <f>_xlfn.CONCAT(tbResults[[#This Row],[Week Title]],".",TEXT(tbResults[[#This Row],[Match]],"00"))</f>
        <v>2.2.11.05</v>
      </c>
      <c r="K349" s="64" t="str">
        <f>_xlfn.CONCAT(tbResults[[#This Row],[Game Title]], " ", tbResults[[#This Row],[Player1]], " vs ", tbResults[[#This Row],[Player2]] )</f>
        <v>2.2.11.05.1 k1llsen vs Raisy</v>
      </c>
      <c r="L349" s="60" t="s">
        <v>31</v>
      </c>
      <c r="M349" s="60" t="s">
        <v>49</v>
      </c>
      <c r="N349" s="60" t="s">
        <v>40</v>
      </c>
      <c r="O349" s="60" t="s">
        <v>22</v>
      </c>
      <c r="P349" s="61" t="s">
        <v>27</v>
      </c>
      <c r="Q349" s="62">
        <v>7</v>
      </c>
      <c r="R349" s="62">
        <v>9</v>
      </c>
      <c r="S349" s="62" t="s">
        <v>81</v>
      </c>
      <c r="T349" s="63" t="s">
        <v>49</v>
      </c>
      <c r="U349" s="63" t="s">
        <v>35</v>
      </c>
      <c r="V349" s="47" t="str">
        <f>IF(tbResults[[#This Row],[Player1 Score]]&gt;tbResults[[#This Row],[Player2 Score]],tbResults[[#This Row],[Player1]],tbResults[[#This Row],[Player2]])</f>
        <v>Raisy</v>
      </c>
      <c r="W349" s="49" t="str">
        <f>IF(tbResults[[#This Row],[Player1 Score]]&gt;tbResults[[#This Row],[Player2 Score]],tbResults[[#This Row],[Player2]],tbResults[[#This Row],[Player1]])</f>
        <v>k1llsen</v>
      </c>
      <c r="X349" s="67" t="str">
        <f>IF(tbResults[[#This Row],[Winner]]=tbResults[[#This Row],[Player1]],tbResults[[#This Row],[Player1 Pick]],tbResults[[#This Row],[Player2 Pick]])</f>
        <v>Keel</v>
      </c>
      <c r="Y349" s="67" t="str">
        <f>IF(tbResults[[#This Row],[Loser]]=tbResults[[#This Row],[Player1]],tbResults[[#This Row],[Player1 Pick]],tbResults[[#This Row],[Player2 Pick]])</f>
        <v>Strogg</v>
      </c>
      <c r="Z349" s="68">
        <f>SUM(tbResults[[#This Row],[Player1 Score]],tbResults[[#This Row],[Player2 Score]])</f>
        <v>16</v>
      </c>
      <c r="AA349" s="68">
        <f>ABS(tbResults[[#This Row],[Player1 Score]]-tbResults[[#This Row],[Player2 Score]])</f>
        <v>2</v>
      </c>
      <c r="AB349" s="68">
        <f>IF(tbResults[[#This Row],[Player1 Score]]&gt;tbResults[[#This Row],[Player2 Score]],tbResults[[#This Row],[Player1 Score]],tbResults[[#This Row],[Player2 Score]])</f>
        <v>9</v>
      </c>
      <c r="AC349" s="68">
        <f>IF(tbResults[[#This Row],[Player1 Score]]&lt;tbResults[[#This Row],[Player2 Score]],tbResults[[#This Row],[Player1 Score]],tbResults[[#This Row],[Player2 Score]])</f>
        <v>7</v>
      </c>
    </row>
    <row r="350" spans="2:29" ht="30" customHeight="1" x14ac:dyDescent="0.3">
      <c r="B350" s="64" t="str">
        <f>_xlfn.CONCAT(tbResults[[#This Row],[Series Title]],".",tbResults[[#This Row],[Game]])</f>
        <v>2.2.11.05.2</v>
      </c>
      <c r="C350" s="65">
        <v>2</v>
      </c>
      <c r="D350" s="65">
        <v>2</v>
      </c>
      <c r="E350" s="65">
        <v>11</v>
      </c>
      <c r="F350" s="65">
        <v>5</v>
      </c>
      <c r="G350" s="65">
        <v>2</v>
      </c>
      <c r="H350" s="66" t="str">
        <f>_xlfn.CONCAT(tbResults[[#This Row],[Season]],".",tbResults[[#This Row],[Stage]])</f>
        <v>2.2</v>
      </c>
      <c r="I350" s="66" t="str">
        <f>_xlfn.CONCAT(tbResults[[#This Row],[Season]],".",tbResults[[#This Row],[Stage]],".",TEXT(tbResults[[#This Row],[Week]],"00"))</f>
        <v>2.2.11</v>
      </c>
      <c r="J350" s="66" t="str">
        <f>_xlfn.CONCAT(tbResults[[#This Row],[Week Title]],".",TEXT(tbResults[[#This Row],[Match]],"00"))</f>
        <v>2.2.11.05</v>
      </c>
      <c r="K350" s="64" t="str">
        <f>_xlfn.CONCAT(tbResults[[#This Row],[Game Title]], " ", tbResults[[#This Row],[Player1]], " vs ", tbResults[[#This Row],[Player2]] )</f>
        <v>2.2.11.05.2 k1llsen vs Raisy</v>
      </c>
      <c r="L350" s="60" t="s">
        <v>31</v>
      </c>
      <c r="M350" s="60" t="s">
        <v>49</v>
      </c>
      <c r="N350" s="60" t="s">
        <v>32</v>
      </c>
      <c r="O350" s="60" t="s">
        <v>37</v>
      </c>
      <c r="P350" s="61" t="s">
        <v>36</v>
      </c>
      <c r="Q350" s="62">
        <v>7</v>
      </c>
      <c r="R350" s="62">
        <v>10</v>
      </c>
      <c r="S350" s="62" t="s">
        <v>81</v>
      </c>
      <c r="T350" s="63" t="s">
        <v>31</v>
      </c>
      <c r="U350" s="63" t="s">
        <v>25</v>
      </c>
      <c r="V350" s="47" t="str">
        <f>IF(tbResults[[#This Row],[Player1 Score]]&gt;tbResults[[#This Row],[Player2 Score]],tbResults[[#This Row],[Player1]],tbResults[[#This Row],[Player2]])</f>
        <v>Raisy</v>
      </c>
      <c r="W350" s="49" t="str">
        <f>IF(tbResults[[#This Row],[Player1 Score]]&gt;tbResults[[#This Row],[Player2 Score]],tbResults[[#This Row],[Player2]],tbResults[[#This Row],[Player1]])</f>
        <v>k1llsen</v>
      </c>
      <c r="X350" s="67" t="str">
        <f>IF(tbResults[[#This Row],[Winner]]=tbResults[[#This Row],[Player1]],tbResults[[#This Row],[Player1 Pick]],tbResults[[#This Row],[Player2 Pick]])</f>
        <v>Visor</v>
      </c>
      <c r="Y350" s="67" t="str">
        <f>IF(tbResults[[#This Row],[Loser]]=tbResults[[#This Row],[Player1]],tbResults[[#This Row],[Player1 Pick]],tbResults[[#This Row],[Player2 Pick]])</f>
        <v>Eisen</v>
      </c>
      <c r="Z350" s="68">
        <f>SUM(tbResults[[#This Row],[Player1 Score]],tbResults[[#This Row],[Player2 Score]])</f>
        <v>17</v>
      </c>
      <c r="AA350" s="68">
        <f>ABS(tbResults[[#This Row],[Player1 Score]]-tbResults[[#This Row],[Player2 Score]])</f>
        <v>3</v>
      </c>
      <c r="AB350" s="68">
        <f>IF(tbResults[[#This Row],[Player1 Score]]&gt;tbResults[[#This Row],[Player2 Score]],tbResults[[#This Row],[Player1 Score]],tbResults[[#This Row],[Player2 Score]])</f>
        <v>10</v>
      </c>
      <c r="AC350" s="68">
        <f>IF(tbResults[[#This Row],[Player1 Score]]&lt;tbResults[[#This Row],[Player2 Score]],tbResults[[#This Row],[Player1 Score]],tbResults[[#This Row],[Player2 Score]])</f>
        <v>7</v>
      </c>
    </row>
    <row r="351" spans="2:29" ht="30" customHeight="1" x14ac:dyDescent="0.3">
      <c r="B351" s="64" t="str">
        <f>_xlfn.CONCAT(tbResults[[#This Row],[Series Title]],".",tbResults[[#This Row],[Game]])</f>
        <v>2.2.11.05.3</v>
      </c>
      <c r="C351" s="65">
        <v>2</v>
      </c>
      <c r="D351" s="65">
        <v>2</v>
      </c>
      <c r="E351" s="65">
        <v>11</v>
      </c>
      <c r="F351" s="65">
        <v>5</v>
      </c>
      <c r="G351" s="65">
        <v>3</v>
      </c>
      <c r="H351" s="66" t="str">
        <f>_xlfn.CONCAT(tbResults[[#This Row],[Season]],".",tbResults[[#This Row],[Stage]])</f>
        <v>2.2</v>
      </c>
      <c r="I351" s="66" t="str">
        <f>_xlfn.CONCAT(tbResults[[#This Row],[Season]],".",tbResults[[#This Row],[Stage]],".",TEXT(tbResults[[#This Row],[Week]],"00"))</f>
        <v>2.2.11</v>
      </c>
      <c r="J351" s="66" t="str">
        <f>_xlfn.CONCAT(tbResults[[#This Row],[Week Title]],".",TEXT(tbResults[[#This Row],[Match]],"00"))</f>
        <v>2.2.11.05</v>
      </c>
      <c r="K351" s="64" t="str">
        <f>_xlfn.CONCAT(tbResults[[#This Row],[Game Title]], " ", tbResults[[#This Row],[Player1]], " vs ", tbResults[[#This Row],[Player2]] )</f>
        <v>2.2.11.05.3 k1llsen vs Raisy</v>
      </c>
      <c r="L351" s="60" t="s">
        <v>31</v>
      </c>
      <c r="M351" s="60" t="s">
        <v>49</v>
      </c>
      <c r="N351" s="60" t="s">
        <v>23</v>
      </c>
      <c r="O351" s="60" t="s">
        <v>21</v>
      </c>
      <c r="P351" s="61" t="s">
        <v>92</v>
      </c>
      <c r="Q351" s="62">
        <v>4</v>
      </c>
      <c r="R351" s="62">
        <v>7</v>
      </c>
      <c r="S351" s="62" t="s">
        <v>81</v>
      </c>
      <c r="T351" s="63" t="s">
        <v>49</v>
      </c>
      <c r="U351" s="63" t="s">
        <v>38</v>
      </c>
      <c r="V351" s="47" t="str">
        <f>IF(tbResults[[#This Row],[Player1 Score]]&gt;tbResults[[#This Row],[Player2 Score]],tbResults[[#This Row],[Player1]],tbResults[[#This Row],[Player2]])</f>
        <v>Raisy</v>
      </c>
      <c r="W351" s="49" t="str">
        <f>IF(tbResults[[#This Row],[Player1 Score]]&gt;tbResults[[#This Row],[Player2 Score]],tbResults[[#This Row],[Player2]],tbResults[[#This Row],[Player1]])</f>
        <v>k1llsen</v>
      </c>
      <c r="X351" s="67" t="str">
        <f>IF(tbResults[[#This Row],[Winner]]=tbResults[[#This Row],[Player1]],tbResults[[#This Row],[Player1 Pick]],tbResults[[#This Row],[Player2 Pick]])</f>
        <v>Clutch</v>
      </c>
      <c r="Y351" s="67" t="str">
        <f>IF(tbResults[[#This Row],[Loser]]=tbResults[[#This Row],[Player1]],tbResults[[#This Row],[Player1 Pick]],tbResults[[#This Row],[Player2 Pick]])</f>
        <v>Ranger</v>
      </c>
      <c r="Z351" s="68">
        <f>SUM(tbResults[[#This Row],[Player1 Score]],tbResults[[#This Row],[Player2 Score]])</f>
        <v>11</v>
      </c>
      <c r="AA351" s="68">
        <f>ABS(tbResults[[#This Row],[Player1 Score]]-tbResults[[#This Row],[Player2 Score]])</f>
        <v>3</v>
      </c>
      <c r="AB351" s="68">
        <f>IF(tbResults[[#This Row],[Player1 Score]]&gt;tbResults[[#This Row],[Player2 Score]],tbResults[[#This Row],[Player1 Score]],tbResults[[#This Row],[Player2 Score]])</f>
        <v>7</v>
      </c>
      <c r="AC351" s="68">
        <f>IF(tbResults[[#This Row],[Player1 Score]]&lt;tbResults[[#This Row],[Player2 Score]],tbResults[[#This Row],[Player1 Score]],tbResults[[#This Row],[Player2 Score]])</f>
        <v>4</v>
      </c>
    </row>
    <row r="352" spans="2:29" ht="30" customHeight="1" x14ac:dyDescent="0.3">
      <c r="B352" s="64" t="str">
        <f>_xlfn.CONCAT(tbResults[[#This Row],[Series Title]],".",tbResults[[#This Row],[Game]])</f>
        <v>2.2.11.06.1</v>
      </c>
      <c r="C352" s="65">
        <v>2</v>
      </c>
      <c r="D352" s="65">
        <v>2</v>
      </c>
      <c r="E352" s="65">
        <v>11</v>
      </c>
      <c r="F352" s="65">
        <v>6</v>
      </c>
      <c r="G352" s="65">
        <v>1</v>
      </c>
      <c r="H352" s="66" t="str">
        <f>_xlfn.CONCAT(tbResults[[#This Row],[Season]],".",tbResults[[#This Row],[Stage]])</f>
        <v>2.2</v>
      </c>
      <c r="I352" s="66" t="str">
        <f>_xlfn.CONCAT(tbResults[[#This Row],[Season]],".",tbResults[[#This Row],[Stage]],".",TEXT(tbResults[[#This Row],[Week]],"00"))</f>
        <v>2.2.11</v>
      </c>
      <c r="J352" s="66" t="str">
        <f>_xlfn.CONCAT(tbResults[[#This Row],[Week Title]],".",TEXT(tbResults[[#This Row],[Match]],"00"))</f>
        <v>2.2.11.06</v>
      </c>
      <c r="K352" s="64" t="str">
        <f>_xlfn.CONCAT(tbResults[[#This Row],[Game Title]], " ", tbResults[[#This Row],[Player1]], " vs ", tbResults[[#This Row],[Player2]] )</f>
        <v>2.2.11.06.1 DaHanG vs Rapha</v>
      </c>
      <c r="L352" s="60" t="s">
        <v>42</v>
      </c>
      <c r="M352" s="60" t="s">
        <v>47</v>
      </c>
      <c r="N352" s="60" t="s">
        <v>32</v>
      </c>
      <c r="O352" s="60" t="s">
        <v>22</v>
      </c>
      <c r="P352" s="61" t="s">
        <v>28</v>
      </c>
      <c r="Q352" s="62">
        <v>5</v>
      </c>
      <c r="R352" s="62">
        <v>21</v>
      </c>
      <c r="S352" s="62" t="s">
        <v>81</v>
      </c>
      <c r="T352" s="63" t="s">
        <v>42</v>
      </c>
      <c r="U352" s="63" t="s">
        <v>37</v>
      </c>
      <c r="V352" s="47" t="str">
        <f>IF(tbResults[[#This Row],[Player1 Score]]&gt;tbResults[[#This Row],[Player2 Score]],tbResults[[#This Row],[Player1]],tbResults[[#This Row],[Player2]])</f>
        <v>Rapha</v>
      </c>
      <c r="W352" s="49" t="str">
        <f>IF(tbResults[[#This Row],[Player1 Score]]&gt;tbResults[[#This Row],[Player2 Score]],tbResults[[#This Row],[Player2]],tbResults[[#This Row],[Player1]])</f>
        <v>DaHanG</v>
      </c>
      <c r="X352" s="67" t="str">
        <f>IF(tbResults[[#This Row],[Winner]]=tbResults[[#This Row],[Player1]],tbResults[[#This Row],[Player1 Pick]],tbResults[[#This Row],[Player2 Pick]])</f>
        <v>BJ Blazkowicz</v>
      </c>
      <c r="Y352" s="67" t="str">
        <f>IF(tbResults[[#This Row],[Loser]]=tbResults[[#This Row],[Player1]],tbResults[[#This Row],[Player1 Pick]],tbResults[[#This Row],[Player2 Pick]])</f>
        <v>Strogg</v>
      </c>
      <c r="Z352" s="68">
        <f>SUM(tbResults[[#This Row],[Player1 Score]],tbResults[[#This Row],[Player2 Score]])</f>
        <v>26</v>
      </c>
      <c r="AA352" s="68">
        <f>ABS(tbResults[[#This Row],[Player1 Score]]-tbResults[[#This Row],[Player2 Score]])</f>
        <v>16</v>
      </c>
      <c r="AB352" s="68">
        <f>IF(tbResults[[#This Row],[Player1 Score]]&gt;tbResults[[#This Row],[Player2 Score]],tbResults[[#This Row],[Player1 Score]],tbResults[[#This Row],[Player2 Score]])</f>
        <v>21</v>
      </c>
      <c r="AC352" s="68">
        <f>IF(tbResults[[#This Row],[Player1 Score]]&lt;tbResults[[#This Row],[Player2 Score]],tbResults[[#This Row],[Player1 Score]],tbResults[[#This Row],[Player2 Score]])</f>
        <v>5</v>
      </c>
    </row>
    <row r="353" spans="2:29" ht="30" customHeight="1" x14ac:dyDescent="0.3">
      <c r="B353" s="64" t="str">
        <f>_xlfn.CONCAT(tbResults[[#This Row],[Series Title]],".",tbResults[[#This Row],[Game]])</f>
        <v>2.2.11.06.2</v>
      </c>
      <c r="C353" s="65">
        <v>2</v>
      </c>
      <c r="D353" s="65">
        <v>2</v>
      </c>
      <c r="E353" s="65">
        <v>11</v>
      </c>
      <c r="F353" s="65">
        <v>6</v>
      </c>
      <c r="G353" s="65">
        <v>2</v>
      </c>
      <c r="H353" s="66" t="str">
        <f>_xlfn.CONCAT(tbResults[[#This Row],[Season]],".",tbResults[[#This Row],[Stage]])</f>
        <v>2.2</v>
      </c>
      <c r="I353" s="66" t="str">
        <f>_xlfn.CONCAT(tbResults[[#This Row],[Season]],".",tbResults[[#This Row],[Stage]],".",TEXT(tbResults[[#This Row],[Week]],"00"))</f>
        <v>2.2.11</v>
      </c>
      <c r="J353" s="66" t="str">
        <f>_xlfn.CONCAT(tbResults[[#This Row],[Week Title]],".",TEXT(tbResults[[#This Row],[Match]],"00"))</f>
        <v>2.2.11.06</v>
      </c>
      <c r="K353" s="64" t="str">
        <f>_xlfn.CONCAT(tbResults[[#This Row],[Game Title]], " ", tbResults[[#This Row],[Player1]], " vs ", tbResults[[#This Row],[Player2]] )</f>
        <v>2.2.11.06.2 DaHanG vs Rapha</v>
      </c>
      <c r="L353" s="60" t="s">
        <v>42</v>
      </c>
      <c r="M353" s="60" t="s">
        <v>47</v>
      </c>
      <c r="N353" s="60" t="s">
        <v>19</v>
      </c>
      <c r="O353" s="60" t="s">
        <v>21</v>
      </c>
      <c r="P353" s="61" t="s">
        <v>35</v>
      </c>
      <c r="Q353" s="62">
        <v>7</v>
      </c>
      <c r="R353" s="62">
        <v>14</v>
      </c>
      <c r="S353" s="62" t="s">
        <v>81</v>
      </c>
      <c r="T353" s="63" t="s">
        <v>47</v>
      </c>
      <c r="U353" s="63" t="s">
        <v>25</v>
      </c>
      <c r="V353" s="47" t="str">
        <f>IF(tbResults[[#This Row],[Player1 Score]]&gt;tbResults[[#This Row],[Player2 Score]],tbResults[[#This Row],[Player1]],tbResults[[#This Row],[Player2]])</f>
        <v>Rapha</v>
      </c>
      <c r="W353" s="49" t="str">
        <f>IF(tbResults[[#This Row],[Player1 Score]]&gt;tbResults[[#This Row],[Player2 Score]],tbResults[[#This Row],[Player2]],tbResults[[#This Row],[Player1]])</f>
        <v>DaHanG</v>
      </c>
      <c r="X353" s="67" t="str">
        <f>IF(tbResults[[#This Row],[Winner]]=tbResults[[#This Row],[Player1]],tbResults[[#This Row],[Player1 Pick]],tbResults[[#This Row],[Player2 Pick]])</f>
        <v>Doom</v>
      </c>
      <c r="Y353" s="67" t="str">
        <f>IF(tbResults[[#This Row],[Loser]]=tbResults[[#This Row],[Player1]],tbResults[[#This Row],[Player1 Pick]],tbResults[[#This Row],[Player2 Pick]])</f>
        <v>Ranger</v>
      </c>
      <c r="Z353" s="68">
        <f>SUM(tbResults[[#This Row],[Player1 Score]],tbResults[[#This Row],[Player2 Score]])</f>
        <v>21</v>
      </c>
      <c r="AA353" s="68">
        <f>ABS(tbResults[[#This Row],[Player1 Score]]-tbResults[[#This Row],[Player2 Score]])</f>
        <v>7</v>
      </c>
      <c r="AB353" s="68">
        <f>IF(tbResults[[#This Row],[Player1 Score]]&gt;tbResults[[#This Row],[Player2 Score]],tbResults[[#This Row],[Player1 Score]],tbResults[[#This Row],[Player2 Score]])</f>
        <v>14</v>
      </c>
      <c r="AC353" s="68">
        <f>IF(tbResults[[#This Row],[Player1 Score]]&lt;tbResults[[#This Row],[Player2 Score]],tbResults[[#This Row],[Player1 Score]],tbResults[[#This Row],[Player2 Score]])</f>
        <v>7</v>
      </c>
    </row>
    <row r="354" spans="2:29" ht="30" customHeight="1" x14ac:dyDescent="0.3">
      <c r="B354" s="64" t="str">
        <f>_xlfn.CONCAT(tbResults[[#This Row],[Series Title]],".",tbResults[[#This Row],[Game]])</f>
        <v>2.2.11.06.3</v>
      </c>
      <c r="C354" s="65">
        <v>2</v>
      </c>
      <c r="D354" s="65">
        <v>2</v>
      </c>
      <c r="E354" s="65">
        <v>11</v>
      </c>
      <c r="F354" s="65">
        <v>6</v>
      </c>
      <c r="G354" s="65">
        <v>3</v>
      </c>
      <c r="H354" s="66" t="str">
        <f>_xlfn.CONCAT(tbResults[[#This Row],[Season]],".",tbResults[[#This Row],[Stage]])</f>
        <v>2.2</v>
      </c>
      <c r="I354" s="66" t="str">
        <f>_xlfn.CONCAT(tbResults[[#This Row],[Season]],".",tbResults[[#This Row],[Stage]],".",TEXT(tbResults[[#This Row],[Week]],"00"))</f>
        <v>2.2.11</v>
      </c>
      <c r="J354" s="66" t="str">
        <f>_xlfn.CONCAT(tbResults[[#This Row],[Week Title]],".",TEXT(tbResults[[#This Row],[Match]],"00"))</f>
        <v>2.2.11.06</v>
      </c>
      <c r="K354" s="64" t="str">
        <f>_xlfn.CONCAT(tbResults[[#This Row],[Game Title]], " ", tbResults[[#This Row],[Player1]], " vs ", tbResults[[#This Row],[Player2]] )</f>
        <v>2.2.11.06.3 DaHanG vs Rapha</v>
      </c>
      <c r="L354" s="60" t="s">
        <v>42</v>
      </c>
      <c r="M354" s="60" t="s">
        <v>47</v>
      </c>
      <c r="N354" s="60" t="s">
        <v>43</v>
      </c>
      <c r="O354" s="60" t="s">
        <v>27</v>
      </c>
      <c r="P354" s="61" t="s">
        <v>44</v>
      </c>
      <c r="Q354" s="62">
        <v>7</v>
      </c>
      <c r="R354" s="62">
        <v>13</v>
      </c>
      <c r="S354" s="62" t="s">
        <v>81</v>
      </c>
      <c r="T354" s="63" t="s">
        <v>42</v>
      </c>
      <c r="U354" s="63" t="s">
        <v>44</v>
      </c>
      <c r="V354" s="47" t="str">
        <f>IF(tbResults[[#This Row],[Player1 Score]]&gt;tbResults[[#This Row],[Player2 Score]],tbResults[[#This Row],[Player1]],tbResults[[#This Row],[Player2]])</f>
        <v>Rapha</v>
      </c>
      <c r="W354" s="49" t="str">
        <f>IF(tbResults[[#This Row],[Player1 Score]]&gt;tbResults[[#This Row],[Player2 Score]],tbResults[[#This Row],[Player2]],tbResults[[#This Row],[Player1]])</f>
        <v>DaHanG</v>
      </c>
      <c r="X354" s="67" t="str">
        <f>IF(tbResults[[#This Row],[Winner]]=tbResults[[#This Row],[Player1]],tbResults[[#This Row],[Player1 Pick]],tbResults[[#This Row],[Player2 Pick]])</f>
        <v>Scalebearer</v>
      </c>
      <c r="Y354" s="67" t="str">
        <f>IF(tbResults[[#This Row],[Loser]]=tbResults[[#This Row],[Player1]],tbResults[[#This Row],[Player1 Pick]],tbResults[[#This Row],[Player2 Pick]])</f>
        <v>Keel</v>
      </c>
      <c r="Z354" s="68">
        <f>SUM(tbResults[[#This Row],[Player1 Score]],tbResults[[#This Row],[Player2 Score]])</f>
        <v>20</v>
      </c>
      <c r="AA354" s="68">
        <f>ABS(tbResults[[#This Row],[Player1 Score]]-tbResults[[#This Row],[Player2 Score]])</f>
        <v>6</v>
      </c>
      <c r="AB354" s="68">
        <f>IF(tbResults[[#This Row],[Player1 Score]]&gt;tbResults[[#This Row],[Player2 Score]],tbResults[[#This Row],[Player1 Score]],tbResults[[#This Row],[Player2 Score]])</f>
        <v>13</v>
      </c>
      <c r="AC354" s="68">
        <f>IF(tbResults[[#This Row],[Player1 Score]]&lt;tbResults[[#This Row],[Player2 Score]],tbResults[[#This Row],[Player1 Score]],tbResults[[#This Row],[Player2 Score]])</f>
        <v>7</v>
      </c>
    </row>
    <row r="355" spans="2:29" ht="30" customHeight="1" x14ac:dyDescent="0.3">
      <c r="B355" s="80" t="str">
        <f>_xlfn.CONCAT(tbResults[[#This Row],[Series Title]],".",tbResults[[#This Row],[Game]])</f>
        <v>2.2.12.01.1</v>
      </c>
      <c r="C355" s="81">
        <v>2</v>
      </c>
      <c r="D355" s="65">
        <v>2</v>
      </c>
      <c r="E355" s="81">
        <v>12</v>
      </c>
      <c r="F355" s="81">
        <v>1</v>
      </c>
      <c r="G355" s="65">
        <v>1</v>
      </c>
      <c r="H355" s="82" t="str">
        <f>_xlfn.CONCAT(tbResults[[#This Row],[Season]],".",tbResults[[#This Row],[Stage]])</f>
        <v>2.2</v>
      </c>
      <c r="I355" s="82" t="str">
        <f>_xlfn.CONCAT(tbResults[[#This Row],[Season]],".",tbResults[[#This Row],[Stage]],".",TEXT(tbResults[[#This Row],[Week]],"00"))</f>
        <v>2.2.12</v>
      </c>
      <c r="J355" s="82" t="str">
        <f>_xlfn.CONCAT(tbResults[[#This Row],[Week Title]],".",TEXT(tbResults[[#This Row],[Match]],"00"))</f>
        <v>2.2.12.01</v>
      </c>
      <c r="K355" s="80" t="str">
        <f>_xlfn.CONCAT(tbResults[[#This Row],[Game Title]], " ", tbResults[[#This Row],[Player1]], " vs ", tbResults[[#This Row],[Player2]] )</f>
        <v>2.2.12.01.1 Vengeurr vs cnz</v>
      </c>
      <c r="L355" s="83" t="s">
        <v>13</v>
      </c>
      <c r="M355" s="83" t="s">
        <v>54</v>
      </c>
      <c r="N355" s="83" t="s">
        <v>19</v>
      </c>
      <c r="O355" s="83" t="s">
        <v>21</v>
      </c>
      <c r="P355" s="84" t="s">
        <v>35</v>
      </c>
      <c r="Q355" s="85">
        <v>14</v>
      </c>
      <c r="R355" s="85">
        <v>8</v>
      </c>
      <c r="S355" s="62" t="s">
        <v>81</v>
      </c>
      <c r="T355" s="86" t="s">
        <v>54</v>
      </c>
      <c r="U355" s="86" t="s">
        <v>39</v>
      </c>
      <c r="V355" s="47" t="str">
        <f>IF(tbResults[[#This Row],[Player1 Score]]&gt;tbResults[[#This Row],[Player2 Score]],tbResults[[#This Row],[Player1]],tbResults[[#This Row],[Player2]])</f>
        <v>Vengeurr</v>
      </c>
      <c r="W355" s="49" t="str">
        <f>IF(tbResults[[#This Row],[Player1 Score]]&gt;tbResults[[#This Row],[Player2 Score]],tbResults[[#This Row],[Player2]],tbResults[[#This Row],[Player1]])</f>
        <v>cnz</v>
      </c>
      <c r="X355" s="87" t="str">
        <f>IF(tbResults[[#This Row],[Winner]]=tbResults[[#This Row],[Player1]],tbResults[[#This Row],[Player1 Pick]],tbResults[[#This Row],[Player2 Pick]])</f>
        <v>Ranger</v>
      </c>
      <c r="Y355" s="87" t="str">
        <f>IF(tbResults[[#This Row],[Loser]]=tbResults[[#This Row],[Player1]],tbResults[[#This Row],[Player1 Pick]],tbResults[[#This Row],[Player2 Pick]])</f>
        <v>Doom</v>
      </c>
      <c r="Z355" s="88">
        <f>SUM(tbResults[[#This Row],[Player1 Score]],tbResults[[#This Row],[Player2 Score]])</f>
        <v>22</v>
      </c>
      <c r="AA355" s="88">
        <f>ABS(tbResults[[#This Row],[Player1 Score]]-tbResults[[#This Row],[Player2 Score]])</f>
        <v>6</v>
      </c>
      <c r="AB355" s="88">
        <f>IF(tbResults[[#This Row],[Player1 Score]]&gt;tbResults[[#This Row],[Player2 Score]],tbResults[[#This Row],[Player1 Score]],tbResults[[#This Row],[Player2 Score]])</f>
        <v>14</v>
      </c>
      <c r="AC355" s="88">
        <f>IF(tbResults[[#This Row],[Player1 Score]]&lt;tbResults[[#This Row],[Player2 Score]],tbResults[[#This Row],[Player1 Score]],tbResults[[#This Row],[Player2 Score]])</f>
        <v>8</v>
      </c>
    </row>
    <row r="356" spans="2:29" ht="30" customHeight="1" x14ac:dyDescent="0.3">
      <c r="B356" s="80" t="str">
        <f>_xlfn.CONCAT(tbResults[[#This Row],[Series Title]],".",tbResults[[#This Row],[Game]])</f>
        <v>2.2.12.01.2</v>
      </c>
      <c r="C356" s="81">
        <v>2</v>
      </c>
      <c r="D356" s="65">
        <v>2</v>
      </c>
      <c r="E356" s="81">
        <v>12</v>
      </c>
      <c r="F356" s="81">
        <v>1</v>
      </c>
      <c r="G356" s="65">
        <v>2</v>
      </c>
      <c r="H356" s="82" t="str">
        <f>_xlfn.CONCAT(tbResults[[#This Row],[Season]],".",tbResults[[#This Row],[Stage]])</f>
        <v>2.2</v>
      </c>
      <c r="I356" s="82" t="str">
        <f>_xlfn.CONCAT(tbResults[[#This Row],[Season]],".",tbResults[[#This Row],[Stage]],".",TEXT(tbResults[[#This Row],[Week]],"00"))</f>
        <v>2.2.12</v>
      </c>
      <c r="J356" s="82" t="str">
        <f>_xlfn.CONCAT(tbResults[[#This Row],[Week Title]],".",TEXT(tbResults[[#This Row],[Match]],"00"))</f>
        <v>2.2.12.01</v>
      </c>
      <c r="K356" s="80" t="str">
        <f>_xlfn.CONCAT(tbResults[[#This Row],[Game Title]], " ", tbResults[[#This Row],[Player1]], " vs ", tbResults[[#This Row],[Player2]] )</f>
        <v>2.2.12.01.2 Vengeurr vs cnz</v>
      </c>
      <c r="L356" s="83" t="s">
        <v>13</v>
      </c>
      <c r="M356" s="83" t="s">
        <v>54</v>
      </c>
      <c r="N356" s="83" t="s">
        <v>33</v>
      </c>
      <c r="O356" s="83" t="s">
        <v>34</v>
      </c>
      <c r="P356" s="84" t="s">
        <v>36</v>
      </c>
      <c r="Q356" s="85">
        <v>12</v>
      </c>
      <c r="R356" s="85">
        <v>10</v>
      </c>
      <c r="S356" s="62" t="s">
        <v>81</v>
      </c>
      <c r="T356" s="86" t="s">
        <v>13</v>
      </c>
      <c r="U356" s="86" t="s">
        <v>22</v>
      </c>
      <c r="V356" s="47" t="str">
        <f>IF(tbResults[[#This Row],[Player1 Score]]&gt;tbResults[[#This Row],[Player2 Score]],tbResults[[#This Row],[Player1]],tbResults[[#This Row],[Player2]])</f>
        <v>Vengeurr</v>
      </c>
      <c r="W356" s="49" t="str">
        <f>IF(tbResults[[#This Row],[Player1 Score]]&gt;tbResults[[#This Row],[Player2 Score]],tbResults[[#This Row],[Player2]],tbResults[[#This Row],[Player1]])</f>
        <v>cnz</v>
      </c>
      <c r="X356" s="87" t="str">
        <f>IF(tbResults[[#This Row],[Winner]]=tbResults[[#This Row],[Player1]],tbResults[[#This Row],[Player1 Pick]],tbResults[[#This Row],[Player2 Pick]])</f>
        <v>Galena</v>
      </c>
      <c r="Y356" s="87" t="str">
        <f>IF(tbResults[[#This Row],[Loser]]=tbResults[[#This Row],[Player1]],tbResults[[#This Row],[Player1 Pick]],tbResults[[#This Row],[Player2 Pick]])</f>
        <v>Visor</v>
      </c>
      <c r="Z356" s="88">
        <f>SUM(tbResults[[#This Row],[Player1 Score]],tbResults[[#This Row],[Player2 Score]])</f>
        <v>22</v>
      </c>
      <c r="AA356" s="88">
        <f>ABS(tbResults[[#This Row],[Player1 Score]]-tbResults[[#This Row],[Player2 Score]])</f>
        <v>2</v>
      </c>
      <c r="AB356" s="88">
        <f>IF(tbResults[[#This Row],[Player1 Score]]&gt;tbResults[[#This Row],[Player2 Score]],tbResults[[#This Row],[Player1 Score]],tbResults[[#This Row],[Player2 Score]])</f>
        <v>12</v>
      </c>
      <c r="AC356" s="88">
        <f>IF(tbResults[[#This Row],[Player1 Score]]&lt;tbResults[[#This Row],[Player2 Score]],tbResults[[#This Row],[Player1 Score]],tbResults[[#This Row],[Player2 Score]])</f>
        <v>10</v>
      </c>
    </row>
    <row r="357" spans="2:29" ht="30" customHeight="1" x14ac:dyDescent="0.3">
      <c r="B357" s="80" t="str">
        <f>_xlfn.CONCAT(tbResults[[#This Row],[Series Title]],".",tbResults[[#This Row],[Game]])</f>
        <v>2.2.12.01.3</v>
      </c>
      <c r="C357" s="81">
        <v>2</v>
      </c>
      <c r="D357" s="65">
        <v>2</v>
      </c>
      <c r="E357" s="81">
        <v>12</v>
      </c>
      <c r="F357" s="81">
        <v>1</v>
      </c>
      <c r="G357" s="65">
        <v>3</v>
      </c>
      <c r="H357" s="82" t="str">
        <f>_xlfn.CONCAT(tbResults[[#This Row],[Season]],".",tbResults[[#This Row],[Stage]])</f>
        <v>2.2</v>
      </c>
      <c r="I357" s="82" t="str">
        <f>_xlfn.CONCAT(tbResults[[#This Row],[Season]],".",tbResults[[#This Row],[Stage]],".",TEXT(tbResults[[#This Row],[Week]],"00"))</f>
        <v>2.2.12</v>
      </c>
      <c r="J357" s="82" t="str">
        <f>_xlfn.CONCAT(tbResults[[#This Row],[Week Title]],".",TEXT(tbResults[[#This Row],[Match]],"00"))</f>
        <v>2.2.12.01</v>
      </c>
      <c r="K357" s="80" t="str">
        <f>_xlfn.CONCAT(tbResults[[#This Row],[Game Title]], " ", tbResults[[#This Row],[Player1]], " vs ", tbResults[[#This Row],[Player2]] )</f>
        <v>2.2.12.01.3 Vengeurr vs cnz</v>
      </c>
      <c r="L357" s="83" t="s">
        <v>13</v>
      </c>
      <c r="M357" s="83" t="s">
        <v>54</v>
      </c>
      <c r="N357" s="83" t="s">
        <v>26</v>
      </c>
      <c r="O357" s="83" t="s">
        <v>25</v>
      </c>
      <c r="P357" s="84" t="s">
        <v>37</v>
      </c>
      <c r="Q357" s="85">
        <v>7</v>
      </c>
      <c r="R357" s="85">
        <v>6</v>
      </c>
      <c r="S357" s="85" t="s">
        <v>82</v>
      </c>
      <c r="T357" s="86" t="s">
        <v>54</v>
      </c>
      <c r="U357" s="86" t="s">
        <v>38</v>
      </c>
      <c r="V357" s="47" t="str">
        <f>IF(tbResults[[#This Row],[Player1 Score]]&gt;tbResults[[#This Row],[Player2 Score]],tbResults[[#This Row],[Player1]],tbResults[[#This Row],[Player2]])</f>
        <v>Vengeurr</v>
      </c>
      <c r="W357" s="49" t="str">
        <f>IF(tbResults[[#This Row],[Player1 Score]]&gt;tbResults[[#This Row],[Player2 Score]],tbResults[[#This Row],[Player2]],tbResults[[#This Row],[Player1]])</f>
        <v>cnz</v>
      </c>
      <c r="X357" s="87" t="str">
        <f>IF(tbResults[[#This Row],[Winner]]=tbResults[[#This Row],[Player1]],tbResults[[#This Row],[Player1 Pick]],tbResults[[#This Row],[Player2 Pick]])</f>
        <v>Sorlag</v>
      </c>
      <c r="Y357" s="87" t="str">
        <f>IF(tbResults[[#This Row],[Loser]]=tbResults[[#This Row],[Player1]],tbResults[[#This Row],[Player1 Pick]],tbResults[[#This Row],[Player2 Pick]])</f>
        <v>Eisen</v>
      </c>
      <c r="Z357" s="88">
        <f>SUM(tbResults[[#This Row],[Player1 Score]],tbResults[[#This Row],[Player2 Score]])</f>
        <v>13</v>
      </c>
      <c r="AA357" s="88">
        <f>ABS(tbResults[[#This Row],[Player1 Score]]-tbResults[[#This Row],[Player2 Score]])</f>
        <v>1</v>
      </c>
      <c r="AB357" s="88">
        <f>IF(tbResults[[#This Row],[Player1 Score]]&gt;tbResults[[#This Row],[Player2 Score]],tbResults[[#This Row],[Player1 Score]],tbResults[[#This Row],[Player2 Score]])</f>
        <v>7</v>
      </c>
      <c r="AC357" s="88">
        <f>IF(tbResults[[#This Row],[Player1 Score]]&lt;tbResults[[#This Row],[Player2 Score]],tbResults[[#This Row],[Player1 Score]],tbResults[[#This Row],[Player2 Score]])</f>
        <v>6</v>
      </c>
    </row>
    <row r="358" spans="2:29" ht="30" customHeight="1" x14ac:dyDescent="0.3">
      <c r="B358" s="80" t="str">
        <f>_xlfn.CONCAT(tbResults[[#This Row],[Series Title]],".",tbResults[[#This Row],[Game]])</f>
        <v>2.2.12.02.1</v>
      </c>
      <c r="C358" s="81">
        <v>2</v>
      </c>
      <c r="D358" s="65">
        <v>2</v>
      </c>
      <c r="E358" s="81">
        <v>12</v>
      </c>
      <c r="F358" s="81">
        <v>2</v>
      </c>
      <c r="G358" s="65">
        <v>1</v>
      </c>
      <c r="H358" s="82" t="str">
        <f>_xlfn.CONCAT(tbResults[[#This Row],[Season]],".",tbResults[[#This Row],[Stage]])</f>
        <v>2.2</v>
      </c>
      <c r="I358" s="82" t="str">
        <f>_xlfn.CONCAT(tbResults[[#This Row],[Season]],".",tbResults[[#This Row],[Stage]],".",TEXT(tbResults[[#This Row],[Week]],"00"))</f>
        <v>2.2.12</v>
      </c>
      <c r="J358" s="82" t="str">
        <f>_xlfn.CONCAT(tbResults[[#This Row],[Week Title]],".",TEXT(tbResults[[#This Row],[Match]],"00"))</f>
        <v>2.2.12.02</v>
      </c>
      <c r="K358" s="80" t="str">
        <f>_xlfn.CONCAT(tbResults[[#This Row],[Game Title]], " ", tbResults[[#This Row],[Player1]], " vs ", tbResults[[#This Row],[Player2]] )</f>
        <v>2.2.12.02.1 dramis vs dooi</v>
      </c>
      <c r="L358" s="83" t="s">
        <v>188</v>
      </c>
      <c r="M358" s="83" t="s">
        <v>5</v>
      </c>
      <c r="N358" s="83" t="s">
        <v>19</v>
      </c>
      <c r="O358" s="83" t="s">
        <v>35</v>
      </c>
      <c r="P358" s="84" t="s">
        <v>38</v>
      </c>
      <c r="Q358" s="85">
        <v>7</v>
      </c>
      <c r="R358" s="85">
        <v>12</v>
      </c>
      <c r="S358" s="62" t="s">
        <v>81</v>
      </c>
      <c r="T358" s="86" t="s">
        <v>12</v>
      </c>
      <c r="U358" s="86" t="s">
        <v>24</v>
      </c>
      <c r="V358" s="47" t="str">
        <f>IF(tbResults[[#This Row],[Player1 Score]]&gt;tbResults[[#This Row],[Player2 Score]],tbResults[[#This Row],[Player1]],tbResults[[#This Row],[Player2]])</f>
        <v>dooi</v>
      </c>
      <c r="W358" s="49" t="str">
        <f>IF(tbResults[[#This Row],[Player1 Score]]&gt;tbResults[[#This Row],[Player2 Score]],tbResults[[#This Row],[Player2]],tbResults[[#This Row],[Player1]])</f>
        <v>dramis</v>
      </c>
      <c r="X358" s="87" t="str">
        <f>IF(tbResults[[#This Row],[Winner]]=tbResults[[#This Row],[Player1]],tbResults[[#This Row],[Player1 Pick]],tbResults[[#This Row],[Player2 Pick]])</f>
        <v>Nyx</v>
      </c>
      <c r="Y358" s="87" t="str">
        <f>IF(tbResults[[#This Row],[Loser]]=tbResults[[#This Row],[Player1]],tbResults[[#This Row],[Player1 Pick]],tbResults[[#This Row],[Player2 Pick]])</f>
        <v>Doom</v>
      </c>
      <c r="Z358" s="88">
        <f>SUM(tbResults[[#This Row],[Player1 Score]],tbResults[[#This Row],[Player2 Score]])</f>
        <v>19</v>
      </c>
      <c r="AA358" s="88">
        <f>ABS(tbResults[[#This Row],[Player1 Score]]-tbResults[[#This Row],[Player2 Score]])</f>
        <v>5</v>
      </c>
      <c r="AB358" s="88">
        <f>IF(tbResults[[#This Row],[Player1 Score]]&gt;tbResults[[#This Row],[Player2 Score]],tbResults[[#This Row],[Player1 Score]],tbResults[[#This Row],[Player2 Score]])</f>
        <v>12</v>
      </c>
      <c r="AC358" s="88">
        <f>IF(tbResults[[#This Row],[Player1 Score]]&lt;tbResults[[#This Row],[Player2 Score]],tbResults[[#This Row],[Player1 Score]],tbResults[[#This Row],[Player2 Score]])</f>
        <v>7</v>
      </c>
    </row>
    <row r="359" spans="2:29" ht="30" customHeight="1" x14ac:dyDescent="0.3">
      <c r="B359" s="80" t="str">
        <f>_xlfn.CONCAT(tbResults[[#This Row],[Series Title]],".",tbResults[[#This Row],[Game]])</f>
        <v>2.2.12.02.2</v>
      </c>
      <c r="C359" s="81">
        <v>2</v>
      </c>
      <c r="D359" s="65">
        <v>2</v>
      </c>
      <c r="E359" s="81">
        <v>12</v>
      </c>
      <c r="F359" s="81">
        <v>2</v>
      </c>
      <c r="G359" s="65">
        <v>2</v>
      </c>
      <c r="H359" s="82" t="str">
        <f>_xlfn.CONCAT(tbResults[[#This Row],[Season]],".",tbResults[[#This Row],[Stage]])</f>
        <v>2.2</v>
      </c>
      <c r="I359" s="82" t="str">
        <f>_xlfn.CONCAT(tbResults[[#This Row],[Season]],".",tbResults[[#This Row],[Stage]],".",TEXT(tbResults[[#This Row],[Week]],"00"))</f>
        <v>2.2.12</v>
      </c>
      <c r="J359" s="82" t="str">
        <f>_xlfn.CONCAT(tbResults[[#This Row],[Week Title]],".",TEXT(tbResults[[#This Row],[Match]],"00"))</f>
        <v>2.2.12.02</v>
      </c>
      <c r="K359" s="80" t="str">
        <f>_xlfn.CONCAT(tbResults[[#This Row],[Game Title]], " ", tbResults[[#This Row],[Player1]], " vs ", tbResults[[#This Row],[Player2]] )</f>
        <v>2.2.12.02.2 dramis vs dooi</v>
      </c>
      <c r="L359" s="83" t="s">
        <v>188</v>
      </c>
      <c r="M359" s="83" t="s">
        <v>5</v>
      </c>
      <c r="N359" s="83" t="s">
        <v>26</v>
      </c>
      <c r="O359" s="83" t="s">
        <v>22</v>
      </c>
      <c r="P359" s="84" t="s">
        <v>25</v>
      </c>
      <c r="Q359" s="85">
        <v>13</v>
      </c>
      <c r="R359" s="85">
        <v>7</v>
      </c>
      <c r="S359" s="62" t="s">
        <v>81</v>
      </c>
      <c r="T359" s="86" t="s">
        <v>5</v>
      </c>
      <c r="U359" s="86" t="s">
        <v>44</v>
      </c>
      <c r="V359" s="47" t="str">
        <f>IF(tbResults[[#This Row],[Player1 Score]]&gt;tbResults[[#This Row],[Player2 Score]],tbResults[[#This Row],[Player1]],tbResults[[#This Row],[Player2]])</f>
        <v>dramis</v>
      </c>
      <c r="W359" s="49" t="str">
        <f>IF(tbResults[[#This Row],[Player1 Score]]&gt;tbResults[[#This Row],[Player2 Score]],tbResults[[#This Row],[Player2]],tbResults[[#This Row],[Player1]])</f>
        <v>dooi</v>
      </c>
      <c r="X359" s="87" t="str">
        <f>IF(tbResults[[#This Row],[Winner]]=tbResults[[#This Row],[Player1]],tbResults[[#This Row],[Player1 Pick]],tbResults[[#This Row],[Player2 Pick]])</f>
        <v>Strogg</v>
      </c>
      <c r="Y359" s="87" t="str">
        <f>IF(tbResults[[#This Row],[Loser]]=tbResults[[#This Row],[Player1]],tbResults[[#This Row],[Player1 Pick]],tbResults[[#This Row],[Player2 Pick]])</f>
        <v>Sorlag</v>
      </c>
      <c r="Z359" s="88">
        <f>SUM(tbResults[[#This Row],[Player1 Score]],tbResults[[#This Row],[Player2 Score]])</f>
        <v>20</v>
      </c>
      <c r="AA359" s="88">
        <f>ABS(tbResults[[#This Row],[Player1 Score]]-tbResults[[#This Row],[Player2 Score]])</f>
        <v>6</v>
      </c>
      <c r="AB359" s="88">
        <f>IF(tbResults[[#This Row],[Player1 Score]]&gt;tbResults[[#This Row],[Player2 Score]],tbResults[[#This Row],[Player1 Score]],tbResults[[#This Row],[Player2 Score]])</f>
        <v>13</v>
      </c>
      <c r="AC359" s="88">
        <f>IF(tbResults[[#This Row],[Player1 Score]]&lt;tbResults[[#This Row],[Player2 Score]],tbResults[[#This Row],[Player1 Score]],tbResults[[#This Row],[Player2 Score]])</f>
        <v>7</v>
      </c>
    </row>
    <row r="360" spans="2:29" ht="30" customHeight="1" x14ac:dyDescent="0.3">
      <c r="B360" s="80" t="str">
        <f>_xlfn.CONCAT(tbResults[[#This Row],[Series Title]],".",tbResults[[#This Row],[Game]])</f>
        <v>2.2.12.02.3</v>
      </c>
      <c r="C360" s="81">
        <v>2</v>
      </c>
      <c r="D360" s="65">
        <v>2</v>
      </c>
      <c r="E360" s="81">
        <v>12</v>
      </c>
      <c r="F360" s="81">
        <v>2</v>
      </c>
      <c r="G360" s="65">
        <v>3</v>
      </c>
      <c r="H360" s="82" t="str">
        <f>_xlfn.CONCAT(tbResults[[#This Row],[Season]],".",tbResults[[#This Row],[Stage]])</f>
        <v>2.2</v>
      </c>
      <c r="I360" s="82" t="str">
        <f>_xlfn.CONCAT(tbResults[[#This Row],[Season]],".",tbResults[[#This Row],[Stage]],".",TEXT(tbResults[[#This Row],[Week]],"00"))</f>
        <v>2.2.12</v>
      </c>
      <c r="J360" s="82" t="str">
        <f>_xlfn.CONCAT(tbResults[[#This Row],[Week Title]],".",TEXT(tbResults[[#This Row],[Match]],"00"))</f>
        <v>2.2.12.02</v>
      </c>
      <c r="K360" s="80" t="str">
        <f>_xlfn.CONCAT(tbResults[[#This Row],[Game Title]], " ", tbResults[[#This Row],[Player1]], " vs ", tbResults[[#This Row],[Player2]] )</f>
        <v>2.2.12.02.3 dramis vs dooi</v>
      </c>
      <c r="L360" s="83" t="s">
        <v>188</v>
      </c>
      <c r="M360" s="83" t="s">
        <v>5</v>
      </c>
      <c r="N360" s="83" t="s">
        <v>40</v>
      </c>
      <c r="O360" s="83" t="s">
        <v>55</v>
      </c>
      <c r="P360" s="84" t="s">
        <v>21</v>
      </c>
      <c r="Q360" s="85">
        <v>21</v>
      </c>
      <c r="R360" s="85">
        <v>6</v>
      </c>
      <c r="S360" s="62" t="s">
        <v>81</v>
      </c>
      <c r="T360" s="86" t="s">
        <v>12</v>
      </c>
      <c r="U360" s="86" t="s">
        <v>27</v>
      </c>
      <c r="V360" s="47" t="str">
        <f>IF(tbResults[[#This Row],[Player1 Score]]&gt;tbResults[[#This Row],[Player2 Score]],tbResults[[#This Row],[Player1]],tbResults[[#This Row],[Player2]])</f>
        <v>dramis</v>
      </c>
      <c r="W360" s="49" t="str">
        <f>IF(tbResults[[#This Row],[Player1 Score]]&gt;tbResults[[#This Row],[Player2 Score]],tbResults[[#This Row],[Player2]],tbResults[[#This Row],[Player1]])</f>
        <v>dooi</v>
      </c>
      <c r="X360" s="87" t="str">
        <f>IF(tbResults[[#This Row],[Winner]]=tbResults[[#This Row],[Player1]],tbResults[[#This Row],[Player1 Pick]],tbResults[[#This Row],[Player2 Pick]])</f>
        <v>Athena</v>
      </c>
      <c r="Y360" s="87" t="str">
        <f>IF(tbResults[[#This Row],[Loser]]=tbResults[[#This Row],[Player1]],tbResults[[#This Row],[Player1 Pick]],tbResults[[#This Row],[Player2 Pick]])</f>
        <v>Ranger</v>
      </c>
      <c r="Z360" s="88">
        <f>SUM(tbResults[[#This Row],[Player1 Score]],tbResults[[#This Row],[Player2 Score]])</f>
        <v>27</v>
      </c>
      <c r="AA360" s="88">
        <f>ABS(tbResults[[#This Row],[Player1 Score]]-tbResults[[#This Row],[Player2 Score]])</f>
        <v>15</v>
      </c>
      <c r="AB360" s="88">
        <f>IF(tbResults[[#This Row],[Player1 Score]]&gt;tbResults[[#This Row],[Player2 Score]],tbResults[[#This Row],[Player1 Score]],tbResults[[#This Row],[Player2 Score]])</f>
        <v>21</v>
      </c>
      <c r="AC360" s="88">
        <f>IF(tbResults[[#This Row],[Player1 Score]]&lt;tbResults[[#This Row],[Player2 Score]],tbResults[[#This Row],[Player1 Score]],tbResults[[#This Row],[Player2 Score]])</f>
        <v>6</v>
      </c>
    </row>
    <row r="361" spans="2:29" ht="30" customHeight="1" x14ac:dyDescent="0.3">
      <c r="B361" s="80" t="str">
        <f>_xlfn.CONCAT(tbResults[[#This Row],[Series Title]],".",tbResults[[#This Row],[Game]])</f>
        <v>2.2.12.03.1</v>
      </c>
      <c r="C361" s="81">
        <v>2</v>
      </c>
      <c r="D361" s="65">
        <v>2</v>
      </c>
      <c r="E361" s="81">
        <v>12</v>
      </c>
      <c r="F361" s="81">
        <v>3</v>
      </c>
      <c r="G361" s="65">
        <v>1</v>
      </c>
      <c r="H361" s="82" t="str">
        <f>_xlfn.CONCAT(tbResults[[#This Row],[Season]],".",tbResults[[#This Row],[Stage]])</f>
        <v>2.2</v>
      </c>
      <c r="I361" s="82" t="str">
        <f>_xlfn.CONCAT(tbResults[[#This Row],[Season]],".",tbResults[[#This Row],[Stage]],".",TEXT(tbResults[[#This Row],[Week]],"00"))</f>
        <v>2.2.12</v>
      </c>
      <c r="J361" s="82" t="str">
        <f>_xlfn.CONCAT(tbResults[[#This Row],[Week Title]],".",TEXT(tbResults[[#This Row],[Match]],"00"))</f>
        <v>2.2.12.03</v>
      </c>
      <c r="K361" s="80" t="str">
        <f>_xlfn.CONCAT(tbResults[[#This Row],[Game Title]], " ", tbResults[[#This Row],[Player1]], " vs ", tbResults[[#This Row],[Player2]] )</f>
        <v>2.2.12.03.1 Garpy vs spart1e</v>
      </c>
      <c r="L361" s="83" t="s">
        <v>101</v>
      </c>
      <c r="M361" s="83" t="s">
        <v>50</v>
      </c>
      <c r="N361" s="83" t="s">
        <v>40</v>
      </c>
      <c r="O361" s="83" t="s">
        <v>27</v>
      </c>
      <c r="P361" s="84" t="s">
        <v>22</v>
      </c>
      <c r="Q361" s="85">
        <v>12</v>
      </c>
      <c r="R361" s="85">
        <v>5</v>
      </c>
      <c r="S361" s="62" t="s">
        <v>81</v>
      </c>
      <c r="T361" s="86" t="s">
        <v>50</v>
      </c>
      <c r="U361" s="86" t="s">
        <v>35</v>
      </c>
      <c r="V361" s="47" t="str">
        <f>IF(tbResults[[#This Row],[Player1 Score]]&gt;tbResults[[#This Row],[Player2 Score]],tbResults[[#This Row],[Player1]],tbResults[[#This Row],[Player2]])</f>
        <v>Garpy</v>
      </c>
      <c r="W361" s="49" t="str">
        <f>IF(tbResults[[#This Row],[Player1 Score]]&gt;tbResults[[#This Row],[Player2 Score]],tbResults[[#This Row],[Player2]],tbResults[[#This Row],[Player1]])</f>
        <v>spart1e</v>
      </c>
      <c r="X361" s="87" t="str">
        <f>IF(tbResults[[#This Row],[Winner]]=tbResults[[#This Row],[Player1]],tbResults[[#This Row],[Player1 Pick]],tbResults[[#This Row],[Player2 Pick]])</f>
        <v>Keel</v>
      </c>
      <c r="Y361" s="87" t="str">
        <f>IF(tbResults[[#This Row],[Loser]]=tbResults[[#This Row],[Player1]],tbResults[[#This Row],[Player1 Pick]],tbResults[[#This Row],[Player2 Pick]])</f>
        <v>Strogg</v>
      </c>
      <c r="Z361" s="88">
        <f>SUM(tbResults[[#This Row],[Player1 Score]],tbResults[[#This Row],[Player2 Score]])</f>
        <v>17</v>
      </c>
      <c r="AA361" s="88">
        <f>ABS(tbResults[[#This Row],[Player1 Score]]-tbResults[[#This Row],[Player2 Score]])</f>
        <v>7</v>
      </c>
      <c r="AB361" s="88">
        <f>IF(tbResults[[#This Row],[Player1 Score]]&gt;tbResults[[#This Row],[Player2 Score]],tbResults[[#This Row],[Player1 Score]],tbResults[[#This Row],[Player2 Score]])</f>
        <v>12</v>
      </c>
      <c r="AC361" s="88">
        <f>IF(tbResults[[#This Row],[Player1 Score]]&lt;tbResults[[#This Row],[Player2 Score]],tbResults[[#This Row],[Player1 Score]],tbResults[[#This Row],[Player2 Score]])</f>
        <v>5</v>
      </c>
    </row>
    <row r="362" spans="2:29" ht="30" customHeight="1" x14ac:dyDescent="0.3">
      <c r="B362" s="80" t="str">
        <f>_xlfn.CONCAT(tbResults[[#This Row],[Series Title]],".",tbResults[[#This Row],[Game]])</f>
        <v>2.2.12.03.2</v>
      </c>
      <c r="C362" s="81">
        <v>2</v>
      </c>
      <c r="D362" s="65">
        <v>2</v>
      </c>
      <c r="E362" s="81">
        <v>12</v>
      </c>
      <c r="F362" s="81">
        <v>3</v>
      </c>
      <c r="G362" s="65">
        <v>2</v>
      </c>
      <c r="H362" s="82" t="str">
        <f>_xlfn.CONCAT(tbResults[[#This Row],[Season]],".",tbResults[[#This Row],[Stage]])</f>
        <v>2.2</v>
      </c>
      <c r="I362" s="82" t="str">
        <f>_xlfn.CONCAT(tbResults[[#This Row],[Season]],".",tbResults[[#This Row],[Stage]],".",TEXT(tbResults[[#This Row],[Week]],"00"))</f>
        <v>2.2.12</v>
      </c>
      <c r="J362" s="82" t="str">
        <f>_xlfn.CONCAT(tbResults[[#This Row],[Week Title]],".",TEXT(tbResults[[#This Row],[Match]],"00"))</f>
        <v>2.2.12.03</v>
      </c>
      <c r="K362" s="80" t="str">
        <f>_xlfn.CONCAT(tbResults[[#This Row],[Game Title]], " ", tbResults[[#This Row],[Player1]], " vs ", tbResults[[#This Row],[Player2]] )</f>
        <v>2.2.12.03.2 Garpy vs spart1e</v>
      </c>
      <c r="L362" s="83" t="s">
        <v>101</v>
      </c>
      <c r="M362" s="83" t="s">
        <v>50</v>
      </c>
      <c r="N362" s="83" t="s">
        <v>26</v>
      </c>
      <c r="O362" s="83" t="s">
        <v>21</v>
      </c>
      <c r="P362" s="84" t="s">
        <v>36</v>
      </c>
      <c r="Q362" s="85">
        <v>9</v>
      </c>
      <c r="R362" s="85">
        <v>14</v>
      </c>
      <c r="S362" s="62" t="s">
        <v>81</v>
      </c>
      <c r="T362" s="86" t="s">
        <v>101</v>
      </c>
      <c r="U362" s="86" t="s">
        <v>34</v>
      </c>
      <c r="V362" s="47" t="str">
        <f>IF(tbResults[[#This Row],[Player1 Score]]&gt;tbResults[[#This Row],[Player2 Score]],tbResults[[#This Row],[Player1]],tbResults[[#This Row],[Player2]])</f>
        <v>spart1e</v>
      </c>
      <c r="W362" s="49" t="str">
        <f>IF(tbResults[[#This Row],[Player1 Score]]&gt;tbResults[[#This Row],[Player2 Score]],tbResults[[#This Row],[Player2]],tbResults[[#This Row],[Player1]])</f>
        <v>Garpy</v>
      </c>
      <c r="X362" s="87" t="str">
        <f>IF(tbResults[[#This Row],[Winner]]=tbResults[[#This Row],[Player1]],tbResults[[#This Row],[Player1 Pick]],tbResults[[#This Row],[Player2 Pick]])</f>
        <v>Visor</v>
      </c>
      <c r="Y362" s="87" t="str">
        <f>IF(tbResults[[#This Row],[Loser]]=tbResults[[#This Row],[Player1]],tbResults[[#This Row],[Player1 Pick]],tbResults[[#This Row],[Player2 Pick]])</f>
        <v>Ranger</v>
      </c>
      <c r="Z362" s="88">
        <f>SUM(tbResults[[#This Row],[Player1 Score]],tbResults[[#This Row],[Player2 Score]])</f>
        <v>23</v>
      </c>
      <c r="AA362" s="88">
        <f>ABS(tbResults[[#This Row],[Player1 Score]]-tbResults[[#This Row],[Player2 Score]])</f>
        <v>5</v>
      </c>
      <c r="AB362" s="88">
        <f>IF(tbResults[[#This Row],[Player1 Score]]&gt;tbResults[[#This Row],[Player2 Score]],tbResults[[#This Row],[Player1 Score]],tbResults[[#This Row],[Player2 Score]])</f>
        <v>14</v>
      </c>
      <c r="AC362" s="88">
        <f>IF(tbResults[[#This Row],[Player1 Score]]&lt;tbResults[[#This Row],[Player2 Score]],tbResults[[#This Row],[Player1 Score]],tbResults[[#This Row],[Player2 Score]])</f>
        <v>9</v>
      </c>
    </row>
    <row r="363" spans="2:29" ht="30" customHeight="1" x14ac:dyDescent="0.3">
      <c r="B363" s="80" t="str">
        <f>_xlfn.CONCAT(tbResults[[#This Row],[Series Title]],".",tbResults[[#This Row],[Game]])</f>
        <v>2.2.12.03.3</v>
      </c>
      <c r="C363" s="81">
        <v>2</v>
      </c>
      <c r="D363" s="65">
        <v>2</v>
      </c>
      <c r="E363" s="81">
        <v>12</v>
      </c>
      <c r="F363" s="81">
        <v>3</v>
      </c>
      <c r="G363" s="65">
        <v>3</v>
      </c>
      <c r="H363" s="82" t="str">
        <f>_xlfn.CONCAT(tbResults[[#This Row],[Season]],".",tbResults[[#This Row],[Stage]])</f>
        <v>2.2</v>
      </c>
      <c r="I363" s="82" t="str">
        <f>_xlfn.CONCAT(tbResults[[#This Row],[Season]],".",tbResults[[#This Row],[Stage]],".",TEXT(tbResults[[#This Row],[Week]],"00"))</f>
        <v>2.2.12</v>
      </c>
      <c r="J363" s="82" t="str">
        <f>_xlfn.CONCAT(tbResults[[#This Row],[Week Title]],".",TEXT(tbResults[[#This Row],[Match]],"00"))</f>
        <v>2.2.12.03</v>
      </c>
      <c r="K363" s="80" t="str">
        <f>_xlfn.CONCAT(tbResults[[#This Row],[Game Title]], " ", tbResults[[#This Row],[Player1]], " vs ", tbResults[[#This Row],[Player2]] )</f>
        <v>2.2.12.03.3 Garpy vs spart1e</v>
      </c>
      <c r="L363" s="83" t="s">
        <v>101</v>
      </c>
      <c r="M363" s="83" t="s">
        <v>50</v>
      </c>
      <c r="N363" s="83" t="s">
        <v>43</v>
      </c>
      <c r="O363" s="83" t="s">
        <v>44</v>
      </c>
      <c r="P363" s="84" t="s">
        <v>25</v>
      </c>
      <c r="Q363" s="85">
        <v>7</v>
      </c>
      <c r="R363" s="85">
        <v>12</v>
      </c>
      <c r="S363" s="62" t="s">
        <v>81</v>
      </c>
      <c r="T363" s="86" t="s">
        <v>50</v>
      </c>
      <c r="U363" s="86" t="s">
        <v>37</v>
      </c>
      <c r="V363" s="47" t="str">
        <f>IF(tbResults[[#This Row],[Player1 Score]]&gt;tbResults[[#This Row],[Player2 Score]],tbResults[[#This Row],[Player1]],tbResults[[#This Row],[Player2]])</f>
        <v>spart1e</v>
      </c>
      <c r="W363" s="49" t="str">
        <f>IF(tbResults[[#This Row],[Player1 Score]]&gt;tbResults[[#This Row],[Player2 Score]],tbResults[[#This Row],[Player2]],tbResults[[#This Row],[Player1]])</f>
        <v>Garpy</v>
      </c>
      <c r="X363" s="87" t="str">
        <f>IF(tbResults[[#This Row],[Winner]]=tbResults[[#This Row],[Player1]],tbResults[[#This Row],[Player1 Pick]],tbResults[[#This Row],[Player2 Pick]])</f>
        <v>Sorlag</v>
      </c>
      <c r="Y363" s="87" t="str">
        <f>IF(tbResults[[#This Row],[Loser]]=tbResults[[#This Row],[Player1]],tbResults[[#This Row],[Player1 Pick]],tbResults[[#This Row],[Player2 Pick]])</f>
        <v>Scalebearer</v>
      </c>
      <c r="Z363" s="88">
        <f>SUM(tbResults[[#This Row],[Player1 Score]],tbResults[[#This Row],[Player2 Score]])</f>
        <v>19</v>
      </c>
      <c r="AA363" s="88">
        <f>ABS(tbResults[[#This Row],[Player1 Score]]-tbResults[[#This Row],[Player2 Score]])</f>
        <v>5</v>
      </c>
      <c r="AB363" s="88">
        <f>IF(tbResults[[#This Row],[Player1 Score]]&gt;tbResults[[#This Row],[Player2 Score]],tbResults[[#This Row],[Player1 Score]],tbResults[[#This Row],[Player2 Score]])</f>
        <v>12</v>
      </c>
      <c r="AC363" s="88">
        <f>IF(tbResults[[#This Row],[Player1 Score]]&lt;tbResults[[#This Row],[Player2 Score]],tbResults[[#This Row],[Player1 Score]],tbResults[[#This Row],[Player2 Score]])</f>
        <v>7</v>
      </c>
    </row>
    <row r="364" spans="2:29" ht="30" customHeight="1" x14ac:dyDescent="0.3">
      <c r="B364" s="80" t="str">
        <f>_xlfn.CONCAT(tbResults[[#This Row],[Series Title]],".",tbResults[[#This Row],[Game]])</f>
        <v>2.2.12.04.1</v>
      </c>
      <c r="C364" s="81">
        <v>2</v>
      </c>
      <c r="D364" s="65">
        <v>2</v>
      </c>
      <c r="E364" s="81">
        <v>12</v>
      </c>
      <c r="F364" s="81">
        <v>4</v>
      </c>
      <c r="G364" s="65">
        <v>1</v>
      </c>
      <c r="H364" s="82" t="str">
        <f>_xlfn.CONCAT(tbResults[[#This Row],[Season]],".",tbResults[[#This Row],[Stage]])</f>
        <v>2.2</v>
      </c>
      <c r="I364" s="82" t="str">
        <f>_xlfn.CONCAT(tbResults[[#This Row],[Season]],".",tbResults[[#This Row],[Stage]],".",TEXT(tbResults[[#This Row],[Week]],"00"))</f>
        <v>2.2.12</v>
      </c>
      <c r="J364" s="82" t="str">
        <f>_xlfn.CONCAT(tbResults[[#This Row],[Week Title]],".",TEXT(tbResults[[#This Row],[Match]],"00"))</f>
        <v>2.2.12.04</v>
      </c>
      <c r="K364" s="80" t="str">
        <f>_xlfn.CONCAT(tbResults[[#This Row],[Game Title]], " ", tbResults[[#This Row],[Player1]], " vs ", tbResults[[#This Row],[Player2]] )</f>
        <v>2.2.12.04.1 Psygib vs Effortless</v>
      </c>
      <c r="L364" s="83" t="s">
        <v>30</v>
      </c>
      <c r="M364" s="83" t="s">
        <v>6</v>
      </c>
      <c r="N364" s="83" t="s">
        <v>43</v>
      </c>
      <c r="O364" s="83" t="s">
        <v>25</v>
      </c>
      <c r="P364" s="84" t="s">
        <v>37</v>
      </c>
      <c r="Q364" s="85">
        <v>11</v>
      </c>
      <c r="R364" s="85">
        <v>9</v>
      </c>
      <c r="S364" s="62" t="s">
        <v>81</v>
      </c>
      <c r="T364" s="86" t="s">
        <v>30</v>
      </c>
      <c r="U364" s="86" t="s">
        <v>44</v>
      </c>
      <c r="V364" s="47" t="str">
        <f>IF(tbResults[[#This Row],[Player1 Score]]&gt;tbResults[[#This Row],[Player2 Score]],tbResults[[#This Row],[Player1]],tbResults[[#This Row],[Player2]])</f>
        <v>Psygib</v>
      </c>
      <c r="W364" s="49" t="str">
        <f>IF(tbResults[[#This Row],[Player1 Score]]&gt;tbResults[[#This Row],[Player2 Score]],tbResults[[#This Row],[Player2]],tbResults[[#This Row],[Player1]])</f>
        <v>Effortless</v>
      </c>
      <c r="X364" s="87" t="str">
        <f>IF(tbResults[[#This Row],[Winner]]=tbResults[[#This Row],[Player1]],tbResults[[#This Row],[Player1 Pick]],tbResults[[#This Row],[Player2 Pick]])</f>
        <v>Sorlag</v>
      </c>
      <c r="Y364" s="87" t="str">
        <f>IF(tbResults[[#This Row],[Loser]]=tbResults[[#This Row],[Player1]],tbResults[[#This Row],[Player1 Pick]],tbResults[[#This Row],[Player2 Pick]])</f>
        <v>Eisen</v>
      </c>
      <c r="Z364" s="88">
        <f>SUM(tbResults[[#This Row],[Player1 Score]],tbResults[[#This Row],[Player2 Score]])</f>
        <v>20</v>
      </c>
      <c r="AA364" s="88">
        <f>ABS(tbResults[[#This Row],[Player1 Score]]-tbResults[[#This Row],[Player2 Score]])</f>
        <v>2</v>
      </c>
      <c r="AB364" s="88">
        <f>IF(tbResults[[#This Row],[Player1 Score]]&gt;tbResults[[#This Row],[Player2 Score]],tbResults[[#This Row],[Player1 Score]],tbResults[[#This Row],[Player2 Score]])</f>
        <v>11</v>
      </c>
      <c r="AC364" s="88">
        <f>IF(tbResults[[#This Row],[Player1 Score]]&lt;tbResults[[#This Row],[Player2 Score]],tbResults[[#This Row],[Player1 Score]],tbResults[[#This Row],[Player2 Score]])</f>
        <v>9</v>
      </c>
    </row>
    <row r="365" spans="2:29" ht="30" customHeight="1" x14ac:dyDescent="0.3">
      <c r="B365" s="80" t="str">
        <f>_xlfn.CONCAT(tbResults[[#This Row],[Series Title]],".",tbResults[[#This Row],[Game]])</f>
        <v>2.2.12.04.2</v>
      </c>
      <c r="C365" s="81">
        <v>2</v>
      </c>
      <c r="D365" s="65">
        <v>2</v>
      </c>
      <c r="E365" s="81">
        <v>12</v>
      </c>
      <c r="F365" s="81">
        <v>4</v>
      </c>
      <c r="G365" s="65">
        <v>2</v>
      </c>
      <c r="H365" s="82" t="str">
        <f>_xlfn.CONCAT(tbResults[[#This Row],[Season]],".",tbResults[[#This Row],[Stage]])</f>
        <v>2.2</v>
      </c>
      <c r="I365" s="82" t="str">
        <f>_xlfn.CONCAT(tbResults[[#This Row],[Season]],".",tbResults[[#This Row],[Stage]],".",TEXT(tbResults[[#This Row],[Week]],"00"))</f>
        <v>2.2.12</v>
      </c>
      <c r="J365" s="82" t="str">
        <f>_xlfn.CONCAT(tbResults[[#This Row],[Week Title]],".",TEXT(tbResults[[#This Row],[Match]],"00"))</f>
        <v>2.2.12.04</v>
      </c>
      <c r="K365" s="80" t="str">
        <f>_xlfn.CONCAT(tbResults[[#This Row],[Game Title]], " ", tbResults[[#This Row],[Player1]], " vs ", tbResults[[#This Row],[Player2]] )</f>
        <v>2.2.12.04.2 Psygib vs Effortless</v>
      </c>
      <c r="L365" s="83" t="s">
        <v>30</v>
      </c>
      <c r="M365" s="83" t="s">
        <v>6</v>
      </c>
      <c r="N365" s="83" t="s">
        <v>32</v>
      </c>
      <c r="O365" s="83" t="s">
        <v>27</v>
      </c>
      <c r="P365" s="84" t="s">
        <v>28</v>
      </c>
      <c r="Q365" s="85">
        <v>20</v>
      </c>
      <c r="R365" s="85">
        <v>8</v>
      </c>
      <c r="S365" s="62" t="s">
        <v>81</v>
      </c>
      <c r="T365" s="86" t="s">
        <v>6</v>
      </c>
      <c r="U365" s="86" t="s">
        <v>22</v>
      </c>
      <c r="V365" s="47" t="str">
        <f>IF(tbResults[[#This Row],[Player1 Score]]&gt;tbResults[[#This Row],[Player2 Score]],tbResults[[#This Row],[Player1]],tbResults[[#This Row],[Player2]])</f>
        <v>Psygib</v>
      </c>
      <c r="W365" s="49" t="str">
        <f>IF(tbResults[[#This Row],[Player1 Score]]&gt;tbResults[[#This Row],[Player2 Score]],tbResults[[#This Row],[Player2]],tbResults[[#This Row],[Player1]])</f>
        <v>Effortless</v>
      </c>
      <c r="X365" s="87" t="str">
        <f>IF(tbResults[[#This Row],[Winner]]=tbResults[[#This Row],[Player1]],tbResults[[#This Row],[Player1 Pick]],tbResults[[#This Row],[Player2 Pick]])</f>
        <v>Keel</v>
      </c>
      <c r="Y365" s="87" t="str">
        <f>IF(tbResults[[#This Row],[Loser]]=tbResults[[#This Row],[Player1]],tbResults[[#This Row],[Player1 Pick]],tbResults[[#This Row],[Player2 Pick]])</f>
        <v>BJ Blazkowicz</v>
      </c>
      <c r="Z365" s="88">
        <f>SUM(tbResults[[#This Row],[Player1 Score]],tbResults[[#This Row],[Player2 Score]])</f>
        <v>28</v>
      </c>
      <c r="AA365" s="88">
        <f>ABS(tbResults[[#This Row],[Player1 Score]]-tbResults[[#This Row],[Player2 Score]])</f>
        <v>12</v>
      </c>
      <c r="AB365" s="88">
        <f>IF(tbResults[[#This Row],[Player1 Score]]&gt;tbResults[[#This Row],[Player2 Score]],tbResults[[#This Row],[Player1 Score]],tbResults[[#This Row],[Player2 Score]])</f>
        <v>20</v>
      </c>
      <c r="AC365" s="88">
        <f>IF(tbResults[[#This Row],[Player1 Score]]&lt;tbResults[[#This Row],[Player2 Score]],tbResults[[#This Row],[Player1 Score]],tbResults[[#This Row],[Player2 Score]])</f>
        <v>8</v>
      </c>
    </row>
    <row r="366" spans="2:29" ht="30" customHeight="1" x14ac:dyDescent="0.3">
      <c r="B366" s="80" t="str">
        <f>_xlfn.CONCAT(tbResults[[#This Row],[Series Title]],".",tbResults[[#This Row],[Game]])</f>
        <v>2.2.12.04.3</v>
      </c>
      <c r="C366" s="81">
        <v>2</v>
      </c>
      <c r="D366" s="65">
        <v>2</v>
      </c>
      <c r="E366" s="81">
        <v>12</v>
      </c>
      <c r="F366" s="81">
        <v>4</v>
      </c>
      <c r="G366" s="65">
        <v>3</v>
      </c>
      <c r="H366" s="82" t="str">
        <f>_xlfn.CONCAT(tbResults[[#This Row],[Season]],".",tbResults[[#This Row],[Stage]])</f>
        <v>2.2</v>
      </c>
      <c r="I366" s="82" t="str">
        <f>_xlfn.CONCAT(tbResults[[#This Row],[Season]],".",tbResults[[#This Row],[Stage]],".",TEXT(tbResults[[#This Row],[Week]],"00"))</f>
        <v>2.2.12</v>
      </c>
      <c r="J366" s="82" t="str">
        <f>_xlfn.CONCAT(tbResults[[#This Row],[Week Title]],".",TEXT(tbResults[[#This Row],[Match]],"00"))</f>
        <v>2.2.12.04</v>
      </c>
      <c r="K366" s="80" t="str">
        <f>_xlfn.CONCAT(tbResults[[#This Row],[Game Title]], " ", tbResults[[#This Row],[Player1]], " vs ", tbResults[[#This Row],[Player2]] )</f>
        <v>2.2.12.04.3 Psygib vs Effortless</v>
      </c>
      <c r="L366" s="83" t="s">
        <v>30</v>
      </c>
      <c r="M366" s="83" t="s">
        <v>6</v>
      </c>
      <c r="N366" s="83" t="s">
        <v>19</v>
      </c>
      <c r="O366" s="83" t="s">
        <v>35</v>
      </c>
      <c r="P366" s="84" t="s">
        <v>21</v>
      </c>
      <c r="Q366" s="85">
        <v>10</v>
      </c>
      <c r="R366" s="85">
        <v>12</v>
      </c>
      <c r="S366" s="62" t="s">
        <v>81</v>
      </c>
      <c r="T366" s="86" t="s">
        <v>30</v>
      </c>
      <c r="U366" s="86" t="s">
        <v>39</v>
      </c>
      <c r="V366" s="47" t="str">
        <f>IF(tbResults[[#This Row],[Player1 Score]]&gt;tbResults[[#This Row],[Player2 Score]],tbResults[[#This Row],[Player1]],tbResults[[#This Row],[Player2]])</f>
        <v>Effortless</v>
      </c>
      <c r="W366" s="49" t="str">
        <f>IF(tbResults[[#This Row],[Player1 Score]]&gt;tbResults[[#This Row],[Player2 Score]],tbResults[[#This Row],[Player2]],tbResults[[#This Row],[Player1]])</f>
        <v>Psygib</v>
      </c>
      <c r="X366" s="87" t="str">
        <f>IF(tbResults[[#This Row],[Winner]]=tbResults[[#This Row],[Player1]],tbResults[[#This Row],[Player1 Pick]],tbResults[[#This Row],[Player2 Pick]])</f>
        <v>Ranger</v>
      </c>
      <c r="Y366" s="87" t="str">
        <f>IF(tbResults[[#This Row],[Loser]]=tbResults[[#This Row],[Player1]],tbResults[[#This Row],[Player1 Pick]],tbResults[[#This Row],[Player2 Pick]])</f>
        <v>Doom</v>
      </c>
      <c r="Z366" s="88">
        <f>SUM(tbResults[[#This Row],[Player1 Score]],tbResults[[#This Row],[Player2 Score]])</f>
        <v>22</v>
      </c>
      <c r="AA366" s="88">
        <f>ABS(tbResults[[#This Row],[Player1 Score]]-tbResults[[#This Row],[Player2 Score]])</f>
        <v>2</v>
      </c>
      <c r="AB366" s="88">
        <f>IF(tbResults[[#This Row],[Player1 Score]]&gt;tbResults[[#This Row],[Player2 Score]],tbResults[[#This Row],[Player1 Score]],tbResults[[#This Row],[Player2 Score]])</f>
        <v>12</v>
      </c>
      <c r="AC366" s="88">
        <f>IF(tbResults[[#This Row],[Player1 Score]]&lt;tbResults[[#This Row],[Player2 Score]],tbResults[[#This Row],[Player1 Score]],tbResults[[#This Row],[Player2 Score]])</f>
        <v>10</v>
      </c>
    </row>
    <row r="367" spans="2:29" ht="30" customHeight="1" x14ac:dyDescent="0.3">
      <c r="B367" s="80" t="str">
        <f>_xlfn.CONCAT(tbResults[[#This Row],[Series Title]],".",tbResults[[#This Row],[Game]])</f>
        <v>2.2.12.05.1</v>
      </c>
      <c r="C367" s="81">
        <v>2</v>
      </c>
      <c r="D367" s="65">
        <v>2</v>
      </c>
      <c r="E367" s="81">
        <v>12</v>
      </c>
      <c r="F367" s="81">
        <v>5</v>
      </c>
      <c r="G367" s="65">
        <v>1</v>
      </c>
      <c r="H367" s="82" t="str">
        <f>_xlfn.CONCAT(tbResults[[#This Row],[Season]],".",tbResults[[#This Row],[Stage]])</f>
        <v>2.2</v>
      </c>
      <c r="I367" s="82" t="str">
        <f>_xlfn.CONCAT(tbResults[[#This Row],[Season]],".",tbResults[[#This Row],[Stage]],".",TEXT(tbResults[[#This Row],[Week]],"00"))</f>
        <v>2.2.12</v>
      </c>
      <c r="J367" s="82" t="str">
        <f>_xlfn.CONCAT(tbResults[[#This Row],[Week Title]],".",TEXT(tbResults[[#This Row],[Match]],"00"))</f>
        <v>2.2.12.05</v>
      </c>
      <c r="K367" s="80" t="str">
        <f>_xlfn.CONCAT(tbResults[[#This Row],[Game Title]], " ", tbResults[[#This Row],[Player1]], " vs ", tbResults[[#This Row],[Player2]] )</f>
        <v>2.2.12.05.1 Cypher vs Base</v>
      </c>
      <c r="L367" s="83" t="s">
        <v>14</v>
      </c>
      <c r="M367" s="83" t="s">
        <v>51</v>
      </c>
      <c r="N367" s="83" t="s">
        <v>23</v>
      </c>
      <c r="O367" s="83" t="s">
        <v>22</v>
      </c>
      <c r="P367" s="84" t="s">
        <v>25</v>
      </c>
      <c r="Q367" s="85">
        <v>1</v>
      </c>
      <c r="R367" s="85">
        <v>0</v>
      </c>
      <c r="S367" s="62" t="s">
        <v>81</v>
      </c>
      <c r="T367" s="86" t="s">
        <v>51</v>
      </c>
      <c r="U367" s="86" t="s">
        <v>38</v>
      </c>
      <c r="V367" s="47" t="str">
        <f>IF(tbResults[[#This Row],[Player1 Score]]&gt;tbResults[[#This Row],[Player2 Score]],tbResults[[#This Row],[Player1]],tbResults[[#This Row],[Player2]])</f>
        <v>Cypher</v>
      </c>
      <c r="W367" s="49" t="str">
        <f>IF(tbResults[[#This Row],[Player1 Score]]&gt;tbResults[[#This Row],[Player2 Score]],tbResults[[#This Row],[Player2]],tbResults[[#This Row],[Player1]])</f>
        <v>Base</v>
      </c>
      <c r="X367" s="87" t="str">
        <f>IF(tbResults[[#This Row],[Winner]]=tbResults[[#This Row],[Player1]],tbResults[[#This Row],[Player1 Pick]],tbResults[[#This Row],[Player2 Pick]])</f>
        <v>Strogg</v>
      </c>
      <c r="Y367" s="87" t="str">
        <f>IF(tbResults[[#This Row],[Loser]]=tbResults[[#This Row],[Player1]],tbResults[[#This Row],[Player1 Pick]],tbResults[[#This Row],[Player2 Pick]])</f>
        <v>Sorlag</v>
      </c>
      <c r="Z367" s="88">
        <f>SUM(tbResults[[#This Row],[Player1 Score]],tbResults[[#This Row],[Player2 Score]])</f>
        <v>1</v>
      </c>
      <c r="AA367" s="88">
        <f>ABS(tbResults[[#This Row],[Player1 Score]]-tbResults[[#This Row],[Player2 Score]])</f>
        <v>1</v>
      </c>
      <c r="AB367" s="88">
        <f>IF(tbResults[[#This Row],[Player1 Score]]&gt;tbResults[[#This Row],[Player2 Score]],tbResults[[#This Row],[Player1 Score]],tbResults[[#This Row],[Player2 Score]])</f>
        <v>1</v>
      </c>
      <c r="AC367" s="88">
        <f>IF(tbResults[[#This Row],[Player1 Score]]&lt;tbResults[[#This Row],[Player2 Score]],tbResults[[#This Row],[Player1 Score]],tbResults[[#This Row],[Player2 Score]])</f>
        <v>0</v>
      </c>
    </row>
    <row r="368" spans="2:29" ht="30" customHeight="1" x14ac:dyDescent="0.3">
      <c r="B368" s="80" t="str">
        <f>_xlfn.CONCAT(tbResults[[#This Row],[Series Title]],".",tbResults[[#This Row],[Game]])</f>
        <v>2.2.12.05.2</v>
      </c>
      <c r="C368" s="81">
        <v>2</v>
      </c>
      <c r="D368" s="65">
        <v>2</v>
      </c>
      <c r="E368" s="81">
        <v>12</v>
      </c>
      <c r="F368" s="81">
        <v>5</v>
      </c>
      <c r="G368" s="65">
        <v>2</v>
      </c>
      <c r="H368" s="82" t="str">
        <f>_xlfn.CONCAT(tbResults[[#This Row],[Season]],".",tbResults[[#This Row],[Stage]])</f>
        <v>2.2</v>
      </c>
      <c r="I368" s="82" t="str">
        <f>_xlfn.CONCAT(tbResults[[#This Row],[Season]],".",tbResults[[#This Row],[Stage]],".",TEXT(tbResults[[#This Row],[Week]],"00"))</f>
        <v>2.2.12</v>
      </c>
      <c r="J368" s="82" t="str">
        <f>_xlfn.CONCAT(tbResults[[#This Row],[Week Title]],".",TEXT(tbResults[[#This Row],[Match]],"00"))</f>
        <v>2.2.12.05</v>
      </c>
      <c r="K368" s="80" t="str">
        <f>_xlfn.CONCAT(tbResults[[#This Row],[Game Title]], " ", tbResults[[#This Row],[Player1]], " vs ", tbResults[[#This Row],[Player2]] )</f>
        <v>2.2.12.05.2 Cypher vs Base</v>
      </c>
      <c r="L368" s="83" t="s">
        <v>14</v>
      </c>
      <c r="M368" s="83" t="s">
        <v>51</v>
      </c>
      <c r="N368" s="83" t="s">
        <v>43</v>
      </c>
      <c r="O368" s="83" t="s">
        <v>34</v>
      </c>
      <c r="P368" s="84" t="s">
        <v>28</v>
      </c>
      <c r="Q368" s="85">
        <v>14</v>
      </c>
      <c r="R368" s="85">
        <v>3</v>
      </c>
      <c r="S368" s="62" t="s">
        <v>81</v>
      </c>
      <c r="T368" s="86" t="s">
        <v>14</v>
      </c>
      <c r="U368" s="86" t="s">
        <v>37</v>
      </c>
      <c r="V368" s="47" t="str">
        <f>IF(tbResults[[#This Row],[Player1 Score]]&gt;tbResults[[#This Row],[Player2 Score]],tbResults[[#This Row],[Player1]],tbResults[[#This Row],[Player2]])</f>
        <v>Cypher</v>
      </c>
      <c r="W368" s="49" t="str">
        <f>IF(tbResults[[#This Row],[Player1 Score]]&gt;tbResults[[#This Row],[Player2 Score]],tbResults[[#This Row],[Player2]],tbResults[[#This Row],[Player1]])</f>
        <v>Base</v>
      </c>
      <c r="X368" s="87" t="str">
        <f>IF(tbResults[[#This Row],[Winner]]=tbResults[[#This Row],[Player1]],tbResults[[#This Row],[Player1 Pick]],tbResults[[#This Row],[Player2 Pick]])</f>
        <v>Galena</v>
      </c>
      <c r="Y368" s="87" t="str">
        <f>IF(tbResults[[#This Row],[Loser]]=tbResults[[#This Row],[Player1]],tbResults[[#This Row],[Player1 Pick]],tbResults[[#This Row],[Player2 Pick]])</f>
        <v>BJ Blazkowicz</v>
      </c>
      <c r="Z368" s="88">
        <f>SUM(tbResults[[#This Row],[Player1 Score]],tbResults[[#This Row],[Player2 Score]])</f>
        <v>17</v>
      </c>
      <c r="AA368" s="88">
        <f>ABS(tbResults[[#This Row],[Player1 Score]]-tbResults[[#This Row],[Player2 Score]])</f>
        <v>11</v>
      </c>
      <c r="AB368" s="88">
        <f>IF(tbResults[[#This Row],[Player1 Score]]&gt;tbResults[[#This Row],[Player2 Score]],tbResults[[#This Row],[Player1 Score]],tbResults[[#This Row],[Player2 Score]])</f>
        <v>14</v>
      </c>
      <c r="AC368" s="88">
        <f>IF(tbResults[[#This Row],[Player1 Score]]&lt;tbResults[[#This Row],[Player2 Score]],tbResults[[#This Row],[Player1 Score]],tbResults[[#This Row],[Player2 Score]])</f>
        <v>3</v>
      </c>
    </row>
    <row r="369" spans="2:29" ht="30" customHeight="1" x14ac:dyDescent="0.3">
      <c r="B369" s="80" t="str">
        <f>_xlfn.CONCAT(tbResults[[#This Row],[Series Title]],".",tbResults[[#This Row],[Game]])</f>
        <v>2.2.12.05.3</v>
      </c>
      <c r="C369" s="81">
        <v>2</v>
      </c>
      <c r="D369" s="65">
        <v>2</v>
      </c>
      <c r="E369" s="81">
        <v>12</v>
      </c>
      <c r="F369" s="81">
        <v>5</v>
      </c>
      <c r="G369" s="65">
        <v>3</v>
      </c>
      <c r="H369" s="82" t="str">
        <f>_xlfn.CONCAT(tbResults[[#This Row],[Season]],".",tbResults[[#This Row],[Stage]])</f>
        <v>2.2</v>
      </c>
      <c r="I369" s="82" t="str">
        <f>_xlfn.CONCAT(tbResults[[#This Row],[Season]],".",tbResults[[#This Row],[Stage]],".",TEXT(tbResults[[#This Row],[Week]],"00"))</f>
        <v>2.2.12</v>
      </c>
      <c r="J369" s="82" t="str">
        <f>_xlfn.CONCAT(tbResults[[#This Row],[Week Title]],".",TEXT(tbResults[[#This Row],[Match]],"00"))</f>
        <v>2.2.12.05</v>
      </c>
      <c r="K369" s="80" t="str">
        <f>_xlfn.CONCAT(tbResults[[#This Row],[Game Title]], " ", tbResults[[#This Row],[Player1]], " vs ", tbResults[[#This Row],[Player2]] )</f>
        <v>2.2.12.05.3 Cypher vs Base</v>
      </c>
      <c r="L369" s="83" t="s">
        <v>14</v>
      </c>
      <c r="M369" s="83" t="s">
        <v>51</v>
      </c>
      <c r="N369" s="83" t="s">
        <v>19</v>
      </c>
      <c r="O369" s="83" t="s">
        <v>27</v>
      </c>
      <c r="P369" s="84" t="s">
        <v>55</v>
      </c>
      <c r="Q369" s="85">
        <v>3</v>
      </c>
      <c r="R369" s="85">
        <v>5</v>
      </c>
      <c r="S369" s="62" t="s">
        <v>81</v>
      </c>
      <c r="T369" s="86" t="s">
        <v>51</v>
      </c>
      <c r="U369" s="86" t="s">
        <v>35</v>
      </c>
      <c r="V369" s="47" t="str">
        <f>IF(tbResults[[#This Row],[Player1 Score]]&gt;tbResults[[#This Row],[Player2 Score]],tbResults[[#This Row],[Player1]],tbResults[[#This Row],[Player2]])</f>
        <v>Base</v>
      </c>
      <c r="W369" s="49" t="str">
        <f>IF(tbResults[[#This Row],[Player1 Score]]&gt;tbResults[[#This Row],[Player2 Score]],tbResults[[#This Row],[Player2]],tbResults[[#This Row],[Player1]])</f>
        <v>Cypher</v>
      </c>
      <c r="X369" s="87" t="str">
        <f>IF(tbResults[[#This Row],[Winner]]=tbResults[[#This Row],[Player1]],tbResults[[#This Row],[Player1 Pick]],tbResults[[#This Row],[Player2 Pick]])</f>
        <v>Athena</v>
      </c>
      <c r="Y369" s="87" t="str">
        <f>IF(tbResults[[#This Row],[Loser]]=tbResults[[#This Row],[Player1]],tbResults[[#This Row],[Player1 Pick]],tbResults[[#This Row],[Player2 Pick]])</f>
        <v>Keel</v>
      </c>
      <c r="Z369" s="88">
        <f>SUM(tbResults[[#This Row],[Player1 Score]],tbResults[[#This Row],[Player2 Score]])</f>
        <v>8</v>
      </c>
      <c r="AA369" s="88">
        <f>ABS(tbResults[[#This Row],[Player1 Score]]-tbResults[[#This Row],[Player2 Score]])</f>
        <v>2</v>
      </c>
      <c r="AB369" s="88">
        <f>IF(tbResults[[#This Row],[Player1 Score]]&gt;tbResults[[#This Row],[Player2 Score]],tbResults[[#This Row],[Player1 Score]],tbResults[[#This Row],[Player2 Score]])</f>
        <v>5</v>
      </c>
      <c r="AC369" s="88">
        <f>IF(tbResults[[#This Row],[Player1 Score]]&lt;tbResults[[#This Row],[Player2 Score]],tbResults[[#This Row],[Player1 Score]],tbResults[[#This Row],[Player2 Score]])</f>
        <v>3</v>
      </c>
    </row>
    <row r="370" spans="2:29" ht="30" customHeight="1" x14ac:dyDescent="0.3">
      <c r="B370" s="80" t="str">
        <f>_xlfn.CONCAT(tbResults[[#This Row],[Series Title]],".",tbResults[[#This Row],[Game]])</f>
        <v>2.2.12.06.1</v>
      </c>
      <c r="C370" s="81">
        <v>2</v>
      </c>
      <c r="D370" s="65">
        <v>2</v>
      </c>
      <c r="E370" s="81">
        <v>12</v>
      </c>
      <c r="F370" s="81">
        <v>6</v>
      </c>
      <c r="G370" s="65">
        <v>1</v>
      </c>
      <c r="H370" s="82" t="str">
        <f>_xlfn.CONCAT(tbResults[[#This Row],[Season]],".",tbResults[[#This Row],[Stage]])</f>
        <v>2.2</v>
      </c>
      <c r="I370" s="82" t="str">
        <f>_xlfn.CONCAT(tbResults[[#This Row],[Season]],".",tbResults[[#This Row],[Stage]],".",TEXT(tbResults[[#This Row],[Week]],"00"))</f>
        <v>2.2.12</v>
      </c>
      <c r="J370" s="82" t="str">
        <f>_xlfn.CONCAT(tbResults[[#This Row],[Week Title]],".",TEXT(tbResults[[#This Row],[Match]],"00"))</f>
        <v>2.2.12.06</v>
      </c>
      <c r="K370" s="80" t="str">
        <f>_xlfn.CONCAT(tbResults[[#This Row],[Game Title]], " ", tbResults[[#This Row],[Player1]], " vs ", tbResults[[#This Row],[Player2]] )</f>
        <v>2.2.12.06.1 k1llsen vs Av3k</v>
      </c>
      <c r="L370" s="83" t="s">
        <v>31</v>
      </c>
      <c r="M370" s="83" t="s">
        <v>52</v>
      </c>
      <c r="N370" s="83" t="s">
        <v>32</v>
      </c>
      <c r="O370" s="83" t="s">
        <v>28</v>
      </c>
      <c r="P370" s="84" t="s">
        <v>37</v>
      </c>
      <c r="Q370" s="85">
        <v>6</v>
      </c>
      <c r="R370" s="85">
        <v>10</v>
      </c>
      <c r="S370" s="62" t="s">
        <v>81</v>
      </c>
      <c r="T370" s="86" t="s">
        <v>31</v>
      </c>
      <c r="U370" s="86" t="s">
        <v>25</v>
      </c>
      <c r="V370" s="47" t="str">
        <f>IF(tbResults[[#This Row],[Player1 Score]]&gt;tbResults[[#This Row],[Player2 Score]],tbResults[[#This Row],[Player1]],tbResults[[#This Row],[Player2]])</f>
        <v>Av3k</v>
      </c>
      <c r="W370" s="49" t="str">
        <f>IF(tbResults[[#This Row],[Player1 Score]]&gt;tbResults[[#This Row],[Player2 Score]],tbResults[[#This Row],[Player2]],tbResults[[#This Row],[Player1]])</f>
        <v>k1llsen</v>
      </c>
      <c r="X370" s="87" t="str">
        <f>IF(tbResults[[#This Row],[Winner]]=tbResults[[#This Row],[Player1]],tbResults[[#This Row],[Player1 Pick]],tbResults[[#This Row],[Player2 Pick]])</f>
        <v>Eisen</v>
      </c>
      <c r="Y370" s="87" t="str">
        <f>IF(tbResults[[#This Row],[Loser]]=tbResults[[#This Row],[Player1]],tbResults[[#This Row],[Player1 Pick]],tbResults[[#This Row],[Player2 Pick]])</f>
        <v>BJ Blazkowicz</v>
      </c>
      <c r="Z370" s="88">
        <f>SUM(tbResults[[#This Row],[Player1 Score]],tbResults[[#This Row],[Player2 Score]])</f>
        <v>16</v>
      </c>
      <c r="AA370" s="88">
        <f>ABS(tbResults[[#This Row],[Player1 Score]]-tbResults[[#This Row],[Player2 Score]])</f>
        <v>4</v>
      </c>
      <c r="AB370" s="88">
        <f>IF(tbResults[[#This Row],[Player1 Score]]&gt;tbResults[[#This Row],[Player2 Score]],tbResults[[#This Row],[Player1 Score]],tbResults[[#This Row],[Player2 Score]])</f>
        <v>10</v>
      </c>
      <c r="AC370" s="88">
        <f>IF(tbResults[[#This Row],[Player1 Score]]&lt;tbResults[[#This Row],[Player2 Score]],tbResults[[#This Row],[Player1 Score]],tbResults[[#This Row],[Player2 Score]])</f>
        <v>6</v>
      </c>
    </row>
    <row r="371" spans="2:29" ht="30" customHeight="1" x14ac:dyDescent="0.3">
      <c r="B371" s="80" t="str">
        <f>_xlfn.CONCAT(tbResults[[#This Row],[Series Title]],".",tbResults[[#This Row],[Game]])</f>
        <v>2.2.12.06.2</v>
      </c>
      <c r="C371" s="81">
        <v>2</v>
      </c>
      <c r="D371" s="65">
        <v>2</v>
      </c>
      <c r="E371" s="81">
        <v>12</v>
      </c>
      <c r="F371" s="81">
        <v>6</v>
      </c>
      <c r="G371" s="65">
        <v>2</v>
      </c>
      <c r="H371" s="82" t="str">
        <f>_xlfn.CONCAT(tbResults[[#This Row],[Season]],".",tbResults[[#This Row],[Stage]])</f>
        <v>2.2</v>
      </c>
      <c r="I371" s="82" t="str">
        <f>_xlfn.CONCAT(tbResults[[#This Row],[Season]],".",tbResults[[#This Row],[Stage]],".",TEXT(tbResults[[#This Row],[Week]],"00"))</f>
        <v>2.2.12</v>
      </c>
      <c r="J371" s="82" t="str">
        <f>_xlfn.CONCAT(tbResults[[#This Row],[Week Title]],".",TEXT(tbResults[[#This Row],[Match]],"00"))</f>
        <v>2.2.12.06</v>
      </c>
      <c r="K371" s="80" t="str">
        <f>_xlfn.CONCAT(tbResults[[#This Row],[Game Title]], " ", tbResults[[#This Row],[Player1]], " vs ", tbResults[[#This Row],[Player2]] )</f>
        <v>2.2.12.06.2 k1llsen vs Av3k</v>
      </c>
      <c r="L371" s="83" t="s">
        <v>31</v>
      </c>
      <c r="M371" s="83" t="s">
        <v>52</v>
      </c>
      <c r="N371" s="83" t="s">
        <v>19</v>
      </c>
      <c r="O371" s="83" t="s">
        <v>38</v>
      </c>
      <c r="P371" s="84" t="s">
        <v>21</v>
      </c>
      <c r="Q371" s="85">
        <v>9</v>
      </c>
      <c r="R371" s="85">
        <v>6</v>
      </c>
      <c r="S371" s="62" t="s">
        <v>81</v>
      </c>
      <c r="T371" s="86" t="s">
        <v>52</v>
      </c>
      <c r="U371" s="86" t="s">
        <v>35</v>
      </c>
      <c r="V371" s="47" t="str">
        <f>IF(tbResults[[#This Row],[Player1 Score]]&gt;tbResults[[#This Row],[Player2 Score]],tbResults[[#This Row],[Player1]],tbResults[[#This Row],[Player2]])</f>
        <v>k1llsen</v>
      </c>
      <c r="W371" s="49" t="str">
        <f>IF(tbResults[[#This Row],[Player1 Score]]&gt;tbResults[[#This Row],[Player2 Score]],tbResults[[#This Row],[Player2]],tbResults[[#This Row],[Player1]])</f>
        <v>Av3k</v>
      </c>
      <c r="X371" s="87" t="str">
        <f>IF(tbResults[[#This Row],[Winner]]=tbResults[[#This Row],[Player1]],tbResults[[#This Row],[Player1 Pick]],tbResults[[#This Row],[Player2 Pick]])</f>
        <v>Nyx</v>
      </c>
      <c r="Y371" s="87" t="str">
        <f>IF(tbResults[[#This Row],[Loser]]=tbResults[[#This Row],[Player1]],tbResults[[#This Row],[Player1 Pick]],tbResults[[#This Row],[Player2 Pick]])</f>
        <v>Ranger</v>
      </c>
      <c r="Z371" s="88">
        <f>SUM(tbResults[[#This Row],[Player1 Score]],tbResults[[#This Row],[Player2 Score]])</f>
        <v>15</v>
      </c>
      <c r="AA371" s="88">
        <f>ABS(tbResults[[#This Row],[Player1 Score]]-tbResults[[#This Row],[Player2 Score]])</f>
        <v>3</v>
      </c>
      <c r="AB371" s="88">
        <f>IF(tbResults[[#This Row],[Player1 Score]]&gt;tbResults[[#This Row],[Player2 Score]],tbResults[[#This Row],[Player1 Score]],tbResults[[#This Row],[Player2 Score]])</f>
        <v>9</v>
      </c>
      <c r="AC371" s="88">
        <f>IF(tbResults[[#This Row],[Player1 Score]]&lt;tbResults[[#This Row],[Player2 Score]],tbResults[[#This Row],[Player1 Score]],tbResults[[#This Row],[Player2 Score]])</f>
        <v>6</v>
      </c>
    </row>
    <row r="372" spans="2:29" ht="30" customHeight="1" x14ac:dyDescent="0.3">
      <c r="B372" s="80" t="str">
        <f>_xlfn.CONCAT(tbResults[[#This Row],[Series Title]],".",tbResults[[#This Row],[Game]])</f>
        <v>2.2.12.06.3</v>
      </c>
      <c r="C372" s="81">
        <v>2</v>
      </c>
      <c r="D372" s="65">
        <v>2</v>
      </c>
      <c r="E372" s="81">
        <v>12</v>
      </c>
      <c r="F372" s="81">
        <v>6</v>
      </c>
      <c r="G372" s="65">
        <v>3</v>
      </c>
      <c r="H372" s="82" t="str">
        <f>_xlfn.CONCAT(tbResults[[#This Row],[Season]],".",tbResults[[#This Row],[Stage]])</f>
        <v>2.2</v>
      </c>
      <c r="I372" s="82" t="str">
        <f>_xlfn.CONCAT(tbResults[[#This Row],[Season]],".",tbResults[[#This Row],[Stage]],".",TEXT(tbResults[[#This Row],[Week]],"00"))</f>
        <v>2.2.12</v>
      </c>
      <c r="J372" s="82" t="str">
        <f>_xlfn.CONCAT(tbResults[[#This Row],[Week Title]],".",TEXT(tbResults[[#This Row],[Match]],"00"))</f>
        <v>2.2.12.06</v>
      </c>
      <c r="K372" s="80" t="str">
        <f>_xlfn.CONCAT(tbResults[[#This Row],[Game Title]], " ", tbResults[[#This Row],[Player1]], " vs ", tbResults[[#This Row],[Player2]] )</f>
        <v>2.2.12.06.3 k1llsen vs Av3k</v>
      </c>
      <c r="L372" s="83" t="s">
        <v>31</v>
      </c>
      <c r="M372" s="83" t="s">
        <v>52</v>
      </c>
      <c r="N372" s="83" t="s">
        <v>23</v>
      </c>
      <c r="O372" s="83" t="s">
        <v>44</v>
      </c>
      <c r="P372" s="84" t="s">
        <v>39</v>
      </c>
      <c r="Q372" s="85">
        <v>6</v>
      </c>
      <c r="R372" s="85">
        <v>5</v>
      </c>
      <c r="S372" s="85" t="s">
        <v>82</v>
      </c>
      <c r="T372" s="86" t="s">
        <v>31</v>
      </c>
      <c r="U372" s="86" t="s">
        <v>24</v>
      </c>
      <c r="V372" s="47" t="str">
        <f>IF(tbResults[[#This Row],[Player1 Score]]&gt;tbResults[[#This Row],[Player2 Score]],tbResults[[#This Row],[Player1]],tbResults[[#This Row],[Player2]])</f>
        <v>k1llsen</v>
      </c>
      <c r="W372" s="49" t="str">
        <f>IF(tbResults[[#This Row],[Player1 Score]]&gt;tbResults[[#This Row],[Player2 Score]],tbResults[[#This Row],[Player2]],tbResults[[#This Row],[Player1]])</f>
        <v>Av3k</v>
      </c>
      <c r="X372" s="87" t="str">
        <f>IF(tbResults[[#This Row],[Winner]]=tbResults[[#This Row],[Player1]],tbResults[[#This Row],[Player1 Pick]],tbResults[[#This Row],[Player2 Pick]])</f>
        <v>Scalebearer</v>
      </c>
      <c r="Y372" s="87" t="str">
        <f>IF(tbResults[[#This Row],[Loser]]=tbResults[[#This Row],[Player1]],tbResults[[#This Row],[Player1 Pick]],tbResults[[#This Row],[Player2 Pick]])</f>
        <v>Anarki</v>
      </c>
      <c r="Z372" s="88">
        <f>SUM(tbResults[[#This Row],[Player1 Score]],tbResults[[#This Row],[Player2 Score]])</f>
        <v>11</v>
      </c>
      <c r="AA372" s="88">
        <f>ABS(tbResults[[#This Row],[Player1 Score]]-tbResults[[#This Row],[Player2 Score]])</f>
        <v>1</v>
      </c>
      <c r="AB372" s="88">
        <f>IF(tbResults[[#This Row],[Player1 Score]]&gt;tbResults[[#This Row],[Player2 Score]],tbResults[[#This Row],[Player1 Score]],tbResults[[#This Row],[Player2 Score]])</f>
        <v>6</v>
      </c>
      <c r="AC372" s="88">
        <f>IF(tbResults[[#This Row],[Player1 Score]]&lt;tbResults[[#This Row],[Player2 Score]],tbResults[[#This Row],[Player1 Score]],tbResults[[#This Row],[Player2 Score]])</f>
        <v>5</v>
      </c>
    </row>
    <row r="373" spans="2:29" ht="30" customHeight="1" x14ac:dyDescent="0.3">
      <c r="B373" s="80" t="str">
        <f>_xlfn.CONCAT(tbResults[[#This Row],[Series Title]],".",tbResults[[#This Row],[Game]])</f>
        <v>2.2.12.07.1</v>
      </c>
      <c r="C373" s="81">
        <v>2</v>
      </c>
      <c r="D373" s="65">
        <v>2</v>
      </c>
      <c r="E373" s="81">
        <v>12</v>
      </c>
      <c r="F373" s="81">
        <v>7</v>
      </c>
      <c r="G373" s="65">
        <v>1</v>
      </c>
      <c r="H373" s="82" t="str">
        <f>_xlfn.CONCAT(tbResults[[#This Row],[Season]],".",tbResults[[#This Row],[Stage]])</f>
        <v>2.2</v>
      </c>
      <c r="I373" s="82" t="str">
        <f>_xlfn.CONCAT(tbResults[[#This Row],[Season]],".",tbResults[[#This Row],[Stage]],".",TEXT(tbResults[[#This Row],[Week]],"00"))</f>
        <v>2.2.12</v>
      </c>
      <c r="J373" s="82" t="str">
        <f>_xlfn.CONCAT(tbResults[[#This Row],[Week Title]],".",TEXT(tbResults[[#This Row],[Match]],"00"))</f>
        <v>2.2.12.07</v>
      </c>
      <c r="K373" s="80" t="str">
        <f>_xlfn.CONCAT(tbResults[[#This Row],[Game Title]], " ", tbResults[[#This Row],[Player1]], " vs ", tbResults[[#This Row],[Player2]] )</f>
        <v>2.2.12.07.1 DaHanG vs Zenaku</v>
      </c>
      <c r="L373" s="83" t="s">
        <v>42</v>
      </c>
      <c r="M373" s="83" t="s">
        <v>29</v>
      </c>
      <c r="N373" s="83" t="s">
        <v>26</v>
      </c>
      <c r="O373" s="83" t="s">
        <v>22</v>
      </c>
      <c r="P373" s="84" t="s">
        <v>25</v>
      </c>
      <c r="Q373" s="85">
        <v>9</v>
      </c>
      <c r="R373" s="85">
        <v>1</v>
      </c>
      <c r="S373" s="62" t="s">
        <v>81</v>
      </c>
      <c r="T373" s="86" t="s">
        <v>42</v>
      </c>
      <c r="U373" s="86" t="s">
        <v>34</v>
      </c>
      <c r="V373" s="47" t="str">
        <f>IF(tbResults[[#This Row],[Player1 Score]]&gt;tbResults[[#This Row],[Player2 Score]],tbResults[[#This Row],[Player1]],tbResults[[#This Row],[Player2]])</f>
        <v>DaHanG</v>
      </c>
      <c r="W373" s="49" t="str">
        <f>IF(tbResults[[#This Row],[Player1 Score]]&gt;tbResults[[#This Row],[Player2 Score]],tbResults[[#This Row],[Player2]],tbResults[[#This Row],[Player1]])</f>
        <v>Zenaku</v>
      </c>
      <c r="X373" s="87" t="str">
        <f>IF(tbResults[[#This Row],[Winner]]=tbResults[[#This Row],[Player1]],tbResults[[#This Row],[Player1 Pick]],tbResults[[#This Row],[Player2 Pick]])</f>
        <v>Strogg</v>
      </c>
      <c r="Y373" s="87" t="str">
        <f>IF(tbResults[[#This Row],[Loser]]=tbResults[[#This Row],[Player1]],tbResults[[#This Row],[Player1 Pick]],tbResults[[#This Row],[Player2 Pick]])</f>
        <v>Sorlag</v>
      </c>
      <c r="Z373" s="88">
        <f>SUM(tbResults[[#This Row],[Player1 Score]],tbResults[[#This Row],[Player2 Score]])</f>
        <v>10</v>
      </c>
      <c r="AA373" s="88">
        <f>ABS(tbResults[[#This Row],[Player1 Score]]-tbResults[[#This Row],[Player2 Score]])</f>
        <v>8</v>
      </c>
      <c r="AB373" s="88">
        <f>IF(tbResults[[#This Row],[Player1 Score]]&gt;tbResults[[#This Row],[Player2 Score]],tbResults[[#This Row],[Player1 Score]],tbResults[[#This Row],[Player2 Score]])</f>
        <v>9</v>
      </c>
      <c r="AC373" s="88">
        <f>IF(tbResults[[#This Row],[Player1 Score]]&lt;tbResults[[#This Row],[Player2 Score]],tbResults[[#This Row],[Player1 Score]],tbResults[[#This Row],[Player2 Score]])</f>
        <v>1</v>
      </c>
    </row>
    <row r="374" spans="2:29" ht="30" customHeight="1" x14ac:dyDescent="0.3">
      <c r="B374" s="80" t="str">
        <f>_xlfn.CONCAT(tbResults[[#This Row],[Series Title]],".",tbResults[[#This Row],[Game]])</f>
        <v>2.2.12.07.2</v>
      </c>
      <c r="C374" s="81">
        <v>2</v>
      </c>
      <c r="D374" s="65">
        <v>2</v>
      </c>
      <c r="E374" s="81">
        <v>12</v>
      </c>
      <c r="F374" s="81">
        <v>7</v>
      </c>
      <c r="G374" s="65">
        <v>2</v>
      </c>
      <c r="H374" s="82" t="str">
        <f>_xlfn.CONCAT(tbResults[[#This Row],[Season]],".",tbResults[[#This Row],[Stage]])</f>
        <v>2.2</v>
      </c>
      <c r="I374" s="82" t="str">
        <f>_xlfn.CONCAT(tbResults[[#This Row],[Season]],".",tbResults[[#This Row],[Stage]],".",TEXT(tbResults[[#This Row],[Week]],"00"))</f>
        <v>2.2.12</v>
      </c>
      <c r="J374" s="82" t="str">
        <f>_xlfn.CONCAT(tbResults[[#This Row],[Week Title]],".",TEXT(tbResults[[#This Row],[Match]],"00"))</f>
        <v>2.2.12.07</v>
      </c>
      <c r="K374" s="80" t="str">
        <f>_xlfn.CONCAT(tbResults[[#This Row],[Game Title]], " ", tbResults[[#This Row],[Player1]], " vs ", tbResults[[#This Row],[Player2]] )</f>
        <v>2.2.12.07.2 DaHanG vs Zenaku</v>
      </c>
      <c r="L374" s="83" t="s">
        <v>42</v>
      </c>
      <c r="M374" s="83" t="s">
        <v>29</v>
      </c>
      <c r="N374" s="83" t="s">
        <v>33</v>
      </c>
      <c r="O374" s="83" t="s">
        <v>35</v>
      </c>
      <c r="P374" s="84" t="s">
        <v>21</v>
      </c>
      <c r="Q374" s="85">
        <v>8</v>
      </c>
      <c r="R374" s="85">
        <v>7</v>
      </c>
      <c r="S374" s="85" t="s">
        <v>82</v>
      </c>
      <c r="T374" s="86" t="s">
        <v>29</v>
      </c>
      <c r="U374" s="86" t="s">
        <v>44</v>
      </c>
      <c r="V374" s="47" t="str">
        <f>IF(tbResults[[#This Row],[Player1 Score]]&gt;tbResults[[#This Row],[Player2 Score]],tbResults[[#This Row],[Player1]],tbResults[[#This Row],[Player2]])</f>
        <v>DaHanG</v>
      </c>
      <c r="W374" s="49" t="str">
        <f>IF(tbResults[[#This Row],[Player1 Score]]&gt;tbResults[[#This Row],[Player2 Score]],tbResults[[#This Row],[Player2]],tbResults[[#This Row],[Player1]])</f>
        <v>Zenaku</v>
      </c>
      <c r="X374" s="87" t="str">
        <f>IF(tbResults[[#This Row],[Winner]]=tbResults[[#This Row],[Player1]],tbResults[[#This Row],[Player1 Pick]],tbResults[[#This Row],[Player2 Pick]])</f>
        <v>Doom</v>
      </c>
      <c r="Y374" s="87" t="str">
        <f>IF(tbResults[[#This Row],[Loser]]=tbResults[[#This Row],[Player1]],tbResults[[#This Row],[Player1 Pick]],tbResults[[#This Row],[Player2 Pick]])</f>
        <v>Ranger</v>
      </c>
      <c r="Z374" s="88">
        <f>SUM(tbResults[[#This Row],[Player1 Score]],tbResults[[#This Row],[Player2 Score]])</f>
        <v>15</v>
      </c>
      <c r="AA374" s="88">
        <f>ABS(tbResults[[#This Row],[Player1 Score]]-tbResults[[#This Row],[Player2 Score]])</f>
        <v>1</v>
      </c>
      <c r="AB374" s="88">
        <f>IF(tbResults[[#This Row],[Player1 Score]]&gt;tbResults[[#This Row],[Player2 Score]],tbResults[[#This Row],[Player1 Score]],tbResults[[#This Row],[Player2 Score]])</f>
        <v>8</v>
      </c>
      <c r="AC374" s="88">
        <f>IF(tbResults[[#This Row],[Player1 Score]]&lt;tbResults[[#This Row],[Player2 Score]],tbResults[[#This Row],[Player1 Score]],tbResults[[#This Row],[Player2 Score]])</f>
        <v>7</v>
      </c>
    </row>
    <row r="375" spans="2:29" ht="30" customHeight="1" x14ac:dyDescent="0.3">
      <c r="B375" s="80" t="str">
        <f>_xlfn.CONCAT(tbResults[[#This Row],[Series Title]],".",tbResults[[#This Row],[Game]])</f>
        <v>2.2.12.07.3</v>
      </c>
      <c r="C375" s="81">
        <v>2</v>
      </c>
      <c r="D375" s="65">
        <v>2</v>
      </c>
      <c r="E375" s="81">
        <v>12</v>
      </c>
      <c r="F375" s="81">
        <v>7</v>
      </c>
      <c r="G375" s="65">
        <v>3</v>
      </c>
      <c r="H375" s="82" t="str">
        <f>_xlfn.CONCAT(tbResults[[#This Row],[Season]],".",tbResults[[#This Row],[Stage]])</f>
        <v>2.2</v>
      </c>
      <c r="I375" s="82" t="str">
        <f>_xlfn.CONCAT(tbResults[[#This Row],[Season]],".",tbResults[[#This Row],[Stage]],".",TEXT(tbResults[[#This Row],[Week]],"00"))</f>
        <v>2.2.12</v>
      </c>
      <c r="J375" s="82" t="str">
        <f>_xlfn.CONCAT(tbResults[[#This Row],[Week Title]],".",TEXT(tbResults[[#This Row],[Match]],"00"))</f>
        <v>2.2.12.07</v>
      </c>
      <c r="K375" s="80" t="str">
        <f>_xlfn.CONCAT(tbResults[[#This Row],[Game Title]], " ", tbResults[[#This Row],[Player1]], " vs ", tbResults[[#This Row],[Player2]] )</f>
        <v>2.2.12.07.3 DaHanG vs Zenaku</v>
      </c>
      <c r="L375" s="83" t="s">
        <v>42</v>
      </c>
      <c r="M375" s="83" t="s">
        <v>29</v>
      </c>
      <c r="N375" s="83" t="s">
        <v>40</v>
      </c>
      <c r="O375" s="83" t="s">
        <v>36</v>
      </c>
      <c r="P375" s="84" t="s">
        <v>28</v>
      </c>
      <c r="Q375" s="85">
        <v>8</v>
      </c>
      <c r="R375" s="85">
        <v>5</v>
      </c>
      <c r="S375" s="62" t="s">
        <v>81</v>
      </c>
      <c r="T375" s="86" t="s">
        <v>42</v>
      </c>
      <c r="U375" s="86" t="s">
        <v>27</v>
      </c>
      <c r="V375" s="47" t="str">
        <f>IF(tbResults[[#This Row],[Player1 Score]]&gt;tbResults[[#This Row],[Player2 Score]],tbResults[[#This Row],[Player1]],tbResults[[#This Row],[Player2]])</f>
        <v>DaHanG</v>
      </c>
      <c r="W375" s="49" t="str">
        <f>IF(tbResults[[#This Row],[Player1 Score]]&gt;tbResults[[#This Row],[Player2 Score]],tbResults[[#This Row],[Player2]],tbResults[[#This Row],[Player1]])</f>
        <v>Zenaku</v>
      </c>
      <c r="X375" s="87" t="str">
        <f>IF(tbResults[[#This Row],[Winner]]=tbResults[[#This Row],[Player1]],tbResults[[#This Row],[Player1 Pick]],tbResults[[#This Row],[Player2 Pick]])</f>
        <v>Visor</v>
      </c>
      <c r="Y375" s="87" t="str">
        <f>IF(tbResults[[#This Row],[Loser]]=tbResults[[#This Row],[Player1]],tbResults[[#This Row],[Player1 Pick]],tbResults[[#This Row],[Player2 Pick]])</f>
        <v>BJ Blazkowicz</v>
      </c>
      <c r="Z375" s="88">
        <f>SUM(tbResults[[#This Row],[Player1 Score]],tbResults[[#This Row],[Player2 Score]])</f>
        <v>13</v>
      </c>
      <c r="AA375" s="88">
        <f>ABS(tbResults[[#This Row],[Player1 Score]]-tbResults[[#This Row],[Player2 Score]])</f>
        <v>3</v>
      </c>
      <c r="AB375" s="88">
        <f>IF(tbResults[[#This Row],[Player1 Score]]&gt;tbResults[[#This Row],[Player2 Score]],tbResults[[#This Row],[Player1 Score]],tbResults[[#This Row],[Player2 Score]])</f>
        <v>8</v>
      </c>
      <c r="AC375" s="88">
        <f>IF(tbResults[[#This Row],[Player1 Score]]&lt;tbResults[[#This Row],[Player2 Score]],tbResults[[#This Row],[Player1 Score]],tbResults[[#This Row],[Player2 Score]])</f>
        <v>5</v>
      </c>
    </row>
    <row r="376" spans="2:29" ht="30" customHeight="1" x14ac:dyDescent="0.3">
      <c r="B376" s="91" t="str">
        <f>_xlfn.CONCAT(tbResults[[#This Row],[Series Title]],".",tbResults[[#This Row],[Game]])</f>
        <v>2.2.13.01.1</v>
      </c>
      <c r="C376" s="92">
        <v>2</v>
      </c>
      <c r="D376" s="92">
        <v>2</v>
      </c>
      <c r="E376" s="92">
        <v>13</v>
      </c>
      <c r="F376" s="92">
        <v>1</v>
      </c>
      <c r="G376" s="65">
        <v>1</v>
      </c>
      <c r="H376" s="93" t="str">
        <f>_xlfn.CONCAT(tbResults[[#This Row],[Season]],".",tbResults[[#This Row],[Stage]])</f>
        <v>2.2</v>
      </c>
      <c r="I376" s="93" t="str">
        <f>_xlfn.CONCAT(tbResults[[#This Row],[Season]],".",tbResults[[#This Row],[Stage]],".",TEXT(tbResults[[#This Row],[Week]],"00"))</f>
        <v>2.2.13</v>
      </c>
      <c r="J376" s="93" t="str">
        <f>_xlfn.CONCAT(tbResults[[#This Row],[Week Title]],".",TEXT(tbResults[[#This Row],[Match]],"00"))</f>
        <v>2.2.13.01</v>
      </c>
      <c r="K376" s="91" t="str">
        <f>_xlfn.CONCAT(tbResults[[#This Row],[Game Title]], " ", tbResults[[#This Row],[Player1]], " vs ", tbResults[[#This Row],[Player2]] )</f>
        <v>2.2.13.01.1 Vengeurr vs Garpy</v>
      </c>
      <c r="L376" s="90" t="s">
        <v>13</v>
      </c>
      <c r="M376" s="90" t="s">
        <v>101</v>
      </c>
      <c r="N376" s="98" t="s">
        <v>32</v>
      </c>
      <c r="O376" s="98" t="s">
        <v>152</v>
      </c>
      <c r="P376" s="99" t="s">
        <v>22</v>
      </c>
      <c r="Q376" s="94">
        <v>12</v>
      </c>
      <c r="R376" s="94">
        <v>6</v>
      </c>
      <c r="S376" s="62" t="s">
        <v>81</v>
      </c>
      <c r="T376" s="100" t="s">
        <v>13</v>
      </c>
      <c r="U376" s="100" t="s">
        <v>35</v>
      </c>
      <c r="V376" s="47" t="str">
        <f>IF(tbResults[[#This Row],[Player1 Score]]&gt;tbResults[[#This Row],[Player2 Score]],tbResults[[#This Row],[Player1]],tbResults[[#This Row],[Player2]])</f>
        <v>Vengeurr</v>
      </c>
      <c r="W376" s="49" t="str">
        <f>IF(tbResults[[#This Row],[Player1 Score]]&gt;tbResults[[#This Row],[Player2 Score]],tbResults[[#This Row],[Player2]],tbResults[[#This Row],[Player1]])</f>
        <v>Garpy</v>
      </c>
      <c r="X376" s="95" t="str">
        <f>IF(tbResults[[#This Row],[Winner]]=tbResults[[#This Row],[Player1]],tbResults[[#This Row],[Player1 Pick]],tbResults[[#This Row],[Player2 Pick]])</f>
        <v>Death Knight</v>
      </c>
      <c r="Y376" s="95" t="str">
        <f>IF(tbResults[[#This Row],[Loser]]=tbResults[[#This Row],[Player1]],tbResults[[#This Row],[Player1 Pick]],tbResults[[#This Row],[Player2 Pick]])</f>
        <v>Strogg</v>
      </c>
      <c r="Z376" s="96">
        <f>SUM(tbResults[[#This Row],[Player1 Score]],tbResults[[#This Row],[Player2 Score]])</f>
        <v>18</v>
      </c>
      <c r="AA376" s="96">
        <f>ABS(tbResults[[#This Row],[Player1 Score]]-tbResults[[#This Row],[Player2 Score]])</f>
        <v>6</v>
      </c>
      <c r="AB376" s="96">
        <f>IF(tbResults[[#This Row],[Player1 Score]]&gt;tbResults[[#This Row],[Player2 Score]],tbResults[[#This Row],[Player1 Score]],tbResults[[#This Row],[Player2 Score]])</f>
        <v>12</v>
      </c>
      <c r="AC376" s="96">
        <f>IF(tbResults[[#This Row],[Player1 Score]]&lt;tbResults[[#This Row],[Player2 Score]],tbResults[[#This Row],[Player1 Score]],tbResults[[#This Row],[Player2 Score]])</f>
        <v>6</v>
      </c>
    </row>
    <row r="377" spans="2:29" ht="30" customHeight="1" x14ac:dyDescent="0.3">
      <c r="B377" s="91" t="str">
        <f>_xlfn.CONCAT(tbResults[[#This Row],[Series Title]],".",tbResults[[#This Row],[Game]])</f>
        <v>2.2.13.01.2</v>
      </c>
      <c r="C377" s="92">
        <v>2</v>
      </c>
      <c r="D377" s="92">
        <v>2</v>
      </c>
      <c r="E377" s="92">
        <v>13</v>
      </c>
      <c r="F377" s="92">
        <v>1</v>
      </c>
      <c r="G377" s="65">
        <v>2</v>
      </c>
      <c r="H377" s="93" t="str">
        <f>_xlfn.CONCAT(tbResults[[#This Row],[Season]],".",tbResults[[#This Row],[Stage]])</f>
        <v>2.2</v>
      </c>
      <c r="I377" s="93" t="str">
        <f>_xlfn.CONCAT(tbResults[[#This Row],[Season]],".",tbResults[[#This Row],[Stage]],".",TEXT(tbResults[[#This Row],[Week]],"00"))</f>
        <v>2.2.13</v>
      </c>
      <c r="J377" s="93" t="str">
        <f>_xlfn.CONCAT(tbResults[[#This Row],[Week Title]],".",TEXT(tbResults[[#This Row],[Match]],"00"))</f>
        <v>2.2.13.01</v>
      </c>
      <c r="K377" s="91" t="str">
        <f>_xlfn.CONCAT(tbResults[[#This Row],[Game Title]], " ", tbResults[[#This Row],[Player1]], " vs ", tbResults[[#This Row],[Player2]] )</f>
        <v>2.2.13.01.2 Vengeurr vs Garpy</v>
      </c>
      <c r="L377" s="90" t="s">
        <v>13</v>
      </c>
      <c r="M377" s="90" t="s">
        <v>101</v>
      </c>
      <c r="N377" s="98" t="s">
        <v>23</v>
      </c>
      <c r="O377" s="98" t="s">
        <v>39</v>
      </c>
      <c r="P377" s="99" t="s">
        <v>34</v>
      </c>
      <c r="Q377" s="94">
        <v>13</v>
      </c>
      <c r="R377" s="94">
        <v>6</v>
      </c>
      <c r="S377" s="62" t="s">
        <v>81</v>
      </c>
      <c r="T377" s="100" t="s">
        <v>101</v>
      </c>
      <c r="U377" s="100" t="s">
        <v>21</v>
      </c>
      <c r="V377" s="47" t="str">
        <f>IF(tbResults[[#This Row],[Player1 Score]]&gt;tbResults[[#This Row],[Player2 Score]],tbResults[[#This Row],[Player1]],tbResults[[#This Row],[Player2]])</f>
        <v>Vengeurr</v>
      </c>
      <c r="W377" s="49" t="str">
        <f>IF(tbResults[[#This Row],[Player1 Score]]&gt;tbResults[[#This Row],[Player2 Score]],tbResults[[#This Row],[Player2]],tbResults[[#This Row],[Player1]])</f>
        <v>Garpy</v>
      </c>
      <c r="X377" s="95" t="str">
        <f>IF(tbResults[[#This Row],[Winner]]=tbResults[[#This Row],[Player1]],tbResults[[#This Row],[Player1 Pick]],tbResults[[#This Row],[Player2 Pick]])</f>
        <v>Anarki</v>
      </c>
      <c r="Y377" s="95" t="str">
        <f>IF(tbResults[[#This Row],[Loser]]=tbResults[[#This Row],[Player1]],tbResults[[#This Row],[Player1 Pick]],tbResults[[#This Row],[Player2 Pick]])</f>
        <v>Galena</v>
      </c>
      <c r="Z377" s="96">
        <f>SUM(tbResults[[#This Row],[Player1 Score]],tbResults[[#This Row],[Player2 Score]])</f>
        <v>19</v>
      </c>
      <c r="AA377" s="96">
        <f>ABS(tbResults[[#This Row],[Player1 Score]]-tbResults[[#This Row],[Player2 Score]])</f>
        <v>7</v>
      </c>
      <c r="AB377" s="96">
        <f>IF(tbResults[[#This Row],[Player1 Score]]&gt;tbResults[[#This Row],[Player2 Score]],tbResults[[#This Row],[Player1 Score]],tbResults[[#This Row],[Player2 Score]])</f>
        <v>13</v>
      </c>
      <c r="AC377" s="96">
        <f>IF(tbResults[[#This Row],[Player1 Score]]&lt;tbResults[[#This Row],[Player2 Score]],tbResults[[#This Row],[Player1 Score]],tbResults[[#This Row],[Player2 Score]])</f>
        <v>6</v>
      </c>
    </row>
    <row r="378" spans="2:29" ht="30" customHeight="1" x14ac:dyDescent="0.3">
      <c r="B378" s="91" t="str">
        <f>_xlfn.CONCAT(tbResults[[#This Row],[Series Title]],".",tbResults[[#This Row],[Game]])</f>
        <v>2.2.13.01.3</v>
      </c>
      <c r="C378" s="92">
        <v>2</v>
      </c>
      <c r="D378" s="92">
        <v>2</v>
      </c>
      <c r="E378" s="92">
        <v>13</v>
      </c>
      <c r="F378" s="92">
        <v>1</v>
      </c>
      <c r="G378" s="65">
        <v>3</v>
      </c>
      <c r="H378" s="93" t="str">
        <f>_xlfn.CONCAT(tbResults[[#This Row],[Season]],".",tbResults[[#This Row],[Stage]])</f>
        <v>2.2</v>
      </c>
      <c r="I378" s="93" t="str">
        <f>_xlfn.CONCAT(tbResults[[#This Row],[Season]],".",tbResults[[#This Row],[Stage]],".",TEXT(tbResults[[#This Row],[Week]],"00"))</f>
        <v>2.2.13</v>
      </c>
      <c r="J378" s="93" t="str">
        <f>_xlfn.CONCAT(tbResults[[#This Row],[Week Title]],".",TEXT(tbResults[[#This Row],[Match]],"00"))</f>
        <v>2.2.13.01</v>
      </c>
      <c r="K378" s="91" t="str">
        <f>_xlfn.CONCAT(tbResults[[#This Row],[Game Title]], " ", tbResults[[#This Row],[Player1]], " vs ", tbResults[[#This Row],[Player2]] )</f>
        <v>2.2.13.01.3 Vengeurr vs Garpy</v>
      </c>
      <c r="L378" s="90" t="s">
        <v>13</v>
      </c>
      <c r="M378" s="90" t="s">
        <v>101</v>
      </c>
      <c r="N378" s="98" t="s">
        <v>26</v>
      </c>
      <c r="O378" s="98" t="s">
        <v>25</v>
      </c>
      <c r="P378" s="99" t="s">
        <v>44</v>
      </c>
      <c r="Q378" s="94">
        <v>17</v>
      </c>
      <c r="R378" s="94">
        <v>13</v>
      </c>
      <c r="S378" s="62" t="s">
        <v>81</v>
      </c>
      <c r="T378" s="100" t="s">
        <v>13</v>
      </c>
      <c r="U378" s="100" t="s">
        <v>36</v>
      </c>
      <c r="V378" s="47" t="str">
        <f>IF(tbResults[[#This Row],[Player1 Score]]&gt;tbResults[[#This Row],[Player2 Score]],tbResults[[#This Row],[Player1]],tbResults[[#This Row],[Player2]])</f>
        <v>Vengeurr</v>
      </c>
      <c r="W378" s="49" t="str">
        <f>IF(tbResults[[#This Row],[Player1 Score]]&gt;tbResults[[#This Row],[Player2 Score]],tbResults[[#This Row],[Player2]],tbResults[[#This Row],[Player1]])</f>
        <v>Garpy</v>
      </c>
      <c r="X378" s="95" t="str">
        <f>IF(tbResults[[#This Row],[Winner]]=tbResults[[#This Row],[Player1]],tbResults[[#This Row],[Player1 Pick]],tbResults[[#This Row],[Player2 Pick]])</f>
        <v>Sorlag</v>
      </c>
      <c r="Y378" s="95" t="str">
        <f>IF(tbResults[[#This Row],[Loser]]=tbResults[[#This Row],[Player1]],tbResults[[#This Row],[Player1 Pick]],tbResults[[#This Row],[Player2 Pick]])</f>
        <v>Scalebearer</v>
      </c>
      <c r="Z378" s="96">
        <f>SUM(tbResults[[#This Row],[Player1 Score]],tbResults[[#This Row],[Player2 Score]])</f>
        <v>30</v>
      </c>
      <c r="AA378" s="96">
        <f>ABS(tbResults[[#This Row],[Player1 Score]]-tbResults[[#This Row],[Player2 Score]])</f>
        <v>4</v>
      </c>
      <c r="AB378" s="96">
        <f>IF(tbResults[[#This Row],[Player1 Score]]&gt;tbResults[[#This Row],[Player2 Score]],tbResults[[#This Row],[Player1 Score]],tbResults[[#This Row],[Player2 Score]])</f>
        <v>17</v>
      </c>
      <c r="AC378" s="96">
        <f>IF(tbResults[[#This Row],[Player1 Score]]&lt;tbResults[[#This Row],[Player2 Score]],tbResults[[#This Row],[Player1 Score]],tbResults[[#This Row],[Player2 Score]])</f>
        <v>13</v>
      </c>
    </row>
    <row r="379" spans="2:29" ht="30" customHeight="1" x14ac:dyDescent="0.3">
      <c r="B379" s="91" t="str">
        <f>_xlfn.CONCAT(tbResults[[#This Row],[Series Title]],".",tbResults[[#This Row],[Game]])</f>
        <v>2.2.13.02.1</v>
      </c>
      <c r="C379" s="92">
        <v>2</v>
      </c>
      <c r="D379" s="92">
        <v>2</v>
      </c>
      <c r="E379" s="92">
        <v>13</v>
      </c>
      <c r="F379" s="92">
        <v>2</v>
      </c>
      <c r="G379" s="65">
        <v>1</v>
      </c>
      <c r="H379" s="93" t="str">
        <f>_xlfn.CONCAT(tbResults[[#This Row],[Season]],".",tbResults[[#This Row],[Stage]])</f>
        <v>2.2</v>
      </c>
      <c r="I379" s="93" t="str">
        <f>_xlfn.CONCAT(tbResults[[#This Row],[Season]],".",tbResults[[#This Row],[Stage]],".",TEXT(tbResults[[#This Row],[Week]],"00"))</f>
        <v>2.2.13</v>
      </c>
      <c r="J379" s="93" t="str">
        <f>_xlfn.CONCAT(tbResults[[#This Row],[Week Title]],".",TEXT(tbResults[[#This Row],[Match]],"00"))</f>
        <v>2.2.13.02</v>
      </c>
      <c r="K379" s="91" t="str">
        <f>_xlfn.CONCAT(tbResults[[#This Row],[Game Title]], " ", tbResults[[#This Row],[Player1]], " vs ", tbResults[[#This Row],[Player2]] )</f>
        <v>2.2.13.02.1 Effortless vs Nosfa</v>
      </c>
      <c r="L379" s="90" t="s">
        <v>6</v>
      </c>
      <c r="M379" s="90" t="s">
        <v>11</v>
      </c>
      <c r="N379" s="98" t="s">
        <v>26</v>
      </c>
      <c r="O379" s="98" t="s">
        <v>34</v>
      </c>
      <c r="P379" s="99" t="s">
        <v>22</v>
      </c>
      <c r="Q379" s="94">
        <v>7</v>
      </c>
      <c r="R379" s="94">
        <v>11</v>
      </c>
      <c r="S379" s="62" t="s">
        <v>81</v>
      </c>
      <c r="T379" s="100" t="s">
        <v>6</v>
      </c>
      <c r="U379" s="100" t="s">
        <v>25</v>
      </c>
      <c r="V379" s="47" t="str">
        <f>IF(tbResults[[#This Row],[Player1 Score]]&gt;tbResults[[#This Row],[Player2 Score]],tbResults[[#This Row],[Player1]],tbResults[[#This Row],[Player2]])</f>
        <v>Nosfa</v>
      </c>
      <c r="W379" s="49" t="str">
        <f>IF(tbResults[[#This Row],[Player1 Score]]&gt;tbResults[[#This Row],[Player2 Score]],tbResults[[#This Row],[Player2]],tbResults[[#This Row],[Player1]])</f>
        <v>Effortless</v>
      </c>
      <c r="X379" s="95" t="str">
        <f>IF(tbResults[[#This Row],[Winner]]=tbResults[[#This Row],[Player1]],tbResults[[#This Row],[Player1 Pick]],tbResults[[#This Row],[Player2 Pick]])</f>
        <v>Strogg</v>
      </c>
      <c r="Y379" s="95" t="str">
        <f>IF(tbResults[[#This Row],[Loser]]=tbResults[[#This Row],[Player1]],tbResults[[#This Row],[Player1 Pick]],tbResults[[#This Row],[Player2 Pick]])</f>
        <v>Galena</v>
      </c>
      <c r="Z379" s="96">
        <f>SUM(tbResults[[#This Row],[Player1 Score]],tbResults[[#This Row],[Player2 Score]])</f>
        <v>18</v>
      </c>
      <c r="AA379" s="96">
        <f>ABS(tbResults[[#This Row],[Player1 Score]]-tbResults[[#This Row],[Player2 Score]])</f>
        <v>4</v>
      </c>
      <c r="AB379" s="96">
        <f>IF(tbResults[[#This Row],[Player1 Score]]&gt;tbResults[[#This Row],[Player2 Score]],tbResults[[#This Row],[Player1 Score]],tbResults[[#This Row],[Player2 Score]])</f>
        <v>11</v>
      </c>
      <c r="AC379" s="96">
        <f>IF(tbResults[[#This Row],[Player1 Score]]&lt;tbResults[[#This Row],[Player2 Score]],tbResults[[#This Row],[Player1 Score]],tbResults[[#This Row],[Player2 Score]])</f>
        <v>7</v>
      </c>
    </row>
    <row r="380" spans="2:29" ht="30" customHeight="1" x14ac:dyDescent="0.3">
      <c r="B380" s="91" t="str">
        <f>_xlfn.CONCAT(tbResults[[#This Row],[Series Title]],".",tbResults[[#This Row],[Game]])</f>
        <v>2.2.13.02.2</v>
      </c>
      <c r="C380" s="92">
        <v>2</v>
      </c>
      <c r="D380" s="92">
        <v>2</v>
      </c>
      <c r="E380" s="92">
        <v>13</v>
      </c>
      <c r="F380" s="92">
        <v>2</v>
      </c>
      <c r="G380" s="65">
        <v>2</v>
      </c>
      <c r="H380" s="93" t="str">
        <f>_xlfn.CONCAT(tbResults[[#This Row],[Season]],".",tbResults[[#This Row],[Stage]])</f>
        <v>2.2</v>
      </c>
      <c r="I380" s="93" t="str">
        <f>_xlfn.CONCAT(tbResults[[#This Row],[Season]],".",tbResults[[#This Row],[Stage]],".",TEXT(tbResults[[#This Row],[Week]],"00"))</f>
        <v>2.2.13</v>
      </c>
      <c r="J380" s="93" t="str">
        <f>_xlfn.CONCAT(tbResults[[#This Row],[Week Title]],".",TEXT(tbResults[[#This Row],[Match]],"00"))</f>
        <v>2.2.13.02</v>
      </c>
      <c r="K380" s="91" t="str">
        <f>_xlfn.CONCAT(tbResults[[#This Row],[Game Title]], " ", tbResults[[#This Row],[Player1]], " vs ", tbResults[[#This Row],[Player2]] )</f>
        <v>2.2.13.02.2 Effortless vs Nosfa</v>
      </c>
      <c r="L380" s="90" t="s">
        <v>6</v>
      </c>
      <c r="M380" s="90" t="s">
        <v>11</v>
      </c>
      <c r="N380" s="98" t="s">
        <v>23</v>
      </c>
      <c r="O380" s="98" t="s">
        <v>39</v>
      </c>
      <c r="P380" s="99" t="s">
        <v>24</v>
      </c>
      <c r="Q380" s="94">
        <v>4</v>
      </c>
      <c r="R380" s="94">
        <v>13</v>
      </c>
      <c r="S380" s="62" t="s">
        <v>81</v>
      </c>
      <c r="T380" s="100" t="s">
        <v>11</v>
      </c>
      <c r="U380" s="100" t="s">
        <v>44</v>
      </c>
      <c r="V380" s="47" t="str">
        <f>IF(tbResults[[#This Row],[Player1 Score]]&gt;tbResults[[#This Row],[Player2 Score]],tbResults[[#This Row],[Player1]],tbResults[[#This Row],[Player2]])</f>
        <v>Nosfa</v>
      </c>
      <c r="W380" s="49" t="str">
        <f>IF(tbResults[[#This Row],[Player1 Score]]&gt;tbResults[[#This Row],[Player2 Score]],tbResults[[#This Row],[Player2]],tbResults[[#This Row],[Player1]])</f>
        <v>Effortless</v>
      </c>
      <c r="X380" s="95" t="str">
        <f>IF(tbResults[[#This Row],[Winner]]=tbResults[[#This Row],[Player1]],tbResults[[#This Row],[Player1 Pick]],tbResults[[#This Row],[Player2 Pick]])</f>
        <v>Slash</v>
      </c>
      <c r="Y380" s="95" t="str">
        <f>IF(tbResults[[#This Row],[Loser]]=tbResults[[#This Row],[Player1]],tbResults[[#This Row],[Player1 Pick]],tbResults[[#This Row],[Player2 Pick]])</f>
        <v>Anarki</v>
      </c>
      <c r="Z380" s="96">
        <f>SUM(tbResults[[#This Row],[Player1 Score]],tbResults[[#This Row],[Player2 Score]])</f>
        <v>17</v>
      </c>
      <c r="AA380" s="96">
        <f>ABS(tbResults[[#This Row],[Player1 Score]]-tbResults[[#This Row],[Player2 Score]])</f>
        <v>9</v>
      </c>
      <c r="AB380" s="96">
        <f>IF(tbResults[[#This Row],[Player1 Score]]&gt;tbResults[[#This Row],[Player2 Score]],tbResults[[#This Row],[Player1 Score]],tbResults[[#This Row],[Player2 Score]])</f>
        <v>13</v>
      </c>
      <c r="AC380" s="96">
        <f>IF(tbResults[[#This Row],[Player1 Score]]&lt;tbResults[[#This Row],[Player2 Score]],tbResults[[#This Row],[Player1 Score]],tbResults[[#This Row],[Player2 Score]])</f>
        <v>4</v>
      </c>
    </row>
    <row r="381" spans="2:29" ht="30" customHeight="1" x14ac:dyDescent="0.3">
      <c r="B381" s="91" t="str">
        <f>_xlfn.CONCAT(tbResults[[#This Row],[Series Title]],".",tbResults[[#This Row],[Game]])</f>
        <v>2.2.13.02.3</v>
      </c>
      <c r="C381" s="92">
        <v>2</v>
      </c>
      <c r="D381" s="92">
        <v>2</v>
      </c>
      <c r="E381" s="92">
        <v>13</v>
      </c>
      <c r="F381" s="92">
        <v>2</v>
      </c>
      <c r="G381" s="65">
        <v>3</v>
      </c>
      <c r="H381" s="93" t="str">
        <f>_xlfn.CONCAT(tbResults[[#This Row],[Season]],".",tbResults[[#This Row],[Stage]])</f>
        <v>2.2</v>
      </c>
      <c r="I381" s="93" t="str">
        <f>_xlfn.CONCAT(tbResults[[#This Row],[Season]],".",tbResults[[#This Row],[Stage]],".",TEXT(tbResults[[#This Row],[Week]],"00"))</f>
        <v>2.2.13</v>
      </c>
      <c r="J381" s="93" t="str">
        <f>_xlfn.CONCAT(tbResults[[#This Row],[Week Title]],".",TEXT(tbResults[[#This Row],[Match]],"00"))</f>
        <v>2.2.13.02</v>
      </c>
      <c r="K381" s="91" t="str">
        <f>_xlfn.CONCAT(tbResults[[#This Row],[Game Title]], " ", tbResults[[#This Row],[Player1]], " vs ", tbResults[[#This Row],[Player2]] )</f>
        <v>2.2.13.02.3 Effortless vs Nosfa</v>
      </c>
      <c r="L381" s="90" t="s">
        <v>6</v>
      </c>
      <c r="M381" s="90" t="s">
        <v>11</v>
      </c>
      <c r="N381" s="98" t="s">
        <v>19</v>
      </c>
      <c r="O381" s="98" t="s">
        <v>35</v>
      </c>
      <c r="P381" s="99" t="s">
        <v>55</v>
      </c>
      <c r="Q381" s="94">
        <v>16</v>
      </c>
      <c r="R381" s="94">
        <v>5</v>
      </c>
      <c r="S381" s="62" t="s">
        <v>81</v>
      </c>
      <c r="T381" s="100" t="s">
        <v>6</v>
      </c>
      <c r="U381" s="100" t="s">
        <v>152</v>
      </c>
      <c r="V381" s="47" t="str">
        <f>IF(tbResults[[#This Row],[Player1 Score]]&gt;tbResults[[#This Row],[Player2 Score]],tbResults[[#This Row],[Player1]],tbResults[[#This Row],[Player2]])</f>
        <v>Effortless</v>
      </c>
      <c r="W381" s="49" t="str">
        <f>IF(tbResults[[#This Row],[Player1 Score]]&gt;tbResults[[#This Row],[Player2 Score]],tbResults[[#This Row],[Player2]],tbResults[[#This Row],[Player1]])</f>
        <v>Nosfa</v>
      </c>
      <c r="X381" s="95" t="str">
        <f>IF(tbResults[[#This Row],[Winner]]=tbResults[[#This Row],[Player1]],tbResults[[#This Row],[Player1 Pick]],tbResults[[#This Row],[Player2 Pick]])</f>
        <v>Doom</v>
      </c>
      <c r="Y381" s="95" t="str">
        <f>IF(tbResults[[#This Row],[Loser]]=tbResults[[#This Row],[Player1]],tbResults[[#This Row],[Player1 Pick]],tbResults[[#This Row],[Player2 Pick]])</f>
        <v>Athena</v>
      </c>
      <c r="Z381" s="96">
        <f>SUM(tbResults[[#This Row],[Player1 Score]],tbResults[[#This Row],[Player2 Score]])</f>
        <v>21</v>
      </c>
      <c r="AA381" s="96">
        <f>ABS(tbResults[[#This Row],[Player1 Score]]-tbResults[[#This Row],[Player2 Score]])</f>
        <v>11</v>
      </c>
      <c r="AB381" s="96">
        <f>IF(tbResults[[#This Row],[Player1 Score]]&gt;tbResults[[#This Row],[Player2 Score]],tbResults[[#This Row],[Player1 Score]],tbResults[[#This Row],[Player2 Score]])</f>
        <v>16</v>
      </c>
      <c r="AC381" s="96">
        <f>IF(tbResults[[#This Row],[Player1 Score]]&lt;tbResults[[#This Row],[Player2 Score]],tbResults[[#This Row],[Player1 Score]],tbResults[[#This Row],[Player2 Score]])</f>
        <v>5</v>
      </c>
    </row>
    <row r="382" spans="2:29" ht="30" customHeight="1" x14ac:dyDescent="0.3">
      <c r="B382" s="91" t="str">
        <f>_xlfn.CONCAT(tbResults[[#This Row],[Series Title]],".",tbResults[[#This Row],[Game]])</f>
        <v>2.2.13.03.1</v>
      </c>
      <c r="C382" s="92">
        <v>2</v>
      </c>
      <c r="D382" s="92">
        <v>2</v>
      </c>
      <c r="E382" s="92">
        <v>13</v>
      </c>
      <c r="F382" s="92">
        <v>3</v>
      </c>
      <c r="G382" s="65">
        <v>1</v>
      </c>
      <c r="H382" s="93" t="str">
        <f>_xlfn.CONCAT(tbResults[[#This Row],[Season]],".",tbResults[[#This Row],[Stage]])</f>
        <v>2.2</v>
      </c>
      <c r="I382" s="93" t="str">
        <f>_xlfn.CONCAT(tbResults[[#This Row],[Season]],".",tbResults[[#This Row],[Stage]],".",TEXT(tbResults[[#This Row],[Week]],"00"))</f>
        <v>2.2.13</v>
      </c>
      <c r="J382" s="93" t="str">
        <f>_xlfn.CONCAT(tbResults[[#This Row],[Week Title]],".",TEXT(tbResults[[#This Row],[Match]],"00"))</f>
        <v>2.2.13.03</v>
      </c>
      <c r="K382" s="91" t="str">
        <f>_xlfn.CONCAT(tbResults[[#This Row],[Game Title]], " ", tbResults[[#This Row],[Player1]], " vs ", tbResults[[#This Row],[Player2]] )</f>
        <v>2.2.13.03.1 maxter vs Psygib</v>
      </c>
      <c r="L382" s="90" t="s">
        <v>41</v>
      </c>
      <c r="M382" s="90" t="s">
        <v>30</v>
      </c>
      <c r="N382" s="98" t="s">
        <v>40</v>
      </c>
      <c r="O382" s="98" t="s">
        <v>21</v>
      </c>
      <c r="P382" s="99" t="s">
        <v>22</v>
      </c>
      <c r="Q382" s="94">
        <v>18</v>
      </c>
      <c r="R382" s="94">
        <v>6</v>
      </c>
      <c r="S382" s="62" t="s">
        <v>81</v>
      </c>
      <c r="T382" s="100" t="s">
        <v>30</v>
      </c>
      <c r="U382" s="100" t="s">
        <v>35</v>
      </c>
      <c r="V382" s="47" t="str">
        <f>IF(tbResults[[#This Row],[Player1 Score]]&gt;tbResults[[#This Row],[Player2 Score]],tbResults[[#This Row],[Player1]],tbResults[[#This Row],[Player2]])</f>
        <v>maxter</v>
      </c>
      <c r="W382" s="49" t="str">
        <f>IF(tbResults[[#This Row],[Player1 Score]]&gt;tbResults[[#This Row],[Player2 Score]],tbResults[[#This Row],[Player2]],tbResults[[#This Row],[Player1]])</f>
        <v>Psygib</v>
      </c>
      <c r="X382" s="95" t="str">
        <f>IF(tbResults[[#This Row],[Winner]]=tbResults[[#This Row],[Player1]],tbResults[[#This Row],[Player1 Pick]],tbResults[[#This Row],[Player2 Pick]])</f>
        <v>Ranger</v>
      </c>
      <c r="Y382" s="95" t="str">
        <f>IF(tbResults[[#This Row],[Loser]]=tbResults[[#This Row],[Player1]],tbResults[[#This Row],[Player1 Pick]],tbResults[[#This Row],[Player2 Pick]])</f>
        <v>Strogg</v>
      </c>
      <c r="Z382" s="96">
        <f>SUM(tbResults[[#This Row],[Player1 Score]],tbResults[[#This Row],[Player2 Score]])</f>
        <v>24</v>
      </c>
      <c r="AA382" s="96">
        <f>ABS(tbResults[[#This Row],[Player1 Score]]-tbResults[[#This Row],[Player2 Score]])</f>
        <v>12</v>
      </c>
      <c r="AB382" s="96">
        <f>IF(tbResults[[#This Row],[Player1 Score]]&gt;tbResults[[#This Row],[Player2 Score]],tbResults[[#This Row],[Player1 Score]],tbResults[[#This Row],[Player2 Score]])</f>
        <v>18</v>
      </c>
      <c r="AC382" s="96">
        <f>IF(tbResults[[#This Row],[Player1 Score]]&lt;tbResults[[#This Row],[Player2 Score]],tbResults[[#This Row],[Player1 Score]],tbResults[[#This Row],[Player2 Score]])</f>
        <v>6</v>
      </c>
    </row>
    <row r="383" spans="2:29" ht="30" customHeight="1" x14ac:dyDescent="0.3">
      <c r="B383" s="91" t="str">
        <f>_xlfn.CONCAT(tbResults[[#This Row],[Series Title]],".",tbResults[[#This Row],[Game]])</f>
        <v>2.2.13.03.2</v>
      </c>
      <c r="C383" s="92">
        <v>2</v>
      </c>
      <c r="D383" s="92">
        <v>2</v>
      </c>
      <c r="E383" s="92">
        <v>13</v>
      </c>
      <c r="F383" s="92">
        <v>3</v>
      </c>
      <c r="G383" s="65">
        <v>2</v>
      </c>
      <c r="H383" s="93" t="str">
        <f>_xlfn.CONCAT(tbResults[[#This Row],[Season]],".",tbResults[[#This Row],[Stage]])</f>
        <v>2.2</v>
      </c>
      <c r="I383" s="93" t="str">
        <f>_xlfn.CONCAT(tbResults[[#This Row],[Season]],".",tbResults[[#This Row],[Stage]],".",TEXT(tbResults[[#This Row],[Week]],"00"))</f>
        <v>2.2.13</v>
      </c>
      <c r="J383" s="93" t="str">
        <f>_xlfn.CONCAT(tbResults[[#This Row],[Week Title]],".",TEXT(tbResults[[#This Row],[Match]],"00"))</f>
        <v>2.2.13.03</v>
      </c>
      <c r="K383" s="91" t="str">
        <f>_xlfn.CONCAT(tbResults[[#This Row],[Game Title]], " ", tbResults[[#This Row],[Player1]], " vs ", tbResults[[#This Row],[Player2]] )</f>
        <v>2.2.13.03.2 maxter vs Psygib</v>
      </c>
      <c r="L383" s="90" t="s">
        <v>41</v>
      </c>
      <c r="M383" s="90" t="s">
        <v>30</v>
      </c>
      <c r="N383" s="98" t="s">
        <v>32</v>
      </c>
      <c r="O383" s="98" t="s">
        <v>44</v>
      </c>
      <c r="P383" s="99" t="s">
        <v>37</v>
      </c>
      <c r="Q383" s="94">
        <v>15</v>
      </c>
      <c r="R383" s="94">
        <v>5</v>
      </c>
      <c r="S383" s="62" t="s">
        <v>81</v>
      </c>
      <c r="T383" s="100" t="s">
        <v>41</v>
      </c>
      <c r="U383" s="100" t="s">
        <v>25</v>
      </c>
      <c r="V383" s="47" t="str">
        <f>IF(tbResults[[#This Row],[Player1 Score]]&gt;tbResults[[#This Row],[Player2 Score]],tbResults[[#This Row],[Player1]],tbResults[[#This Row],[Player2]])</f>
        <v>maxter</v>
      </c>
      <c r="W383" s="49" t="str">
        <f>IF(tbResults[[#This Row],[Player1 Score]]&gt;tbResults[[#This Row],[Player2 Score]],tbResults[[#This Row],[Player2]],tbResults[[#This Row],[Player1]])</f>
        <v>Psygib</v>
      </c>
      <c r="X383" s="95" t="str">
        <f>IF(tbResults[[#This Row],[Winner]]=tbResults[[#This Row],[Player1]],tbResults[[#This Row],[Player1 Pick]],tbResults[[#This Row],[Player2 Pick]])</f>
        <v>Scalebearer</v>
      </c>
      <c r="Y383" s="95" t="str">
        <f>IF(tbResults[[#This Row],[Loser]]=tbResults[[#This Row],[Player1]],tbResults[[#This Row],[Player1 Pick]],tbResults[[#This Row],[Player2 Pick]])</f>
        <v>Eisen</v>
      </c>
      <c r="Z383" s="96">
        <f>SUM(tbResults[[#This Row],[Player1 Score]],tbResults[[#This Row],[Player2 Score]])</f>
        <v>20</v>
      </c>
      <c r="AA383" s="96">
        <f>ABS(tbResults[[#This Row],[Player1 Score]]-tbResults[[#This Row],[Player2 Score]])</f>
        <v>10</v>
      </c>
      <c r="AB383" s="96">
        <f>IF(tbResults[[#This Row],[Player1 Score]]&gt;tbResults[[#This Row],[Player2 Score]],tbResults[[#This Row],[Player1 Score]],tbResults[[#This Row],[Player2 Score]])</f>
        <v>15</v>
      </c>
      <c r="AC383" s="96">
        <f>IF(tbResults[[#This Row],[Player1 Score]]&lt;tbResults[[#This Row],[Player2 Score]],tbResults[[#This Row],[Player1 Score]],tbResults[[#This Row],[Player2 Score]])</f>
        <v>5</v>
      </c>
    </row>
    <row r="384" spans="2:29" ht="30" customHeight="1" x14ac:dyDescent="0.3">
      <c r="B384" s="91" t="str">
        <f>_xlfn.CONCAT(tbResults[[#This Row],[Series Title]],".",tbResults[[#This Row],[Game]])</f>
        <v>2.2.13.03.3</v>
      </c>
      <c r="C384" s="92">
        <v>2</v>
      </c>
      <c r="D384" s="92">
        <v>2</v>
      </c>
      <c r="E384" s="92">
        <v>13</v>
      </c>
      <c r="F384" s="92">
        <v>3</v>
      </c>
      <c r="G384" s="65">
        <v>3</v>
      </c>
      <c r="H384" s="93" t="str">
        <f>_xlfn.CONCAT(tbResults[[#This Row],[Season]],".",tbResults[[#This Row],[Stage]])</f>
        <v>2.2</v>
      </c>
      <c r="I384" s="93" t="str">
        <f>_xlfn.CONCAT(tbResults[[#This Row],[Season]],".",tbResults[[#This Row],[Stage]],".",TEXT(tbResults[[#This Row],[Week]],"00"))</f>
        <v>2.2.13</v>
      </c>
      <c r="J384" s="93" t="str">
        <f>_xlfn.CONCAT(tbResults[[#This Row],[Week Title]],".",TEXT(tbResults[[#This Row],[Match]],"00"))</f>
        <v>2.2.13.03</v>
      </c>
      <c r="K384" s="91" t="str">
        <f>_xlfn.CONCAT(tbResults[[#This Row],[Game Title]], " ", tbResults[[#This Row],[Player1]], " vs ", tbResults[[#This Row],[Player2]] )</f>
        <v>2.2.13.03.3 maxter vs Psygib</v>
      </c>
      <c r="L384" s="90" t="s">
        <v>41</v>
      </c>
      <c r="M384" s="90" t="s">
        <v>30</v>
      </c>
      <c r="N384" s="98" t="s">
        <v>43</v>
      </c>
      <c r="O384" s="98" t="s">
        <v>152</v>
      </c>
      <c r="P384" s="99" t="s">
        <v>28</v>
      </c>
      <c r="Q384" s="94">
        <v>11</v>
      </c>
      <c r="R384" s="94">
        <v>3</v>
      </c>
      <c r="S384" s="62" t="s">
        <v>81</v>
      </c>
      <c r="T384" s="100" t="s">
        <v>30</v>
      </c>
      <c r="U384" s="100" t="s">
        <v>27</v>
      </c>
      <c r="V384" s="47" t="str">
        <f>IF(tbResults[[#This Row],[Player1 Score]]&gt;tbResults[[#This Row],[Player2 Score]],tbResults[[#This Row],[Player1]],tbResults[[#This Row],[Player2]])</f>
        <v>maxter</v>
      </c>
      <c r="W384" s="49" t="str">
        <f>IF(tbResults[[#This Row],[Player1 Score]]&gt;tbResults[[#This Row],[Player2 Score]],tbResults[[#This Row],[Player2]],tbResults[[#This Row],[Player1]])</f>
        <v>Psygib</v>
      </c>
      <c r="X384" s="95" t="str">
        <f>IF(tbResults[[#This Row],[Winner]]=tbResults[[#This Row],[Player1]],tbResults[[#This Row],[Player1 Pick]],tbResults[[#This Row],[Player2 Pick]])</f>
        <v>Death Knight</v>
      </c>
      <c r="Y384" s="95" t="str">
        <f>IF(tbResults[[#This Row],[Loser]]=tbResults[[#This Row],[Player1]],tbResults[[#This Row],[Player1 Pick]],tbResults[[#This Row],[Player2 Pick]])</f>
        <v>BJ Blazkowicz</v>
      </c>
      <c r="Z384" s="96">
        <f>SUM(tbResults[[#This Row],[Player1 Score]],tbResults[[#This Row],[Player2 Score]])</f>
        <v>14</v>
      </c>
      <c r="AA384" s="96">
        <f>ABS(tbResults[[#This Row],[Player1 Score]]-tbResults[[#This Row],[Player2 Score]])</f>
        <v>8</v>
      </c>
      <c r="AB384" s="96">
        <f>IF(tbResults[[#This Row],[Player1 Score]]&gt;tbResults[[#This Row],[Player2 Score]],tbResults[[#This Row],[Player1 Score]],tbResults[[#This Row],[Player2 Score]])</f>
        <v>11</v>
      </c>
      <c r="AC384" s="96">
        <f>IF(tbResults[[#This Row],[Player1 Score]]&lt;tbResults[[#This Row],[Player2 Score]],tbResults[[#This Row],[Player1 Score]],tbResults[[#This Row],[Player2 Score]])</f>
        <v>3</v>
      </c>
    </row>
    <row r="385" spans="2:29" ht="30" customHeight="1" x14ac:dyDescent="0.3">
      <c r="B385" s="91" t="str">
        <f>_xlfn.CONCAT(tbResults[[#This Row],[Series Title]],".",tbResults[[#This Row],[Game]])</f>
        <v>2.2.13.04.1</v>
      </c>
      <c r="C385" s="92">
        <v>2</v>
      </c>
      <c r="D385" s="92">
        <v>2</v>
      </c>
      <c r="E385" s="92">
        <v>13</v>
      </c>
      <c r="F385" s="92">
        <v>4</v>
      </c>
      <c r="G385" s="65">
        <v>1</v>
      </c>
      <c r="H385" s="93" t="str">
        <f>_xlfn.CONCAT(tbResults[[#This Row],[Season]],".",tbResults[[#This Row],[Stage]])</f>
        <v>2.2</v>
      </c>
      <c r="I385" s="93" t="str">
        <f>_xlfn.CONCAT(tbResults[[#This Row],[Season]],".",tbResults[[#This Row],[Stage]],".",TEXT(tbResults[[#This Row],[Week]],"00"))</f>
        <v>2.2.13</v>
      </c>
      <c r="J385" s="93" t="str">
        <f>_xlfn.CONCAT(tbResults[[#This Row],[Week Title]],".",TEXT(tbResults[[#This Row],[Match]],"00"))</f>
        <v>2.2.13.04</v>
      </c>
      <c r="K385" s="91" t="str">
        <f>_xlfn.CONCAT(tbResults[[#This Row],[Game Title]], " ", tbResults[[#This Row],[Player1]], " vs ", tbResults[[#This Row],[Player2]] )</f>
        <v>2.2.13.04.1 Base vs Av3k</v>
      </c>
      <c r="L385" s="90" t="s">
        <v>51</v>
      </c>
      <c r="M385" s="90" t="s">
        <v>52</v>
      </c>
      <c r="N385" s="98" t="s">
        <v>19</v>
      </c>
      <c r="O385" s="98" t="s">
        <v>22</v>
      </c>
      <c r="P385" s="99" t="s">
        <v>35</v>
      </c>
      <c r="Q385" s="94">
        <v>7</v>
      </c>
      <c r="R385" s="94">
        <v>6</v>
      </c>
      <c r="S385" s="106" t="s">
        <v>82</v>
      </c>
      <c r="T385" s="100" t="s">
        <v>52</v>
      </c>
      <c r="U385" s="100" t="s">
        <v>37</v>
      </c>
      <c r="V385" s="47" t="str">
        <f>IF(tbResults[[#This Row],[Player1 Score]]&gt;tbResults[[#This Row],[Player2 Score]],tbResults[[#This Row],[Player1]],tbResults[[#This Row],[Player2]])</f>
        <v>Base</v>
      </c>
      <c r="W385" s="49" t="str">
        <f>IF(tbResults[[#This Row],[Player1 Score]]&gt;tbResults[[#This Row],[Player2 Score]],tbResults[[#This Row],[Player2]],tbResults[[#This Row],[Player1]])</f>
        <v>Av3k</v>
      </c>
      <c r="X385" s="95" t="str">
        <f>IF(tbResults[[#This Row],[Winner]]=tbResults[[#This Row],[Player1]],tbResults[[#This Row],[Player1 Pick]],tbResults[[#This Row],[Player2 Pick]])</f>
        <v>Strogg</v>
      </c>
      <c r="Y385" s="95" t="str">
        <f>IF(tbResults[[#This Row],[Loser]]=tbResults[[#This Row],[Player1]],tbResults[[#This Row],[Player1 Pick]],tbResults[[#This Row],[Player2 Pick]])</f>
        <v>Doom</v>
      </c>
      <c r="Z385" s="96">
        <f>SUM(tbResults[[#This Row],[Player1 Score]],tbResults[[#This Row],[Player2 Score]])</f>
        <v>13</v>
      </c>
      <c r="AA385" s="96">
        <f>ABS(tbResults[[#This Row],[Player1 Score]]-tbResults[[#This Row],[Player2 Score]])</f>
        <v>1</v>
      </c>
      <c r="AB385" s="96">
        <f>IF(tbResults[[#This Row],[Player1 Score]]&gt;tbResults[[#This Row],[Player2 Score]],tbResults[[#This Row],[Player1 Score]],tbResults[[#This Row],[Player2 Score]])</f>
        <v>7</v>
      </c>
      <c r="AC385" s="96">
        <f>IF(tbResults[[#This Row],[Player1 Score]]&lt;tbResults[[#This Row],[Player2 Score]],tbResults[[#This Row],[Player1 Score]],tbResults[[#This Row],[Player2 Score]])</f>
        <v>6</v>
      </c>
    </row>
    <row r="386" spans="2:29" ht="30" customHeight="1" x14ac:dyDescent="0.3">
      <c r="B386" s="91" t="str">
        <f>_xlfn.CONCAT(tbResults[[#This Row],[Series Title]],".",tbResults[[#This Row],[Game]])</f>
        <v>2.2.13.04.2</v>
      </c>
      <c r="C386" s="92">
        <v>2</v>
      </c>
      <c r="D386" s="92">
        <v>2</v>
      </c>
      <c r="E386" s="92">
        <v>13</v>
      </c>
      <c r="F386" s="92">
        <v>4</v>
      </c>
      <c r="G386" s="65">
        <v>2</v>
      </c>
      <c r="H386" s="93" t="str">
        <f>_xlfn.CONCAT(tbResults[[#This Row],[Season]],".",tbResults[[#This Row],[Stage]])</f>
        <v>2.2</v>
      </c>
      <c r="I386" s="93" t="str">
        <f>_xlfn.CONCAT(tbResults[[#This Row],[Season]],".",tbResults[[#This Row],[Stage]],".",TEXT(tbResults[[#This Row],[Week]],"00"))</f>
        <v>2.2.13</v>
      </c>
      <c r="J386" s="93" t="str">
        <f>_xlfn.CONCAT(tbResults[[#This Row],[Week Title]],".",TEXT(tbResults[[#This Row],[Match]],"00"))</f>
        <v>2.2.13.04</v>
      </c>
      <c r="K386" s="91" t="str">
        <f>_xlfn.CONCAT(tbResults[[#This Row],[Game Title]], " ", tbResults[[#This Row],[Player1]], " vs ", tbResults[[#This Row],[Player2]] )</f>
        <v>2.2.13.04.2 Base vs Av3k</v>
      </c>
      <c r="L386" s="90" t="s">
        <v>51</v>
      </c>
      <c r="M386" s="90" t="s">
        <v>52</v>
      </c>
      <c r="N386" s="98" t="s">
        <v>26</v>
      </c>
      <c r="O386" s="98" t="s">
        <v>39</v>
      </c>
      <c r="P386" s="99" t="s">
        <v>21</v>
      </c>
      <c r="Q386" s="94">
        <v>4</v>
      </c>
      <c r="R386" s="94">
        <v>7</v>
      </c>
      <c r="S386" s="62" t="s">
        <v>81</v>
      </c>
      <c r="T386" s="100" t="s">
        <v>51</v>
      </c>
      <c r="U386" s="100" t="s">
        <v>28</v>
      </c>
      <c r="V386" s="47" t="str">
        <f>IF(tbResults[[#This Row],[Player1 Score]]&gt;tbResults[[#This Row],[Player2 Score]],tbResults[[#This Row],[Player1]],tbResults[[#This Row],[Player2]])</f>
        <v>Av3k</v>
      </c>
      <c r="W386" s="49" t="str">
        <f>IF(tbResults[[#This Row],[Player1 Score]]&gt;tbResults[[#This Row],[Player2 Score]],tbResults[[#This Row],[Player2]],tbResults[[#This Row],[Player1]])</f>
        <v>Base</v>
      </c>
      <c r="X386" s="95" t="str">
        <f>IF(tbResults[[#This Row],[Winner]]=tbResults[[#This Row],[Player1]],tbResults[[#This Row],[Player1 Pick]],tbResults[[#This Row],[Player2 Pick]])</f>
        <v>Ranger</v>
      </c>
      <c r="Y386" s="95" t="str">
        <f>IF(tbResults[[#This Row],[Loser]]=tbResults[[#This Row],[Player1]],tbResults[[#This Row],[Player1 Pick]],tbResults[[#This Row],[Player2 Pick]])</f>
        <v>Anarki</v>
      </c>
      <c r="Z386" s="96">
        <f>SUM(tbResults[[#This Row],[Player1 Score]],tbResults[[#This Row],[Player2 Score]])</f>
        <v>11</v>
      </c>
      <c r="AA386" s="96">
        <f>ABS(tbResults[[#This Row],[Player1 Score]]-tbResults[[#This Row],[Player2 Score]])</f>
        <v>3</v>
      </c>
      <c r="AB386" s="96">
        <f>IF(tbResults[[#This Row],[Player1 Score]]&gt;tbResults[[#This Row],[Player2 Score]],tbResults[[#This Row],[Player1 Score]],tbResults[[#This Row],[Player2 Score]])</f>
        <v>7</v>
      </c>
      <c r="AC386" s="96">
        <f>IF(tbResults[[#This Row],[Player1 Score]]&lt;tbResults[[#This Row],[Player2 Score]],tbResults[[#This Row],[Player1 Score]],tbResults[[#This Row],[Player2 Score]])</f>
        <v>4</v>
      </c>
    </row>
    <row r="387" spans="2:29" ht="30" customHeight="1" x14ac:dyDescent="0.3">
      <c r="B387" s="91" t="str">
        <f>_xlfn.CONCAT(tbResults[[#This Row],[Series Title]],".",tbResults[[#This Row],[Game]])</f>
        <v>2.2.13.04.3</v>
      </c>
      <c r="C387" s="92">
        <v>2</v>
      </c>
      <c r="D387" s="92">
        <v>2</v>
      </c>
      <c r="E387" s="92">
        <v>13</v>
      </c>
      <c r="F387" s="92">
        <v>4</v>
      </c>
      <c r="G387" s="65">
        <v>3</v>
      </c>
      <c r="H387" s="93" t="str">
        <f>_xlfn.CONCAT(tbResults[[#This Row],[Season]],".",tbResults[[#This Row],[Stage]])</f>
        <v>2.2</v>
      </c>
      <c r="I387" s="93" t="str">
        <f>_xlfn.CONCAT(tbResults[[#This Row],[Season]],".",tbResults[[#This Row],[Stage]],".",TEXT(tbResults[[#This Row],[Week]],"00"))</f>
        <v>2.2.13</v>
      </c>
      <c r="J387" s="93" t="str">
        <f>_xlfn.CONCAT(tbResults[[#This Row],[Week Title]],".",TEXT(tbResults[[#This Row],[Match]],"00"))</f>
        <v>2.2.13.04</v>
      </c>
      <c r="K387" s="91" t="str">
        <f>_xlfn.CONCAT(tbResults[[#This Row],[Game Title]], " ", tbResults[[#This Row],[Player1]], " vs ", tbResults[[#This Row],[Player2]] )</f>
        <v>2.2.13.04.3 Base vs Av3k</v>
      </c>
      <c r="L387" s="90" t="s">
        <v>51</v>
      </c>
      <c r="M387" s="90" t="s">
        <v>52</v>
      </c>
      <c r="N387" s="98" t="s">
        <v>40</v>
      </c>
      <c r="O387" s="98" t="s">
        <v>38</v>
      </c>
      <c r="P387" s="99" t="s">
        <v>27</v>
      </c>
      <c r="Q387" s="94">
        <v>6</v>
      </c>
      <c r="R387" s="94">
        <v>11</v>
      </c>
      <c r="S387" s="62" t="s">
        <v>81</v>
      </c>
      <c r="T387" s="100" t="s">
        <v>52</v>
      </c>
      <c r="U387" s="100" t="s">
        <v>25</v>
      </c>
      <c r="V387" s="47" t="str">
        <f>IF(tbResults[[#This Row],[Player1 Score]]&gt;tbResults[[#This Row],[Player2 Score]],tbResults[[#This Row],[Player1]],tbResults[[#This Row],[Player2]])</f>
        <v>Av3k</v>
      </c>
      <c r="W387" s="49" t="str">
        <f>IF(tbResults[[#This Row],[Player1 Score]]&gt;tbResults[[#This Row],[Player2 Score]],tbResults[[#This Row],[Player2]],tbResults[[#This Row],[Player1]])</f>
        <v>Base</v>
      </c>
      <c r="X387" s="95" t="str">
        <f>IF(tbResults[[#This Row],[Winner]]=tbResults[[#This Row],[Player1]],tbResults[[#This Row],[Player1 Pick]],tbResults[[#This Row],[Player2 Pick]])</f>
        <v>Keel</v>
      </c>
      <c r="Y387" s="95" t="str">
        <f>IF(tbResults[[#This Row],[Loser]]=tbResults[[#This Row],[Player1]],tbResults[[#This Row],[Player1 Pick]],tbResults[[#This Row],[Player2 Pick]])</f>
        <v>Nyx</v>
      </c>
      <c r="Z387" s="96">
        <f>SUM(tbResults[[#This Row],[Player1 Score]],tbResults[[#This Row],[Player2 Score]])</f>
        <v>17</v>
      </c>
      <c r="AA387" s="96">
        <f>ABS(tbResults[[#This Row],[Player1 Score]]-tbResults[[#This Row],[Player2 Score]])</f>
        <v>5</v>
      </c>
      <c r="AB387" s="96">
        <f>IF(tbResults[[#This Row],[Player1 Score]]&gt;tbResults[[#This Row],[Player2 Score]],tbResults[[#This Row],[Player1 Score]],tbResults[[#This Row],[Player2 Score]])</f>
        <v>11</v>
      </c>
      <c r="AC387" s="96">
        <f>IF(tbResults[[#This Row],[Player1 Score]]&lt;tbResults[[#This Row],[Player2 Score]],tbResults[[#This Row],[Player1 Score]],tbResults[[#This Row],[Player2 Score]])</f>
        <v>6</v>
      </c>
    </row>
    <row r="388" spans="2:29" ht="30" customHeight="1" x14ac:dyDescent="0.3">
      <c r="B388" s="91" t="str">
        <f>_xlfn.CONCAT(tbResults[[#This Row],[Series Title]],".",tbResults[[#This Row],[Game]])</f>
        <v>2.2.13.05.1</v>
      </c>
      <c r="C388" s="92">
        <v>2</v>
      </c>
      <c r="D388" s="92">
        <v>2</v>
      </c>
      <c r="E388" s="92">
        <v>13</v>
      </c>
      <c r="F388" s="92">
        <v>5</v>
      </c>
      <c r="G388" s="65">
        <v>1</v>
      </c>
      <c r="H388" s="93" t="str">
        <f>_xlfn.CONCAT(tbResults[[#This Row],[Season]],".",tbResults[[#This Row],[Stage]])</f>
        <v>2.2</v>
      </c>
      <c r="I388" s="93" t="str">
        <f>_xlfn.CONCAT(tbResults[[#This Row],[Season]],".",tbResults[[#This Row],[Stage]],".",TEXT(tbResults[[#This Row],[Week]],"00"))</f>
        <v>2.2.13</v>
      </c>
      <c r="J388" s="93" t="str">
        <f>_xlfn.CONCAT(tbResults[[#This Row],[Week Title]],".",TEXT(tbResults[[#This Row],[Match]],"00"))</f>
        <v>2.2.13.05</v>
      </c>
      <c r="K388" s="91" t="str">
        <f>_xlfn.CONCAT(tbResults[[#This Row],[Game Title]], " ", tbResults[[#This Row],[Player1]], " vs ", tbResults[[#This Row],[Player2]] )</f>
        <v>2.2.13.05.1 Raisy vs coollerz</v>
      </c>
      <c r="L388" s="90" t="s">
        <v>49</v>
      </c>
      <c r="M388" s="90" t="s">
        <v>48</v>
      </c>
      <c r="N388" s="98" t="s">
        <v>19</v>
      </c>
      <c r="O388" s="98" t="s">
        <v>22</v>
      </c>
      <c r="P388" s="99" t="s">
        <v>25</v>
      </c>
      <c r="Q388" s="94">
        <v>10</v>
      </c>
      <c r="R388" s="94">
        <v>5</v>
      </c>
      <c r="S388" s="62" t="s">
        <v>81</v>
      </c>
      <c r="T388" s="100" t="s">
        <v>49</v>
      </c>
      <c r="U388" s="100" t="s">
        <v>92</v>
      </c>
      <c r="V388" s="47" t="str">
        <f>IF(tbResults[[#This Row],[Player1 Score]]&gt;tbResults[[#This Row],[Player2 Score]],tbResults[[#This Row],[Player1]],tbResults[[#This Row],[Player2]])</f>
        <v>Raisy</v>
      </c>
      <c r="W388" s="49" t="str">
        <f>IF(tbResults[[#This Row],[Player1 Score]]&gt;tbResults[[#This Row],[Player2 Score]],tbResults[[#This Row],[Player2]],tbResults[[#This Row],[Player1]])</f>
        <v>coollerz</v>
      </c>
      <c r="X388" s="95" t="str">
        <f>IF(tbResults[[#This Row],[Winner]]=tbResults[[#This Row],[Player1]],tbResults[[#This Row],[Player1 Pick]],tbResults[[#This Row],[Player2 Pick]])</f>
        <v>Strogg</v>
      </c>
      <c r="Y388" s="95" t="str">
        <f>IF(tbResults[[#This Row],[Loser]]=tbResults[[#This Row],[Player1]],tbResults[[#This Row],[Player1 Pick]],tbResults[[#This Row],[Player2 Pick]])</f>
        <v>Sorlag</v>
      </c>
      <c r="Z388" s="96">
        <f>SUM(tbResults[[#This Row],[Player1 Score]],tbResults[[#This Row],[Player2 Score]])</f>
        <v>15</v>
      </c>
      <c r="AA388" s="96">
        <f>ABS(tbResults[[#This Row],[Player1 Score]]-tbResults[[#This Row],[Player2 Score]])</f>
        <v>5</v>
      </c>
      <c r="AB388" s="96">
        <f>IF(tbResults[[#This Row],[Player1 Score]]&gt;tbResults[[#This Row],[Player2 Score]],tbResults[[#This Row],[Player1 Score]],tbResults[[#This Row],[Player2 Score]])</f>
        <v>10</v>
      </c>
      <c r="AC388" s="96">
        <f>IF(tbResults[[#This Row],[Player1 Score]]&lt;tbResults[[#This Row],[Player2 Score]],tbResults[[#This Row],[Player1 Score]],tbResults[[#This Row],[Player2 Score]])</f>
        <v>5</v>
      </c>
    </row>
    <row r="389" spans="2:29" ht="30" customHeight="1" x14ac:dyDescent="0.3">
      <c r="B389" s="91" t="str">
        <f>_xlfn.CONCAT(tbResults[[#This Row],[Series Title]],".",tbResults[[#This Row],[Game]])</f>
        <v>2.2.13.05.2</v>
      </c>
      <c r="C389" s="92">
        <v>2</v>
      </c>
      <c r="D389" s="92">
        <v>2</v>
      </c>
      <c r="E389" s="92">
        <v>13</v>
      </c>
      <c r="F389" s="92">
        <v>5</v>
      </c>
      <c r="G389" s="65">
        <v>2</v>
      </c>
      <c r="H389" s="93" t="str">
        <f>_xlfn.CONCAT(tbResults[[#This Row],[Season]],".",tbResults[[#This Row],[Stage]])</f>
        <v>2.2</v>
      </c>
      <c r="I389" s="93" t="str">
        <f>_xlfn.CONCAT(tbResults[[#This Row],[Season]],".",tbResults[[#This Row],[Stage]],".",TEXT(tbResults[[#This Row],[Week]],"00"))</f>
        <v>2.2.13</v>
      </c>
      <c r="J389" s="93" t="str">
        <f>_xlfn.CONCAT(tbResults[[#This Row],[Week Title]],".",TEXT(tbResults[[#This Row],[Match]],"00"))</f>
        <v>2.2.13.05</v>
      </c>
      <c r="K389" s="91" t="str">
        <f>_xlfn.CONCAT(tbResults[[#This Row],[Game Title]], " ", tbResults[[#This Row],[Player1]], " vs ", tbResults[[#This Row],[Player2]] )</f>
        <v>2.2.13.05.2 Raisy vs coollerz</v>
      </c>
      <c r="L389" s="90" t="s">
        <v>49</v>
      </c>
      <c r="M389" s="90" t="s">
        <v>48</v>
      </c>
      <c r="N389" s="98" t="s">
        <v>32</v>
      </c>
      <c r="O389" s="98" t="s">
        <v>28</v>
      </c>
      <c r="P389" s="99" t="s">
        <v>39</v>
      </c>
      <c r="Q389" s="94">
        <v>20</v>
      </c>
      <c r="R389" s="94">
        <v>5</v>
      </c>
      <c r="S389" s="62" t="s">
        <v>81</v>
      </c>
      <c r="T389" s="100" t="s">
        <v>48</v>
      </c>
      <c r="U389" s="100" t="s">
        <v>34</v>
      </c>
      <c r="V389" s="47" t="str">
        <f>IF(tbResults[[#This Row],[Player1 Score]]&gt;tbResults[[#This Row],[Player2 Score]],tbResults[[#This Row],[Player1]],tbResults[[#This Row],[Player2]])</f>
        <v>Raisy</v>
      </c>
      <c r="W389" s="49" t="str">
        <f>IF(tbResults[[#This Row],[Player1 Score]]&gt;tbResults[[#This Row],[Player2 Score]],tbResults[[#This Row],[Player2]],tbResults[[#This Row],[Player1]])</f>
        <v>coollerz</v>
      </c>
      <c r="X389" s="95" t="str">
        <f>IF(tbResults[[#This Row],[Winner]]=tbResults[[#This Row],[Player1]],tbResults[[#This Row],[Player1 Pick]],tbResults[[#This Row],[Player2 Pick]])</f>
        <v>BJ Blazkowicz</v>
      </c>
      <c r="Y389" s="95" t="str">
        <f>IF(tbResults[[#This Row],[Loser]]=tbResults[[#This Row],[Player1]],tbResults[[#This Row],[Player1 Pick]],tbResults[[#This Row],[Player2 Pick]])</f>
        <v>Anarki</v>
      </c>
      <c r="Z389" s="96">
        <f>SUM(tbResults[[#This Row],[Player1 Score]],tbResults[[#This Row],[Player2 Score]])</f>
        <v>25</v>
      </c>
      <c r="AA389" s="96">
        <f>ABS(tbResults[[#This Row],[Player1 Score]]-tbResults[[#This Row],[Player2 Score]])</f>
        <v>15</v>
      </c>
      <c r="AB389" s="96">
        <f>IF(tbResults[[#This Row],[Player1 Score]]&gt;tbResults[[#This Row],[Player2 Score]],tbResults[[#This Row],[Player1 Score]],tbResults[[#This Row],[Player2 Score]])</f>
        <v>20</v>
      </c>
      <c r="AC389" s="96">
        <f>IF(tbResults[[#This Row],[Player1 Score]]&lt;tbResults[[#This Row],[Player2 Score]],tbResults[[#This Row],[Player1 Score]],tbResults[[#This Row],[Player2 Score]])</f>
        <v>5</v>
      </c>
    </row>
    <row r="390" spans="2:29" ht="30" customHeight="1" x14ac:dyDescent="0.3">
      <c r="B390" s="91" t="str">
        <f>_xlfn.CONCAT(tbResults[[#This Row],[Series Title]],".",tbResults[[#This Row],[Game]])</f>
        <v>2.2.13.05.3</v>
      </c>
      <c r="C390" s="92">
        <v>2</v>
      </c>
      <c r="D390" s="92">
        <v>2</v>
      </c>
      <c r="E390" s="92">
        <v>13</v>
      </c>
      <c r="F390" s="92">
        <v>5</v>
      </c>
      <c r="G390" s="65">
        <v>3</v>
      </c>
      <c r="H390" s="93" t="str">
        <f>_xlfn.CONCAT(tbResults[[#This Row],[Season]],".",tbResults[[#This Row],[Stage]])</f>
        <v>2.2</v>
      </c>
      <c r="I390" s="93" t="str">
        <f>_xlfn.CONCAT(tbResults[[#This Row],[Season]],".",tbResults[[#This Row],[Stage]],".",TEXT(tbResults[[#This Row],[Week]],"00"))</f>
        <v>2.2.13</v>
      </c>
      <c r="J390" s="93" t="str">
        <f>_xlfn.CONCAT(tbResults[[#This Row],[Week Title]],".",TEXT(tbResults[[#This Row],[Match]],"00"))</f>
        <v>2.2.13.05</v>
      </c>
      <c r="K390" s="91" t="str">
        <f>_xlfn.CONCAT(tbResults[[#This Row],[Game Title]], " ", tbResults[[#This Row],[Player1]], " vs ", tbResults[[#This Row],[Player2]] )</f>
        <v>2.2.13.05.3 Raisy vs coollerz</v>
      </c>
      <c r="L390" s="90" t="s">
        <v>49</v>
      </c>
      <c r="M390" s="90" t="s">
        <v>48</v>
      </c>
      <c r="N390" s="98" t="s">
        <v>43</v>
      </c>
      <c r="O390" s="98" t="s">
        <v>27</v>
      </c>
      <c r="P390" s="99" t="s">
        <v>21</v>
      </c>
      <c r="Q390" s="94">
        <v>24</v>
      </c>
      <c r="R390" s="94">
        <v>2</v>
      </c>
      <c r="S390" s="62" t="s">
        <v>81</v>
      </c>
      <c r="T390" s="100" t="s">
        <v>49</v>
      </c>
      <c r="U390" s="100" t="s">
        <v>35</v>
      </c>
      <c r="V390" s="47" t="str">
        <f>IF(tbResults[[#This Row],[Player1 Score]]&gt;tbResults[[#This Row],[Player2 Score]],tbResults[[#This Row],[Player1]],tbResults[[#This Row],[Player2]])</f>
        <v>Raisy</v>
      </c>
      <c r="W390" s="49" t="str">
        <f>IF(tbResults[[#This Row],[Player1 Score]]&gt;tbResults[[#This Row],[Player2 Score]],tbResults[[#This Row],[Player2]],tbResults[[#This Row],[Player1]])</f>
        <v>coollerz</v>
      </c>
      <c r="X390" s="95" t="str">
        <f>IF(tbResults[[#This Row],[Winner]]=tbResults[[#This Row],[Player1]],tbResults[[#This Row],[Player1 Pick]],tbResults[[#This Row],[Player2 Pick]])</f>
        <v>Keel</v>
      </c>
      <c r="Y390" s="95" t="str">
        <f>IF(tbResults[[#This Row],[Loser]]=tbResults[[#This Row],[Player1]],tbResults[[#This Row],[Player1 Pick]],tbResults[[#This Row],[Player2 Pick]])</f>
        <v>Ranger</v>
      </c>
      <c r="Z390" s="96">
        <f>SUM(tbResults[[#This Row],[Player1 Score]],tbResults[[#This Row],[Player2 Score]])</f>
        <v>26</v>
      </c>
      <c r="AA390" s="96">
        <f>ABS(tbResults[[#This Row],[Player1 Score]]-tbResults[[#This Row],[Player2 Score]])</f>
        <v>22</v>
      </c>
      <c r="AB390" s="96">
        <f>IF(tbResults[[#This Row],[Player1 Score]]&gt;tbResults[[#This Row],[Player2 Score]],tbResults[[#This Row],[Player1 Score]],tbResults[[#This Row],[Player2 Score]])</f>
        <v>24</v>
      </c>
      <c r="AC390" s="96">
        <f>IF(tbResults[[#This Row],[Player1 Score]]&lt;tbResults[[#This Row],[Player2 Score]],tbResults[[#This Row],[Player1 Score]],tbResults[[#This Row],[Player2 Score]])</f>
        <v>2</v>
      </c>
    </row>
    <row r="391" spans="2:29" ht="30" customHeight="1" x14ac:dyDescent="0.3">
      <c r="B391" s="91" t="str">
        <f>_xlfn.CONCAT(tbResults[[#This Row],[Series Title]],".",tbResults[[#This Row],[Game]])</f>
        <v>2.2.13.06.1</v>
      </c>
      <c r="C391" s="92">
        <v>2</v>
      </c>
      <c r="D391" s="92">
        <v>2</v>
      </c>
      <c r="E391" s="92">
        <v>13</v>
      </c>
      <c r="F391" s="92">
        <v>6</v>
      </c>
      <c r="G391" s="65">
        <v>1</v>
      </c>
      <c r="H391" s="93" t="str">
        <f>_xlfn.CONCAT(tbResults[[#This Row],[Season]],".",tbResults[[#This Row],[Stage]])</f>
        <v>2.2</v>
      </c>
      <c r="I391" s="93" t="str">
        <f>_xlfn.CONCAT(tbResults[[#This Row],[Season]],".",tbResults[[#This Row],[Stage]],".",TEXT(tbResults[[#This Row],[Week]],"00"))</f>
        <v>2.2.13</v>
      </c>
      <c r="J391" s="93" t="str">
        <f>_xlfn.CONCAT(tbResults[[#This Row],[Week Title]],".",TEXT(tbResults[[#This Row],[Match]],"00"))</f>
        <v>2.2.13.06</v>
      </c>
      <c r="K391" s="91" t="str">
        <f>_xlfn.CONCAT(tbResults[[#This Row],[Game Title]], " ", tbResults[[#This Row],[Player1]], " vs ", tbResults[[#This Row],[Player2]] )</f>
        <v>2.2.13.06.1 cha1n vs Rapha</v>
      </c>
      <c r="L391" s="90" t="s">
        <v>53</v>
      </c>
      <c r="M391" s="90" t="s">
        <v>47</v>
      </c>
      <c r="N391" s="98" t="s">
        <v>23</v>
      </c>
      <c r="O391" s="98" t="s">
        <v>55</v>
      </c>
      <c r="P391" s="99" t="s">
        <v>44</v>
      </c>
      <c r="Q391" s="94">
        <v>1</v>
      </c>
      <c r="R391" s="94">
        <v>11</v>
      </c>
      <c r="S391" s="62" t="s">
        <v>81</v>
      </c>
      <c r="T391" s="100" t="s">
        <v>47</v>
      </c>
      <c r="U391" s="100" t="s">
        <v>22</v>
      </c>
      <c r="V391" s="47" t="str">
        <f>IF(tbResults[[#This Row],[Player1 Score]]&gt;tbResults[[#This Row],[Player2 Score]],tbResults[[#This Row],[Player1]],tbResults[[#This Row],[Player2]])</f>
        <v>Rapha</v>
      </c>
      <c r="W391" s="49" t="str">
        <f>IF(tbResults[[#This Row],[Player1 Score]]&gt;tbResults[[#This Row],[Player2 Score]],tbResults[[#This Row],[Player2]],tbResults[[#This Row],[Player1]])</f>
        <v>cha1n</v>
      </c>
      <c r="X391" s="95" t="str">
        <f>IF(tbResults[[#This Row],[Winner]]=tbResults[[#This Row],[Player1]],tbResults[[#This Row],[Player1 Pick]],tbResults[[#This Row],[Player2 Pick]])</f>
        <v>Scalebearer</v>
      </c>
      <c r="Y391" s="95" t="str">
        <f>IF(tbResults[[#This Row],[Loser]]=tbResults[[#This Row],[Player1]],tbResults[[#This Row],[Player1 Pick]],tbResults[[#This Row],[Player2 Pick]])</f>
        <v>Athena</v>
      </c>
      <c r="Z391" s="96">
        <f>SUM(tbResults[[#This Row],[Player1 Score]],tbResults[[#This Row],[Player2 Score]])</f>
        <v>12</v>
      </c>
      <c r="AA391" s="96">
        <f>ABS(tbResults[[#This Row],[Player1 Score]]-tbResults[[#This Row],[Player2 Score]])</f>
        <v>10</v>
      </c>
      <c r="AB391" s="96">
        <f>IF(tbResults[[#This Row],[Player1 Score]]&gt;tbResults[[#This Row],[Player2 Score]],tbResults[[#This Row],[Player1 Score]],tbResults[[#This Row],[Player2 Score]])</f>
        <v>11</v>
      </c>
      <c r="AC391" s="96">
        <f>IF(tbResults[[#This Row],[Player1 Score]]&lt;tbResults[[#This Row],[Player2 Score]],tbResults[[#This Row],[Player1 Score]],tbResults[[#This Row],[Player2 Score]])</f>
        <v>1</v>
      </c>
    </row>
    <row r="392" spans="2:29" ht="30" customHeight="1" x14ac:dyDescent="0.3">
      <c r="B392" s="91" t="str">
        <f>_xlfn.CONCAT(tbResults[[#This Row],[Series Title]],".",tbResults[[#This Row],[Game]])</f>
        <v>2.2.13.06.2</v>
      </c>
      <c r="C392" s="92">
        <v>2</v>
      </c>
      <c r="D392" s="92">
        <v>2</v>
      </c>
      <c r="E392" s="92">
        <v>13</v>
      </c>
      <c r="F392" s="92">
        <v>6</v>
      </c>
      <c r="G392" s="65">
        <v>2</v>
      </c>
      <c r="H392" s="93" t="str">
        <f>_xlfn.CONCAT(tbResults[[#This Row],[Season]],".",tbResults[[#This Row],[Stage]])</f>
        <v>2.2</v>
      </c>
      <c r="I392" s="93" t="str">
        <f>_xlfn.CONCAT(tbResults[[#This Row],[Season]],".",tbResults[[#This Row],[Stage]],".",TEXT(tbResults[[#This Row],[Week]],"00"))</f>
        <v>2.2.13</v>
      </c>
      <c r="J392" s="93" t="str">
        <f>_xlfn.CONCAT(tbResults[[#This Row],[Week Title]],".",TEXT(tbResults[[#This Row],[Match]],"00"))</f>
        <v>2.2.13.06</v>
      </c>
      <c r="K392" s="91" t="str">
        <f>_xlfn.CONCAT(tbResults[[#This Row],[Game Title]], " ", tbResults[[#This Row],[Player1]], " vs ", tbResults[[#This Row],[Player2]] )</f>
        <v>2.2.13.06.2 cha1n vs Rapha</v>
      </c>
      <c r="L392" s="90" t="s">
        <v>53</v>
      </c>
      <c r="M392" s="90" t="s">
        <v>47</v>
      </c>
      <c r="N392" s="98" t="s">
        <v>40</v>
      </c>
      <c r="O392" s="98" t="s">
        <v>27</v>
      </c>
      <c r="P392" s="99" t="s">
        <v>21</v>
      </c>
      <c r="Q392" s="94">
        <v>5</v>
      </c>
      <c r="R392" s="94">
        <v>18</v>
      </c>
      <c r="S392" s="62" t="s">
        <v>81</v>
      </c>
      <c r="T392" s="100" t="s">
        <v>53</v>
      </c>
      <c r="U392" s="100" t="s">
        <v>35</v>
      </c>
      <c r="V392" s="47" t="str">
        <f>IF(tbResults[[#This Row],[Player1 Score]]&gt;tbResults[[#This Row],[Player2 Score]],tbResults[[#This Row],[Player1]],tbResults[[#This Row],[Player2]])</f>
        <v>Rapha</v>
      </c>
      <c r="W392" s="49" t="str">
        <f>IF(tbResults[[#This Row],[Player1 Score]]&gt;tbResults[[#This Row],[Player2 Score]],tbResults[[#This Row],[Player2]],tbResults[[#This Row],[Player1]])</f>
        <v>cha1n</v>
      </c>
      <c r="X392" s="95" t="str">
        <f>IF(tbResults[[#This Row],[Winner]]=tbResults[[#This Row],[Player1]],tbResults[[#This Row],[Player1 Pick]],tbResults[[#This Row],[Player2 Pick]])</f>
        <v>Ranger</v>
      </c>
      <c r="Y392" s="95" t="str">
        <f>IF(tbResults[[#This Row],[Loser]]=tbResults[[#This Row],[Player1]],tbResults[[#This Row],[Player1 Pick]],tbResults[[#This Row],[Player2 Pick]])</f>
        <v>Keel</v>
      </c>
      <c r="Z392" s="96">
        <f>SUM(tbResults[[#This Row],[Player1 Score]],tbResults[[#This Row],[Player2 Score]])</f>
        <v>23</v>
      </c>
      <c r="AA392" s="96">
        <f>ABS(tbResults[[#This Row],[Player1 Score]]-tbResults[[#This Row],[Player2 Score]])</f>
        <v>13</v>
      </c>
      <c r="AB392" s="96">
        <f>IF(tbResults[[#This Row],[Player1 Score]]&gt;tbResults[[#This Row],[Player2 Score]],tbResults[[#This Row],[Player1 Score]],tbResults[[#This Row],[Player2 Score]])</f>
        <v>18</v>
      </c>
      <c r="AC392" s="96">
        <f>IF(tbResults[[#This Row],[Player1 Score]]&lt;tbResults[[#This Row],[Player2 Score]],tbResults[[#This Row],[Player1 Score]],tbResults[[#This Row],[Player2 Score]])</f>
        <v>5</v>
      </c>
    </row>
    <row r="393" spans="2:29" ht="30" customHeight="1" x14ac:dyDescent="0.3">
      <c r="B393" s="91" t="str">
        <f>_xlfn.CONCAT(tbResults[[#This Row],[Series Title]],".",tbResults[[#This Row],[Game]])</f>
        <v>2.2.13.06.3</v>
      </c>
      <c r="C393" s="92">
        <v>2</v>
      </c>
      <c r="D393" s="92">
        <v>2</v>
      </c>
      <c r="E393" s="92">
        <v>13</v>
      </c>
      <c r="F393" s="92">
        <v>6</v>
      </c>
      <c r="G393" s="65">
        <v>3</v>
      </c>
      <c r="H393" s="93" t="str">
        <f>_xlfn.CONCAT(tbResults[[#This Row],[Season]],".",tbResults[[#This Row],[Stage]])</f>
        <v>2.2</v>
      </c>
      <c r="I393" s="93" t="str">
        <f>_xlfn.CONCAT(tbResults[[#This Row],[Season]],".",tbResults[[#This Row],[Stage]],".",TEXT(tbResults[[#This Row],[Week]],"00"))</f>
        <v>2.2.13</v>
      </c>
      <c r="J393" s="93" t="str">
        <f>_xlfn.CONCAT(tbResults[[#This Row],[Week Title]],".",TEXT(tbResults[[#This Row],[Match]],"00"))</f>
        <v>2.2.13.06</v>
      </c>
      <c r="K393" s="91" t="str">
        <f>_xlfn.CONCAT(tbResults[[#This Row],[Game Title]], " ", tbResults[[#This Row],[Player1]], " vs ", tbResults[[#This Row],[Player2]] )</f>
        <v>2.2.13.06.3 cha1n vs Rapha</v>
      </c>
      <c r="L393" s="90" t="s">
        <v>53</v>
      </c>
      <c r="M393" s="90" t="s">
        <v>47</v>
      </c>
      <c r="N393" s="98" t="s">
        <v>43</v>
      </c>
      <c r="O393" s="98" t="s">
        <v>34</v>
      </c>
      <c r="P393" s="98" t="s">
        <v>152</v>
      </c>
      <c r="Q393" s="94">
        <v>1</v>
      </c>
      <c r="R393" s="94">
        <v>11</v>
      </c>
      <c r="S393" s="62" t="s">
        <v>81</v>
      </c>
      <c r="T393" s="100" t="s">
        <v>47</v>
      </c>
      <c r="U393" s="100" t="s">
        <v>25</v>
      </c>
      <c r="V393" s="47" t="str">
        <f>IF(tbResults[[#This Row],[Player1 Score]]&gt;tbResults[[#This Row],[Player2 Score]],tbResults[[#This Row],[Player1]],tbResults[[#This Row],[Player2]])</f>
        <v>Rapha</v>
      </c>
      <c r="W393" s="49" t="str">
        <f>IF(tbResults[[#This Row],[Player1 Score]]&gt;tbResults[[#This Row],[Player2 Score]],tbResults[[#This Row],[Player2]],tbResults[[#This Row],[Player1]])</f>
        <v>cha1n</v>
      </c>
      <c r="X393" s="95" t="str">
        <f>IF(tbResults[[#This Row],[Winner]]=tbResults[[#This Row],[Player1]],tbResults[[#This Row],[Player1 Pick]],tbResults[[#This Row],[Player2 Pick]])</f>
        <v>Death Knight</v>
      </c>
      <c r="Y393" s="95" t="str">
        <f>IF(tbResults[[#This Row],[Loser]]=tbResults[[#This Row],[Player1]],tbResults[[#This Row],[Player1 Pick]],tbResults[[#This Row],[Player2 Pick]])</f>
        <v>Galena</v>
      </c>
      <c r="Z393" s="96">
        <f>SUM(tbResults[[#This Row],[Player1 Score]],tbResults[[#This Row],[Player2 Score]])</f>
        <v>12</v>
      </c>
      <c r="AA393" s="96">
        <f>ABS(tbResults[[#This Row],[Player1 Score]]-tbResults[[#This Row],[Player2 Score]])</f>
        <v>10</v>
      </c>
      <c r="AB393" s="96">
        <f>IF(tbResults[[#This Row],[Player1 Score]]&gt;tbResults[[#This Row],[Player2 Score]],tbResults[[#This Row],[Player1 Score]],tbResults[[#This Row],[Player2 Score]])</f>
        <v>11</v>
      </c>
      <c r="AC393" s="96">
        <f>IF(tbResults[[#This Row],[Player1 Score]]&lt;tbResults[[#This Row],[Player2 Score]],tbResults[[#This Row],[Player1 Score]],tbResults[[#This Row],[Player2 Score]])</f>
        <v>1</v>
      </c>
    </row>
    <row r="394" spans="2:29" ht="30" customHeight="1" x14ac:dyDescent="0.3">
      <c r="B394" s="91" t="str">
        <f>_xlfn.CONCAT(tbResults[[#This Row],[Series Title]],".",tbResults[[#This Row],[Game]])</f>
        <v>2.3.01.01.1</v>
      </c>
      <c r="C394" s="119">
        <v>2</v>
      </c>
      <c r="D394" s="119">
        <v>3</v>
      </c>
      <c r="E394" s="119">
        <v>1</v>
      </c>
      <c r="F394" s="119">
        <v>1</v>
      </c>
      <c r="G394" s="119">
        <v>1</v>
      </c>
      <c r="H394" s="120" t="str">
        <f>_xlfn.CONCAT(tbResults[[#This Row],[Season]],".",tbResults[[#This Row],[Stage]])</f>
        <v>2.3</v>
      </c>
      <c r="I394" s="120" t="str">
        <f>_xlfn.CONCAT(tbResults[[#This Row],[Season]],".",tbResults[[#This Row],[Stage]],".",TEXT(tbResults[[#This Row],[Week]],"00"))</f>
        <v>2.3.01</v>
      </c>
      <c r="J394" s="120" t="str">
        <f>_xlfn.CONCAT(tbResults[[#This Row],[Week Title]],".",TEXT(tbResults[[#This Row],[Match]],"00"))</f>
        <v>2.3.01.01</v>
      </c>
      <c r="K394" s="118" t="str">
        <f>_xlfn.CONCAT(tbResults[[#This Row],[Game Title]], " ", tbResults[[#This Row],[Player1]], " vs ", tbResults[[#This Row],[Player2]] )</f>
        <v>2.3.01.01.1 k1llsen vs spart1e</v>
      </c>
      <c r="L394" s="127" t="s">
        <v>31</v>
      </c>
      <c r="M394" s="127" t="s">
        <v>50</v>
      </c>
      <c r="N394" s="127" t="s">
        <v>43</v>
      </c>
      <c r="O394" s="127" t="s">
        <v>25</v>
      </c>
      <c r="P394" s="128" t="s">
        <v>34</v>
      </c>
      <c r="Q394" s="106">
        <v>18</v>
      </c>
      <c r="R394" s="106">
        <v>5</v>
      </c>
      <c r="S394" s="129" t="s">
        <v>81</v>
      </c>
      <c r="T394" s="130" t="s">
        <v>31</v>
      </c>
      <c r="U394" s="130" t="s">
        <v>37</v>
      </c>
      <c r="V394" s="47" t="str">
        <f>IF(tbResults[[#This Row],[Player1 Score]]&gt;tbResults[[#This Row],[Player2 Score]],tbResults[[#This Row],[Player1]],tbResults[[#This Row],[Player2]])</f>
        <v>k1llsen</v>
      </c>
      <c r="W394" s="49" t="str">
        <f>IF(tbResults[[#This Row],[Player1 Score]]&gt;tbResults[[#This Row],[Player2 Score]],tbResults[[#This Row],[Player2]],tbResults[[#This Row],[Player1]])</f>
        <v>spart1e</v>
      </c>
      <c r="X394" s="121" t="str">
        <f>IF(tbResults[[#This Row],[Winner]]=tbResults[[#This Row],[Player1]],tbResults[[#This Row],[Player1 Pick]],tbResults[[#This Row],[Player2 Pick]])</f>
        <v>Sorlag</v>
      </c>
      <c r="Y394" s="121" t="str">
        <f>IF(tbResults[[#This Row],[Loser]]=tbResults[[#This Row],[Player1]],tbResults[[#This Row],[Player1 Pick]],tbResults[[#This Row],[Player2 Pick]])</f>
        <v>Galena</v>
      </c>
      <c r="Z394" s="122">
        <f>SUM(tbResults[[#This Row],[Player1 Score]],tbResults[[#This Row],[Player2 Score]])</f>
        <v>23</v>
      </c>
      <c r="AA394" s="122">
        <f>ABS(tbResults[[#This Row],[Player1 Score]]-tbResults[[#This Row],[Player2 Score]])</f>
        <v>13</v>
      </c>
      <c r="AB394" s="122">
        <f>IF(tbResults[[#This Row],[Player1 Score]]&gt;tbResults[[#This Row],[Player2 Score]],tbResults[[#This Row],[Player1 Score]],tbResults[[#This Row],[Player2 Score]])</f>
        <v>18</v>
      </c>
      <c r="AC394" s="122">
        <f>IF(tbResults[[#This Row],[Player1 Score]]&lt;tbResults[[#This Row],[Player2 Score]],tbResults[[#This Row],[Player1 Score]],tbResults[[#This Row],[Player2 Score]])</f>
        <v>5</v>
      </c>
    </row>
    <row r="395" spans="2:29" ht="30" customHeight="1" x14ac:dyDescent="0.3">
      <c r="B395" s="124" t="str">
        <f>_xlfn.CONCAT(tbResults[[#This Row],[Series Title]],".",tbResults[[#This Row],[Game]])</f>
        <v>2.3.01.01.2</v>
      </c>
      <c r="C395" s="125">
        <v>2</v>
      </c>
      <c r="D395" s="125">
        <v>3</v>
      </c>
      <c r="E395" s="125">
        <v>1</v>
      </c>
      <c r="F395" s="125">
        <v>1</v>
      </c>
      <c r="G395" s="125">
        <v>2</v>
      </c>
      <c r="H395" s="126" t="str">
        <f>_xlfn.CONCAT(tbResults[[#This Row],[Season]],".",tbResults[[#This Row],[Stage]])</f>
        <v>2.3</v>
      </c>
      <c r="I395" s="126" t="str">
        <f>_xlfn.CONCAT(tbResults[[#This Row],[Season]],".",tbResults[[#This Row],[Stage]],".",TEXT(tbResults[[#This Row],[Week]],"00"))</f>
        <v>2.3.01</v>
      </c>
      <c r="J395" s="126" t="str">
        <f>_xlfn.CONCAT(tbResults[[#This Row],[Week Title]],".",TEXT(tbResults[[#This Row],[Match]],"00"))</f>
        <v>2.3.01.01</v>
      </c>
      <c r="K395" s="124" t="str">
        <f>_xlfn.CONCAT(tbResults[[#This Row],[Game Title]], " ", tbResults[[#This Row],[Player1]], " vs ", tbResults[[#This Row],[Player2]] )</f>
        <v>2.3.01.01.2 k1llsen vs spart1e</v>
      </c>
      <c r="L395" s="127" t="s">
        <v>31</v>
      </c>
      <c r="M395" s="127" t="s">
        <v>50</v>
      </c>
      <c r="N395" s="127" t="s">
        <v>23</v>
      </c>
      <c r="O395" s="127" t="s">
        <v>39</v>
      </c>
      <c r="P395" s="128" t="s">
        <v>36</v>
      </c>
      <c r="Q395" s="129">
        <v>4</v>
      </c>
      <c r="R395" s="129">
        <v>2</v>
      </c>
      <c r="S395" s="129" t="s">
        <v>81</v>
      </c>
      <c r="T395" s="130" t="s">
        <v>50</v>
      </c>
      <c r="U395" s="130" t="s">
        <v>22</v>
      </c>
      <c r="V395" s="47" t="str">
        <f>IF(tbResults[[#This Row],[Player1 Score]]&gt;tbResults[[#This Row],[Player2 Score]],tbResults[[#This Row],[Player1]],tbResults[[#This Row],[Player2]])</f>
        <v>k1llsen</v>
      </c>
      <c r="W395" s="49" t="str">
        <f>IF(tbResults[[#This Row],[Player1 Score]]&gt;tbResults[[#This Row],[Player2 Score]],tbResults[[#This Row],[Player2]],tbResults[[#This Row],[Player1]])</f>
        <v>spart1e</v>
      </c>
      <c r="X395" s="131" t="str">
        <f>IF(tbResults[[#This Row],[Winner]]=tbResults[[#This Row],[Player1]],tbResults[[#This Row],[Player1 Pick]],tbResults[[#This Row],[Player2 Pick]])</f>
        <v>Anarki</v>
      </c>
      <c r="Y395" s="131" t="str">
        <f>IF(tbResults[[#This Row],[Loser]]=tbResults[[#This Row],[Player1]],tbResults[[#This Row],[Player1 Pick]],tbResults[[#This Row],[Player2 Pick]])</f>
        <v>Visor</v>
      </c>
      <c r="Z395" s="132">
        <f>SUM(tbResults[[#This Row],[Player1 Score]],tbResults[[#This Row],[Player2 Score]])</f>
        <v>6</v>
      </c>
      <c r="AA395" s="132">
        <f>ABS(tbResults[[#This Row],[Player1 Score]]-tbResults[[#This Row],[Player2 Score]])</f>
        <v>2</v>
      </c>
      <c r="AB395" s="132">
        <f>IF(tbResults[[#This Row],[Player1 Score]]&gt;tbResults[[#This Row],[Player2 Score]],tbResults[[#This Row],[Player1 Score]],tbResults[[#This Row],[Player2 Score]])</f>
        <v>4</v>
      </c>
      <c r="AC395" s="132">
        <f>IF(tbResults[[#This Row],[Player1 Score]]&lt;tbResults[[#This Row],[Player2 Score]],tbResults[[#This Row],[Player1 Score]],tbResults[[#This Row],[Player2 Score]])</f>
        <v>2</v>
      </c>
    </row>
    <row r="396" spans="2:29" ht="30" customHeight="1" x14ac:dyDescent="0.3">
      <c r="B396" s="124" t="str">
        <f>_xlfn.CONCAT(tbResults[[#This Row],[Series Title]],".",tbResults[[#This Row],[Game]])</f>
        <v>2.3.01.01.3</v>
      </c>
      <c r="C396" s="125">
        <v>2</v>
      </c>
      <c r="D396" s="125">
        <v>3</v>
      </c>
      <c r="E396" s="125">
        <v>1</v>
      </c>
      <c r="F396" s="125">
        <v>1</v>
      </c>
      <c r="G396" s="125">
        <v>3</v>
      </c>
      <c r="H396" s="126" t="str">
        <f>_xlfn.CONCAT(tbResults[[#This Row],[Season]],".",tbResults[[#This Row],[Stage]])</f>
        <v>2.3</v>
      </c>
      <c r="I396" s="126" t="str">
        <f>_xlfn.CONCAT(tbResults[[#This Row],[Season]],".",tbResults[[#This Row],[Stage]],".",TEXT(tbResults[[#This Row],[Week]],"00"))</f>
        <v>2.3.01</v>
      </c>
      <c r="J396" s="126" t="str">
        <f>_xlfn.CONCAT(tbResults[[#This Row],[Week Title]],".",TEXT(tbResults[[#This Row],[Match]],"00"))</f>
        <v>2.3.01.01</v>
      </c>
      <c r="K396" s="124" t="str">
        <f>_xlfn.CONCAT(tbResults[[#This Row],[Game Title]], " ", tbResults[[#This Row],[Player1]], " vs ", tbResults[[#This Row],[Player2]] )</f>
        <v>2.3.01.01.3 k1llsen vs spart1e</v>
      </c>
      <c r="L396" s="127" t="s">
        <v>31</v>
      </c>
      <c r="M396" s="127" t="s">
        <v>50</v>
      </c>
      <c r="N396" s="127" t="s">
        <v>26</v>
      </c>
      <c r="O396" s="127" t="s">
        <v>21</v>
      </c>
      <c r="P396" s="128" t="s">
        <v>152</v>
      </c>
      <c r="Q396" s="129">
        <v>22</v>
      </c>
      <c r="R396" s="129">
        <v>4</v>
      </c>
      <c r="S396" s="129" t="s">
        <v>81</v>
      </c>
      <c r="T396" s="130" t="s">
        <v>31</v>
      </c>
      <c r="U396" s="130" t="s">
        <v>38</v>
      </c>
      <c r="V396" s="47" t="str">
        <f>IF(tbResults[[#This Row],[Player1 Score]]&gt;tbResults[[#This Row],[Player2 Score]],tbResults[[#This Row],[Player1]],tbResults[[#This Row],[Player2]])</f>
        <v>k1llsen</v>
      </c>
      <c r="W396" s="49" t="str">
        <f>IF(tbResults[[#This Row],[Player1 Score]]&gt;tbResults[[#This Row],[Player2 Score]],tbResults[[#This Row],[Player2]],tbResults[[#This Row],[Player1]])</f>
        <v>spart1e</v>
      </c>
      <c r="X396" s="131" t="str">
        <f>IF(tbResults[[#This Row],[Winner]]=tbResults[[#This Row],[Player1]],tbResults[[#This Row],[Player1 Pick]],tbResults[[#This Row],[Player2 Pick]])</f>
        <v>Ranger</v>
      </c>
      <c r="Y396" s="131" t="str">
        <f>IF(tbResults[[#This Row],[Loser]]=tbResults[[#This Row],[Player1]],tbResults[[#This Row],[Player1 Pick]],tbResults[[#This Row],[Player2 Pick]])</f>
        <v>Death Knight</v>
      </c>
      <c r="Z396" s="132">
        <f>SUM(tbResults[[#This Row],[Player1 Score]],tbResults[[#This Row],[Player2 Score]])</f>
        <v>26</v>
      </c>
      <c r="AA396" s="132">
        <f>ABS(tbResults[[#This Row],[Player1 Score]]-tbResults[[#This Row],[Player2 Score]])</f>
        <v>18</v>
      </c>
      <c r="AB396" s="132">
        <f>IF(tbResults[[#This Row],[Player1 Score]]&gt;tbResults[[#This Row],[Player2 Score]],tbResults[[#This Row],[Player1 Score]],tbResults[[#This Row],[Player2 Score]])</f>
        <v>22</v>
      </c>
      <c r="AC396" s="132">
        <f>IF(tbResults[[#This Row],[Player1 Score]]&lt;tbResults[[#This Row],[Player2 Score]],tbResults[[#This Row],[Player1 Score]],tbResults[[#This Row],[Player2 Score]])</f>
        <v>4</v>
      </c>
    </row>
    <row r="397" spans="2:29" ht="30" customHeight="1" x14ac:dyDescent="0.3">
      <c r="B397" s="124" t="str">
        <f>_xlfn.CONCAT(tbResults[[#This Row],[Series Title]],".",tbResults[[#This Row],[Game]])</f>
        <v>2.3.01.02.1</v>
      </c>
      <c r="C397" s="125">
        <v>2</v>
      </c>
      <c r="D397" s="125">
        <v>3</v>
      </c>
      <c r="E397" s="125">
        <v>1</v>
      </c>
      <c r="F397" s="125">
        <v>2</v>
      </c>
      <c r="G397" s="119">
        <v>1</v>
      </c>
      <c r="H397" s="126" t="str">
        <f>_xlfn.CONCAT(tbResults[[#This Row],[Season]],".",tbResults[[#This Row],[Stage]])</f>
        <v>2.3</v>
      </c>
      <c r="I397" s="126" t="str">
        <f>_xlfn.CONCAT(tbResults[[#This Row],[Season]],".",tbResults[[#This Row],[Stage]],".",TEXT(tbResults[[#This Row],[Week]],"00"))</f>
        <v>2.3.01</v>
      </c>
      <c r="J397" s="126" t="str">
        <f>_xlfn.CONCAT(tbResults[[#This Row],[Week Title]],".",TEXT(tbResults[[#This Row],[Match]],"00"))</f>
        <v>2.3.01.02</v>
      </c>
      <c r="K397" s="124" t="str">
        <f>_xlfn.CONCAT(tbResults[[#This Row],[Game Title]], " ", tbResults[[#This Row],[Player1]], " vs ", tbResults[[#This Row],[Player2]] )</f>
        <v>2.3.01.02.1 Effortless vs sib</v>
      </c>
      <c r="L397" s="127" t="s">
        <v>6</v>
      </c>
      <c r="M397" s="127" t="s">
        <v>206</v>
      </c>
      <c r="N397" s="127" t="s">
        <v>23</v>
      </c>
      <c r="O397" s="127" t="s">
        <v>22</v>
      </c>
      <c r="P397" s="128" t="s">
        <v>25</v>
      </c>
      <c r="Q397" s="129">
        <v>3</v>
      </c>
      <c r="R397" s="129">
        <v>11</v>
      </c>
      <c r="S397" s="129" t="s">
        <v>81</v>
      </c>
      <c r="T397" s="130" t="s">
        <v>206</v>
      </c>
      <c r="U397" s="130" t="s">
        <v>39</v>
      </c>
      <c r="V397" s="47" t="str">
        <f>IF(tbResults[[#This Row],[Player1 Score]]&gt;tbResults[[#This Row],[Player2 Score]],tbResults[[#This Row],[Player1]],tbResults[[#This Row],[Player2]])</f>
        <v>sib</v>
      </c>
      <c r="W397" s="49" t="str">
        <f>IF(tbResults[[#This Row],[Player1 Score]]&gt;tbResults[[#This Row],[Player2 Score]],tbResults[[#This Row],[Player2]],tbResults[[#This Row],[Player1]])</f>
        <v>Effortless</v>
      </c>
      <c r="X397" s="131" t="str">
        <f>IF(tbResults[[#This Row],[Winner]]=tbResults[[#This Row],[Player1]],tbResults[[#This Row],[Player1 Pick]],tbResults[[#This Row],[Player2 Pick]])</f>
        <v>Sorlag</v>
      </c>
      <c r="Y397" s="131" t="str">
        <f>IF(tbResults[[#This Row],[Loser]]=tbResults[[#This Row],[Player1]],tbResults[[#This Row],[Player1 Pick]],tbResults[[#This Row],[Player2 Pick]])</f>
        <v>Strogg</v>
      </c>
      <c r="Z397" s="132">
        <f>SUM(tbResults[[#This Row],[Player1 Score]],tbResults[[#This Row],[Player2 Score]])</f>
        <v>14</v>
      </c>
      <c r="AA397" s="132">
        <f>ABS(tbResults[[#This Row],[Player1 Score]]-tbResults[[#This Row],[Player2 Score]])</f>
        <v>8</v>
      </c>
      <c r="AB397" s="132">
        <f>IF(tbResults[[#This Row],[Player1 Score]]&gt;tbResults[[#This Row],[Player2 Score]],tbResults[[#This Row],[Player1 Score]],tbResults[[#This Row],[Player2 Score]])</f>
        <v>11</v>
      </c>
      <c r="AC397" s="132">
        <f>IF(tbResults[[#This Row],[Player1 Score]]&lt;tbResults[[#This Row],[Player2 Score]],tbResults[[#This Row],[Player1 Score]],tbResults[[#This Row],[Player2 Score]])</f>
        <v>3</v>
      </c>
    </row>
    <row r="398" spans="2:29" ht="30" customHeight="1" x14ac:dyDescent="0.3">
      <c r="B398" s="124" t="str">
        <f>_xlfn.CONCAT(tbResults[[#This Row],[Series Title]],".",tbResults[[#This Row],[Game]])</f>
        <v>2.3.01.02.2</v>
      </c>
      <c r="C398" s="125">
        <v>2</v>
      </c>
      <c r="D398" s="125">
        <v>3</v>
      </c>
      <c r="E398" s="125">
        <v>1</v>
      </c>
      <c r="F398" s="125">
        <v>2</v>
      </c>
      <c r="G398" s="125">
        <v>2</v>
      </c>
      <c r="H398" s="126" t="str">
        <f>_xlfn.CONCAT(tbResults[[#This Row],[Season]],".",tbResults[[#This Row],[Stage]])</f>
        <v>2.3</v>
      </c>
      <c r="I398" s="126" t="str">
        <f>_xlfn.CONCAT(tbResults[[#This Row],[Season]],".",tbResults[[#This Row],[Stage]],".",TEXT(tbResults[[#This Row],[Week]],"00"))</f>
        <v>2.3.01</v>
      </c>
      <c r="J398" s="126" t="str">
        <f>_xlfn.CONCAT(tbResults[[#This Row],[Week Title]],".",TEXT(tbResults[[#This Row],[Match]],"00"))</f>
        <v>2.3.01.02</v>
      </c>
      <c r="K398" s="124" t="str">
        <f>_xlfn.CONCAT(tbResults[[#This Row],[Game Title]], " ", tbResults[[#This Row],[Player1]], " vs ", tbResults[[#This Row],[Player2]] )</f>
        <v>2.3.01.02.2 Effortless vs sib</v>
      </c>
      <c r="L398" s="127" t="s">
        <v>6</v>
      </c>
      <c r="M398" s="127" t="s">
        <v>206</v>
      </c>
      <c r="N398" s="127" t="s">
        <v>26</v>
      </c>
      <c r="O398" s="127" t="s">
        <v>44</v>
      </c>
      <c r="P398" s="128" t="s">
        <v>92</v>
      </c>
      <c r="Q398" s="129">
        <v>9</v>
      </c>
      <c r="R398" s="129">
        <v>8</v>
      </c>
      <c r="S398" s="129" t="s">
        <v>81</v>
      </c>
      <c r="T398" s="130" t="s">
        <v>6</v>
      </c>
      <c r="U398" s="130" t="s">
        <v>21</v>
      </c>
      <c r="V398" s="47" t="str">
        <f>IF(tbResults[[#This Row],[Player1 Score]]&gt;tbResults[[#This Row],[Player2 Score]],tbResults[[#This Row],[Player1]],tbResults[[#This Row],[Player2]])</f>
        <v>Effortless</v>
      </c>
      <c r="W398" s="49" t="str">
        <f>IF(tbResults[[#This Row],[Player1 Score]]&gt;tbResults[[#This Row],[Player2 Score]],tbResults[[#This Row],[Player2]],tbResults[[#This Row],[Player1]])</f>
        <v>sib</v>
      </c>
      <c r="X398" s="131" t="str">
        <f>IF(tbResults[[#This Row],[Winner]]=tbResults[[#This Row],[Player1]],tbResults[[#This Row],[Player1 Pick]],tbResults[[#This Row],[Player2 Pick]])</f>
        <v>Scalebearer</v>
      </c>
      <c r="Y398" s="131" t="str">
        <f>IF(tbResults[[#This Row],[Loser]]=tbResults[[#This Row],[Player1]],tbResults[[#This Row],[Player1 Pick]],tbResults[[#This Row],[Player2 Pick]])</f>
        <v>Clutch</v>
      </c>
      <c r="Z398" s="132">
        <f>SUM(tbResults[[#This Row],[Player1 Score]],tbResults[[#This Row],[Player2 Score]])</f>
        <v>17</v>
      </c>
      <c r="AA398" s="132">
        <f>ABS(tbResults[[#This Row],[Player1 Score]]-tbResults[[#This Row],[Player2 Score]])</f>
        <v>1</v>
      </c>
      <c r="AB398" s="132">
        <f>IF(tbResults[[#This Row],[Player1 Score]]&gt;tbResults[[#This Row],[Player2 Score]],tbResults[[#This Row],[Player1 Score]],tbResults[[#This Row],[Player2 Score]])</f>
        <v>9</v>
      </c>
      <c r="AC398" s="132">
        <f>IF(tbResults[[#This Row],[Player1 Score]]&lt;tbResults[[#This Row],[Player2 Score]],tbResults[[#This Row],[Player1 Score]],tbResults[[#This Row],[Player2 Score]])</f>
        <v>8</v>
      </c>
    </row>
    <row r="399" spans="2:29" ht="30" customHeight="1" x14ac:dyDescent="0.3">
      <c r="B399" s="124" t="str">
        <f>_xlfn.CONCAT(tbResults[[#This Row],[Series Title]],".",tbResults[[#This Row],[Game]])</f>
        <v>2.3.01.02.3</v>
      </c>
      <c r="C399" s="125">
        <v>2</v>
      </c>
      <c r="D399" s="125">
        <v>3</v>
      </c>
      <c r="E399" s="125">
        <v>1</v>
      </c>
      <c r="F399" s="125">
        <v>2</v>
      </c>
      <c r="G399" s="125">
        <v>3</v>
      </c>
      <c r="H399" s="126" t="str">
        <f>_xlfn.CONCAT(tbResults[[#This Row],[Season]],".",tbResults[[#This Row],[Stage]])</f>
        <v>2.3</v>
      </c>
      <c r="I399" s="126" t="str">
        <f>_xlfn.CONCAT(tbResults[[#This Row],[Season]],".",tbResults[[#This Row],[Stage]],".",TEXT(tbResults[[#This Row],[Week]],"00"))</f>
        <v>2.3.01</v>
      </c>
      <c r="J399" s="126" t="str">
        <f>_xlfn.CONCAT(tbResults[[#This Row],[Week Title]],".",TEXT(tbResults[[#This Row],[Match]],"00"))</f>
        <v>2.3.01.02</v>
      </c>
      <c r="K399" s="124" t="str">
        <f>_xlfn.CONCAT(tbResults[[#This Row],[Game Title]], " ", tbResults[[#This Row],[Player1]], " vs ", tbResults[[#This Row],[Player2]] )</f>
        <v>2.3.01.02.3 Effortless vs sib</v>
      </c>
      <c r="L399" s="127" t="s">
        <v>6</v>
      </c>
      <c r="M399" s="127" t="s">
        <v>206</v>
      </c>
      <c r="N399" s="127" t="s">
        <v>32</v>
      </c>
      <c r="O399" s="127" t="s">
        <v>34</v>
      </c>
      <c r="P399" s="128" t="s">
        <v>152</v>
      </c>
      <c r="Q399" s="129">
        <v>2</v>
      </c>
      <c r="R399" s="129">
        <v>14</v>
      </c>
      <c r="S399" s="129" t="s">
        <v>81</v>
      </c>
      <c r="T399" s="130" t="s">
        <v>206</v>
      </c>
      <c r="U399" s="130" t="s">
        <v>27</v>
      </c>
      <c r="V399" s="47" t="str">
        <f>IF(tbResults[[#This Row],[Player1 Score]]&gt;tbResults[[#This Row],[Player2 Score]],tbResults[[#This Row],[Player1]],tbResults[[#This Row],[Player2]])</f>
        <v>sib</v>
      </c>
      <c r="W399" s="49" t="str">
        <f>IF(tbResults[[#This Row],[Player1 Score]]&gt;tbResults[[#This Row],[Player2 Score]],tbResults[[#This Row],[Player2]],tbResults[[#This Row],[Player1]])</f>
        <v>Effortless</v>
      </c>
      <c r="X399" s="131" t="str">
        <f>IF(tbResults[[#This Row],[Winner]]=tbResults[[#This Row],[Player1]],tbResults[[#This Row],[Player1 Pick]],tbResults[[#This Row],[Player2 Pick]])</f>
        <v>Death Knight</v>
      </c>
      <c r="Y399" s="131" t="str">
        <f>IF(tbResults[[#This Row],[Loser]]=tbResults[[#This Row],[Player1]],tbResults[[#This Row],[Player1 Pick]],tbResults[[#This Row],[Player2 Pick]])</f>
        <v>Galena</v>
      </c>
      <c r="Z399" s="132">
        <f>SUM(tbResults[[#This Row],[Player1 Score]],tbResults[[#This Row],[Player2 Score]])</f>
        <v>16</v>
      </c>
      <c r="AA399" s="132">
        <f>ABS(tbResults[[#This Row],[Player1 Score]]-tbResults[[#This Row],[Player2 Score]])</f>
        <v>12</v>
      </c>
      <c r="AB399" s="132">
        <f>IF(tbResults[[#This Row],[Player1 Score]]&gt;tbResults[[#This Row],[Player2 Score]],tbResults[[#This Row],[Player1 Score]],tbResults[[#This Row],[Player2 Score]])</f>
        <v>14</v>
      </c>
      <c r="AC399" s="132">
        <f>IF(tbResults[[#This Row],[Player1 Score]]&lt;tbResults[[#This Row],[Player2 Score]],tbResults[[#This Row],[Player1 Score]],tbResults[[#This Row],[Player2 Score]])</f>
        <v>2</v>
      </c>
    </row>
    <row r="400" spans="2:29" ht="30" customHeight="1" x14ac:dyDescent="0.3">
      <c r="B400" s="124" t="str">
        <f>_xlfn.CONCAT(tbResults[[#This Row],[Series Title]],".",tbResults[[#This Row],[Game]])</f>
        <v>2.3.01.03.1</v>
      </c>
      <c r="C400" s="125">
        <v>2</v>
      </c>
      <c r="D400" s="125">
        <v>3</v>
      </c>
      <c r="E400" s="125">
        <v>1</v>
      </c>
      <c r="F400" s="125">
        <v>3</v>
      </c>
      <c r="G400" s="119">
        <v>1</v>
      </c>
      <c r="H400" s="126" t="str">
        <f>_xlfn.CONCAT(tbResults[[#This Row],[Season]],".",tbResults[[#This Row],[Stage]])</f>
        <v>2.3</v>
      </c>
      <c r="I400" s="126" t="str">
        <f>_xlfn.CONCAT(tbResults[[#This Row],[Season]],".",tbResults[[#This Row],[Stage]],".",TEXT(tbResults[[#This Row],[Week]],"00"))</f>
        <v>2.3.01</v>
      </c>
      <c r="J400" s="126" t="str">
        <f>_xlfn.CONCAT(tbResults[[#This Row],[Week Title]],".",TEXT(tbResults[[#This Row],[Match]],"00"))</f>
        <v>2.3.01.03</v>
      </c>
      <c r="K400" s="124" t="str">
        <f>_xlfn.CONCAT(tbResults[[#This Row],[Game Title]], " ", tbResults[[#This Row],[Player1]], " vs ", tbResults[[#This Row],[Player2]] )</f>
        <v>2.3.01.03.1 Vengeurr vs Garpy</v>
      </c>
      <c r="L400" s="127" t="s">
        <v>13</v>
      </c>
      <c r="M400" s="127" t="s">
        <v>101</v>
      </c>
      <c r="N400" s="127" t="s">
        <v>32</v>
      </c>
      <c r="O400" s="127" t="s">
        <v>35</v>
      </c>
      <c r="P400" s="128" t="s">
        <v>22</v>
      </c>
      <c r="Q400" s="129">
        <v>17</v>
      </c>
      <c r="R400" s="129">
        <v>6</v>
      </c>
      <c r="S400" s="129" t="s">
        <v>81</v>
      </c>
      <c r="T400" s="130" t="s">
        <v>101</v>
      </c>
      <c r="U400" s="130" t="s">
        <v>21</v>
      </c>
      <c r="V400" s="47" t="str">
        <f>IF(tbResults[[#This Row],[Player1 Score]]&gt;tbResults[[#This Row],[Player2 Score]],tbResults[[#This Row],[Player1]],tbResults[[#This Row],[Player2]])</f>
        <v>Vengeurr</v>
      </c>
      <c r="W400" s="49" t="str">
        <f>IF(tbResults[[#This Row],[Player1 Score]]&gt;tbResults[[#This Row],[Player2 Score]],tbResults[[#This Row],[Player2]],tbResults[[#This Row],[Player1]])</f>
        <v>Garpy</v>
      </c>
      <c r="X400" s="131" t="str">
        <f>IF(tbResults[[#This Row],[Winner]]=tbResults[[#This Row],[Player1]],tbResults[[#This Row],[Player1 Pick]],tbResults[[#This Row],[Player2 Pick]])</f>
        <v>Doom</v>
      </c>
      <c r="Y400" s="131" t="str">
        <f>IF(tbResults[[#This Row],[Loser]]=tbResults[[#This Row],[Player1]],tbResults[[#This Row],[Player1 Pick]],tbResults[[#This Row],[Player2 Pick]])</f>
        <v>Strogg</v>
      </c>
      <c r="Z400" s="132">
        <f>SUM(tbResults[[#This Row],[Player1 Score]],tbResults[[#This Row],[Player2 Score]])</f>
        <v>23</v>
      </c>
      <c r="AA400" s="132">
        <f>ABS(tbResults[[#This Row],[Player1 Score]]-tbResults[[#This Row],[Player2 Score]])</f>
        <v>11</v>
      </c>
      <c r="AB400" s="132">
        <f>IF(tbResults[[#This Row],[Player1 Score]]&gt;tbResults[[#This Row],[Player2 Score]],tbResults[[#This Row],[Player1 Score]],tbResults[[#This Row],[Player2 Score]])</f>
        <v>17</v>
      </c>
      <c r="AC400" s="132">
        <f>IF(tbResults[[#This Row],[Player1 Score]]&lt;tbResults[[#This Row],[Player2 Score]],tbResults[[#This Row],[Player1 Score]],tbResults[[#This Row],[Player2 Score]])</f>
        <v>6</v>
      </c>
    </row>
    <row r="401" spans="2:29" ht="30" customHeight="1" x14ac:dyDescent="0.3">
      <c r="B401" s="124" t="str">
        <f>_xlfn.CONCAT(tbResults[[#This Row],[Series Title]],".",tbResults[[#This Row],[Game]])</f>
        <v>2.3.01.03.2</v>
      </c>
      <c r="C401" s="125">
        <v>2</v>
      </c>
      <c r="D401" s="125">
        <v>3</v>
      </c>
      <c r="E401" s="125">
        <v>1</v>
      </c>
      <c r="F401" s="125">
        <v>3</v>
      </c>
      <c r="G401" s="125">
        <v>2</v>
      </c>
      <c r="H401" s="126" t="str">
        <f>_xlfn.CONCAT(tbResults[[#This Row],[Season]],".",tbResults[[#This Row],[Stage]])</f>
        <v>2.3</v>
      </c>
      <c r="I401" s="126" t="str">
        <f>_xlfn.CONCAT(tbResults[[#This Row],[Season]],".",tbResults[[#This Row],[Stage]],".",TEXT(tbResults[[#This Row],[Week]],"00"))</f>
        <v>2.3.01</v>
      </c>
      <c r="J401" s="126" t="str">
        <f>_xlfn.CONCAT(tbResults[[#This Row],[Week Title]],".",TEXT(tbResults[[#This Row],[Match]],"00"))</f>
        <v>2.3.01.03</v>
      </c>
      <c r="K401" s="124" t="str">
        <f>_xlfn.CONCAT(tbResults[[#This Row],[Game Title]], " ", tbResults[[#This Row],[Player1]], " vs ", tbResults[[#This Row],[Player2]] )</f>
        <v>2.3.01.03.2 Vengeurr vs Garpy</v>
      </c>
      <c r="L401" s="127" t="s">
        <v>13</v>
      </c>
      <c r="M401" s="127" t="s">
        <v>101</v>
      </c>
      <c r="N401" s="127" t="s">
        <v>26</v>
      </c>
      <c r="O401" s="127" t="s">
        <v>25</v>
      </c>
      <c r="P401" s="128" t="s">
        <v>44</v>
      </c>
      <c r="Q401" s="129">
        <v>9</v>
      </c>
      <c r="R401" s="129">
        <v>8</v>
      </c>
      <c r="S401" s="129" t="s">
        <v>82</v>
      </c>
      <c r="T401" s="130" t="s">
        <v>13</v>
      </c>
      <c r="U401" s="130" t="s">
        <v>39</v>
      </c>
      <c r="V401" s="47" t="str">
        <f>IF(tbResults[[#This Row],[Player1 Score]]&gt;tbResults[[#This Row],[Player2 Score]],tbResults[[#This Row],[Player1]],tbResults[[#This Row],[Player2]])</f>
        <v>Vengeurr</v>
      </c>
      <c r="W401" s="49" t="str">
        <f>IF(tbResults[[#This Row],[Player1 Score]]&gt;tbResults[[#This Row],[Player2 Score]],tbResults[[#This Row],[Player2]],tbResults[[#This Row],[Player1]])</f>
        <v>Garpy</v>
      </c>
      <c r="X401" s="131" t="str">
        <f>IF(tbResults[[#This Row],[Winner]]=tbResults[[#This Row],[Player1]],tbResults[[#This Row],[Player1 Pick]],tbResults[[#This Row],[Player2 Pick]])</f>
        <v>Sorlag</v>
      </c>
      <c r="Y401" s="131" t="str">
        <f>IF(tbResults[[#This Row],[Loser]]=tbResults[[#This Row],[Player1]],tbResults[[#This Row],[Player1 Pick]],tbResults[[#This Row],[Player2 Pick]])</f>
        <v>Scalebearer</v>
      </c>
      <c r="Z401" s="132">
        <f>SUM(tbResults[[#This Row],[Player1 Score]],tbResults[[#This Row],[Player2 Score]])</f>
        <v>17</v>
      </c>
      <c r="AA401" s="132">
        <f>ABS(tbResults[[#This Row],[Player1 Score]]-tbResults[[#This Row],[Player2 Score]])</f>
        <v>1</v>
      </c>
      <c r="AB401" s="132">
        <f>IF(tbResults[[#This Row],[Player1 Score]]&gt;tbResults[[#This Row],[Player2 Score]],tbResults[[#This Row],[Player1 Score]],tbResults[[#This Row],[Player2 Score]])</f>
        <v>9</v>
      </c>
      <c r="AC401" s="132">
        <f>IF(tbResults[[#This Row],[Player1 Score]]&lt;tbResults[[#This Row],[Player2 Score]],tbResults[[#This Row],[Player1 Score]],tbResults[[#This Row],[Player2 Score]])</f>
        <v>8</v>
      </c>
    </row>
    <row r="402" spans="2:29" ht="30" customHeight="1" x14ac:dyDescent="0.3">
      <c r="B402" s="124" t="str">
        <f>_xlfn.CONCAT(tbResults[[#This Row],[Series Title]],".",tbResults[[#This Row],[Game]])</f>
        <v>2.3.01.03.3</v>
      </c>
      <c r="C402" s="125">
        <v>2</v>
      </c>
      <c r="D402" s="125">
        <v>3</v>
      </c>
      <c r="E402" s="125">
        <v>1</v>
      </c>
      <c r="F402" s="125">
        <v>3</v>
      </c>
      <c r="G402" s="125">
        <v>3</v>
      </c>
      <c r="H402" s="126" t="str">
        <f>_xlfn.CONCAT(tbResults[[#This Row],[Season]],".",tbResults[[#This Row],[Stage]])</f>
        <v>2.3</v>
      </c>
      <c r="I402" s="126" t="str">
        <f>_xlfn.CONCAT(tbResults[[#This Row],[Season]],".",tbResults[[#This Row],[Stage]],".",TEXT(tbResults[[#This Row],[Week]],"00"))</f>
        <v>2.3.01</v>
      </c>
      <c r="J402" s="126" t="str">
        <f>_xlfn.CONCAT(tbResults[[#This Row],[Week Title]],".",TEXT(tbResults[[#This Row],[Match]],"00"))</f>
        <v>2.3.01.03</v>
      </c>
      <c r="K402" s="124" t="str">
        <f>_xlfn.CONCAT(tbResults[[#This Row],[Game Title]], " ", tbResults[[#This Row],[Player1]], " vs ", tbResults[[#This Row],[Player2]] )</f>
        <v>2.3.01.03.3 Vengeurr vs Garpy</v>
      </c>
      <c r="L402" s="127" t="s">
        <v>13</v>
      </c>
      <c r="M402" s="127" t="s">
        <v>101</v>
      </c>
      <c r="N402" s="127" t="s">
        <v>40</v>
      </c>
      <c r="O402" s="127" t="s">
        <v>28</v>
      </c>
      <c r="P402" s="128" t="s">
        <v>27</v>
      </c>
      <c r="Q402" s="129">
        <v>12</v>
      </c>
      <c r="R402" s="129">
        <v>6</v>
      </c>
      <c r="S402" s="129" t="s">
        <v>81</v>
      </c>
      <c r="T402" s="130" t="s">
        <v>101</v>
      </c>
      <c r="U402" s="130" t="s">
        <v>34</v>
      </c>
      <c r="V402" s="47" t="str">
        <f>IF(tbResults[[#This Row],[Player1 Score]]&gt;tbResults[[#This Row],[Player2 Score]],tbResults[[#This Row],[Player1]],tbResults[[#This Row],[Player2]])</f>
        <v>Vengeurr</v>
      </c>
      <c r="W402" s="49" t="str">
        <f>IF(tbResults[[#This Row],[Player1 Score]]&gt;tbResults[[#This Row],[Player2 Score]],tbResults[[#This Row],[Player2]],tbResults[[#This Row],[Player1]])</f>
        <v>Garpy</v>
      </c>
      <c r="X402" s="131" t="str">
        <f>IF(tbResults[[#This Row],[Winner]]=tbResults[[#This Row],[Player1]],tbResults[[#This Row],[Player1 Pick]],tbResults[[#This Row],[Player2 Pick]])</f>
        <v>BJ Blazkowicz</v>
      </c>
      <c r="Y402" s="131" t="str">
        <f>IF(tbResults[[#This Row],[Loser]]=tbResults[[#This Row],[Player1]],tbResults[[#This Row],[Player1 Pick]],tbResults[[#This Row],[Player2 Pick]])</f>
        <v>Keel</v>
      </c>
      <c r="Z402" s="132">
        <f>SUM(tbResults[[#This Row],[Player1 Score]],tbResults[[#This Row],[Player2 Score]])</f>
        <v>18</v>
      </c>
      <c r="AA402" s="132">
        <f>ABS(tbResults[[#This Row],[Player1 Score]]-tbResults[[#This Row],[Player2 Score]])</f>
        <v>6</v>
      </c>
      <c r="AB402" s="132">
        <f>IF(tbResults[[#This Row],[Player1 Score]]&gt;tbResults[[#This Row],[Player2 Score]],tbResults[[#This Row],[Player1 Score]],tbResults[[#This Row],[Player2 Score]])</f>
        <v>12</v>
      </c>
      <c r="AC402" s="132">
        <f>IF(tbResults[[#This Row],[Player1 Score]]&lt;tbResults[[#This Row],[Player2 Score]],tbResults[[#This Row],[Player1 Score]],tbResults[[#This Row],[Player2 Score]])</f>
        <v>6</v>
      </c>
    </row>
    <row r="403" spans="2:29" ht="30" customHeight="1" x14ac:dyDescent="0.3">
      <c r="B403" s="124" t="str">
        <f>_xlfn.CONCAT(tbResults[[#This Row],[Series Title]],".",tbResults[[#This Row],[Game]])</f>
        <v>2.3.01.04.1</v>
      </c>
      <c r="C403" s="125">
        <v>2</v>
      </c>
      <c r="D403" s="125">
        <v>3</v>
      </c>
      <c r="E403" s="125">
        <v>1</v>
      </c>
      <c r="F403" s="125">
        <v>4</v>
      </c>
      <c r="G403" s="119">
        <v>1</v>
      </c>
      <c r="H403" s="126" t="str">
        <f>_xlfn.CONCAT(tbResults[[#This Row],[Season]],".",tbResults[[#This Row],[Stage]])</f>
        <v>2.3</v>
      </c>
      <c r="I403" s="126" t="str">
        <f>_xlfn.CONCAT(tbResults[[#This Row],[Season]],".",tbResults[[#This Row],[Stage]],".",TEXT(tbResults[[#This Row],[Week]],"00"))</f>
        <v>2.3.01</v>
      </c>
      <c r="J403" s="126" t="str">
        <f>_xlfn.CONCAT(tbResults[[#This Row],[Week Title]],".",TEXT(tbResults[[#This Row],[Match]],"00"))</f>
        <v>2.3.01.04</v>
      </c>
      <c r="K403" s="124" t="str">
        <f>_xlfn.CONCAT(tbResults[[#This Row],[Game Title]], " ", tbResults[[#This Row],[Player1]], " vs ", tbResults[[#This Row],[Player2]] )</f>
        <v>2.3.01.04.1 DaHanG vs Psygib</v>
      </c>
      <c r="L403" s="127" t="s">
        <v>42</v>
      </c>
      <c r="M403" s="127" t="s">
        <v>30</v>
      </c>
      <c r="N403" s="127" t="s">
        <v>32</v>
      </c>
      <c r="O403" s="127" t="s">
        <v>28</v>
      </c>
      <c r="P403" s="128" t="s">
        <v>25</v>
      </c>
      <c r="Q403" s="129">
        <v>17</v>
      </c>
      <c r="R403" s="129">
        <v>4</v>
      </c>
      <c r="S403" s="129" t="s">
        <v>81</v>
      </c>
      <c r="T403" s="130" t="s">
        <v>42</v>
      </c>
      <c r="U403" s="130" t="s">
        <v>35</v>
      </c>
      <c r="V403" s="47" t="str">
        <f>IF(tbResults[[#This Row],[Player1 Score]]&gt;tbResults[[#This Row],[Player2 Score]],tbResults[[#This Row],[Player1]],tbResults[[#This Row],[Player2]])</f>
        <v>DaHanG</v>
      </c>
      <c r="W403" s="49" t="str">
        <f>IF(tbResults[[#This Row],[Player1 Score]]&gt;tbResults[[#This Row],[Player2 Score]],tbResults[[#This Row],[Player2]],tbResults[[#This Row],[Player1]])</f>
        <v>Psygib</v>
      </c>
      <c r="X403" s="131" t="str">
        <f>IF(tbResults[[#This Row],[Winner]]=tbResults[[#This Row],[Player1]],tbResults[[#This Row],[Player1 Pick]],tbResults[[#This Row],[Player2 Pick]])</f>
        <v>BJ Blazkowicz</v>
      </c>
      <c r="Y403" s="131" t="str">
        <f>IF(tbResults[[#This Row],[Loser]]=tbResults[[#This Row],[Player1]],tbResults[[#This Row],[Player1 Pick]],tbResults[[#This Row],[Player2 Pick]])</f>
        <v>Sorlag</v>
      </c>
      <c r="Z403" s="132">
        <f>SUM(tbResults[[#This Row],[Player1 Score]],tbResults[[#This Row],[Player2 Score]])</f>
        <v>21</v>
      </c>
      <c r="AA403" s="132">
        <f>ABS(tbResults[[#This Row],[Player1 Score]]-tbResults[[#This Row],[Player2 Score]])</f>
        <v>13</v>
      </c>
      <c r="AB403" s="132">
        <f>IF(tbResults[[#This Row],[Player1 Score]]&gt;tbResults[[#This Row],[Player2 Score]],tbResults[[#This Row],[Player1 Score]],tbResults[[#This Row],[Player2 Score]])</f>
        <v>17</v>
      </c>
      <c r="AC403" s="132">
        <f>IF(tbResults[[#This Row],[Player1 Score]]&lt;tbResults[[#This Row],[Player2 Score]],tbResults[[#This Row],[Player1 Score]],tbResults[[#This Row],[Player2 Score]])</f>
        <v>4</v>
      </c>
    </row>
    <row r="404" spans="2:29" ht="30" customHeight="1" x14ac:dyDescent="0.3">
      <c r="B404" s="124" t="str">
        <f>_xlfn.CONCAT(tbResults[[#This Row],[Series Title]],".",tbResults[[#This Row],[Game]])</f>
        <v>2.3.01.04.2</v>
      </c>
      <c r="C404" s="125">
        <v>2</v>
      </c>
      <c r="D404" s="125">
        <v>3</v>
      </c>
      <c r="E404" s="125">
        <v>1</v>
      </c>
      <c r="F404" s="125">
        <v>4</v>
      </c>
      <c r="G404" s="125">
        <v>2</v>
      </c>
      <c r="H404" s="126" t="str">
        <f>_xlfn.CONCAT(tbResults[[#This Row],[Season]],".",tbResults[[#This Row],[Stage]])</f>
        <v>2.3</v>
      </c>
      <c r="I404" s="126" t="str">
        <f>_xlfn.CONCAT(tbResults[[#This Row],[Season]],".",tbResults[[#This Row],[Stage]],".",TEXT(tbResults[[#This Row],[Week]],"00"))</f>
        <v>2.3.01</v>
      </c>
      <c r="J404" s="126" t="str">
        <f>_xlfn.CONCAT(tbResults[[#This Row],[Week Title]],".",TEXT(tbResults[[#This Row],[Match]],"00"))</f>
        <v>2.3.01.04</v>
      </c>
      <c r="K404" s="124" t="str">
        <f>_xlfn.CONCAT(tbResults[[#This Row],[Game Title]], " ", tbResults[[#This Row],[Player1]], " vs ", tbResults[[#This Row],[Player2]] )</f>
        <v>2.3.01.04.2 DaHanG vs Psygib</v>
      </c>
      <c r="L404" s="127" t="s">
        <v>42</v>
      </c>
      <c r="M404" s="127" t="s">
        <v>30</v>
      </c>
      <c r="N404" s="127" t="s">
        <v>40</v>
      </c>
      <c r="O404" s="127" t="s">
        <v>152</v>
      </c>
      <c r="P404" s="128" t="s">
        <v>21</v>
      </c>
      <c r="Q404" s="129">
        <v>12</v>
      </c>
      <c r="R404" s="129">
        <v>15</v>
      </c>
      <c r="S404" s="129" t="s">
        <v>81</v>
      </c>
      <c r="T404" s="130" t="s">
        <v>30</v>
      </c>
      <c r="U404" s="130" t="s">
        <v>44</v>
      </c>
      <c r="V404" s="47" t="str">
        <f>IF(tbResults[[#This Row],[Player1 Score]]&gt;tbResults[[#This Row],[Player2 Score]],tbResults[[#This Row],[Player1]],tbResults[[#This Row],[Player2]])</f>
        <v>Psygib</v>
      </c>
      <c r="W404" s="49" t="str">
        <f>IF(tbResults[[#This Row],[Player1 Score]]&gt;tbResults[[#This Row],[Player2 Score]],tbResults[[#This Row],[Player2]],tbResults[[#This Row],[Player1]])</f>
        <v>DaHanG</v>
      </c>
      <c r="X404" s="131" t="str">
        <f>IF(tbResults[[#This Row],[Winner]]=tbResults[[#This Row],[Player1]],tbResults[[#This Row],[Player1 Pick]],tbResults[[#This Row],[Player2 Pick]])</f>
        <v>Ranger</v>
      </c>
      <c r="Y404" s="131" t="str">
        <f>IF(tbResults[[#This Row],[Loser]]=tbResults[[#This Row],[Player1]],tbResults[[#This Row],[Player1 Pick]],tbResults[[#This Row],[Player2 Pick]])</f>
        <v>Death Knight</v>
      </c>
      <c r="Z404" s="132">
        <f>SUM(tbResults[[#This Row],[Player1 Score]],tbResults[[#This Row],[Player2 Score]])</f>
        <v>27</v>
      </c>
      <c r="AA404" s="132">
        <f>ABS(tbResults[[#This Row],[Player1 Score]]-tbResults[[#This Row],[Player2 Score]])</f>
        <v>3</v>
      </c>
      <c r="AB404" s="132">
        <f>IF(tbResults[[#This Row],[Player1 Score]]&gt;tbResults[[#This Row],[Player2 Score]],tbResults[[#This Row],[Player1 Score]],tbResults[[#This Row],[Player2 Score]])</f>
        <v>15</v>
      </c>
      <c r="AC404" s="132">
        <f>IF(tbResults[[#This Row],[Player1 Score]]&lt;tbResults[[#This Row],[Player2 Score]],tbResults[[#This Row],[Player1 Score]],tbResults[[#This Row],[Player2 Score]])</f>
        <v>12</v>
      </c>
    </row>
    <row r="405" spans="2:29" ht="30" customHeight="1" x14ac:dyDescent="0.3">
      <c r="B405" s="124" t="str">
        <f>_xlfn.CONCAT(tbResults[[#This Row],[Series Title]],".",tbResults[[#This Row],[Game]])</f>
        <v>2.3.01.04.3</v>
      </c>
      <c r="C405" s="125">
        <v>2</v>
      </c>
      <c r="D405" s="125">
        <v>3</v>
      </c>
      <c r="E405" s="125">
        <v>1</v>
      </c>
      <c r="F405" s="125">
        <v>4</v>
      </c>
      <c r="G405" s="125">
        <v>3</v>
      </c>
      <c r="H405" s="126" t="str">
        <f>_xlfn.CONCAT(tbResults[[#This Row],[Season]],".",tbResults[[#This Row],[Stage]])</f>
        <v>2.3</v>
      </c>
      <c r="I405" s="126" t="str">
        <f>_xlfn.CONCAT(tbResults[[#This Row],[Season]],".",tbResults[[#This Row],[Stage]],".",TEXT(tbResults[[#This Row],[Week]],"00"))</f>
        <v>2.3.01</v>
      </c>
      <c r="J405" s="126" t="str">
        <f>_xlfn.CONCAT(tbResults[[#This Row],[Week Title]],".",TEXT(tbResults[[#This Row],[Match]],"00"))</f>
        <v>2.3.01.04</v>
      </c>
      <c r="K405" s="124" t="str">
        <f>_xlfn.CONCAT(tbResults[[#This Row],[Game Title]], " ", tbResults[[#This Row],[Player1]], " vs ", tbResults[[#This Row],[Player2]] )</f>
        <v>2.3.01.04.3 DaHanG vs Psygib</v>
      </c>
      <c r="L405" s="127" t="s">
        <v>42</v>
      </c>
      <c r="M405" s="127" t="s">
        <v>30</v>
      </c>
      <c r="N405" s="127" t="s">
        <v>33</v>
      </c>
      <c r="O405" s="127" t="s">
        <v>25</v>
      </c>
      <c r="P405" s="128" t="s">
        <v>27</v>
      </c>
      <c r="Q405" s="129"/>
      <c r="R405" s="129"/>
      <c r="S405" s="129" t="s">
        <v>81</v>
      </c>
      <c r="T405" s="130" t="s">
        <v>42</v>
      </c>
      <c r="U405" s="130" t="s">
        <v>34</v>
      </c>
      <c r="V405" s="47" t="str">
        <f>IF(tbResults[[#This Row],[Player1 Score]]&gt;tbResults[[#This Row],[Player2 Score]],tbResults[[#This Row],[Player1]],tbResults[[#This Row],[Player2]])</f>
        <v>Psygib</v>
      </c>
      <c r="W405" s="49" t="str">
        <f>IF(tbResults[[#This Row],[Player1 Score]]&gt;tbResults[[#This Row],[Player2 Score]],tbResults[[#This Row],[Player2]],tbResults[[#This Row],[Player1]])</f>
        <v>DaHanG</v>
      </c>
      <c r="X405" s="131" t="str">
        <f>IF(tbResults[[#This Row],[Winner]]=tbResults[[#This Row],[Player1]],tbResults[[#This Row],[Player1 Pick]],tbResults[[#This Row],[Player2 Pick]])</f>
        <v>Keel</v>
      </c>
      <c r="Y405" s="131" t="str">
        <f>IF(tbResults[[#This Row],[Loser]]=tbResults[[#This Row],[Player1]],tbResults[[#This Row],[Player1 Pick]],tbResults[[#This Row],[Player2 Pick]])</f>
        <v>Sorlag</v>
      </c>
      <c r="Z405" s="132">
        <f>SUM(tbResults[[#This Row],[Player1 Score]],tbResults[[#This Row],[Player2 Score]])</f>
        <v>0</v>
      </c>
      <c r="AA405" s="132">
        <f>ABS(tbResults[[#This Row],[Player1 Score]]-tbResults[[#This Row],[Player2 Score]])</f>
        <v>0</v>
      </c>
      <c r="AB405" s="132">
        <f>IF(tbResults[[#This Row],[Player1 Score]]&gt;tbResults[[#This Row],[Player2 Score]],tbResults[[#This Row],[Player1 Score]],tbResults[[#This Row],[Player2 Score]])</f>
        <v>0</v>
      </c>
      <c r="AC405" s="132">
        <f>IF(tbResults[[#This Row],[Player1 Score]]&lt;tbResults[[#This Row],[Player2 Score]],tbResults[[#This Row],[Player1 Score]],tbResults[[#This Row],[Player2 Score]])</f>
        <v>0</v>
      </c>
    </row>
    <row r="406" spans="2:29" ht="30" customHeight="1" x14ac:dyDescent="0.3">
      <c r="B406" s="124" t="str">
        <f>_xlfn.CONCAT(tbResults[[#This Row],[Series Title]],".",tbResults[[#This Row],[Game]])</f>
        <v>2.3.01.05.1</v>
      </c>
      <c r="C406" s="125">
        <v>2</v>
      </c>
      <c r="D406" s="125">
        <v>3</v>
      </c>
      <c r="E406" s="125">
        <v>1</v>
      </c>
      <c r="F406" s="125">
        <v>5</v>
      </c>
      <c r="G406" s="119">
        <v>1</v>
      </c>
      <c r="H406" s="126" t="str">
        <f>_xlfn.CONCAT(tbResults[[#This Row],[Season]],".",tbResults[[#This Row],[Stage]])</f>
        <v>2.3</v>
      </c>
      <c r="I406" s="126" t="str">
        <f>_xlfn.CONCAT(tbResults[[#This Row],[Season]],".",tbResults[[#This Row],[Stage]],".",TEXT(tbResults[[#This Row],[Week]],"00"))</f>
        <v>2.3.01</v>
      </c>
      <c r="J406" s="126" t="str">
        <f>_xlfn.CONCAT(tbResults[[#This Row],[Week Title]],".",TEXT(tbResults[[#This Row],[Match]],"00"))</f>
        <v>2.3.01.05</v>
      </c>
      <c r="K406" s="124" t="str">
        <f>_xlfn.CONCAT(tbResults[[#This Row],[Game Title]], " ", tbResults[[#This Row],[Player1]], " vs ", tbResults[[#This Row],[Player2]] )</f>
        <v xml:space="preserve">2.3.01.05.1  vs </v>
      </c>
      <c r="L406" s="127"/>
      <c r="M406" s="127"/>
      <c r="N406" s="127"/>
      <c r="O406" s="127"/>
      <c r="P406" s="128"/>
      <c r="Q406" s="129"/>
      <c r="R406" s="129"/>
      <c r="S406" s="129"/>
      <c r="T406" s="130"/>
      <c r="U406" s="130"/>
      <c r="V406" s="47">
        <f>IF(tbResults[[#This Row],[Player1 Score]]&gt;tbResults[[#This Row],[Player2 Score]],tbResults[[#This Row],[Player1]],tbResults[[#This Row],[Player2]])</f>
        <v>0</v>
      </c>
      <c r="W406" s="49">
        <f>IF(tbResults[[#This Row],[Player1 Score]]&gt;tbResults[[#This Row],[Player2 Score]],tbResults[[#This Row],[Player2]],tbResults[[#This Row],[Player1]])</f>
        <v>0</v>
      </c>
      <c r="X406" s="131">
        <f>IF(tbResults[[#This Row],[Winner]]=tbResults[[#This Row],[Player1]],tbResults[[#This Row],[Player1 Pick]],tbResults[[#This Row],[Player2 Pick]])</f>
        <v>0</v>
      </c>
      <c r="Y406" s="131">
        <f>IF(tbResults[[#This Row],[Loser]]=tbResults[[#This Row],[Player1]],tbResults[[#This Row],[Player1 Pick]],tbResults[[#This Row],[Player2 Pick]])</f>
        <v>0</v>
      </c>
      <c r="Z406" s="132">
        <f>SUM(tbResults[[#This Row],[Player1 Score]],tbResults[[#This Row],[Player2 Score]])</f>
        <v>0</v>
      </c>
      <c r="AA406" s="132">
        <f>ABS(tbResults[[#This Row],[Player1 Score]]-tbResults[[#This Row],[Player2 Score]])</f>
        <v>0</v>
      </c>
      <c r="AB406" s="132">
        <f>IF(tbResults[[#This Row],[Player1 Score]]&gt;tbResults[[#This Row],[Player2 Score]],tbResults[[#This Row],[Player1 Score]],tbResults[[#This Row],[Player2 Score]])</f>
        <v>0</v>
      </c>
      <c r="AC406" s="132">
        <f>IF(tbResults[[#This Row],[Player1 Score]]&lt;tbResults[[#This Row],[Player2 Score]],tbResults[[#This Row],[Player1 Score]],tbResults[[#This Row],[Player2 Score]])</f>
        <v>0</v>
      </c>
    </row>
    <row r="407" spans="2:29" ht="30" customHeight="1" x14ac:dyDescent="0.3">
      <c r="B407" s="124" t="str">
        <f>_xlfn.CONCAT(tbResults[[#This Row],[Series Title]],".",tbResults[[#This Row],[Game]])</f>
        <v>2.3.01.05.2</v>
      </c>
      <c r="C407" s="125">
        <v>2</v>
      </c>
      <c r="D407" s="125">
        <v>3</v>
      </c>
      <c r="E407" s="125">
        <v>1</v>
      </c>
      <c r="F407" s="125">
        <v>5</v>
      </c>
      <c r="G407" s="125">
        <v>2</v>
      </c>
      <c r="H407" s="126" t="str">
        <f>_xlfn.CONCAT(tbResults[[#This Row],[Season]],".",tbResults[[#This Row],[Stage]])</f>
        <v>2.3</v>
      </c>
      <c r="I407" s="126" t="str">
        <f>_xlfn.CONCAT(tbResults[[#This Row],[Season]],".",tbResults[[#This Row],[Stage]],".",TEXT(tbResults[[#This Row],[Week]],"00"))</f>
        <v>2.3.01</v>
      </c>
      <c r="J407" s="126" t="str">
        <f>_xlfn.CONCAT(tbResults[[#This Row],[Week Title]],".",TEXT(tbResults[[#This Row],[Match]],"00"))</f>
        <v>2.3.01.05</v>
      </c>
      <c r="K407" s="124" t="str">
        <f>_xlfn.CONCAT(tbResults[[#This Row],[Game Title]], " ", tbResults[[#This Row],[Player1]], " vs ", tbResults[[#This Row],[Player2]] )</f>
        <v xml:space="preserve">2.3.01.05.2  vs </v>
      </c>
      <c r="L407" s="127"/>
      <c r="M407" s="127"/>
      <c r="N407" s="127"/>
      <c r="O407" s="127"/>
      <c r="P407" s="128"/>
      <c r="Q407" s="129"/>
      <c r="R407" s="129"/>
      <c r="S407" s="129"/>
      <c r="T407" s="130"/>
      <c r="U407" s="130"/>
      <c r="V407" s="47">
        <f>IF(tbResults[[#This Row],[Player1 Score]]&gt;tbResults[[#This Row],[Player2 Score]],tbResults[[#This Row],[Player1]],tbResults[[#This Row],[Player2]])</f>
        <v>0</v>
      </c>
      <c r="W407" s="49">
        <f>IF(tbResults[[#This Row],[Player1 Score]]&gt;tbResults[[#This Row],[Player2 Score]],tbResults[[#This Row],[Player2]],tbResults[[#This Row],[Player1]])</f>
        <v>0</v>
      </c>
      <c r="X407" s="131">
        <f>IF(tbResults[[#This Row],[Winner]]=tbResults[[#This Row],[Player1]],tbResults[[#This Row],[Player1 Pick]],tbResults[[#This Row],[Player2 Pick]])</f>
        <v>0</v>
      </c>
      <c r="Y407" s="131">
        <f>IF(tbResults[[#This Row],[Loser]]=tbResults[[#This Row],[Player1]],tbResults[[#This Row],[Player1 Pick]],tbResults[[#This Row],[Player2 Pick]])</f>
        <v>0</v>
      </c>
      <c r="Z407" s="132">
        <f>SUM(tbResults[[#This Row],[Player1 Score]],tbResults[[#This Row],[Player2 Score]])</f>
        <v>0</v>
      </c>
      <c r="AA407" s="132">
        <f>ABS(tbResults[[#This Row],[Player1 Score]]-tbResults[[#This Row],[Player2 Score]])</f>
        <v>0</v>
      </c>
      <c r="AB407" s="132">
        <f>IF(tbResults[[#This Row],[Player1 Score]]&gt;tbResults[[#This Row],[Player2 Score]],tbResults[[#This Row],[Player1 Score]],tbResults[[#This Row],[Player2 Score]])</f>
        <v>0</v>
      </c>
      <c r="AC407" s="132">
        <f>IF(tbResults[[#This Row],[Player1 Score]]&lt;tbResults[[#This Row],[Player2 Score]],tbResults[[#This Row],[Player1 Score]],tbResults[[#This Row],[Player2 Score]])</f>
        <v>0</v>
      </c>
    </row>
    <row r="408" spans="2:29" ht="30" customHeight="1" x14ac:dyDescent="0.3">
      <c r="B408" s="124" t="str">
        <f>_xlfn.CONCAT(tbResults[[#This Row],[Series Title]],".",tbResults[[#This Row],[Game]])</f>
        <v>2.3.01.05.3</v>
      </c>
      <c r="C408" s="125">
        <v>2</v>
      </c>
      <c r="D408" s="125">
        <v>3</v>
      </c>
      <c r="E408" s="125">
        <v>1</v>
      </c>
      <c r="F408" s="125">
        <v>5</v>
      </c>
      <c r="G408" s="125">
        <v>3</v>
      </c>
      <c r="H408" s="126" t="str">
        <f>_xlfn.CONCAT(tbResults[[#This Row],[Season]],".",tbResults[[#This Row],[Stage]])</f>
        <v>2.3</v>
      </c>
      <c r="I408" s="126" t="str">
        <f>_xlfn.CONCAT(tbResults[[#This Row],[Season]],".",tbResults[[#This Row],[Stage]],".",TEXT(tbResults[[#This Row],[Week]],"00"))</f>
        <v>2.3.01</v>
      </c>
      <c r="J408" s="126" t="str">
        <f>_xlfn.CONCAT(tbResults[[#This Row],[Week Title]],".",TEXT(tbResults[[#This Row],[Match]],"00"))</f>
        <v>2.3.01.05</v>
      </c>
      <c r="K408" s="124" t="str">
        <f>_xlfn.CONCAT(tbResults[[#This Row],[Game Title]], " ", tbResults[[#This Row],[Player1]], " vs ", tbResults[[#This Row],[Player2]] )</f>
        <v xml:space="preserve">2.3.01.05.3  vs </v>
      </c>
      <c r="L408" s="127"/>
      <c r="M408" s="127"/>
      <c r="N408" s="127"/>
      <c r="O408" s="127"/>
      <c r="P408" s="128"/>
      <c r="Q408" s="129"/>
      <c r="R408" s="129"/>
      <c r="S408" s="129"/>
      <c r="T408" s="130"/>
      <c r="U408" s="130"/>
      <c r="V408" s="47">
        <f>IF(tbResults[[#This Row],[Player1 Score]]&gt;tbResults[[#This Row],[Player2 Score]],tbResults[[#This Row],[Player1]],tbResults[[#This Row],[Player2]])</f>
        <v>0</v>
      </c>
      <c r="W408" s="49">
        <f>IF(tbResults[[#This Row],[Player1 Score]]&gt;tbResults[[#This Row],[Player2 Score]],tbResults[[#This Row],[Player2]],tbResults[[#This Row],[Player1]])</f>
        <v>0</v>
      </c>
      <c r="X408" s="131">
        <f>IF(tbResults[[#This Row],[Winner]]=tbResults[[#This Row],[Player1]],tbResults[[#This Row],[Player1 Pick]],tbResults[[#This Row],[Player2 Pick]])</f>
        <v>0</v>
      </c>
      <c r="Y408" s="131">
        <f>IF(tbResults[[#This Row],[Loser]]=tbResults[[#This Row],[Player1]],tbResults[[#This Row],[Player1 Pick]],tbResults[[#This Row],[Player2 Pick]])</f>
        <v>0</v>
      </c>
      <c r="Z408" s="132">
        <f>SUM(tbResults[[#This Row],[Player1 Score]],tbResults[[#This Row],[Player2 Score]])</f>
        <v>0</v>
      </c>
      <c r="AA408" s="132">
        <f>ABS(tbResults[[#This Row],[Player1 Score]]-tbResults[[#This Row],[Player2 Score]])</f>
        <v>0</v>
      </c>
      <c r="AB408" s="132">
        <f>IF(tbResults[[#This Row],[Player1 Score]]&gt;tbResults[[#This Row],[Player2 Score]],tbResults[[#This Row],[Player1 Score]],tbResults[[#This Row],[Player2 Score]])</f>
        <v>0</v>
      </c>
      <c r="AC408" s="132">
        <f>IF(tbResults[[#This Row],[Player1 Score]]&lt;tbResults[[#This Row],[Player2 Score]],tbResults[[#This Row],[Player1 Score]],tbResults[[#This Row],[Player2 Score]])</f>
        <v>0</v>
      </c>
    </row>
    <row r="409" spans="2:29" ht="30" customHeight="1" x14ac:dyDescent="0.3">
      <c r="B409" s="124" t="str">
        <f>_xlfn.CONCAT(tbResults[[#This Row],[Series Title]],".",tbResults[[#This Row],[Game]])</f>
        <v>2.3.01.06.1</v>
      </c>
      <c r="C409" s="125">
        <v>2</v>
      </c>
      <c r="D409" s="125">
        <v>3</v>
      </c>
      <c r="E409" s="125">
        <v>1</v>
      </c>
      <c r="F409" s="125">
        <v>6</v>
      </c>
      <c r="G409" s="119">
        <v>1</v>
      </c>
      <c r="H409" s="126" t="str">
        <f>_xlfn.CONCAT(tbResults[[#This Row],[Season]],".",tbResults[[#This Row],[Stage]])</f>
        <v>2.3</v>
      </c>
      <c r="I409" s="126" t="str">
        <f>_xlfn.CONCAT(tbResults[[#This Row],[Season]],".",tbResults[[#This Row],[Stage]],".",TEXT(tbResults[[#This Row],[Week]],"00"))</f>
        <v>2.3.01</v>
      </c>
      <c r="J409" s="126" t="str">
        <f>_xlfn.CONCAT(tbResults[[#This Row],[Week Title]],".",TEXT(tbResults[[#This Row],[Match]],"00"))</f>
        <v>2.3.01.06</v>
      </c>
      <c r="K409" s="124" t="str">
        <f>_xlfn.CONCAT(tbResults[[#This Row],[Game Title]], " ", tbResults[[#This Row],[Player1]], " vs ", tbResults[[#This Row],[Player2]] )</f>
        <v xml:space="preserve">2.3.01.06.1  vs </v>
      </c>
      <c r="L409" s="127"/>
      <c r="M409" s="127"/>
      <c r="N409" s="127"/>
      <c r="O409" s="127"/>
      <c r="P409" s="128"/>
      <c r="Q409" s="129"/>
      <c r="R409" s="129"/>
      <c r="S409" s="129"/>
      <c r="T409" s="130"/>
      <c r="U409" s="130"/>
      <c r="V409" s="47">
        <f>IF(tbResults[[#This Row],[Player1 Score]]&gt;tbResults[[#This Row],[Player2 Score]],tbResults[[#This Row],[Player1]],tbResults[[#This Row],[Player2]])</f>
        <v>0</v>
      </c>
      <c r="W409" s="49">
        <f>IF(tbResults[[#This Row],[Player1 Score]]&gt;tbResults[[#This Row],[Player2 Score]],tbResults[[#This Row],[Player2]],tbResults[[#This Row],[Player1]])</f>
        <v>0</v>
      </c>
      <c r="X409" s="131">
        <f>IF(tbResults[[#This Row],[Winner]]=tbResults[[#This Row],[Player1]],tbResults[[#This Row],[Player1 Pick]],tbResults[[#This Row],[Player2 Pick]])</f>
        <v>0</v>
      </c>
      <c r="Y409" s="131">
        <f>IF(tbResults[[#This Row],[Loser]]=tbResults[[#This Row],[Player1]],tbResults[[#This Row],[Player1 Pick]],tbResults[[#This Row],[Player2 Pick]])</f>
        <v>0</v>
      </c>
      <c r="Z409" s="132">
        <f>SUM(tbResults[[#This Row],[Player1 Score]],tbResults[[#This Row],[Player2 Score]])</f>
        <v>0</v>
      </c>
      <c r="AA409" s="132">
        <f>ABS(tbResults[[#This Row],[Player1 Score]]-tbResults[[#This Row],[Player2 Score]])</f>
        <v>0</v>
      </c>
      <c r="AB409" s="132">
        <f>IF(tbResults[[#This Row],[Player1 Score]]&gt;tbResults[[#This Row],[Player2 Score]],tbResults[[#This Row],[Player1 Score]],tbResults[[#This Row],[Player2 Score]])</f>
        <v>0</v>
      </c>
      <c r="AC409" s="132">
        <f>IF(tbResults[[#This Row],[Player1 Score]]&lt;tbResults[[#This Row],[Player2 Score]],tbResults[[#This Row],[Player1 Score]],tbResults[[#This Row],[Player2 Score]])</f>
        <v>0</v>
      </c>
    </row>
    <row r="410" spans="2:29" ht="30" customHeight="1" x14ac:dyDescent="0.3">
      <c r="B410" s="124" t="str">
        <f>_xlfn.CONCAT(tbResults[[#This Row],[Series Title]],".",tbResults[[#This Row],[Game]])</f>
        <v>2.3.01.06.2</v>
      </c>
      <c r="C410" s="125">
        <v>2</v>
      </c>
      <c r="D410" s="125">
        <v>3</v>
      </c>
      <c r="E410" s="125">
        <v>1</v>
      </c>
      <c r="F410" s="125">
        <v>6</v>
      </c>
      <c r="G410" s="125">
        <v>2</v>
      </c>
      <c r="H410" s="126" t="str">
        <f>_xlfn.CONCAT(tbResults[[#This Row],[Season]],".",tbResults[[#This Row],[Stage]])</f>
        <v>2.3</v>
      </c>
      <c r="I410" s="126" t="str">
        <f>_xlfn.CONCAT(tbResults[[#This Row],[Season]],".",tbResults[[#This Row],[Stage]],".",TEXT(tbResults[[#This Row],[Week]],"00"))</f>
        <v>2.3.01</v>
      </c>
      <c r="J410" s="126" t="str">
        <f>_xlfn.CONCAT(tbResults[[#This Row],[Week Title]],".",TEXT(tbResults[[#This Row],[Match]],"00"))</f>
        <v>2.3.01.06</v>
      </c>
      <c r="K410" s="124" t="str">
        <f>_xlfn.CONCAT(tbResults[[#This Row],[Game Title]], " ", tbResults[[#This Row],[Player1]], " vs ", tbResults[[#This Row],[Player2]] )</f>
        <v xml:space="preserve">2.3.01.06.2  vs </v>
      </c>
      <c r="L410" s="127"/>
      <c r="M410" s="127"/>
      <c r="N410" s="127"/>
      <c r="O410" s="127"/>
      <c r="P410" s="128"/>
      <c r="Q410" s="129"/>
      <c r="R410" s="129"/>
      <c r="S410" s="129"/>
      <c r="T410" s="130"/>
      <c r="U410" s="130"/>
      <c r="V410" s="47">
        <f>IF(tbResults[[#This Row],[Player1 Score]]&gt;tbResults[[#This Row],[Player2 Score]],tbResults[[#This Row],[Player1]],tbResults[[#This Row],[Player2]])</f>
        <v>0</v>
      </c>
      <c r="W410" s="49">
        <f>IF(tbResults[[#This Row],[Player1 Score]]&gt;tbResults[[#This Row],[Player2 Score]],tbResults[[#This Row],[Player2]],tbResults[[#This Row],[Player1]])</f>
        <v>0</v>
      </c>
      <c r="X410" s="131">
        <f>IF(tbResults[[#This Row],[Winner]]=tbResults[[#This Row],[Player1]],tbResults[[#This Row],[Player1 Pick]],tbResults[[#This Row],[Player2 Pick]])</f>
        <v>0</v>
      </c>
      <c r="Y410" s="131">
        <f>IF(tbResults[[#This Row],[Loser]]=tbResults[[#This Row],[Player1]],tbResults[[#This Row],[Player1 Pick]],tbResults[[#This Row],[Player2 Pick]])</f>
        <v>0</v>
      </c>
      <c r="Z410" s="132">
        <f>SUM(tbResults[[#This Row],[Player1 Score]],tbResults[[#This Row],[Player2 Score]])</f>
        <v>0</v>
      </c>
      <c r="AA410" s="132">
        <f>ABS(tbResults[[#This Row],[Player1 Score]]-tbResults[[#This Row],[Player2 Score]])</f>
        <v>0</v>
      </c>
      <c r="AB410" s="132">
        <f>IF(tbResults[[#This Row],[Player1 Score]]&gt;tbResults[[#This Row],[Player2 Score]],tbResults[[#This Row],[Player1 Score]],tbResults[[#This Row],[Player2 Score]])</f>
        <v>0</v>
      </c>
      <c r="AC410" s="132">
        <f>IF(tbResults[[#This Row],[Player1 Score]]&lt;tbResults[[#This Row],[Player2 Score]],tbResults[[#This Row],[Player1 Score]],tbResults[[#This Row],[Player2 Score]])</f>
        <v>0</v>
      </c>
    </row>
    <row r="411" spans="2:29" ht="30" customHeight="1" x14ac:dyDescent="0.3">
      <c r="B411" s="124" t="str">
        <f>_xlfn.CONCAT(tbResults[[#This Row],[Series Title]],".",tbResults[[#This Row],[Game]])</f>
        <v>2.3.01.06.3</v>
      </c>
      <c r="C411" s="125">
        <v>2</v>
      </c>
      <c r="D411" s="125">
        <v>3</v>
      </c>
      <c r="E411" s="125">
        <v>1</v>
      </c>
      <c r="F411" s="125">
        <v>6</v>
      </c>
      <c r="G411" s="125">
        <v>3</v>
      </c>
      <c r="H411" s="126" t="str">
        <f>_xlfn.CONCAT(tbResults[[#This Row],[Season]],".",tbResults[[#This Row],[Stage]])</f>
        <v>2.3</v>
      </c>
      <c r="I411" s="126" t="str">
        <f>_xlfn.CONCAT(tbResults[[#This Row],[Season]],".",tbResults[[#This Row],[Stage]],".",TEXT(tbResults[[#This Row],[Week]],"00"))</f>
        <v>2.3.01</v>
      </c>
      <c r="J411" s="126" t="str">
        <f>_xlfn.CONCAT(tbResults[[#This Row],[Week Title]],".",TEXT(tbResults[[#This Row],[Match]],"00"))</f>
        <v>2.3.01.06</v>
      </c>
      <c r="K411" s="124" t="str">
        <f>_xlfn.CONCAT(tbResults[[#This Row],[Game Title]], " ", tbResults[[#This Row],[Player1]], " vs ", tbResults[[#This Row],[Player2]] )</f>
        <v xml:space="preserve">2.3.01.06.3  vs </v>
      </c>
      <c r="L411" s="127"/>
      <c r="M411" s="127"/>
      <c r="N411" s="127"/>
      <c r="O411" s="127"/>
      <c r="P411" s="128"/>
      <c r="Q411" s="129"/>
      <c r="R411" s="129"/>
      <c r="S411" s="129"/>
      <c r="T411" s="130"/>
      <c r="U411" s="130"/>
      <c r="V411" s="47">
        <f>IF(tbResults[[#This Row],[Player1 Score]]&gt;tbResults[[#This Row],[Player2 Score]],tbResults[[#This Row],[Player1]],tbResults[[#This Row],[Player2]])</f>
        <v>0</v>
      </c>
      <c r="W411" s="49">
        <f>IF(tbResults[[#This Row],[Player1 Score]]&gt;tbResults[[#This Row],[Player2 Score]],tbResults[[#This Row],[Player2]],tbResults[[#This Row],[Player1]])</f>
        <v>0</v>
      </c>
      <c r="X411" s="131">
        <f>IF(tbResults[[#This Row],[Winner]]=tbResults[[#This Row],[Player1]],tbResults[[#This Row],[Player1 Pick]],tbResults[[#This Row],[Player2 Pick]])</f>
        <v>0</v>
      </c>
      <c r="Y411" s="131">
        <f>IF(tbResults[[#This Row],[Loser]]=tbResults[[#This Row],[Player1]],tbResults[[#This Row],[Player1 Pick]],tbResults[[#This Row],[Player2 Pick]])</f>
        <v>0</v>
      </c>
      <c r="Z411" s="132">
        <f>SUM(tbResults[[#This Row],[Player1 Score]],tbResults[[#This Row],[Player2 Score]])</f>
        <v>0</v>
      </c>
      <c r="AA411" s="132">
        <f>ABS(tbResults[[#This Row],[Player1 Score]]-tbResults[[#This Row],[Player2 Score]])</f>
        <v>0</v>
      </c>
      <c r="AB411" s="132">
        <f>IF(tbResults[[#This Row],[Player1 Score]]&gt;tbResults[[#This Row],[Player2 Score]],tbResults[[#This Row],[Player1 Score]],tbResults[[#This Row],[Player2 Score]])</f>
        <v>0</v>
      </c>
      <c r="AC411" s="132">
        <f>IF(tbResults[[#This Row],[Player1 Score]]&lt;tbResults[[#This Row],[Player2 Score]],tbResults[[#This Row],[Player1 Score]],tbResults[[#This Row],[Player2 Score]])</f>
        <v>0</v>
      </c>
    </row>
    <row r="412" spans="2:29" ht="30" customHeight="1" x14ac:dyDescent="0.3">
      <c r="B412" s="124" t="str">
        <f>_xlfn.CONCAT(tbResults[[#This Row],[Series Title]],".",tbResults[[#This Row],[Game]])</f>
        <v>2.3.01.07.1</v>
      </c>
      <c r="C412" s="125">
        <v>2</v>
      </c>
      <c r="D412" s="125">
        <v>3</v>
      </c>
      <c r="E412" s="125">
        <v>1</v>
      </c>
      <c r="F412" s="125">
        <v>7</v>
      </c>
      <c r="G412" s="119">
        <v>1</v>
      </c>
      <c r="H412" s="126" t="str">
        <f>_xlfn.CONCAT(tbResults[[#This Row],[Season]],".",tbResults[[#This Row],[Stage]])</f>
        <v>2.3</v>
      </c>
      <c r="I412" s="126" t="str">
        <f>_xlfn.CONCAT(tbResults[[#This Row],[Season]],".",tbResults[[#This Row],[Stage]],".",TEXT(tbResults[[#This Row],[Week]],"00"))</f>
        <v>2.3.01</v>
      </c>
      <c r="J412" s="126" t="str">
        <f>_xlfn.CONCAT(tbResults[[#This Row],[Week Title]],".",TEXT(tbResults[[#This Row],[Match]],"00"))</f>
        <v>2.3.01.07</v>
      </c>
      <c r="K412" s="124" t="str">
        <f>_xlfn.CONCAT(tbResults[[#This Row],[Game Title]], " ", tbResults[[#This Row],[Player1]], " vs ", tbResults[[#This Row],[Player2]] )</f>
        <v xml:space="preserve">2.3.01.07.1  vs </v>
      </c>
      <c r="L412" s="127"/>
      <c r="M412" s="127"/>
      <c r="N412" s="127"/>
      <c r="O412" s="127"/>
      <c r="P412" s="128"/>
      <c r="Q412" s="129"/>
      <c r="R412" s="129"/>
      <c r="S412" s="129"/>
      <c r="T412" s="130"/>
      <c r="U412" s="130"/>
      <c r="V412" s="47">
        <f>IF(tbResults[[#This Row],[Player1 Score]]&gt;tbResults[[#This Row],[Player2 Score]],tbResults[[#This Row],[Player1]],tbResults[[#This Row],[Player2]])</f>
        <v>0</v>
      </c>
      <c r="W412" s="49">
        <f>IF(tbResults[[#This Row],[Player1 Score]]&gt;tbResults[[#This Row],[Player2 Score]],tbResults[[#This Row],[Player2]],tbResults[[#This Row],[Player1]])</f>
        <v>0</v>
      </c>
      <c r="X412" s="131">
        <f>IF(tbResults[[#This Row],[Winner]]=tbResults[[#This Row],[Player1]],tbResults[[#This Row],[Player1 Pick]],tbResults[[#This Row],[Player2 Pick]])</f>
        <v>0</v>
      </c>
      <c r="Y412" s="131">
        <f>IF(tbResults[[#This Row],[Loser]]=tbResults[[#This Row],[Player1]],tbResults[[#This Row],[Player1 Pick]],tbResults[[#This Row],[Player2 Pick]])</f>
        <v>0</v>
      </c>
      <c r="Z412" s="132">
        <f>SUM(tbResults[[#This Row],[Player1 Score]],tbResults[[#This Row],[Player2 Score]])</f>
        <v>0</v>
      </c>
      <c r="AA412" s="132">
        <f>ABS(tbResults[[#This Row],[Player1 Score]]-tbResults[[#This Row],[Player2 Score]])</f>
        <v>0</v>
      </c>
      <c r="AB412" s="132">
        <f>IF(tbResults[[#This Row],[Player1 Score]]&gt;tbResults[[#This Row],[Player2 Score]],tbResults[[#This Row],[Player1 Score]],tbResults[[#This Row],[Player2 Score]])</f>
        <v>0</v>
      </c>
      <c r="AC412" s="132">
        <f>IF(tbResults[[#This Row],[Player1 Score]]&lt;tbResults[[#This Row],[Player2 Score]],tbResults[[#This Row],[Player1 Score]],tbResults[[#This Row],[Player2 Score]])</f>
        <v>0</v>
      </c>
    </row>
    <row r="413" spans="2:29" ht="30" customHeight="1" x14ac:dyDescent="0.3">
      <c r="B413" s="124" t="str">
        <f>_xlfn.CONCAT(tbResults[[#This Row],[Series Title]],".",tbResults[[#This Row],[Game]])</f>
        <v>2.3.01.07.2</v>
      </c>
      <c r="C413" s="125">
        <v>2</v>
      </c>
      <c r="D413" s="125">
        <v>3</v>
      </c>
      <c r="E413" s="125">
        <v>1</v>
      </c>
      <c r="F413" s="125">
        <v>7</v>
      </c>
      <c r="G413" s="125">
        <v>2</v>
      </c>
      <c r="H413" s="126" t="str">
        <f>_xlfn.CONCAT(tbResults[[#This Row],[Season]],".",tbResults[[#This Row],[Stage]])</f>
        <v>2.3</v>
      </c>
      <c r="I413" s="126" t="str">
        <f>_xlfn.CONCAT(tbResults[[#This Row],[Season]],".",tbResults[[#This Row],[Stage]],".",TEXT(tbResults[[#This Row],[Week]],"00"))</f>
        <v>2.3.01</v>
      </c>
      <c r="J413" s="126" t="str">
        <f>_xlfn.CONCAT(tbResults[[#This Row],[Week Title]],".",TEXT(tbResults[[#This Row],[Match]],"00"))</f>
        <v>2.3.01.07</v>
      </c>
      <c r="K413" s="124" t="str">
        <f>_xlfn.CONCAT(tbResults[[#This Row],[Game Title]], " ", tbResults[[#This Row],[Player1]], " vs ", tbResults[[#This Row],[Player2]] )</f>
        <v xml:space="preserve">2.3.01.07.2  vs </v>
      </c>
      <c r="L413" s="127"/>
      <c r="M413" s="127"/>
      <c r="N413" s="127"/>
      <c r="O413" s="127"/>
      <c r="P413" s="128"/>
      <c r="Q413" s="129"/>
      <c r="R413" s="129"/>
      <c r="S413" s="129"/>
      <c r="T413" s="130"/>
      <c r="U413" s="130"/>
      <c r="V413" s="47">
        <f>IF(tbResults[[#This Row],[Player1 Score]]&gt;tbResults[[#This Row],[Player2 Score]],tbResults[[#This Row],[Player1]],tbResults[[#This Row],[Player2]])</f>
        <v>0</v>
      </c>
      <c r="W413" s="49">
        <f>IF(tbResults[[#This Row],[Player1 Score]]&gt;tbResults[[#This Row],[Player2 Score]],tbResults[[#This Row],[Player2]],tbResults[[#This Row],[Player1]])</f>
        <v>0</v>
      </c>
      <c r="X413" s="131">
        <f>IF(tbResults[[#This Row],[Winner]]=tbResults[[#This Row],[Player1]],tbResults[[#This Row],[Player1 Pick]],tbResults[[#This Row],[Player2 Pick]])</f>
        <v>0</v>
      </c>
      <c r="Y413" s="131">
        <f>IF(tbResults[[#This Row],[Loser]]=tbResults[[#This Row],[Player1]],tbResults[[#This Row],[Player1 Pick]],tbResults[[#This Row],[Player2 Pick]])</f>
        <v>0</v>
      </c>
      <c r="Z413" s="132">
        <f>SUM(tbResults[[#This Row],[Player1 Score]],tbResults[[#This Row],[Player2 Score]])</f>
        <v>0</v>
      </c>
      <c r="AA413" s="132">
        <f>ABS(tbResults[[#This Row],[Player1 Score]]-tbResults[[#This Row],[Player2 Score]])</f>
        <v>0</v>
      </c>
      <c r="AB413" s="132">
        <f>IF(tbResults[[#This Row],[Player1 Score]]&gt;tbResults[[#This Row],[Player2 Score]],tbResults[[#This Row],[Player1 Score]],tbResults[[#This Row],[Player2 Score]])</f>
        <v>0</v>
      </c>
      <c r="AC413" s="132">
        <f>IF(tbResults[[#This Row],[Player1 Score]]&lt;tbResults[[#This Row],[Player2 Score]],tbResults[[#This Row],[Player1 Score]],tbResults[[#This Row],[Player2 Score]])</f>
        <v>0</v>
      </c>
    </row>
    <row r="414" spans="2:29" ht="30" customHeight="1" x14ac:dyDescent="0.3">
      <c r="B414" s="124" t="str">
        <f>_xlfn.CONCAT(tbResults[[#This Row],[Series Title]],".",tbResults[[#This Row],[Game]])</f>
        <v>2.3.01.07.3</v>
      </c>
      <c r="C414" s="125">
        <v>2</v>
      </c>
      <c r="D414" s="125">
        <v>3</v>
      </c>
      <c r="E414" s="125">
        <v>1</v>
      </c>
      <c r="F414" s="125">
        <v>7</v>
      </c>
      <c r="G414" s="125">
        <v>3</v>
      </c>
      <c r="H414" s="126" t="str">
        <f>_xlfn.CONCAT(tbResults[[#This Row],[Season]],".",tbResults[[#This Row],[Stage]])</f>
        <v>2.3</v>
      </c>
      <c r="I414" s="126" t="str">
        <f>_xlfn.CONCAT(tbResults[[#This Row],[Season]],".",tbResults[[#This Row],[Stage]],".",TEXT(tbResults[[#This Row],[Week]],"00"))</f>
        <v>2.3.01</v>
      </c>
      <c r="J414" s="126" t="str">
        <f>_xlfn.CONCAT(tbResults[[#This Row],[Week Title]],".",TEXT(tbResults[[#This Row],[Match]],"00"))</f>
        <v>2.3.01.07</v>
      </c>
      <c r="K414" s="124" t="str">
        <f>_xlfn.CONCAT(tbResults[[#This Row],[Game Title]], " ", tbResults[[#This Row],[Player1]], " vs ", tbResults[[#This Row],[Player2]] )</f>
        <v xml:space="preserve">2.3.01.07.3  vs </v>
      </c>
      <c r="L414" s="127"/>
      <c r="M414" s="127"/>
      <c r="N414" s="127"/>
      <c r="O414" s="127"/>
      <c r="P414" s="128"/>
      <c r="Q414" s="129"/>
      <c r="R414" s="129"/>
      <c r="S414" s="129"/>
      <c r="T414" s="130"/>
      <c r="U414" s="130"/>
      <c r="V414" s="47">
        <f>IF(tbResults[[#This Row],[Player1 Score]]&gt;tbResults[[#This Row],[Player2 Score]],tbResults[[#This Row],[Player1]],tbResults[[#This Row],[Player2]])</f>
        <v>0</v>
      </c>
      <c r="W414" s="49">
        <f>IF(tbResults[[#This Row],[Player1 Score]]&gt;tbResults[[#This Row],[Player2 Score]],tbResults[[#This Row],[Player2]],tbResults[[#This Row],[Player1]])</f>
        <v>0</v>
      </c>
      <c r="X414" s="131">
        <f>IF(tbResults[[#This Row],[Winner]]=tbResults[[#This Row],[Player1]],tbResults[[#This Row],[Player1 Pick]],tbResults[[#This Row],[Player2 Pick]])</f>
        <v>0</v>
      </c>
      <c r="Y414" s="131">
        <f>IF(tbResults[[#This Row],[Loser]]=tbResults[[#This Row],[Player1]],tbResults[[#This Row],[Player1 Pick]],tbResults[[#This Row],[Player2 Pick]])</f>
        <v>0</v>
      </c>
      <c r="Z414" s="132">
        <f>SUM(tbResults[[#This Row],[Player1 Score]],tbResults[[#This Row],[Player2 Score]])</f>
        <v>0</v>
      </c>
      <c r="AA414" s="132">
        <f>ABS(tbResults[[#This Row],[Player1 Score]]-tbResults[[#This Row],[Player2 Score]])</f>
        <v>0</v>
      </c>
      <c r="AB414" s="132">
        <f>IF(tbResults[[#This Row],[Player1 Score]]&gt;tbResults[[#This Row],[Player2 Score]],tbResults[[#This Row],[Player1 Score]],tbResults[[#This Row],[Player2 Score]])</f>
        <v>0</v>
      </c>
      <c r="AC414" s="132">
        <f>IF(tbResults[[#This Row],[Player1 Score]]&lt;tbResults[[#This Row],[Player2 Score]],tbResults[[#This Row],[Player1 Score]],tbResults[[#This Row],[Player2 Score]])</f>
        <v>0</v>
      </c>
    </row>
  </sheetData>
  <phoneticPr fontId="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02363-B79C-44BF-B436-C3DFF83E6FBB}">
  <dimension ref="B1:S519"/>
  <sheetViews>
    <sheetView showGridLines="0" topLeftCell="A490" zoomScale="75" zoomScaleNormal="75" workbookViewId="0">
      <selection activeCell="C511" sqref="C511"/>
    </sheetView>
  </sheetViews>
  <sheetFormatPr defaultColWidth="8.6640625" defaultRowHeight="30" customHeight="1" x14ac:dyDescent="0.3"/>
  <cols>
    <col min="1" max="1" width="0.88671875" style="6" customWidth="1"/>
    <col min="2" max="4" width="12.5546875" style="6" customWidth="1"/>
    <col min="5" max="5" width="13.5546875" style="6" customWidth="1"/>
    <col min="6" max="7" width="12.5546875" style="6" customWidth="1"/>
    <col min="8" max="8" width="12.5546875" style="10" customWidth="1"/>
    <col min="9" max="9" width="12.5546875" style="6" customWidth="1"/>
    <col min="10" max="12" width="12.5546875" style="8" customWidth="1"/>
    <col min="13" max="15" width="12.5546875" style="10" customWidth="1"/>
    <col min="16" max="17" width="12.6640625" style="6" customWidth="1"/>
    <col min="18" max="18" width="12.44140625" style="6" customWidth="1"/>
    <col min="19" max="16384" width="8.6640625" style="6"/>
  </cols>
  <sheetData>
    <row r="1" spans="2:19" ht="4.5" customHeight="1" x14ac:dyDescent="0.3"/>
    <row r="2" spans="2:19" ht="30" customHeight="1" x14ac:dyDescent="0.3">
      <c r="B2" s="21" t="s">
        <v>195</v>
      </c>
      <c r="I2" s="10"/>
      <c r="J2" s="10"/>
      <c r="K2" s="6"/>
      <c r="L2" s="10"/>
      <c r="P2" s="5"/>
      <c r="Q2" s="5"/>
      <c r="R2" s="10"/>
      <c r="S2" s="10"/>
    </row>
    <row r="3" spans="2:19" ht="30" customHeight="1" x14ac:dyDescent="0.3">
      <c r="B3" s="6" t="s">
        <v>62</v>
      </c>
      <c r="C3" s="6" t="s">
        <v>88</v>
      </c>
      <c r="D3" s="6" t="s">
        <v>78</v>
      </c>
    </row>
    <row r="4" spans="2:19" ht="30" customHeight="1" x14ac:dyDescent="0.3">
      <c r="B4" s="6" t="s">
        <v>190</v>
      </c>
      <c r="C4" s="6" t="s">
        <v>50</v>
      </c>
      <c r="D4" s="6" t="s">
        <v>23</v>
      </c>
    </row>
    <row r="5" spans="2:19" ht="30" customHeight="1" x14ac:dyDescent="0.3">
      <c r="B5" s="6" t="s">
        <v>190</v>
      </c>
      <c r="C5" s="6" t="s">
        <v>54</v>
      </c>
      <c r="D5" s="6" t="s">
        <v>33</v>
      </c>
    </row>
    <row r="6" spans="2:19" ht="30" customHeight="1" x14ac:dyDescent="0.3">
      <c r="B6" s="6" t="s">
        <v>190</v>
      </c>
      <c r="C6" s="6" t="s">
        <v>50</v>
      </c>
      <c r="D6" s="6" t="s">
        <v>19</v>
      </c>
    </row>
    <row r="7" spans="2:19" ht="30" customHeight="1" x14ac:dyDescent="0.3">
      <c r="B7" s="6" t="s">
        <v>190</v>
      </c>
      <c r="C7" s="6" t="s">
        <v>54</v>
      </c>
      <c r="D7" s="6" t="s">
        <v>40</v>
      </c>
    </row>
    <row r="8" spans="2:19" ht="30" customHeight="1" x14ac:dyDescent="0.3">
      <c r="B8" s="6" t="s">
        <v>189</v>
      </c>
      <c r="C8" s="6" t="s">
        <v>5</v>
      </c>
      <c r="D8" s="6" t="s">
        <v>90</v>
      </c>
    </row>
    <row r="9" spans="2:19" ht="30" customHeight="1" x14ac:dyDescent="0.3">
      <c r="B9" s="6" t="s">
        <v>189</v>
      </c>
      <c r="C9" s="6" t="s">
        <v>42</v>
      </c>
      <c r="D9" s="6" t="s">
        <v>23</v>
      </c>
    </row>
    <row r="10" spans="2:19" ht="30" customHeight="1" x14ac:dyDescent="0.3">
      <c r="B10" s="6" t="s">
        <v>189</v>
      </c>
      <c r="C10" s="6" t="s">
        <v>5</v>
      </c>
      <c r="D10" s="6" t="s">
        <v>33</v>
      </c>
    </row>
    <row r="11" spans="2:19" ht="30" customHeight="1" x14ac:dyDescent="0.3">
      <c r="B11" s="6" t="s">
        <v>189</v>
      </c>
      <c r="C11" s="6" t="s">
        <v>42</v>
      </c>
      <c r="D11" s="6" t="s">
        <v>32</v>
      </c>
    </row>
    <row r="12" spans="2:19" ht="30" customHeight="1" x14ac:dyDescent="0.3">
      <c r="B12" s="6" t="s">
        <v>191</v>
      </c>
      <c r="C12" s="6" t="s">
        <v>11</v>
      </c>
      <c r="D12" s="6" t="s">
        <v>32</v>
      </c>
    </row>
    <row r="13" spans="2:19" ht="30" customHeight="1" x14ac:dyDescent="0.3">
      <c r="B13" s="6" t="s">
        <v>191</v>
      </c>
      <c r="C13" s="6" t="s">
        <v>30</v>
      </c>
      <c r="D13" s="6" t="s">
        <v>23</v>
      </c>
    </row>
    <row r="14" spans="2:19" ht="30" customHeight="1" x14ac:dyDescent="0.3">
      <c r="B14" s="6" t="s">
        <v>191</v>
      </c>
      <c r="C14" s="6" t="s">
        <v>11</v>
      </c>
      <c r="D14" s="6" t="s">
        <v>40</v>
      </c>
    </row>
    <row r="15" spans="2:19" ht="30" customHeight="1" x14ac:dyDescent="0.3">
      <c r="B15" s="6" t="s">
        <v>191</v>
      </c>
      <c r="C15" s="6" t="s">
        <v>30</v>
      </c>
      <c r="D15" s="6" t="s">
        <v>90</v>
      </c>
    </row>
    <row r="16" spans="2:19" ht="30" customHeight="1" x14ac:dyDescent="0.3">
      <c r="B16" s="6" t="s">
        <v>192</v>
      </c>
      <c r="C16" s="6" t="s">
        <v>48</v>
      </c>
      <c r="D16" s="6" t="s">
        <v>33</v>
      </c>
    </row>
    <row r="17" spans="2:4" ht="30" customHeight="1" x14ac:dyDescent="0.3">
      <c r="B17" s="6" t="s">
        <v>192</v>
      </c>
      <c r="C17" s="6" t="s">
        <v>101</v>
      </c>
      <c r="D17" s="6" t="s">
        <v>23</v>
      </c>
    </row>
    <row r="18" spans="2:4" ht="30" customHeight="1" x14ac:dyDescent="0.3">
      <c r="B18" s="6" t="s">
        <v>192</v>
      </c>
      <c r="C18" s="6" t="s">
        <v>48</v>
      </c>
      <c r="D18" s="6" t="s">
        <v>90</v>
      </c>
    </row>
    <row r="19" spans="2:4" ht="30" customHeight="1" x14ac:dyDescent="0.3">
      <c r="B19" s="6" t="s">
        <v>192</v>
      </c>
      <c r="C19" s="6" t="s">
        <v>101</v>
      </c>
      <c r="D19" s="6" t="s">
        <v>19</v>
      </c>
    </row>
    <row r="20" spans="2:4" ht="30" customHeight="1" x14ac:dyDescent="0.3">
      <c r="B20" s="6" t="s">
        <v>193</v>
      </c>
      <c r="C20" s="6" t="s">
        <v>12</v>
      </c>
      <c r="D20" s="6" t="s">
        <v>32</v>
      </c>
    </row>
    <row r="21" spans="2:4" ht="30" customHeight="1" x14ac:dyDescent="0.3">
      <c r="B21" s="6" t="s">
        <v>193</v>
      </c>
      <c r="C21" s="6" t="s">
        <v>29</v>
      </c>
      <c r="D21" s="6" t="s">
        <v>23</v>
      </c>
    </row>
    <row r="22" spans="2:4" ht="30" customHeight="1" x14ac:dyDescent="0.3">
      <c r="B22" s="6" t="s">
        <v>193</v>
      </c>
      <c r="C22" s="6" t="s">
        <v>12</v>
      </c>
      <c r="D22" s="6" t="s">
        <v>19</v>
      </c>
    </row>
    <row r="23" spans="2:4" ht="30" customHeight="1" x14ac:dyDescent="0.3">
      <c r="B23" s="6" t="s">
        <v>193</v>
      </c>
      <c r="C23" s="6" t="s">
        <v>29</v>
      </c>
      <c r="D23" s="6" t="s">
        <v>40</v>
      </c>
    </row>
    <row r="24" spans="2:4" ht="30" customHeight="1" x14ac:dyDescent="0.3">
      <c r="B24" s="6" t="s">
        <v>80</v>
      </c>
      <c r="C24" s="6" t="s">
        <v>51</v>
      </c>
      <c r="D24" s="6" t="s">
        <v>32</v>
      </c>
    </row>
    <row r="25" spans="2:4" ht="30" customHeight="1" x14ac:dyDescent="0.3">
      <c r="B25" s="6" t="s">
        <v>80</v>
      </c>
      <c r="C25" s="6" t="s">
        <v>51</v>
      </c>
      <c r="D25" s="6" t="s">
        <v>40</v>
      </c>
    </row>
    <row r="26" spans="2:4" ht="30" customHeight="1" x14ac:dyDescent="0.3">
      <c r="B26" s="6" t="s">
        <v>80</v>
      </c>
      <c r="C26" s="6" t="s">
        <v>50</v>
      </c>
      <c r="D26" s="6" t="s">
        <v>23</v>
      </c>
    </row>
    <row r="27" spans="2:4" ht="30" customHeight="1" x14ac:dyDescent="0.3">
      <c r="B27" s="6" t="s">
        <v>80</v>
      </c>
      <c r="C27" s="6" t="s">
        <v>50</v>
      </c>
      <c r="D27" s="6" t="s">
        <v>19</v>
      </c>
    </row>
    <row r="28" spans="2:4" ht="30" customHeight="1" x14ac:dyDescent="0.3">
      <c r="B28" s="6" t="s">
        <v>83</v>
      </c>
      <c r="C28" s="6" t="s">
        <v>47</v>
      </c>
      <c r="D28" s="6" t="s">
        <v>23</v>
      </c>
    </row>
    <row r="29" spans="2:4" ht="30" customHeight="1" x14ac:dyDescent="0.3">
      <c r="B29" s="6" t="s">
        <v>83</v>
      </c>
      <c r="C29" s="6" t="s">
        <v>12</v>
      </c>
      <c r="D29" s="6" t="s">
        <v>32</v>
      </c>
    </row>
    <row r="30" spans="2:4" ht="30" customHeight="1" x14ac:dyDescent="0.3">
      <c r="B30" s="6" t="s">
        <v>83</v>
      </c>
      <c r="C30" s="6" t="s">
        <v>47</v>
      </c>
      <c r="D30" s="6" t="s">
        <v>26</v>
      </c>
    </row>
    <row r="31" spans="2:4" ht="30" customHeight="1" x14ac:dyDescent="0.3">
      <c r="B31" s="6" t="s">
        <v>83</v>
      </c>
      <c r="C31" s="6" t="s">
        <v>12</v>
      </c>
      <c r="D31" s="6" t="s">
        <v>19</v>
      </c>
    </row>
    <row r="32" spans="2:4" ht="30" customHeight="1" x14ac:dyDescent="0.3">
      <c r="B32" s="6" t="s">
        <v>85</v>
      </c>
      <c r="C32" s="6" t="s">
        <v>86</v>
      </c>
      <c r="D32" s="6" t="s">
        <v>23</v>
      </c>
    </row>
    <row r="33" spans="2:4" ht="30" customHeight="1" x14ac:dyDescent="0.3">
      <c r="B33" s="6" t="s">
        <v>85</v>
      </c>
      <c r="C33" s="6" t="s">
        <v>86</v>
      </c>
      <c r="D33" s="6" t="s">
        <v>32</v>
      </c>
    </row>
    <row r="34" spans="2:4" ht="30" customHeight="1" x14ac:dyDescent="0.3">
      <c r="B34" s="6" t="s">
        <v>85</v>
      </c>
      <c r="C34" s="6" t="s">
        <v>53</v>
      </c>
      <c r="D34" s="6" t="s">
        <v>33</v>
      </c>
    </row>
    <row r="35" spans="2:4" ht="30" customHeight="1" x14ac:dyDescent="0.3">
      <c r="B35" s="6" t="s">
        <v>85</v>
      </c>
      <c r="C35" s="6" t="s">
        <v>53</v>
      </c>
      <c r="D35" s="6" t="s">
        <v>19</v>
      </c>
    </row>
    <row r="36" spans="2:4" ht="30" customHeight="1" x14ac:dyDescent="0.3">
      <c r="B36" s="6" t="s">
        <v>89</v>
      </c>
      <c r="C36" s="6" t="s">
        <v>14</v>
      </c>
      <c r="D36" s="6" t="s">
        <v>90</v>
      </c>
    </row>
    <row r="37" spans="2:4" ht="30" customHeight="1" x14ac:dyDescent="0.3">
      <c r="B37" s="6" t="s">
        <v>89</v>
      </c>
      <c r="C37" s="6" t="s">
        <v>14</v>
      </c>
      <c r="D37" s="6" t="s">
        <v>40</v>
      </c>
    </row>
    <row r="38" spans="2:4" ht="30" customHeight="1" x14ac:dyDescent="0.3">
      <c r="B38" s="6" t="s">
        <v>89</v>
      </c>
      <c r="C38" s="6" t="s">
        <v>54</v>
      </c>
      <c r="D38" s="6" t="s">
        <v>32</v>
      </c>
    </row>
    <row r="39" spans="2:4" ht="30" customHeight="1" x14ac:dyDescent="0.3">
      <c r="B39" s="6" t="s">
        <v>89</v>
      </c>
      <c r="C39" s="6" t="s">
        <v>54</v>
      </c>
      <c r="D39" s="6" t="s">
        <v>23</v>
      </c>
    </row>
    <row r="40" spans="2:4" ht="30" customHeight="1" x14ac:dyDescent="0.3">
      <c r="B40" s="6" t="s">
        <v>91</v>
      </c>
      <c r="C40" s="6" t="s">
        <v>30</v>
      </c>
      <c r="D40" s="6" t="s">
        <v>33</v>
      </c>
    </row>
    <row r="41" spans="2:4" ht="30" customHeight="1" x14ac:dyDescent="0.3">
      <c r="B41" s="6" t="s">
        <v>91</v>
      </c>
      <c r="C41" s="6" t="s">
        <v>30</v>
      </c>
      <c r="D41" s="6" t="s">
        <v>26</v>
      </c>
    </row>
    <row r="42" spans="2:4" ht="30" customHeight="1" x14ac:dyDescent="0.3">
      <c r="B42" s="6" t="s">
        <v>91</v>
      </c>
      <c r="C42" s="6" t="s">
        <v>5</v>
      </c>
      <c r="D42" s="6" t="s">
        <v>90</v>
      </c>
    </row>
    <row r="43" spans="2:4" ht="30" customHeight="1" x14ac:dyDescent="0.3">
      <c r="B43" s="6" t="s">
        <v>91</v>
      </c>
      <c r="C43" s="6" t="s">
        <v>5</v>
      </c>
      <c r="D43" s="6" t="s">
        <v>40</v>
      </c>
    </row>
    <row r="44" spans="2:4" ht="30" customHeight="1" x14ac:dyDescent="0.3">
      <c r="B44" s="6" t="s">
        <v>94</v>
      </c>
      <c r="C44" s="6" t="s">
        <v>13</v>
      </c>
      <c r="D44" s="6" t="s">
        <v>26</v>
      </c>
    </row>
    <row r="45" spans="2:4" ht="30" customHeight="1" x14ac:dyDescent="0.3">
      <c r="B45" s="6" t="s">
        <v>94</v>
      </c>
      <c r="C45" s="6" t="s">
        <v>13</v>
      </c>
      <c r="D45" s="6" t="s">
        <v>90</v>
      </c>
    </row>
    <row r="46" spans="2:4" ht="30" customHeight="1" x14ac:dyDescent="0.3">
      <c r="B46" s="6" t="s">
        <v>94</v>
      </c>
      <c r="C46" s="6" t="s">
        <v>48</v>
      </c>
      <c r="D46" s="6" t="s">
        <v>33</v>
      </c>
    </row>
    <row r="47" spans="2:4" ht="30" customHeight="1" x14ac:dyDescent="0.3">
      <c r="B47" s="6" t="s">
        <v>94</v>
      </c>
      <c r="C47" s="6" t="s">
        <v>48</v>
      </c>
      <c r="D47" s="6" t="s">
        <v>40</v>
      </c>
    </row>
    <row r="48" spans="2:4" ht="30" customHeight="1" x14ac:dyDescent="0.3">
      <c r="B48" s="6" t="s">
        <v>93</v>
      </c>
      <c r="C48" s="6" t="s">
        <v>52</v>
      </c>
      <c r="D48" s="6" t="s">
        <v>40</v>
      </c>
    </row>
    <row r="49" spans="2:4" ht="30" customHeight="1" x14ac:dyDescent="0.3">
      <c r="B49" s="6" t="s">
        <v>93</v>
      </c>
      <c r="C49" s="6" t="s">
        <v>52</v>
      </c>
      <c r="D49" s="6" t="s">
        <v>32</v>
      </c>
    </row>
    <row r="50" spans="2:4" ht="30" customHeight="1" x14ac:dyDescent="0.3">
      <c r="B50" s="6" t="s">
        <v>93</v>
      </c>
      <c r="C50" s="6" t="s">
        <v>49</v>
      </c>
      <c r="D50" s="6" t="s">
        <v>33</v>
      </c>
    </row>
    <row r="51" spans="2:4" ht="30" customHeight="1" x14ac:dyDescent="0.3">
      <c r="B51" s="6" t="s">
        <v>93</v>
      </c>
      <c r="C51" s="6" t="s">
        <v>49</v>
      </c>
      <c r="D51" s="6" t="s">
        <v>19</v>
      </c>
    </row>
    <row r="52" spans="2:4" ht="30" customHeight="1" x14ac:dyDescent="0.3">
      <c r="B52" s="6" t="s">
        <v>95</v>
      </c>
      <c r="C52" s="6" t="s">
        <v>86</v>
      </c>
      <c r="D52" s="6" t="s">
        <v>32</v>
      </c>
    </row>
    <row r="53" spans="2:4" ht="30" customHeight="1" x14ac:dyDescent="0.3">
      <c r="B53" s="6" t="s">
        <v>95</v>
      </c>
      <c r="C53" s="6" t="s">
        <v>86</v>
      </c>
      <c r="D53" s="6" t="s">
        <v>26</v>
      </c>
    </row>
    <row r="54" spans="2:4" ht="30" customHeight="1" x14ac:dyDescent="0.3">
      <c r="B54" s="6" t="s">
        <v>95</v>
      </c>
      <c r="C54" s="6" t="s">
        <v>42</v>
      </c>
      <c r="D54" s="6" t="s">
        <v>23</v>
      </c>
    </row>
    <row r="55" spans="2:4" ht="30" customHeight="1" x14ac:dyDescent="0.3">
      <c r="B55" s="6" t="s">
        <v>95</v>
      </c>
      <c r="C55" s="6" t="s">
        <v>42</v>
      </c>
      <c r="D55" s="6" t="s">
        <v>33</v>
      </c>
    </row>
    <row r="56" spans="2:4" ht="30" customHeight="1" x14ac:dyDescent="0.3">
      <c r="B56" s="6" t="s">
        <v>96</v>
      </c>
      <c r="C56" s="6" t="s">
        <v>5</v>
      </c>
      <c r="D56" s="6" t="s">
        <v>33</v>
      </c>
    </row>
    <row r="57" spans="2:4" ht="30" customHeight="1" x14ac:dyDescent="0.3">
      <c r="B57" s="6" t="s">
        <v>96</v>
      </c>
      <c r="C57" s="6" t="s">
        <v>6</v>
      </c>
      <c r="D57" s="6" t="s">
        <v>40</v>
      </c>
    </row>
    <row r="58" spans="2:4" ht="30" customHeight="1" x14ac:dyDescent="0.3">
      <c r="B58" s="6" t="s">
        <v>96</v>
      </c>
      <c r="C58" s="6" t="s">
        <v>5</v>
      </c>
      <c r="D58" s="6" t="s">
        <v>90</v>
      </c>
    </row>
    <row r="59" spans="2:4" ht="30" customHeight="1" x14ac:dyDescent="0.3">
      <c r="B59" s="6" t="s">
        <v>96</v>
      </c>
      <c r="C59" s="6" t="s">
        <v>6</v>
      </c>
      <c r="D59" s="6" t="s">
        <v>26</v>
      </c>
    </row>
    <row r="60" spans="2:4" ht="30" customHeight="1" x14ac:dyDescent="0.3">
      <c r="B60" s="6" t="s">
        <v>97</v>
      </c>
      <c r="C60" s="6" t="s">
        <v>11</v>
      </c>
      <c r="D60" s="6" t="s">
        <v>90</v>
      </c>
    </row>
    <row r="61" spans="2:4" ht="30" customHeight="1" x14ac:dyDescent="0.3">
      <c r="B61" s="6" t="s">
        <v>97</v>
      </c>
      <c r="C61" s="6" t="s">
        <v>12</v>
      </c>
      <c r="D61" s="6" t="s">
        <v>33</v>
      </c>
    </row>
    <row r="62" spans="2:4" ht="30" customHeight="1" x14ac:dyDescent="0.3">
      <c r="B62" s="6" t="s">
        <v>97</v>
      </c>
      <c r="C62" s="6" t="s">
        <v>11</v>
      </c>
      <c r="D62" s="6" t="s">
        <v>40</v>
      </c>
    </row>
    <row r="63" spans="2:4" ht="30" customHeight="1" x14ac:dyDescent="0.3">
      <c r="B63" s="6" t="s">
        <v>97</v>
      </c>
      <c r="C63" s="6" t="s">
        <v>12</v>
      </c>
      <c r="D63" s="6" t="s">
        <v>32</v>
      </c>
    </row>
    <row r="64" spans="2:4" ht="30" customHeight="1" x14ac:dyDescent="0.3">
      <c r="B64" s="6" t="s">
        <v>98</v>
      </c>
      <c r="C64" s="6" t="s">
        <v>13</v>
      </c>
      <c r="D64" s="6" t="s">
        <v>23</v>
      </c>
    </row>
    <row r="65" spans="2:4" ht="30" customHeight="1" x14ac:dyDescent="0.3">
      <c r="B65" s="6" t="s">
        <v>98</v>
      </c>
      <c r="C65" s="6" t="s">
        <v>14</v>
      </c>
      <c r="D65" s="6" t="s">
        <v>90</v>
      </c>
    </row>
    <row r="66" spans="2:4" ht="30" customHeight="1" x14ac:dyDescent="0.3">
      <c r="B66" s="6" t="s">
        <v>98</v>
      </c>
      <c r="C66" s="6" t="s">
        <v>13</v>
      </c>
      <c r="D66" s="6" t="s">
        <v>40</v>
      </c>
    </row>
    <row r="67" spans="2:4" ht="30" customHeight="1" x14ac:dyDescent="0.3">
      <c r="B67" s="6" t="s">
        <v>98</v>
      </c>
      <c r="C67" s="6" t="s">
        <v>14</v>
      </c>
      <c r="D67" s="6" t="s">
        <v>19</v>
      </c>
    </row>
    <row r="68" spans="2:4" ht="30" customHeight="1" x14ac:dyDescent="0.3">
      <c r="B68" s="6" t="s">
        <v>99</v>
      </c>
      <c r="C68" s="6" t="s">
        <v>30</v>
      </c>
      <c r="D68" s="6" t="s">
        <v>33</v>
      </c>
    </row>
    <row r="69" spans="2:4" ht="30" customHeight="1" x14ac:dyDescent="0.3">
      <c r="B69" s="6" t="s">
        <v>99</v>
      </c>
      <c r="C69" s="6" t="s">
        <v>29</v>
      </c>
      <c r="D69" s="6" t="s">
        <v>19</v>
      </c>
    </row>
    <row r="70" spans="2:4" ht="30" customHeight="1" x14ac:dyDescent="0.3">
      <c r="B70" s="6" t="s">
        <v>99</v>
      </c>
      <c r="C70" s="6" t="s">
        <v>30</v>
      </c>
      <c r="D70" s="6" t="s">
        <v>26</v>
      </c>
    </row>
    <row r="71" spans="2:4" ht="30" customHeight="1" x14ac:dyDescent="0.3">
      <c r="B71" s="6" t="s">
        <v>99</v>
      </c>
      <c r="C71" s="6" t="s">
        <v>29</v>
      </c>
      <c r="D71" s="6" t="s">
        <v>90</v>
      </c>
    </row>
    <row r="72" spans="2:4" ht="30" customHeight="1" x14ac:dyDescent="0.3">
      <c r="B72" s="6" t="s">
        <v>100</v>
      </c>
      <c r="C72" s="6" t="s">
        <v>31</v>
      </c>
      <c r="D72" s="6" t="s">
        <v>32</v>
      </c>
    </row>
    <row r="73" spans="2:4" ht="30" customHeight="1" x14ac:dyDescent="0.3">
      <c r="B73" s="6" t="s">
        <v>100</v>
      </c>
      <c r="C73" s="6" t="s">
        <v>48</v>
      </c>
      <c r="D73" s="6" t="s">
        <v>33</v>
      </c>
    </row>
    <row r="74" spans="2:4" ht="30" customHeight="1" x14ac:dyDescent="0.3">
      <c r="B74" s="6" t="s">
        <v>100</v>
      </c>
      <c r="C74" s="6" t="s">
        <v>31</v>
      </c>
      <c r="D74" s="6" t="s">
        <v>90</v>
      </c>
    </row>
    <row r="75" spans="2:4" ht="30" customHeight="1" x14ac:dyDescent="0.3">
      <c r="B75" s="6" t="s">
        <v>100</v>
      </c>
      <c r="C75" s="6" t="s">
        <v>48</v>
      </c>
      <c r="D75" s="6" t="s">
        <v>19</v>
      </c>
    </row>
    <row r="76" spans="2:4" ht="30" customHeight="1" x14ac:dyDescent="0.3">
      <c r="B76" s="6" t="s">
        <v>102</v>
      </c>
      <c r="C76" s="6" t="s">
        <v>49</v>
      </c>
      <c r="D76" s="6" t="s">
        <v>33</v>
      </c>
    </row>
    <row r="77" spans="2:4" ht="30" customHeight="1" x14ac:dyDescent="0.3">
      <c r="B77" s="6" t="s">
        <v>102</v>
      </c>
      <c r="C77" s="6" t="s">
        <v>49</v>
      </c>
      <c r="D77" s="6" t="s">
        <v>90</v>
      </c>
    </row>
    <row r="78" spans="2:4" ht="30" customHeight="1" x14ac:dyDescent="0.3">
      <c r="B78" s="6" t="s">
        <v>102</v>
      </c>
      <c r="C78" s="6" t="s">
        <v>50</v>
      </c>
      <c r="D78" s="6" t="s">
        <v>19</v>
      </c>
    </row>
    <row r="79" spans="2:4" ht="30" customHeight="1" x14ac:dyDescent="0.3">
      <c r="B79" s="6" t="s">
        <v>102</v>
      </c>
      <c r="C79" s="6" t="s">
        <v>50</v>
      </c>
      <c r="D79" s="6" t="s">
        <v>32</v>
      </c>
    </row>
    <row r="80" spans="2:4" ht="30" customHeight="1" x14ac:dyDescent="0.3">
      <c r="B80" s="6" t="s">
        <v>103</v>
      </c>
      <c r="C80" s="6" t="s">
        <v>86</v>
      </c>
      <c r="D80" s="6" t="s">
        <v>23</v>
      </c>
    </row>
    <row r="81" spans="2:4" ht="30" customHeight="1" x14ac:dyDescent="0.3">
      <c r="B81" s="6" t="s">
        <v>103</v>
      </c>
      <c r="C81" s="6" t="s">
        <v>5</v>
      </c>
      <c r="D81" s="6" t="s">
        <v>40</v>
      </c>
    </row>
    <row r="82" spans="2:4" ht="30" customHeight="1" x14ac:dyDescent="0.3">
      <c r="B82" s="6" t="s">
        <v>103</v>
      </c>
      <c r="C82" s="6" t="s">
        <v>86</v>
      </c>
      <c r="D82" s="6" t="s">
        <v>26</v>
      </c>
    </row>
    <row r="83" spans="2:4" ht="30" customHeight="1" x14ac:dyDescent="0.3">
      <c r="B83" s="6" t="s">
        <v>103</v>
      </c>
      <c r="C83" s="6" t="s">
        <v>5</v>
      </c>
      <c r="D83" s="6" t="s">
        <v>32</v>
      </c>
    </row>
    <row r="84" spans="2:4" ht="30" customHeight="1" x14ac:dyDescent="0.3">
      <c r="B84" s="6" t="s">
        <v>104</v>
      </c>
      <c r="C84" s="6" t="s">
        <v>29</v>
      </c>
      <c r="D84" s="6" t="s">
        <v>90</v>
      </c>
    </row>
    <row r="85" spans="2:4" ht="30" customHeight="1" x14ac:dyDescent="0.3">
      <c r="B85" s="6" t="s">
        <v>104</v>
      </c>
      <c r="C85" s="6" t="s">
        <v>6</v>
      </c>
      <c r="D85" s="6" t="s">
        <v>40</v>
      </c>
    </row>
    <row r="86" spans="2:4" ht="30" customHeight="1" x14ac:dyDescent="0.3">
      <c r="B86" s="6" t="s">
        <v>104</v>
      </c>
      <c r="C86" s="6" t="s">
        <v>29</v>
      </c>
      <c r="D86" s="6" t="s">
        <v>33</v>
      </c>
    </row>
    <row r="87" spans="2:4" ht="30" customHeight="1" x14ac:dyDescent="0.3">
      <c r="B87" s="6" t="s">
        <v>104</v>
      </c>
      <c r="C87" s="6" t="s">
        <v>6</v>
      </c>
      <c r="D87" s="6" t="s">
        <v>23</v>
      </c>
    </row>
    <row r="88" spans="2:4" ht="30" customHeight="1" x14ac:dyDescent="0.3">
      <c r="B88" s="6" t="s">
        <v>105</v>
      </c>
      <c r="C88" s="6" t="s">
        <v>31</v>
      </c>
      <c r="D88" s="6" t="s">
        <v>90</v>
      </c>
    </row>
    <row r="89" spans="2:4" ht="30" customHeight="1" x14ac:dyDescent="0.3">
      <c r="B89" s="6" t="s">
        <v>105</v>
      </c>
      <c r="C89" s="6" t="s">
        <v>101</v>
      </c>
      <c r="D89" s="6" t="s">
        <v>19</v>
      </c>
    </row>
    <row r="90" spans="2:4" ht="30" customHeight="1" x14ac:dyDescent="0.3">
      <c r="B90" s="6" t="s">
        <v>105</v>
      </c>
      <c r="C90" s="6" t="s">
        <v>31</v>
      </c>
      <c r="D90" s="6" t="s">
        <v>26</v>
      </c>
    </row>
    <row r="91" spans="2:4" ht="30" customHeight="1" x14ac:dyDescent="0.3">
      <c r="B91" s="6" t="s">
        <v>105</v>
      </c>
      <c r="C91" s="6" t="s">
        <v>101</v>
      </c>
      <c r="D91" s="6" t="s">
        <v>23</v>
      </c>
    </row>
    <row r="92" spans="2:4" ht="30" customHeight="1" x14ac:dyDescent="0.3">
      <c r="B92" s="6" t="s">
        <v>106</v>
      </c>
      <c r="C92" s="6" t="s">
        <v>11</v>
      </c>
      <c r="D92" s="6" t="s">
        <v>32</v>
      </c>
    </row>
    <row r="93" spans="2:4" ht="30" customHeight="1" x14ac:dyDescent="0.3">
      <c r="B93" s="6" t="s">
        <v>106</v>
      </c>
      <c r="C93" s="6" t="s">
        <v>47</v>
      </c>
      <c r="D93" s="6" t="s">
        <v>23</v>
      </c>
    </row>
    <row r="94" spans="2:4" ht="30" customHeight="1" x14ac:dyDescent="0.3">
      <c r="B94" s="6" t="s">
        <v>106</v>
      </c>
      <c r="C94" s="6" t="s">
        <v>11</v>
      </c>
      <c r="D94" s="6" t="s">
        <v>19</v>
      </c>
    </row>
    <row r="95" spans="2:4" ht="30" customHeight="1" x14ac:dyDescent="0.3">
      <c r="B95" s="6" t="s">
        <v>106</v>
      </c>
      <c r="C95" s="6" t="s">
        <v>47</v>
      </c>
      <c r="D95" s="6" t="s">
        <v>40</v>
      </c>
    </row>
    <row r="96" spans="2:4" ht="30" customHeight="1" x14ac:dyDescent="0.3">
      <c r="B96" s="6" t="s">
        <v>107</v>
      </c>
      <c r="C96" s="16" t="s">
        <v>54</v>
      </c>
      <c r="D96" s="6" t="s">
        <v>32</v>
      </c>
    </row>
    <row r="97" spans="2:4" ht="30" customHeight="1" x14ac:dyDescent="0.3">
      <c r="B97" s="6" t="s">
        <v>107</v>
      </c>
      <c r="C97" s="6" t="s">
        <v>48</v>
      </c>
      <c r="D97" s="6" t="s">
        <v>33</v>
      </c>
    </row>
    <row r="98" spans="2:4" ht="30" customHeight="1" x14ac:dyDescent="0.3">
      <c r="B98" s="6" t="s">
        <v>107</v>
      </c>
      <c r="C98" s="6" t="s">
        <v>54</v>
      </c>
      <c r="D98" s="6" t="s">
        <v>90</v>
      </c>
    </row>
    <row r="99" spans="2:4" ht="30" customHeight="1" x14ac:dyDescent="0.3">
      <c r="B99" s="6" t="s">
        <v>107</v>
      </c>
      <c r="C99" s="6" t="s">
        <v>48</v>
      </c>
      <c r="D99" s="6" t="s">
        <v>19</v>
      </c>
    </row>
    <row r="100" spans="2:4" ht="30" customHeight="1" x14ac:dyDescent="0.3">
      <c r="B100" s="6" t="s">
        <v>108</v>
      </c>
      <c r="C100" s="6" t="s">
        <v>42</v>
      </c>
      <c r="D100" s="6" t="s">
        <v>23</v>
      </c>
    </row>
    <row r="101" spans="2:4" ht="30" customHeight="1" x14ac:dyDescent="0.3">
      <c r="B101" s="6" t="s">
        <v>108</v>
      </c>
      <c r="C101" s="6" t="s">
        <v>12</v>
      </c>
      <c r="D101" s="6" t="s">
        <v>33</v>
      </c>
    </row>
    <row r="102" spans="2:4" ht="30" customHeight="1" x14ac:dyDescent="0.3">
      <c r="B102" s="6" t="s">
        <v>108</v>
      </c>
      <c r="C102" s="6" t="s">
        <v>42</v>
      </c>
      <c r="D102" s="6" t="s">
        <v>40</v>
      </c>
    </row>
    <row r="103" spans="2:4" ht="30" customHeight="1" x14ac:dyDescent="0.3">
      <c r="B103" s="6" t="s">
        <v>108</v>
      </c>
      <c r="C103" s="6" t="s">
        <v>12</v>
      </c>
      <c r="D103" s="6" t="s">
        <v>19</v>
      </c>
    </row>
    <row r="104" spans="2:4" ht="30" customHeight="1" x14ac:dyDescent="0.3">
      <c r="B104" s="6" t="s">
        <v>109</v>
      </c>
      <c r="C104" s="6" t="s">
        <v>101</v>
      </c>
      <c r="D104" s="6" t="s">
        <v>19</v>
      </c>
    </row>
    <row r="105" spans="2:4" ht="30" customHeight="1" x14ac:dyDescent="0.3">
      <c r="B105" s="6" t="s">
        <v>109</v>
      </c>
      <c r="C105" s="6" t="s">
        <v>51</v>
      </c>
      <c r="D105" s="6" t="s">
        <v>32</v>
      </c>
    </row>
    <row r="106" spans="2:4" ht="30" customHeight="1" x14ac:dyDescent="0.3">
      <c r="B106" s="6" t="s">
        <v>109</v>
      </c>
      <c r="C106" s="6" t="s">
        <v>101</v>
      </c>
      <c r="D106" s="6" t="s">
        <v>23</v>
      </c>
    </row>
    <row r="107" spans="2:4" ht="30" customHeight="1" x14ac:dyDescent="0.3">
      <c r="B107" s="6" t="s">
        <v>109</v>
      </c>
      <c r="C107" s="6" t="s">
        <v>51</v>
      </c>
      <c r="D107" s="6" t="s">
        <v>33</v>
      </c>
    </row>
    <row r="108" spans="2:4" ht="30" customHeight="1" x14ac:dyDescent="0.3">
      <c r="B108" s="6" t="s">
        <v>110</v>
      </c>
      <c r="C108" s="6" t="s">
        <v>6</v>
      </c>
      <c r="D108" s="6" t="s">
        <v>40</v>
      </c>
    </row>
    <row r="109" spans="2:4" ht="30" customHeight="1" x14ac:dyDescent="0.3">
      <c r="B109" s="6" t="s">
        <v>110</v>
      </c>
      <c r="C109" s="6" t="s">
        <v>53</v>
      </c>
      <c r="D109" s="6" t="s">
        <v>32</v>
      </c>
    </row>
    <row r="110" spans="2:4" ht="30" customHeight="1" x14ac:dyDescent="0.3">
      <c r="B110" s="6" t="s">
        <v>110</v>
      </c>
      <c r="C110" s="6" t="s">
        <v>6</v>
      </c>
      <c r="D110" s="6" t="s">
        <v>26</v>
      </c>
    </row>
    <row r="111" spans="2:4" ht="30" customHeight="1" x14ac:dyDescent="0.3">
      <c r="B111" s="6" t="s">
        <v>110</v>
      </c>
      <c r="C111" s="6" t="s">
        <v>53</v>
      </c>
      <c r="D111" s="6" t="s">
        <v>23</v>
      </c>
    </row>
    <row r="112" spans="2:4" ht="30" customHeight="1" x14ac:dyDescent="0.3">
      <c r="B112" s="6" t="s">
        <v>111</v>
      </c>
      <c r="C112" s="6" t="s">
        <v>54</v>
      </c>
      <c r="D112" s="6" t="s">
        <v>32</v>
      </c>
    </row>
    <row r="113" spans="2:4" ht="30" customHeight="1" x14ac:dyDescent="0.3">
      <c r="B113" s="6" t="s">
        <v>111</v>
      </c>
      <c r="C113" s="6" t="s">
        <v>52</v>
      </c>
      <c r="D113" s="6" t="s">
        <v>33</v>
      </c>
    </row>
    <row r="114" spans="2:4" ht="30" customHeight="1" x14ac:dyDescent="0.3">
      <c r="B114" s="6" t="s">
        <v>111</v>
      </c>
      <c r="C114" s="6" t="s">
        <v>54</v>
      </c>
      <c r="D114" s="6" t="s">
        <v>26</v>
      </c>
    </row>
    <row r="115" spans="2:4" ht="30" customHeight="1" x14ac:dyDescent="0.3">
      <c r="B115" s="6" t="s">
        <v>111</v>
      </c>
      <c r="C115" s="6" t="s">
        <v>52</v>
      </c>
      <c r="D115" s="6" t="s">
        <v>40</v>
      </c>
    </row>
    <row r="116" spans="2:4" ht="30" customHeight="1" x14ac:dyDescent="0.3">
      <c r="B116" s="6" t="s">
        <v>112</v>
      </c>
      <c r="C116" s="6" t="s">
        <v>30</v>
      </c>
      <c r="D116" s="6" t="s">
        <v>33</v>
      </c>
    </row>
    <row r="117" spans="2:4" ht="30" customHeight="1" x14ac:dyDescent="0.3">
      <c r="B117" s="6" t="s">
        <v>112</v>
      </c>
      <c r="C117" s="6" t="s">
        <v>42</v>
      </c>
      <c r="D117" s="6" t="s">
        <v>23</v>
      </c>
    </row>
    <row r="118" spans="2:4" ht="30" customHeight="1" x14ac:dyDescent="0.3">
      <c r="B118" s="6" t="s">
        <v>112</v>
      </c>
      <c r="C118" s="6" t="s">
        <v>30</v>
      </c>
      <c r="D118" s="6" t="s">
        <v>90</v>
      </c>
    </row>
    <row r="119" spans="2:4" ht="30" customHeight="1" x14ac:dyDescent="0.3">
      <c r="B119" s="6" t="s">
        <v>112</v>
      </c>
      <c r="C119" s="6" t="s">
        <v>42</v>
      </c>
      <c r="D119" s="6" t="s">
        <v>32</v>
      </c>
    </row>
    <row r="120" spans="2:4" ht="30" customHeight="1" x14ac:dyDescent="0.3">
      <c r="B120" s="6" t="s">
        <v>113</v>
      </c>
      <c r="C120" s="6" t="s">
        <v>29</v>
      </c>
      <c r="D120" s="6" t="s">
        <v>32</v>
      </c>
    </row>
    <row r="121" spans="2:4" ht="30" customHeight="1" x14ac:dyDescent="0.3">
      <c r="B121" s="6" t="s">
        <v>113</v>
      </c>
      <c r="C121" s="6" t="s">
        <v>47</v>
      </c>
      <c r="D121" s="6" t="s">
        <v>40</v>
      </c>
    </row>
    <row r="122" spans="2:4" ht="30" customHeight="1" x14ac:dyDescent="0.3">
      <c r="B122" s="6" t="s">
        <v>113</v>
      </c>
      <c r="C122" s="6" t="s">
        <v>29</v>
      </c>
      <c r="D122" s="6" t="s">
        <v>19</v>
      </c>
    </row>
    <row r="123" spans="2:4" ht="30" customHeight="1" x14ac:dyDescent="0.3">
      <c r="B123" s="6" t="s">
        <v>113</v>
      </c>
      <c r="C123" s="6" t="s">
        <v>47</v>
      </c>
      <c r="D123" s="6" t="s">
        <v>26</v>
      </c>
    </row>
    <row r="124" spans="2:4" ht="30" customHeight="1" x14ac:dyDescent="0.3">
      <c r="B124" s="6" t="s">
        <v>114</v>
      </c>
      <c r="C124" s="6" t="s">
        <v>13</v>
      </c>
      <c r="D124" s="6" t="s">
        <v>33</v>
      </c>
    </row>
    <row r="125" spans="2:4" ht="30" customHeight="1" x14ac:dyDescent="0.3">
      <c r="B125" s="6" t="s">
        <v>114</v>
      </c>
      <c r="C125" s="6" t="s">
        <v>31</v>
      </c>
      <c r="D125" s="6" t="s">
        <v>90</v>
      </c>
    </row>
    <row r="126" spans="2:4" ht="30" customHeight="1" x14ac:dyDescent="0.3">
      <c r="B126" s="6" t="s">
        <v>114</v>
      </c>
      <c r="C126" s="6" t="s">
        <v>13</v>
      </c>
      <c r="D126" s="6" t="s">
        <v>26</v>
      </c>
    </row>
    <row r="127" spans="2:4" ht="30" customHeight="1" x14ac:dyDescent="0.3">
      <c r="B127" s="6" t="s">
        <v>114</v>
      </c>
      <c r="C127" s="6" t="s">
        <v>31</v>
      </c>
      <c r="D127" s="6" t="s">
        <v>23</v>
      </c>
    </row>
    <row r="128" spans="2:4" ht="30" customHeight="1" x14ac:dyDescent="0.3">
      <c r="B128" s="6" t="s">
        <v>115</v>
      </c>
      <c r="C128" s="6" t="s">
        <v>14</v>
      </c>
      <c r="D128" s="6" t="s">
        <v>90</v>
      </c>
    </row>
    <row r="129" spans="2:4" ht="30" customHeight="1" x14ac:dyDescent="0.3">
      <c r="B129" s="6" t="s">
        <v>115</v>
      </c>
      <c r="C129" s="6" t="s">
        <v>49</v>
      </c>
      <c r="D129" s="6" t="s">
        <v>33</v>
      </c>
    </row>
    <row r="130" spans="2:4" ht="30" customHeight="1" x14ac:dyDescent="0.3">
      <c r="B130" s="6" t="s">
        <v>115</v>
      </c>
      <c r="C130" s="6" t="s">
        <v>14</v>
      </c>
      <c r="D130" s="6" t="s">
        <v>26</v>
      </c>
    </row>
    <row r="131" spans="2:4" ht="30" customHeight="1" x14ac:dyDescent="0.3">
      <c r="B131" s="6" t="s">
        <v>115</v>
      </c>
      <c r="C131" s="6" t="s">
        <v>49</v>
      </c>
      <c r="D131" s="6" t="s">
        <v>40</v>
      </c>
    </row>
    <row r="132" spans="2:4" ht="30" customHeight="1" x14ac:dyDescent="0.3">
      <c r="B132" s="6" t="s">
        <v>116</v>
      </c>
      <c r="C132" s="6" t="s">
        <v>50</v>
      </c>
      <c r="D132" s="6" t="s">
        <v>32</v>
      </c>
    </row>
    <row r="133" spans="2:4" ht="30" customHeight="1" x14ac:dyDescent="0.3">
      <c r="B133" s="6" t="s">
        <v>116</v>
      </c>
      <c r="C133" s="6" t="s">
        <v>13</v>
      </c>
      <c r="D133" s="6" t="s">
        <v>33</v>
      </c>
    </row>
    <row r="134" spans="2:4" ht="30" customHeight="1" x14ac:dyDescent="0.3">
      <c r="B134" s="6" t="s">
        <v>116</v>
      </c>
      <c r="C134" s="6" t="s">
        <v>50</v>
      </c>
      <c r="D134" s="6" t="s">
        <v>23</v>
      </c>
    </row>
    <row r="135" spans="2:4" ht="30" customHeight="1" x14ac:dyDescent="0.3">
      <c r="B135" s="6" t="s">
        <v>116</v>
      </c>
      <c r="C135" s="6" t="s">
        <v>13</v>
      </c>
      <c r="D135" s="6" t="s">
        <v>40</v>
      </c>
    </row>
    <row r="136" spans="2:4" ht="30" customHeight="1" x14ac:dyDescent="0.3">
      <c r="B136" s="6" t="s">
        <v>117</v>
      </c>
      <c r="C136" s="6" t="s">
        <v>42</v>
      </c>
      <c r="D136" s="6" t="s">
        <v>23</v>
      </c>
    </row>
    <row r="137" spans="2:4" ht="30" customHeight="1" x14ac:dyDescent="0.3">
      <c r="B137" s="6" t="s">
        <v>117</v>
      </c>
      <c r="C137" s="6" t="s">
        <v>6</v>
      </c>
      <c r="D137" s="6" t="s">
        <v>40</v>
      </c>
    </row>
    <row r="138" spans="2:4" ht="30" customHeight="1" x14ac:dyDescent="0.3">
      <c r="B138" s="6" t="s">
        <v>117</v>
      </c>
      <c r="C138" s="6" t="s">
        <v>42</v>
      </c>
      <c r="D138" s="6" t="s">
        <v>33</v>
      </c>
    </row>
    <row r="139" spans="2:4" ht="30" customHeight="1" x14ac:dyDescent="0.3">
      <c r="B139" s="6" t="s">
        <v>117</v>
      </c>
      <c r="C139" s="6" t="s">
        <v>6</v>
      </c>
      <c r="D139" s="6" t="s">
        <v>26</v>
      </c>
    </row>
    <row r="140" spans="2:4" ht="30" customHeight="1" x14ac:dyDescent="0.3">
      <c r="B140" s="6" t="s">
        <v>118</v>
      </c>
      <c r="C140" s="6" t="s">
        <v>29</v>
      </c>
      <c r="D140" s="6" t="s">
        <v>32</v>
      </c>
    </row>
    <row r="141" spans="2:4" ht="30" customHeight="1" x14ac:dyDescent="0.3">
      <c r="B141" s="6" t="s">
        <v>118</v>
      </c>
      <c r="C141" s="6" t="s">
        <v>5</v>
      </c>
      <c r="D141" s="6" t="s">
        <v>40</v>
      </c>
    </row>
    <row r="142" spans="2:4" ht="30" customHeight="1" x14ac:dyDescent="0.3">
      <c r="B142" s="6" t="s">
        <v>118</v>
      </c>
      <c r="C142" s="6" t="s">
        <v>29</v>
      </c>
      <c r="D142" s="6" t="s">
        <v>33</v>
      </c>
    </row>
    <row r="143" spans="2:4" ht="30" customHeight="1" x14ac:dyDescent="0.3">
      <c r="B143" s="6" t="s">
        <v>118</v>
      </c>
      <c r="C143" s="6" t="s">
        <v>5</v>
      </c>
      <c r="D143" s="6" t="s">
        <v>90</v>
      </c>
    </row>
    <row r="144" spans="2:4" ht="30" customHeight="1" x14ac:dyDescent="0.3">
      <c r="B144" s="6" t="s">
        <v>119</v>
      </c>
      <c r="C144" s="6" t="s">
        <v>52</v>
      </c>
      <c r="D144" s="6" t="s">
        <v>33</v>
      </c>
    </row>
    <row r="145" spans="2:4" ht="30" customHeight="1" x14ac:dyDescent="0.3">
      <c r="B145" s="6" t="s">
        <v>119</v>
      </c>
      <c r="C145" s="6" t="s">
        <v>14</v>
      </c>
      <c r="D145" s="6" t="s">
        <v>90</v>
      </c>
    </row>
    <row r="146" spans="2:4" ht="30" customHeight="1" x14ac:dyDescent="0.3">
      <c r="B146" s="6" t="s">
        <v>119</v>
      </c>
      <c r="C146" s="6" t="s">
        <v>52</v>
      </c>
      <c r="D146" s="6" t="s">
        <v>23</v>
      </c>
    </row>
    <row r="147" spans="2:4" ht="30" customHeight="1" x14ac:dyDescent="0.3">
      <c r="B147" s="6" t="s">
        <v>119</v>
      </c>
      <c r="C147" s="6" t="s">
        <v>14</v>
      </c>
      <c r="D147" s="6" t="s">
        <v>40</v>
      </c>
    </row>
    <row r="148" spans="2:4" ht="30" customHeight="1" x14ac:dyDescent="0.3">
      <c r="B148" s="6" t="s">
        <v>120</v>
      </c>
      <c r="C148" s="6" t="s">
        <v>11</v>
      </c>
      <c r="D148" s="6" t="s">
        <v>19</v>
      </c>
    </row>
    <row r="149" spans="2:4" ht="30" customHeight="1" x14ac:dyDescent="0.3">
      <c r="B149" s="6" t="s">
        <v>120</v>
      </c>
      <c r="C149" s="6" t="s">
        <v>53</v>
      </c>
      <c r="D149" s="6" t="s">
        <v>33</v>
      </c>
    </row>
    <row r="150" spans="2:4" ht="30" customHeight="1" x14ac:dyDescent="0.3">
      <c r="B150" s="6" t="s">
        <v>120</v>
      </c>
      <c r="C150" s="6" t="s">
        <v>11</v>
      </c>
      <c r="D150" s="6" t="s">
        <v>40</v>
      </c>
    </row>
    <row r="151" spans="2:4" ht="30" customHeight="1" x14ac:dyDescent="0.3">
      <c r="B151" s="6" t="s">
        <v>120</v>
      </c>
      <c r="C151" s="6" t="s">
        <v>53</v>
      </c>
      <c r="D151" s="6" t="s">
        <v>23</v>
      </c>
    </row>
    <row r="152" spans="2:4" ht="30" customHeight="1" x14ac:dyDescent="0.3">
      <c r="B152" s="6" t="s">
        <v>121</v>
      </c>
      <c r="C152" s="6" t="s">
        <v>49</v>
      </c>
      <c r="D152" s="6" t="s">
        <v>33</v>
      </c>
    </row>
    <row r="153" spans="2:4" ht="30" customHeight="1" x14ac:dyDescent="0.3">
      <c r="B153" s="6" t="s">
        <v>121</v>
      </c>
      <c r="C153" s="6" t="s">
        <v>101</v>
      </c>
      <c r="D153" s="6" t="s">
        <v>90</v>
      </c>
    </row>
    <row r="154" spans="2:4" ht="30" customHeight="1" x14ac:dyDescent="0.3">
      <c r="B154" s="6" t="s">
        <v>121</v>
      </c>
      <c r="C154" s="6" t="s">
        <v>49</v>
      </c>
      <c r="D154" s="6" t="s">
        <v>40</v>
      </c>
    </row>
    <row r="155" spans="2:4" ht="30" customHeight="1" x14ac:dyDescent="0.3">
      <c r="B155" s="6" t="s">
        <v>121</v>
      </c>
      <c r="C155" s="6" t="s">
        <v>101</v>
      </c>
      <c r="D155" s="6" t="s">
        <v>23</v>
      </c>
    </row>
    <row r="156" spans="2:4" ht="30" customHeight="1" x14ac:dyDescent="0.3">
      <c r="B156" s="6" t="s">
        <v>122</v>
      </c>
      <c r="C156" s="6" t="s">
        <v>30</v>
      </c>
      <c r="D156" s="6" t="s">
        <v>33</v>
      </c>
    </row>
    <row r="157" spans="2:4" ht="30" customHeight="1" x14ac:dyDescent="0.3">
      <c r="B157" s="6" t="s">
        <v>122</v>
      </c>
      <c r="C157" s="6" t="s">
        <v>47</v>
      </c>
      <c r="D157" s="6" t="s">
        <v>23</v>
      </c>
    </row>
    <row r="158" spans="2:4" ht="30" customHeight="1" x14ac:dyDescent="0.3">
      <c r="B158" s="6" t="s">
        <v>122</v>
      </c>
      <c r="C158" s="6" t="s">
        <v>30</v>
      </c>
      <c r="D158" s="6" t="s">
        <v>90</v>
      </c>
    </row>
    <row r="159" spans="2:4" ht="30" customHeight="1" x14ac:dyDescent="0.3">
      <c r="B159" s="6" t="s">
        <v>122</v>
      </c>
      <c r="C159" s="6" t="s">
        <v>47</v>
      </c>
      <c r="D159" s="6" t="s">
        <v>26</v>
      </c>
    </row>
    <row r="160" spans="2:4" ht="30" customHeight="1" x14ac:dyDescent="0.3">
      <c r="B160" s="6" t="s">
        <v>132</v>
      </c>
      <c r="C160" s="6" t="s">
        <v>14</v>
      </c>
      <c r="D160" s="6" t="s">
        <v>90</v>
      </c>
    </row>
    <row r="161" spans="2:4" ht="30" customHeight="1" x14ac:dyDescent="0.3">
      <c r="B161" s="6" t="s">
        <v>132</v>
      </c>
      <c r="C161" s="6" t="s">
        <v>101</v>
      </c>
      <c r="D161" s="6" t="s">
        <v>23</v>
      </c>
    </row>
    <row r="162" spans="2:4" ht="30" customHeight="1" x14ac:dyDescent="0.3">
      <c r="B162" s="6" t="s">
        <v>132</v>
      </c>
      <c r="C162" s="6" t="s">
        <v>14</v>
      </c>
      <c r="D162" s="6" t="s">
        <v>40</v>
      </c>
    </row>
    <row r="163" spans="2:4" ht="30" customHeight="1" x14ac:dyDescent="0.3">
      <c r="B163" s="6" t="s">
        <v>132</v>
      </c>
      <c r="C163" s="6" t="s">
        <v>101</v>
      </c>
      <c r="D163" s="6" t="s">
        <v>19</v>
      </c>
    </row>
    <row r="164" spans="2:4" ht="30" customHeight="1" x14ac:dyDescent="0.3">
      <c r="B164" s="6" t="s">
        <v>133</v>
      </c>
      <c r="C164" s="6" t="s">
        <v>86</v>
      </c>
      <c r="D164" s="6" t="s">
        <v>23</v>
      </c>
    </row>
    <row r="165" spans="2:4" ht="30" customHeight="1" x14ac:dyDescent="0.3">
      <c r="B165" s="6" t="s">
        <v>133</v>
      </c>
      <c r="C165" s="6" t="s">
        <v>11</v>
      </c>
      <c r="D165" s="6" t="s">
        <v>40</v>
      </c>
    </row>
    <row r="166" spans="2:4" ht="30" customHeight="1" x14ac:dyDescent="0.3">
      <c r="B166" s="6" t="s">
        <v>133</v>
      </c>
      <c r="C166" s="6" t="s">
        <v>86</v>
      </c>
      <c r="D166" s="6" t="s">
        <v>32</v>
      </c>
    </row>
    <row r="167" spans="2:4" ht="30" customHeight="1" x14ac:dyDescent="0.3">
      <c r="B167" s="6" t="s">
        <v>133</v>
      </c>
      <c r="C167" s="6" t="s">
        <v>11</v>
      </c>
      <c r="D167" s="6" t="s">
        <v>90</v>
      </c>
    </row>
    <row r="168" spans="2:4" ht="30" customHeight="1" x14ac:dyDescent="0.3">
      <c r="B168" s="6" t="s">
        <v>134</v>
      </c>
      <c r="C168" s="6" t="s">
        <v>54</v>
      </c>
      <c r="D168" s="6" t="s">
        <v>90</v>
      </c>
    </row>
    <row r="169" spans="2:4" ht="30" customHeight="1" x14ac:dyDescent="0.3">
      <c r="B169" s="6" t="s">
        <v>134</v>
      </c>
      <c r="C169" s="6" t="s">
        <v>49</v>
      </c>
      <c r="D169" s="6" t="s">
        <v>19</v>
      </c>
    </row>
    <row r="170" spans="2:4" ht="30" customHeight="1" x14ac:dyDescent="0.3">
      <c r="B170" s="6" t="s">
        <v>134</v>
      </c>
      <c r="C170" s="6" t="s">
        <v>54</v>
      </c>
      <c r="D170" s="6" t="s">
        <v>40</v>
      </c>
    </row>
    <row r="171" spans="2:4" ht="30" customHeight="1" x14ac:dyDescent="0.3">
      <c r="B171" s="6" t="s">
        <v>134</v>
      </c>
      <c r="C171" s="6" t="s">
        <v>49</v>
      </c>
      <c r="D171" s="6" t="s">
        <v>33</v>
      </c>
    </row>
    <row r="172" spans="2:4" ht="30" customHeight="1" x14ac:dyDescent="0.3">
      <c r="B172" s="6" t="s">
        <v>135</v>
      </c>
      <c r="C172" s="6" t="s">
        <v>47</v>
      </c>
      <c r="D172" s="6" t="s">
        <v>23</v>
      </c>
    </row>
    <row r="173" spans="2:4" ht="30" customHeight="1" x14ac:dyDescent="0.3">
      <c r="B173" s="6" t="s">
        <v>135</v>
      </c>
      <c r="C173" s="6" t="s">
        <v>5</v>
      </c>
      <c r="D173" s="6" t="s">
        <v>33</v>
      </c>
    </row>
    <row r="174" spans="2:4" ht="30" customHeight="1" x14ac:dyDescent="0.3">
      <c r="B174" s="6" t="s">
        <v>135</v>
      </c>
      <c r="C174" s="6" t="s">
        <v>47</v>
      </c>
      <c r="D174" s="6" t="s">
        <v>26</v>
      </c>
    </row>
    <row r="175" spans="2:4" ht="30" customHeight="1" x14ac:dyDescent="0.3">
      <c r="B175" s="6" t="s">
        <v>135</v>
      </c>
      <c r="C175" s="6" t="s">
        <v>5</v>
      </c>
      <c r="D175" s="6" t="s">
        <v>90</v>
      </c>
    </row>
    <row r="176" spans="2:4" ht="30" customHeight="1" x14ac:dyDescent="0.3">
      <c r="B176" s="6" t="s">
        <v>136</v>
      </c>
      <c r="C176" s="6" t="s">
        <v>31</v>
      </c>
      <c r="D176" s="6" t="s">
        <v>90</v>
      </c>
    </row>
    <row r="177" spans="2:4" ht="30" customHeight="1" x14ac:dyDescent="0.3">
      <c r="B177" s="6" t="s">
        <v>136</v>
      </c>
      <c r="C177" s="6" t="s">
        <v>50</v>
      </c>
      <c r="D177" s="6" t="s">
        <v>19</v>
      </c>
    </row>
    <row r="178" spans="2:4" ht="30" customHeight="1" x14ac:dyDescent="0.3">
      <c r="B178" s="6" t="s">
        <v>136</v>
      </c>
      <c r="C178" s="6" t="s">
        <v>31</v>
      </c>
      <c r="D178" s="6" t="s">
        <v>26</v>
      </c>
    </row>
    <row r="179" spans="2:4" ht="30" customHeight="1" x14ac:dyDescent="0.3">
      <c r="B179" s="6" t="s">
        <v>136</v>
      </c>
      <c r="C179" s="6" t="s">
        <v>50</v>
      </c>
      <c r="D179" s="6" t="s">
        <v>23</v>
      </c>
    </row>
    <row r="180" spans="2:4" ht="30" customHeight="1" x14ac:dyDescent="0.3">
      <c r="B180" s="6" t="s">
        <v>170</v>
      </c>
      <c r="C180" s="6" t="s">
        <v>14</v>
      </c>
      <c r="D180" s="6" t="s">
        <v>19</v>
      </c>
    </row>
    <row r="181" spans="2:4" ht="30" customHeight="1" x14ac:dyDescent="0.3">
      <c r="B181" s="6" t="s">
        <v>170</v>
      </c>
      <c r="C181" s="6" t="s">
        <v>50</v>
      </c>
      <c r="D181" s="6" t="s">
        <v>32</v>
      </c>
    </row>
    <row r="182" spans="2:4" ht="30" customHeight="1" x14ac:dyDescent="0.3">
      <c r="B182" s="6" t="s">
        <v>170</v>
      </c>
      <c r="C182" s="6" t="s">
        <v>14</v>
      </c>
      <c r="D182" s="6" t="s">
        <v>26</v>
      </c>
    </row>
    <row r="183" spans="2:4" ht="30" customHeight="1" x14ac:dyDescent="0.3">
      <c r="B183" s="6" t="s">
        <v>170</v>
      </c>
      <c r="C183" s="6" t="s">
        <v>50</v>
      </c>
      <c r="D183" s="6" t="s">
        <v>178</v>
      </c>
    </row>
    <row r="184" spans="2:4" ht="30" customHeight="1" x14ac:dyDescent="0.3">
      <c r="B184" s="6" t="s">
        <v>171</v>
      </c>
      <c r="C184" s="6" t="s">
        <v>29</v>
      </c>
      <c r="D184" s="6" t="s">
        <v>178</v>
      </c>
    </row>
    <row r="185" spans="2:4" ht="30" customHeight="1" x14ac:dyDescent="0.3">
      <c r="B185" s="6" t="s">
        <v>171</v>
      </c>
      <c r="C185" s="6" t="s">
        <v>5</v>
      </c>
      <c r="D185" s="6" t="s">
        <v>40</v>
      </c>
    </row>
    <row r="186" spans="2:4" ht="30" customHeight="1" x14ac:dyDescent="0.3">
      <c r="B186" s="6" t="s">
        <v>171</v>
      </c>
      <c r="C186" s="6" t="s">
        <v>29</v>
      </c>
      <c r="D186" s="6" t="s">
        <v>32</v>
      </c>
    </row>
    <row r="187" spans="2:4" ht="30" customHeight="1" x14ac:dyDescent="0.3">
      <c r="B187" s="6" t="s">
        <v>171</v>
      </c>
      <c r="C187" s="6" t="s">
        <v>5</v>
      </c>
      <c r="D187" s="6" t="s">
        <v>26</v>
      </c>
    </row>
    <row r="188" spans="2:4" ht="30" customHeight="1" x14ac:dyDescent="0.3">
      <c r="B188" s="6" t="s">
        <v>172</v>
      </c>
      <c r="C188" s="6" t="s">
        <v>52</v>
      </c>
      <c r="D188" s="6" t="s">
        <v>177</v>
      </c>
    </row>
    <row r="189" spans="2:4" ht="30" customHeight="1" x14ac:dyDescent="0.3">
      <c r="B189" s="6" t="s">
        <v>172</v>
      </c>
      <c r="C189" s="6" t="s">
        <v>48</v>
      </c>
      <c r="D189" s="6" t="s">
        <v>19</v>
      </c>
    </row>
    <row r="190" spans="2:4" ht="30" customHeight="1" x14ac:dyDescent="0.3">
      <c r="B190" s="6" t="s">
        <v>172</v>
      </c>
      <c r="C190" s="6" t="s">
        <v>52</v>
      </c>
      <c r="D190" s="6" t="s">
        <v>40</v>
      </c>
    </row>
    <row r="191" spans="2:4" ht="30" customHeight="1" x14ac:dyDescent="0.3">
      <c r="B191" s="6" t="s">
        <v>172</v>
      </c>
      <c r="C191" s="6" t="s">
        <v>48</v>
      </c>
      <c r="D191" s="6" t="s">
        <v>23</v>
      </c>
    </row>
    <row r="192" spans="2:4" ht="30" customHeight="1" x14ac:dyDescent="0.3">
      <c r="B192" s="6" t="s">
        <v>173</v>
      </c>
      <c r="C192" s="6" t="s">
        <v>6</v>
      </c>
      <c r="D192" s="6" t="s">
        <v>40</v>
      </c>
    </row>
    <row r="193" spans="2:4" ht="30" customHeight="1" x14ac:dyDescent="0.3">
      <c r="B193" s="6" t="s">
        <v>173</v>
      </c>
      <c r="C193" s="6" t="s">
        <v>12</v>
      </c>
      <c r="D193" s="6" t="s">
        <v>32</v>
      </c>
    </row>
    <row r="194" spans="2:4" ht="30" customHeight="1" x14ac:dyDescent="0.3">
      <c r="B194" s="6" t="s">
        <v>173</v>
      </c>
      <c r="C194" s="6" t="s">
        <v>6</v>
      </c>
      <c r="D194" s="6" t="s">
        <v>178</v>
      </c>
    </row>
    <row r="195" spans="2:4" ht="30" customHeight="1" x14ac:dyDescent="0.3">
      <c r="B195" s="6" t="s">
        <v>173</v>
      </c>
      <c r="C195" s="6" t="s">
        <v>12</v>
      </c>
      <c r="D195" s="6" t="s">
        <v>177</v>
      </c>
    </row>
    <row r="196" spans="2:4" ht="30" customHeight="1" x14ac:dyDescent="0.3">
      <c r="B196" s="6" t="s">
        <v>174</v>
      </c>
      <c r="C196" s="6" t="s">
        <v>31</v>
      </c>
      <c r="D196" s="6" t="s">
        <v>32</v>
      </c>
    </row>
    <row r="197" spans="2:4" ht="30" customHeight="1" x14ac:dyDescent="0.3">
      <c r="B197" s="6" t="s">
        <v>174</v>
      </c>
      <c r="C197" s="6" t="s">
        <v>49</v>
      </c>
      <c r="D197" s="6" t="s">
        <v>177</v>
      </c>
    </row>
    <row r="198" spans="2:4" ht="30" customHeight="1" x14ac:dyDescent="0.3">
      <c r="B198" s="6" t="s">
        <v>174</v>
      </c>
      <c r="C198" s="6" t="s">
        <v>31</v>
      </c>
      <c r="D198" s="6" t="s">
        <v>23</v>
      </c>
    </row>
    <row r="199" spans="2:4" ht="30" customHeight="1" x14ac:dyDescent="0.3">
      <c r="B199" s="6" t="s">
        <v>174</v>
      </c>
      <c r="C199" s="6" t="s">
        <v>49</v>
      </c>
      <c r="D199" s="6" t="s">
        <v>19</v>
      </c>
    </row>
    <row r="200" spans="2:4" ht="30" customHeight="1" x14ac:dyDescent="0.3">
      <c r="B200" s="6" t="s">
        <v>175</v>
      </c>
      <c r="C200" s="6" t="s">
        <v>13</v>
      </c>
      <c r="D200" s="6" t="s">
        <v>23</v>
      </c>
    </row>
    <row r="201" spans="2:4" ht="30" customHeight="1" x14ac:dyDescent="0.3">
      <c r="B201" s="6" t="s">
        <v>175</v>
      </c>
      <c r="C201" s="6" t="s">
        <v>51</v>
      </c>
      <c r="D201" s="6" t="s">
        <v>32</v>
      </c>
    </row>
    <row r="202" spans="2:4" ht="30" customHeight="1" x14ac:dyDescent="0.3">
      <c r="B202" s="6" t="s">
        <v>175</v>
      </c>
      <c r="C202" s="6" t="s">
        <v>13</v>
      </c>
      <c r="D202" s="6" t="s">
        <v>177</v>
      </c>
    </row>
    <row r="203" spans="2:4" ht="30" customHeight="1" x14ac:dyDescent="0.3">
      <c r="B203" s="6" t="s">
        <v>175</v>
      </c>
      <c r="C203" s="6" t="s">
        <v>51</v>
      </c>
      <c r="D203" s="6" t="s">
        <v>178</v>
      </c>
    </row>
    <row r="204" spans="2:4" ht="30" customHeight="1" x14ac:dyDescent="0.3">
      <c r="B204" s="6" t="s">
        <v>175</v>
      </c>
      <c r="C204" s="6" t="s">
        <v>42</v>
      </c>
      <c r="D204" s="6" t="s">
        <v>177</v>
      </c>
    </row>
    <row r="205" spans="2:4" ht="30" customHeight="1" x14ac:dyDescent="0.3">
      <c r="B205" s="6" t="s">
        <v>176</v>
      </c>
      <c r="C205" s="6" t="s">
        <v>47</v>
      </c>
      <c r="D205" s="6" t="s">
        <v>26</v>
      </c>
    </row>
    <row r="206" spans="2:4" ht="30" customHeight="1" x14ac:dyDescent="0.3">
      <c r="B206" s="6" t="s">
        <v>176</v>
      </c>
      <c r="C206" s="6" t="s">
        <v>42</v>
      </c>
      <c r="D206" s="6" t="s">
        <v>178</v>
      </c>
    </row>
    <row r="207" spans="2:4" ht="30" customHeight="1" x14ac:dyDescent="0.3">
      <c r="B207" s="6" t="s">
        <v>176</v>
      </c>
      <c r="C207" s="6" t="s">
        <v>47</v>
      </c>
      <c r="D207" s="6" t="s">
        <v>19</v>
      </c>
    </row>
    <row r="208" spans="2:4" ht="30" customHeight="1" x14ac:dyDescent="0.3">
      <c r="B208" s="6" t="s">
        <v>201</v>
      </c>
      <c r="C208" s="6" t="s">
        <v>54</v>
      </c>
      <c r="D208" s="6" t="s">
        <v>177</v>
      </c>
    </row>
    <row r="209" spans="2:4" ht="30" customHeight="1" x14ac:dyDescent="0.3">
      <c r="B209" s="6" t="s">
        <v>201</v>
      </c>
      <c r="C209" s="6" t="s">
        <v>51</v>
      </c>
      <c r="D209" s="6" t="s">
        <v>32</v>
      </c>
    </row>
    <row r="210" spans="2:4" ht="30" customHeight="1" x14ac:dyDescent="0.3">
      <c r="B210" s="6" t="s">
        <v>201</v>
      </c>
      <c r="C210" s="6" t="s">
        <v>54</v>
      </c>
      <c r="D210" s="6" t="s">
        <v>19</v>
      </c>
    </row>
    <row r="211" spans="2:4" ht="30" customHeight="1" x14ac:dyDescent="0.3">
      <c r="B211" s="6" t="s">
        <v>201</v>
      </c>
      <c r="C211" s="6" t="s">
        <v>51</v>
      </c>
      <c r="D211" s="6" t="s">
        <v>40</v>
      </c>
    </row>
    <row r="212" spans="2:4" ht="30" customHeight="1" x14ac:dyDescent="0.3">
      <c r="B212" s="6" t="s">
        <v>200</v>
      </c>
      <c r="C212" s="6" t="s">
        <v>12</v>
      </c>
      <c r="D212" s="6" t="s">
        <v>32</v>
      </c>
    </row>
    <row r="213" spans="2:4" ht="30" customHeight="1" x14ac:dyDescent="0.3">
      <c r="B213" s="6" t="s">
        <v>200</v>
      </c>
      <c r="C213" s="6" t="s">
        <v>29</v>
      </c>
      <c r="D213" s="6" t="s">
        <v>23</v>
      </c>
    </row>
    <row r="214" spans="2:4" ht="30" customHeight="1" x14ac:dyDescent="0.3">
      <c r="B214" s="6" t="s">
        <v>200</v>
      </c>
      <c r="C214" s="6" t="s">
        <v>12</v>
      </c>
      <c r="D214" s="6" t="s">
        <v>177</v>
      </c>
    </row>
    <row r="215" spans="2:4" ht="30" customHeight="1" x14ac:dyDescent="0.3">
      <c r="B215" s="6" t="s">
        <v>200</v>
      </c>
      <c r="C215" s="6" t="s">
        <v>29</v>
      </c>
      <c r="D215" s="6" t="s">
        <v>178</v>
      </c>
    </row>
    <row r="216" spans="2:4" ht="30" customHeight="1" x14ac:dyDescent="0.3">
      <c r="B216" s="6" t="s">
        <v>202</v>
      </c>
      <c r="C216" s="6" t="s">
        <v>48</v>
      </c>
      <c r="D216" s="6" t="s">
        <v>177</v>
      </c>
    </row>
    <row r="217" spans="2:4" ht="30" customHeight="1" x14ac:dyDescent="0.3">
      <c r="B217" s="6" t="s">
        <v>202</v>
      </c>
      <c r="C217" s="6" t="s">
        <v>49</v>
      </c>
      <c r="D217" s="6" t="s">
        <v>26</v>
      </c>
    </row>
    <row r="218" spans="2:4" ht="30" customHeight="1" x14ac:dyDescent="0.3">
      <c r="B218" s="6" t="s">
        <v>202</v>
      </c>
      <c r="C218" s="6" t="s">
        <v>48</v>
      </c>
      <c r="D218" s="6" t="s">
        <v>19</v>
      </c>
    </row>
    <row r="219" spans="2:4" ht="30" customHeight="1" x14ac:dyDescent="0.3">
      <c r="B219" s="6" t="s">
        <v>202</v>
      </c>
      <c r="C219" s="6" t="s">
        <v>49</v>
      </c>
      <c r="D219" s="6" t="s">
        <v>23</v>
      </c>
    </row>
    <row r="220" spans="2:4" ht="30" customHeight="1" x14ac:dyDescent="0.3">
      <c r="B220" s="6" t="s">
        <v>203</v>
      </c>
      <c r="C220" s="6" t="s">
        <v>86</v>
      </c>
      <c r="D220" s="6" t="s">
        <v>177</v>
      </c>
    </row>
    <row r="221" spans="2:4" ht="30" customHeight="1" x14ac:dyDescent="0.3">
      <c r="B221" s="6" t="s">
        <v>203</v>
      </c>
      <c r="C221" s="6" t="s">
        <v>30</v>
      </c>
      <c r="D221" s="6" t="s">
        <v>23</v>
      </c>
    </row>
    <row r="222" spans="2:4" ht="30" customHeight="1" x14ac:dyDescent="0.3">
      <c r="B222" s="6" t="s">
        <v>203</v>
      </c>
      <c r="C222" s="6" t="s">
        <v>86</v>
      </c>
      <c r="D222" s="6" t="s">
        <v>32</v>
      </c>
    </row>
    <row r="223" spans="2:4" ht="30" customHeight="1" x14ac:dyDescent="0.3">
      <c r="B223" s="6" t="s">
        <v>203</v>
      </c>
      <c r="C223" s="6" t="s">
        <v>30</v>
      </c>
      <c r="D223" s="6" t="s">
        <v>178</v>
      </c>
    </row>
    <row r="224" spans="2:4" ht="30" customHeight="1" x14ac:dyDescent="0.3">
      <c r="B224" s="6" t="s">
        <v>204</v>
      </c>
      <c r="C224" s="6" t="s">
        <v>199</v>
      </c>
      <c r="D224" s="6" t="s">
        <v>32</v>
      </c>
    </row>
    <row r="225" spans="2:4" ht="30" customHeight="1" x14ac:dyDescent="0.3">
      <c r="B225" s="6" t="s">
        <v>204</v>
      </c>
      <c r="C225" s="6" t="s">
        <v>31</v>
      </c>
      <c r="D225" s="6" t="s">
        <v>40</v>
      </c>
    </row>
    <row r="226" spans="2:4" ht="30" customHeight="1" x14ac:dyDescent="0.3">
      <c r="B226" s="6" t="s">
        <v>204</v>
      </c>
      <c r="C226" s="6" t="s">
        <v>199</v>
      </c>
      <c r="D226" s="6" t="s">
        <v>177</v>
      </c>
    </row>
    <row r="227" spans="2:4" ht="30" customHeight="1" x14ac:dyDescent="0.3">
      <c r="B227" s="6" t="s">
        <v>204</v>
      </c>
      <c r="C227" s="6" t="s">
        <v>31</v>
      </c>
      <c r="D227" s="6" t="s">
        <v>26</v>
      </c>
    </row>
    <row r="228" spans="2:4" ht="30" customHeight="1" x14ac:dyDescent="0.3">
      <c r="B228" s="6" t="s">
        <v>205</v>
      </c>
      <c r="C228" s="6" t="s">
        <v>47</v>
      </c>
      <c r="D228" s="6" t="s">
        <v>177</v>
      </c>
    </row>
    <row r="229" spans="2:4" ht="30" customHeight="1" x14ac:dyDescent="0.3">
      <c r="B229" s="6" t="s">
        <v>205</v>
      </c>
      <c r="C229" s="6" t="s">
        <v>53</v>
      </c>
      <c r="D229" s="6" t="s">
        <v>32</v>
      </c>
    </row>
    <row r="230" spans="2:4" ht="30" customHeight="1" x14ac:dyDescent="0.3">
      <c r="B230" s="6" t="s">
        <v>205</v>
      </c>
      <c r="C230" s="6" t="s">
        <v>47</v>
      </c>
      <c r="D230" s="6" t="s">
        <v>23</v>
      </c>
    </row>
    <row r="231" spans="2:4" ht="30" customHeight="1" x14ac:dyDescent="0.3">
      <c r="B231" s="6" t="s">
        <v>205</v>
      </c>
      <c r="C231" s="6" t="s">
        <v>53</v>
      </c>
      <c r="D231" s="6" t="s">
        <v>40</v>
      </c>
    </row>
    <row r="232" spans="2:4" ht="30" customHeight="1" x14ac:dyDescent="0.3">
      <c r="B232" s="6" t="s">
        <v>210</v>
      </c>
      <c r="C232" s="6" t="s">
        <v>5</v>
      </c>
      <c r="D232" s="6" t="s">
        <v>26</v>
      </c>
    </row>
    <row r="233" spans="2:4" ht="30" customHeight="1" x14ac:dyDescent="0.3">
      <c r="B233" s="6" t="s">
        <v>210</v>
      </c>
      <c r="C233" s="6" t="s">
        <v>12</v>
      </c>
      <c r="D233" s="6" t="s">
        <v>32</v>
      </c>
    </row>
    <row r="234" spans="2:4" ht="30" customHeight="1" x14ac:dyDescent="0.3">
      <c r="B234" s="6" t="s">
        <v>210</v>
      </c>
      <c r="C234" s="6" t="s">
        <v>5</v>
      </c>
      <c r="D234" s="6" t="s">
        <v>177</v>
      </c>
    </row>
    <row r="235" spans="2:4" ht="30" customHeight="1" x14ac:dyDescent="0.3">
      <c r="B235" s="6" t="s">
        <v>210</v>
      </c>
      <c r="C235" s="6" t="s">
        <v>12</v>
      </c>
      <c r="D235" s="6" t="s">
        <v>40</v>
      </c>
    </row>
    <row r="236" spans="2:4" ht="30" customHeight="1" x14ac:dyDescent="0.3">
      <c r="B236" s="6" t="s">
        <v>211</v>
      </c>
      <c r="C236" s="6" t="s">
        <v>11</v>
      </c>
      <c r="D236" s="6" t="s">
        <v>19</v>
      </c>
    </row>
    <row r="237" spans="2:4" ht="30" customHeight="1" x14ac:dyDescent="0.3">
      <c r="B237" s="6" t="s">
        <v>211</v>
      </c>
      <c r="C237" s="6" t="s">
        <v>6</v>
      </c>
      <c r="D237" s="6" t="s">
        <v>40</v>
      </c>
    </row>
    <row r="238" spans="2:4" ht="30" customHeight="1" x14ac:dyDescent="0.3">
      <c r="B238" s="6" t="s">
        <v>211</v>
      </c>
      <c r="C238" s="6" t="s">
        <v>11</v>
      </c>
      <c r="D238" s="6" t="s">
        <v>32</v>
      </c>
    </row>
    <row r="239" spans="2:4" ht="30" customHeight="1" x14ac:dyDescent="0.3">
      <c r="B239" s="6" t="s">
        <v>211</v>
      </c>
      <c r="C239" s="6" t="s">
        <v>6</v>
      </c>
      <c r="D239" s="6" t="s">
        <v>178</v>
      </c>
    </row>
    <row r="240" spans="2:4" ht="30" customHeight="1" x14ac:dyDescent="0.3">
      <c r="B240" s="6" t="s">
        <v>212</v>
      </c>
      <c r="C240" s="6" t="s">
        <v>42</v>
      </c>
      <c r="D240" s="6" t="s">
        <v>177</v>
      </c>
    </row>
    <row r="241" spans="2:4" ht="30" customHeight="1" x14ac:dyDescent="0.3">
      <c r="B241" s="6" t="s">
        <v>212</v>
      </c>
      <c r="C241" s="6" t="s">
        <v>30</v>
      </c>
      <c r="D241" s="6" t="s">
        <v>178</v>
      </c>
    </row>
    <row r="242" spans="2:4" ht="30" customHeight="1" x14ac:dyDescent="0.3">
      <c r="B242" s="6" t="s">
        <v>212</v>
      </c>
      <c r="C242" s="6" t="s">
        <v>42</v>
      </c>
      <c r="D242" s="6" t="s">
        <v>23</v>
      </c>
    </row>
    <row r="243" spans="2:4" ht="30" customHeight="1" x14ac:dyDescent="0.3">
      <c r="B243" s="6" t="s">
        <v>212</v>
      </c>
      <c r="C243" s="6" t="s">
        <v>30</v>
      </c>
      <c r="D243" s="6" t="s">
        <v>40</v>
      </c>
    </row>
    <row r="244" spans="2:4" ht="30" customHeight="1" x14ac:dyDescent="0.3">
      <c r="B244" s="6" t="s">
        <v>213</v>
      </c>
      <c r="C244" s="6" t="s">
        <v>86</v>
      </c>
      <c r="D244" s="6" t="s">
        <v>32</v>
      </c>
    </row>
    <row r="245" spans="2:4" ht="30" customHeight="1" x14ac:dyDescent="0.3">
      <c r="B245" s="6" t="s">
        <v>213</v>
      </c>
      <c r="C245" s="6" t="s">
        <v>47</v>
      </c>
      <c r="D245" s="6" t="s">
        <v>177</v>
      </c>
    </row>
    <row r="246" spans="2:4" ht="30" customHeight="1" x14ac:dyDescent="0.3">
      <c r="B246" s="6" t="s">
        <v>213</v>
      </c>
      <c r="C246" s="6" t="s">
        <v>86</v>
      </c>
      <c r="D246" s="6" t="s">
        <v>23</v>
      </c>
    </row>
    <row r="247" spans="2:4" ht="30" customHeight="1" x14ac:dyDescent="0.3">
      <c r="B247" s="6" t="s">
        <v>213</v>
      </c>
      <c r="C247" s="6" t="s">
        <v>47</v>
      </c>
      <c r="D247" s="6" t="s">
        <v>26</v>
      </c>
    </row>
    <row r="248" spans="2:4" ht="30" customHeight="1" x14ac:dyDescent="0.3">
      <c r="B248" s="6" t="s">
        <v>214</v>
      </c>
      <c r="C248" s="6" t="s">
        <v>50</v>
      </c>
      <c r="D248" s="6" t="s">
        <v>178</v>
      </c>
    </row>
    <row r="249" spans="2:4" ht="30" customHeight="1" x14ac:dyDescent="0.3">
      <c r="B249" s="6" t="s">
        <v>214</v>
      </c>
      <c r="C249" s="6" t="s">
        <v>52</v>
      </c>
      <c r="D249" s="6" t="s">
        <v>40</v>
      </c>
    </row>
    <row r="250" spans="2:4" ht="30" customHeight="1" x14ac:dyDescent="0.3">
      <c r="B250" s="6" t="s">
        <v>214</v>
      </c>
      <c r="C250" s="6" t="s">
        <v>50</v>
      </c>
      <c r="D250" s="6" t="s">
        <v>19</v>
      </c>
    </row>
    <row r="251" spans="2:4" ht="30" customHeight="1" x14ac:dyDescent="0.3">
      <c r="B251" s="6" t="s">
        <v>214</v>
      </c>
      <c r="C251" s="6" t="s">
        <v>52</v>
      </c>
      <c r="D251" s="6" t="s">
        <v>23</v>
      </c>
    </row>
    <row r="252" spans="2:4" ht="30" customHeight="1" x14ac:dyDescent="0.3">
      <c r="B252" s="6" t="s">
        <v>215</v>
      </c>
      <c r="C252" s="6" t="s">
        <v>13</v>
      </c>
      <c r="D252" s="6" t="s">
        <v>177</v>
      </c>
    </row>
    <row r="253" spans="2:4" ht="30" customHeight="1" x14ac:dyDescent="0.3">
      <c r="B253" s="6" t="s">
        <v>215</v>
      </c>
      <c r="C253" s="6" t="s">
        <v>14</v>
      </c>
      <c r="D253" s="6" t="s">
        <v>19</v>
      </c>
    </row>
    <row r="254" spans="2:4" ht="30" customHeight="1" x14ac:dyDescent="0.3">
      <c r="B254" s="6" t="s">
        <v>215</v>
      </c>
      <c r="C254" s="6" t="s">
        <v>13</v>
      </c>
      <c r="D254" s="6" t="s">
        <v>40</v>
      </c>
    </row>
    <row r="255" spans="2:4" ht="30" customHeight="1" x14ac:dyDescent="0.3">
      <c r="B255" s="6" t="s">
        <v>215</v>
      </c>
      <c r="C255" s="6" t="s">
        <v>14</v>
      </c>
      <c r="D255" s="6" t="s">
        <v>178</v>
      </c>
    </row>
    <row r="256" spans="2:4" ht="30" customHeight="1" x14ac:dyDescent="0.3">
      <c r="B256" s="6" t="s">
        <v>216</v>
      </c>
      <c r="C256" s="6" t="s">
        <v>50</v>
      </c>
      <c r="D256" s="6" t="s">
        <v>23</v>
      </c>
    </row>
    <row r="257" spans="2:4" ht="30" customHeight="1" x14ac:dyDescent="0.3">
      <c r="B257" s="6" t="s">
        <v>216</v>
      </c>
      <c r="C257" s="6" t="s">
        <v>51</v>
      </c>
      <c r="D257" s="6" t="s">
        <v>40</v>
      </c>
    </row>
    <row r="258" spans="2:4" ht="30" customHeight="1" x14ac:dyDescent="0.3">
      <c r="B258" s="6" t="s">
        <v>216</v>
      </c>
      <c r="C258" s="6" t="s">
        <v>50</v>
      </c>
      <c r="D258" s="6" t="s">
        <v>177</v>
      </c>
    </row>
    <row r="259" spans="2:4" ht="30" customHeight="1" x14ac:dyDescent="0.3">
      <c r="B259" s="6" t="s">
        <v>216</v>
      </c>
      <c r="C259" s="6" t="s">
        <v>51</v>
      </c>
      <c r="D259" s="6" t="s">
        <v>178</v>
      </c>
    </row>
    <row r="260" spans="2:4" ht="30" customHeight="1" x14ac:dyDescent="0.3">
      <c r="B260" s="6" t="s">
        <v>217</v>
      </c>
      <c r="C260" s="6" t="s">
        <v>6</v>
      </c>
      <c r="D260" s="6" t="s">
        <v>40</v>
      </c>
    </row>
    <row r="261" spans="2:4" ht="30" customHeight="1" x14ac:dyDescent="0.3">
      <c r="B261" s="6" t="s">
        <v>217</v>
      </c>
      <c r="C261" s="6" t="s">
        <v>5</v>
      </c>
      <c r="D261" s="6" t="s">
        <v>19</v>
      </c>
    </row>
    <row r="262" spans="2:4" ht="30" customHeight="1" x14ac:dyDescent="0.3">
      <c r="B262" s="6" t="s">
        <v>217</v>
      </c>
      <c r="C262" s="6" t="s">
        <v>6</v>
      </c>
      <c r="D262" s="6" t="s">
        <v>178</v>
      </c>
    </row>
    <row r="263" spans="2:4" ht="30" customHeight="1" x14ac:dyDescent="0.3">
      <c r="B263" s="6" t="s">
        <v>217</v>
      </c>
      <c r="C263" s="6" t="s">
        <v>5</v>
      </c>
      <c r="D263" s="6" t="s">
        <v>177</v>
      </c>
    </row>
    <row r="264" spans="2:4" ht="30" customHeight="1" x14ac:dyDescent="0.3">
      <c r="B264" s="6" t="s">
        <v>218</v>
      </c>
      <c r="C264" s="6" t="s">
        <v>53</v>
      </c>
      <c r="D264" s="6" t="s">
        <v>177</v>
      </c>
    </row>
    <row r="265" spans="2:4" ht="30" customHeight="1" x14ac:dyDescent="0.3">
      <c r="B265" s="6" t="s">
        <v>218</v>
      </c>
      <c r="C265" s="6" t="s">
        <v>29</v>
      </c>
      <c r="D265" s="6" t="s">
        <v>19</v>
      </c>
    </row>
    <row r="266" spans="2:4" ht="30" customHeight="1" x14ac:dyDescent="0.3">
      <c r="B266" s="6" t="s">
        <v>218</v>
      </c>
      <c r="C266" s="6" t="s">
        <v>53</v>
      </c>
      <c r="D266" s="6" t="s">
        <v>32</v>
      </c>
    </row>
    <row r="267" spans="2:4" ht="30" customHeight="1" x14ac:dyDescent="0.3">
      <c r="B267" s="6" t="s">
        <v>218</v>
      </c>
      <c r="C267" s="6" t="s">
        <v>29</v>
      </c>
      <c r="D267" s="6" t="s">
        <v>26</v>
      </c>
    </row>
    <row r="268" spans="2:4" ht="30" customHeight="1" x14ac:dyDescent="0.3">
      <c r="B268" s="6" t="s">
        <v>219</v>
      </c>
      <c r="C268" s="6" t="s">
        <v>13</v>
      </c>
      <c r="D268" s="6" t="s">
        <v>26</v>
      </c>
    </row>
    <row r="269" spans="2:4" ht="30" customHeight="1" x14ac:dyDescent="0.3">
      <c r="B269" s="6" t="s">
        <v>219</v>
      </c>
      <c r="C269" s="6" t="s">
        <v>52</v>
      </c>
      <c r="D269" s="6" t="s">
        <v>40</v>
      </c>
    </row>
    <row r="270" spans="2:4" ht="30" customHeight="1" x14ac:dyDescent="0.3">
      <c r="B270" s="6" t="s">
        <v>219</v>
      </c>
      <c r="C270" s="6" t="s">
        <v>13</v>
      </c>
      <c r="D270" s="6" t="s">
        <v>177</v>
      </c>
    </row>
    <row r="271" spans="2:4" ht="30" customHeight="1" x14ac:dyDescent="0.3">
      <c r="B271" s="6" t="s">
        <v>219</v>
      </c>
      <c r="C271" s="6" t="s">
        <v>52</v>
      </c>
      <c r="D271" s="6" t="s">
        <v>32</v>
      </c>
    </row>
    <row r="272" spans="2:4" ht="30" customHeight="1" x14ac:dyDescent="0.3">
      <c r="B272" s="6" t="s">
        <v>220</v>
      </c>
      <c r="C272" s="6" t="s">
        <v>11</v>
      </c>
      <c r="D272" s="6" t="s">
        <v>32</v>
      </c>
    </row>
    <row r="273" spans="2:4" ht="30" customHeight="1" x14ac:dyDescent="0.3">
      <c r="B273" s="6" t="s">
        <v>220</v>
      </c>
      <c r="C273" s="6" t="s">
        <v>30</v>
      </c>
      <c r="D273" s="6" t="s">
        <v>177</v>
      </c>
    </row>
    <row r="274" spans="2:4" ht="30" customHeight="1" x14ac:dyDescent="0.3">
      <c r="B274" s="6" t="s">
        <v>220</v>
      </c>
      <c r="C274" s="6" t="s">
        <v>11</v>
      </c>
      <c r="D274" s="6" t="s">
        <v>40</v>
      </c>
    </row>
    <row r="275" spans="2:4" ht="30" customHeight="1" x14ac:dyDescent="0.3">
      <c r="B275" s="6" t="s">
        <v>220</v>
      </c>
      <c r="C275" s="6" t="s">
        <v>30</v>
      </c>
      <c r="D275" s="6" t="s">
        <v>23</v>
      </c>
    </row>
    <row r="276" spans="2:4" ht="30" customHeight="1" x14ac:dyDescent="0.3">
      <c r="B276" s="6" t="s">
        <v>221</v>
      </c>
      <c r="C276" s="6" t="s">
        <v>199</v>
      </c>
      <c r="D276" s="6" t="s">
        <v>32</v>
      </c>
    </row>
    <row r="277" spans="2:4" ht="30" customHeight="1" x14ac:dyDescent="0.3">
      <c r="B277" s="6" t="s">
        <v>221</v>
      </c>
      <c r="C277" s="6" t="s">
        <v>48</v>
      </c>
      <c r="D277" s="6" t="s">
        <v>177</v>
      </c>
    </row>
    <row r="278" spans="2:4" ht="30" customHeight="1" x14ac:dyDescent="0.3">
      <c r="B278" s="6" t="s">
        <v>221</v>
      </c>
      <c r="C278" s="6" t="s">
        <v>199</v>
      </c>
      <c r="D278" s="6" t="s">
        <v>23</v>
      </c>
    </row>
    <row r="279" spans="2:4" ht="30" customHeight="1" x14ac:dyDescent="0.3">
      <c r="B279" s="6" t="s">
        <v>221</v>
      </c>
      <c r="C279" s="6" t="s">
        <v>48</v>
      </c>
      <c r="D279" s="6" t="s">
        <v>40</v>
      </c>
    </row>
    <row r="280" spans="2:4" ht="30" customHeight="1" x14ac:dyDescent="0.3">
      <c r="B280" s="6" t="s">
        <v>222</v>
      </c>
      <c r="C280" s="6" t="s">
        <v>31</v>
      </c>
      <c r="D280" s="6" t="s">
        <v>32</v>
      </c>
    </row>
    <row r="281" spans="2:4" ht="30" customHeight="1" x14ac:dyDescent="0.3">
      <c r="B281" s="6" t="s">
        <v>222</v>
      </c>
      <c r="C281" s="6" t="s">
        <v>14</v>
      </c>
      <c r="D281" s="6" t="s">
        <v>178</v>
      </c>
    </row>
    <row r="282" spans="2:4" ht="30" customHeight="1" x14ac:dyDescent="0.3">
      <c r="B282" s="6" t="s">
        <v>222</v>
      </c>
      <c r="C282" s="6" t="s">
        <v>31</v>
      </c>
      <c r="D282" s="6" t="s">
        <v>26</v>
      </c>
    </row>
    <row r="283" spans="2:4" ht="30" customHeight="1" x14ac:dyDescent="0.3">
      <c r="B283" s="6" t="s">
        <v>222</v>
      </c>
      <c r="C283" s="6" t="s">
        <v>14</v>
      </c>
      <c r="D283" s="6" t="s">
        <v>23</v>
      </c>
    </row>
    <row r="284" spans="2:4" ht="30" customHeight="1" x14ac:dyDescent="0.3">
      <c r="B284" s="6" t="s">
        <v>230</v>
      </c>
      <c r="C284" s="6" t="s">
        <v>54</v>
      </c>
      <c r="D284" s="6" t="s">
        <v>26</v>
      </c>
    </row>
    <row r="285" spans="2:4" ht="30" customHeight="1" x14ac:dyDescent="0.3">
      <c r="B285" s="6" t="s">
        <v>230</v>
      </c>
      <c r="C285" s="6" t="s">
        <v>51</v>
      </c>
      <c r="D285" s="6" t="s">
        <v>32</v>
      </c>
    </row>
    <row r="286" spans="2:4" ht="30" customHeight="1" x14ac:dyDescent="0.3">
      <c r="B286" s="6" t="s">
        <v>230</v>
      </c>
      <c r="C286" s="6" t="s">
        <v>54</v>
      </c>
      <c r="D286" s="6" t="s">
        <v>23</v>
      </c>
    </row>
    <row r="287" spans="2:4" ht="30" customHeight="1" x14ac:dyDescent="0.3">
      <c r="B287" s="6" t="s">
        <v>230</v>
      </c>
      <c r="C287" s="6" t="s">
        <v>51</v>
      </c>
      <c r="D287" s="6" t="s">
        <v>33</v>
      </c>
    </row>
    <row r="288" spans="2:4" ht="30" customHeight="1" x14ac:dyDescent="0.3">
      <c r="B288" s="6" t="s">
        <v>231</v>
      </c>
      <c r="C288" s="6" t="s">
        <v>11</v>
      </c>
      <c r="D288" s="6" t="s">
        <v>32</v>
      </c>
    </row>
    <row r="289" spans="2:4" ht="30" customHeight="1" x14ac:dyDescent="0.3">
      <c r="B289" s="6" t="s">
        <v>231</v>
      </c>
      <c r="C289" s="6" t="s">
        <v>42</v>
      </c>
      <c r="D289" s="6" t="s">
        <v>26</v>
      </c>
    </row>
    <row r="290" spans="2:4" ht="30" customHeight="1" x14ac:dyDescent="0.3">
      <c r="B290" s="6" t="s">
        <v>231</v>
      </c>
      <c r="C290" s="6" t="s">
        <v>11</v>
      </c>
      <c r="D290" s="6" t="s">
        <v>90</v>
      </c>
    </row>
    <row r="291" spans="2:4" ht="30" customHeight="1" x14ac:dyDescent="0.3">
      <c r="B291" s="6" t="s">
        <v>231</v>
      </c>
      <c r="C291" s="6" t="s">
        <v>42</v>
      </c>
      <c r="D291" s="6" t="s">
        <v>19</v>
      </c>
    </row>
    <row r="292" spans="2:4" ht="30" customHeight="1" x14ac:dyDescent="0.3">
      <c r="B292" s="6" t="s">
        <v>232</v>
      </c>
      <c r="C292" s="6" t="s">
        <v>53</v>
      </c>
      <c r="D292" s="6" t="s">
        <v>32</v>
      </c>
    </row>
    <row r="293" spans="2:4" ht="30" customHeight="1" x14ac:dyDescent="0.3">
      <c r="B293" s="6" t="s">
        <v>232</v>
      </c>
      <c r="C293" s="6" t="s">
        <v>5</v>
      </c>
      <c r="D293" s="6" t="s">
        <v>33</v>
      </c>
    </row>
    <row r="294" spans="2:4" ht="30" customHeight="1" x14ac:dyDescent="0.3">
      <c r="B294" s="6" t="s">
        <v>232</v>
      </c>
      <c r="C294" s="6" t="s">
        <v>53</v>
      </c>
      <c r="D294" s="6" t="s">
        <v>26</v>
      </c>
    </row>
    <row r="295" spans="2:4" ht="30" customHeight="1" x14ac:dyDescent="0.3">
      <c r="B295" s="6" t="s">
        <v>232</v>
      </c>
      <c r="C295" s="6" t="s">
        <v>5</v>
      </c>
      <c r="D295" s="6" t="s">
        <v>90</v>
      </c>
    </row>
    <row r="296" spans="2:4" ht="30" customHeight="1" x14ac:dyDescent="0.3">
      <c r="B296" s="6" t="s">
        <v>233</v>
      </c>
      <c r="C296" s="6" t="s">
        <v>52</v>
      </c>
      <c r="D296" s="6" t="s">
        <v>40</v>
      </c>
    </row>
    <row r="297" spans="2:4" ht="30" customHeight="1" x14ac:dyDescent="0.3">
      <c r="B297" s="6" t="s">
        <v>233</v>
      </c>
      <c r="C297" s="6" t="s">
        <v>50</v>
      </c>
      <c r="D297" s="6" t="s">
        <v>32</v>
      </c>
    </row>
    <row r="298" spans="2:4" ht="30" customHeight="1" x14ac:dyDescent="0.3">
      <c r="B298" s="6" t="s">
        <v>233</v>
      </c>
      <c r="C298" s="6" t="s">
        <v>52</v>
      </c>
      <c r="D298" s="6" t="s">
        <v>90</v>
      </c>
    </row>
    <row r="299" spans="2:4" ht="30" customHeight="1" x14ac:dyDescent="0.3">
      <c r="B299" s="6" t="s">
        <v>233</v>
      </c>
      <c r="C299" s="6" t="s">
        <v>50</v>
      </c>
      <c r="D299" s="6" t="s">
        <v>23</v>
      </c>
    </row>
    <row r="300" spans="2:4" ht="30" customHeight="1" x14ac:dyDescent="0.3">
      <c r="B300" s="6" t="s">
        <v>234</v>
      </c>
      <c r="C300" s="6" t="s">
        <v>86</v>
      </c>
      <c r="D300" s="6" t="s">
        <v>23</v>
      </c>
    </row>
    <row r="301" spans="2:4" ht="30" customHeight="1" x14ac:dyDescent="0.3">
      <c r="B301" s="6" t="s">
        <v>234</v>
      </c>
      <c r="C301" s="6" t="s">
        <v>12</v>
      </c>
      <c r="D301" s="6" t="s">
        <v>33</v>
      </c>
    </row>
    <row r="302" spans="2:4" ht="30" customHeight="1" x14ac:dyDescent="0.3">
      <c r="B302" s="6" t="s">
        <v>234</v>
      </c>
      <c r="C302" s="6" t="s">
        <v>86</v>
      </c>
      <c r="D302" s="6" t="s">
        <v>32</v>
      </c>
    </row>
    <row r="303" spans="2:4" ht="30" customHeight="1" x14ac:dyDescent="0.3">
      <c r="B303" s="6" t="s">
        <v>234</v>
      </c>
      <c r="C303" s="6" t="s">
        <v>12</v>
      </c>
      <c r="D303" s="6" t="s">
        <v>40</v>
      </c>
    </row>
    <row r="304" spans="2:4" ht="30" customHeight="1" x14ac:dyDescent="0.3">
      <c r="B304" s="6" t="s">
        <v>235</v>
      </c>
      <c r="C304" s="6" t="s">
        <v>14</v>
      </c>
      <c r="D304" s="6" t="s">
        <v>32</v>
      </c>
    </row>
    <row r="305" spans="2:4" ht="30" customHeight="1" x14ac:dyDescent="0.3">
      <c r="B305" s="6" t="s">
        <v>235</v>
      </c>
      <c r="C305" s="6" t="s">
        <v>48</v>
      </c>
      <c r="D305" s="6" t="s">
        <v>33</v>
      </c>
    </row>
    <row r="306" spans="2:4" ht="30" customHeight="1" x14ac:dyDescent="0.3">
      <c r="B306" s="6" t="s">
        <v>235</v>
      </c>
      <c r="C306" s="6" t="s">
        <v>14</v>
      </c>
      <c r="D306" s="6" t="s">
        <v>26</v>
      </c>
    </row>
    <row r="307" spans="2:4" ht="30" customHeight="1" x14ac:dyDescent="0.3">
      <c r="B307" s="6" t="s">
        <v>235</v>
      </c>
      <c r="C307" s="6" t="s">
        <v>48</v>
      </c>
      <c r="D307" s="6" t="s">
        <v>40</v>
      </c>
    </row>
    <row r="308" spans="2:4" ht="30" customHeight="1" x14ac:dyDescent="0.3">
      <c r="B308" s="6" t="s">
        <v>236</v>
      </c>
      <c r="C308" s="6" t="s">
        <v>13</v>
      </c>
      <c r="D308" s="6" t="s">
        <v>90</v>
      </c>
    </row>
    <row r="309" spans="2:4" ht="30" customHeight="1" x14ac:dyDescent="0.3">
      <c r="B309" s="6" t="s">
        <v>236</v>
      </c>
      <c r="C309" s="6" t="s">
        <v>49</v>
      </c>
      <c r="D309" s="6" t="s">
        <v>23</v>
      </c>
    </row>
    <row r="310" spans="2:4" ht="30" customHeight="1" x14ac:dyDescent="0.3">
      <c r="B310" s="6" t="s">
        <v>236</v>
      </c>
      <c r="C310" s="6" t="s">
        <v>13</v>
      </c>
      <c r="D310" s="6" t="s">
        <v>40</v>
      </c>
    </row>
    <row r="311" spans="2:4" ht="30" customHeight="1" x14ac:dyDescent="0.3">
      <c r="B311" s="6" t="s">
        <v>236</v>
      </c>
      <c r="C311" s="6" t="s">
        <v>49</v>
      </c>
      <c r="D311" s="6" t="s">
        <v>33</v>
      </c>
    </row>
    <row r="312" spans="2:4" ht="30" customHeight="1" x14ac:dyDescent="0.3">
      <c r="B312" s="6" t="s">
        <v>256</v>
      </c>
      <c r="C312" s="6" t="s">
        <v>51</v>
      </c>
      <c r="D312" s="6" t="s">
        <v>178</v>
      </c>
    </row>
    <row r="313" spans="2:4" ht="30" customHeight="1" x14ac:dyDescent="0.3">
      <c r="B313" s="6" t="s">
        <v>256</v>
      </c>
      <c r="C313" s="6" t="s">
        <v>199</v>
      </c>
      <c r="D313" s="6" t="s">
        <v>177</v>
      </c>
    </row>
    <row r="314" spans="2:4" ht="30" customHeight="1" x14ac:dyDescent="0.3">
      <c r="B314" s="6" t="s">
        <v>256</v>
      </c>
      <c r="C314" s="6" t="s">
        <v>51</v>
      </c>
      <c r="D314" s="6" t="s">
        <v>40</v>
      </c>
    </row>
    <row r="315" spans="2:4" ht="30" customHeight="1" x14ac:dyDescent="0.3">
      <c r="B315" s="6" t="s">
        <v>256</v>
      </c>
      <c r="C315" s="6" t="s">
        <v>199</v>
      </c>
      <c r="D315" s="6" t="s">
        <v>32</v>
      </c>
    </row>
    <row r="316" spans="2:4" ht="30" customHeight="1" x14ac:dyDescent="0.3">
      <c r="B316" s="6" t="s">
        <v>257</v>
      </c>
      <c r="C316" s="6" t="s">
        <v>86</v>
      </c>
      <c r="D316" s="6" t="s">
        <v>26</v>
      </c>
    </row>
    <row r="317" spans="2:4" ht="30" customHeight="1" x14ac:dyDescent="0.3">
      <c r="B317" s="6" t="s">
        <v>257</v>
      </c>
      <c r="C317" s="6" t="s">
        <v>12</v>
      </c>
      <c r="D317" s="6" t="s">
        <v>40</v>
      </c>
    </row>
    <row r="318" spans="2:4" ht="30" customHeight="1" x14ac:dyDescent="0.3">
      <c r="B318" s="6" t="s">
        <v>257</v>
      </c>
      <c r="C318" s="6" t="s">
        <v>86</v>
      </c>
      <c r="D318" s="6" t="s">
        <v>178</v>
      </c>
    </row>
    <row r="319" spans="2:4" ht="30" customHeight="1" x14ac:dyDescent="0.3">
      <c r="B319" s="6" t="s">
        <v>257</v>
      </c>
      <c r="C319" s="6" t="s">
        <v>12</v>
      </c>
      <c r="D319" s="6" t="s">
        <v>177</v>
      </c>
    </row>
    <row r="320" spans="2:4" ht="30" customHeight="1" x14ac:dyDescent="0.3">
      <c r="B320" s="6" t="s">
        <v>258</v>
      </c>
      <c r="C320" s="6" t="s">
        <v>29</v>
      </c>
      <c r="D320" s="6" t="s">
        <v>178</v>
      </c>
    </row>
    <row r="321" spans="2:4" ht="30" customHeight="1" x14ac:dyDescent="0.3">
      <c r="B321" s="6" t="s">
        <v>258</v>
      </c>
      <c r="C321" s="6" t="s">
        <v>6</v>
      </c>
      <c r="D321" s="6" t="s">
        <v>40</v>
      </c>
    </row>
    <row r="322" spans="2:4" ht="30" customHeight="1" x14ac:dyDescent="0.3">
      <c r="B322" s="6" t="s">
        <v>258</v>
      </c>
      <c r="C322" s="6" t="s">
        <v>29</v>
      </c>
      <c r="D322" s="6" t="s">
        <v>19</v>
      </c>
    </row>
    <row r="323" spans="2:4" ht="30" customHeight="1" x14ac:dyDescent="0.3">
      <c r="B323" s="6" t="s">
        <v>258</v>
      </c>
      <c r="C323" s="6" t="s">
        <v>6</v>
      </c>
      <c r="D323" s="6" t="s">
        <v>177</v>
      </c>
    </row>
    <row r="324" spans="2:4" ht="30" customHeight="1" x14ac:dyDescent="0.3">
      <c r="B324" s="6" t="s">
        <v>259</v>
      </c>
      <c r="C324" s="6" t="s">
        <v>54</v>
      </c>
      <c r="D324" s="6" t="s">
        <v>178</v>
      </c>
    </row>
    <row r="325" spans="2:4" ht="30" customHeight="1" x14ac:dyDescent="0.3">
      <c r="B325" s="6" t="s">
        <v>259</v>
      </c>
      <c r="C325" s="6" t="s">
        <v>50</v>
      </c>
      <c r="D325" s="6" t="s">
        <v>32</v>
      </c>
    </row>
    <row r="326" spans="2:4" ht="30" customHeight="1" x14ac:dyDescent="0.3">
      <c r="B326" s="6" t="s">
        <v>259</v>
      </c>
      <c r="C326" s="6" t="s">
        <v>54</v>
      </c>
      <c r="D326" s="6" t="s">
        <v>177</v>
      </c>
    </row>
    <row r="327" spans="2:4" ht="30" customHeight="1" x14ac:dyDescent="0.3">
      <c r="B327" s="6" t="s">
        <v>259</v>
      </c>
      <c r="C327" s="6" t="s">
        <v>50</v>
      </c>
      <c r="D327" s="6" t="s">
        <v>19</v>
      </c>
    </row>
    <row r="328" spans="2:4" ht="30" customHeight="1" x14ac:dyDescent="0.3">
      <c r="B328" s="6" t="s">
        <v>260</v>
      </c>
      <c r="C328" s="6" t="s">
        <v>11</v>
      </c>
      <c r="D328" s="6" t="s">
        <v>19</v>
      </c>
    </row>
    <row r="329" spans="2:4" ht="30" customHeight="1" x14ac:dyDescent="0.3">
      <c r="B329" s="6" t="s">
        <v>260</v>
      </c>
      <c r="C329" s="6" t="s">
        <v>47</v>
      </c>
      <c r="D329" s="6" t="s">
        <v>177</v>
      </c>
    </row>
    <row r="330" spans="2:4" ht="30" customHeight="1" x14ac:dyDescent="0.3">
      <c r="B330" s="6" t="s">
        <v>260</v>
      </c>
      <c r="C330" s="6" t="s">
        <v>11</v>
      </c>
      <c r="D330" s="6" t="s">
        <v>40</v>
      </c>
    </row>
    <row r="331" spans="2:4" ht="30" customHeight="1" x14ac:dyDescent="0.3">
      <c r="B331" s="6" t="s">
        <v>260</v>
      </c>
      <c r="C331" s="6" t="s">
        <v>47</v>
      </c>
      <c r="D331" s="6" t="s">
        <v>26</v>
      </c>
    </row>
    <row r="332" spans="2:4" ht="30" customHeight="1" x14ac:dyDescent="0.3">
      <c r="B332" s="6" t="s">
        <v>261</v>
      </c>
      <c r="C332" s="6" t="s">
        <v>48</v>
      </c>
      <c r="D332" s="6" t="s">
        <v>177</v>
      </c>
    </row>
    <row r="333" spans="2:4" ht="30" customHeight="1" x14ac:dyDescent="0.3">
      <c r="B333" s="6" t="s">
        <v>261</v>
      </c>
      <c r="C333" s="6" t="s">
        <v>14</v>
      </c>
      <c r="D333" s="6" t="s">
        <v>19</v>
      </c>
    </row>
    <row r="334" spans="2:4" ht="30" customHeight="1" x14ac:dyDescent="0.3">
      <c r="B334" s="6" t="s">
        <v>261</v>
      </c>
      <c r="C334" s="6" t="s">
        <v>48</v>
      </c>
      <c r="D334" s="6" t="s">
        <v>40</v>
      </c>
    </row>
    <row r="335" spans="2:4" ht="30" customHeight="1" x14ac:dyDescent="0.3">
      <c r="B335" s="6" t="s">
        <v>261</v>
      </c>
      <c r="C335" s="6" t="s">
        <v>14</v>
      </c>
      <c r="D335" s="6" t="s">
        <v>23</v>
      </c>
    </row>
    <row r="336" spans="2:4" ht="30" customHeight="1" x14ac:dyDescent="0.3">
      <c r="B336" s="6" t="s">
        <v>262</v>
      </c>
      <c r="C336" s="6" t="s">
        <v>42</v>
      </c>
      <c r="D336" s="6" t="s">
        <v>177</v>
      </c>
    </row>
    <row r="337" spans="2:4" ht="30" customHeight="1" x14ac:dyDescent="0.3">
      <c r="B337" s="6" t="s">
        <v>262</v>
      </c>
      <c r="C337" s="6" t="s">
        <v>53</v>
      </c>
      <c r="D337" s="6" t="s">
        <v>32</v>
      </c>
    </row>
    <row r="338" spans="2:4" ht="30" customHeight="1" x14ac:dyDescent="0.3">
      <c r="B338" s="6" t="s">
        <v>262</v>
      </c>
      <c r="C338" s="6" t="s">
        <v>42</v>
      </c>
      <c r="D338" s="6" t="s">
        <v>23</v>
      </c>
    </row>
    <row r="339" spans="2:4" ht="30" customHeight="1" x14ac:dyDescent="0.3">
      <c r="B339" s="6" t="s">
        <v>262</v>
      </c>
      <c r="C339" s="6" t="s">
        <v>53</v>
      </c>
      <c r="D339" s="6" t="s">
        <v>26</v>
      </c>
    </row>
    <row r="340" spans="2:4" ht="30" customHeight="1" x14ac:dyDescent="0.3">
      <c r="B340" s="6" t="s">
        <v>263</v>
      </c>
      <c r="C340" s="6" t="s">
        <v>50</v>
      </c>
      <c r="D340" s="6" t="s">
        <v>178</v>
      </c>
    </row>
    <row r="341" spans="2:4" ht="30" customHeight="1" x14ac:dyDescent="0.3">
      <c r="B341" s="6" t="s">
        <v>263</v>
      </c>
      <c r="C341" s="6" t="s">
        <v>199</v>
      </c>
      <c r="D341" s="6" t="s">
        <v>177</v>
      </c>
    </row>
    <row r="342" spans="2:4" ht="30" customHeight="1" x14ac:dyDescent="0.3">
      <c r="B342" s="6" t="s">
        <v>263</v>
      </c>
      <c r="C342" s="6" t="s">
        <v>50</v>
      </c>
      <c r="D342" s="6" t="s">
        <v>32</v>
      </c>
    </row>
    <row r="343" spans="2:4" ht="30" customHeight="1" x14ac:dyDescent="0.3">
      <c r="B343" s="6" t="s">
        <v>263</v>
      </c>
      <c r="C343" s="6" t="s">
        <v>199</v>
      </c>
      <c r="D343" s="6" t="s">
        <v>23</v>
      </c>
    </row>
    <row r="344" spans="2:4" ht="30" customHeight="1" x14ac:dyDescent="0.3">
      <c r="B344" s="6" t="s">
        <v>264</v>
      </c>
      <c r="C344" s="6" t="s">
        <v>86</v>
      </c>
      <c r="D344" s="6" t="s">
        <v>177</v>
      </c>
    </row>
    <row r="345" spans="2:4" ht="30" customHeight="1" x14ac:dyDescent="0.3">
      <c r="B345" s="6" t="s">
        <v>264</v>
      </c>
      <c r="C345" s="6" t="s">
        <v>5</v>
      </c>
      <c r="D345" s="6" t="s">
        <v>26</v>
      </c>
    </row>
    <row r="346" spans="2:4" ht="30" customHeight="1" x14ac:dyDescent="0.3">
      <c r="B346" s="6" t="s">
        <v>264</v>
      </c>
      <c r="C346" s="6" t="s">
        <v>86</v>
      </c>
      <c r="D346" s="6" t="s">
        <v>178</v>
      </c>
    </row>
    <row r="347" spans="2:4" ht="30" customHeight="1" x14ac:dyDescent="0.3">
      <c r="B347" s="6" t="s">
        <v>264</v>
      </c>
      <c r="C347" s="6" t="s">
        <v>5</v>
      </c>
      <c r="D347" s="6" t="s">
        <v>19</v>
      </c>
    </row>
    <row r="348" spans="2:4" ht="30" customHeight="1" x14ac:dyDescent="0.3">
      <c r="B348" s="6" t="s">
        <v>265</v>
      </c>
      <c r="C348" s="6" t="s">
        <v>30</v>
      </c>
      <c r="D348" s="6" t="s">
        <v>177</v>
      </c>
    </row>
    <row r="349" spans="2:4" ht="30" customHeight="1" x14ac:dyDescent="0.3">
      <c r="B349" s="6" t="s">
        <v>265</v>
      </c>
      <c r="C349" s="6" t="s">
        <v>12</v>
      </c>
      <c r="D349" s="6" t="s">
        <v>32</v>
      </c>
    </row>
    <row r="350" spans="2:4" ht="30" customHeight="1" x14ac:dyDescent="0.3">
      <c r="B350" s="6" t="s">
        <v>265</v>
      </c>
      <c r="C350" s="6" t="s">
        <v>30</v>
      </c>
      <c r="D350" s="6" t="s">
        <v>23</v>
      </c>
    </row>
    <row r="351" spans="2:4" ht="30" customHeight="1" x14ac:dyDescent="0.3">
      <c r="B351" s="6" t="s">
        <v>265</v>
      </c>
      <c r="C351" s="6" t="s">
        <v>12</v>
      </c>
      <c r="D351" s="6" t="s">
        <v>40</v>
      </c>
    </row>
    <row r="352" spans="2:4" ht="30" customHeight="1" x14ac:dyDescent="0.3">
      <c r="B352" s="6" t="s">
        <v>266</v>
      </c>
      <c r="C352" s="6" t="s">
        <v>49</v>
      </c>
      <c r="D352" s="6" t="s">
        <v>177</v>
      </c>
    </row>
    <row r="353" spans="2:4" ht="30" customHeight="1" x14ac:dyDescent="0.3">
      <c r="B353" s="6" t="s">
        <v>266</v>
      </c>
      <c r="C353" s="6" t="s">
        <v>51</v>
      </c>
      <c r="D353" s="6" t="s">
        <v>32</v>
      </c>
    </row>
    <row r="354" spans="2:4" ht="30" customHeight="1" x14ac:dyDescent="0.3">
      <c r="B354" s="6" t="s">
        <v>266</v>
      </c>
      <c r="C354" s="6" t="s">
        <v>49</v>
      </c>
      <c r="D354" s="6" t="s">
        <v>19</v>
      </c>
    </row>
    <row r="355" spans="2:4" ht="30" customHeight="1" x14ac:dyDescent="0.3">
      <c r="B355" s="6" t="s">
        <v>266</v>
      </c>
      <c r="C355" s="6" t="s">
        <v>51</v>
      </c>
      <c r="D355" s="6" t="s">
        <v>40</v>
      </c>
    </row>
    <row r="356" spans="2:4" ht="30" customHeight="1" x14ac:dyDescent="0.3">
      <c r="B356" s="6" t="s">
        <v>267</v>
      </c>
      <c r="C356" s="6" t="s">
        <v>29</v>
      </c>
      <c r="D356" s="6" t="s">
        <v>32</v>
      </c>
    </row>
    <row r="357" spans="2:4" ht="30" customHeight="1" x14ac:dyDescent="0.3">
      <c r="B357" s="6" t="s">
        <v>267</v>
      </c>
      <c r="C357" s="6" t="s">
        <v>49</v>
      </c>
      <c r="D357" s="6" t="s">
        <v>177</v>
      </c>
    </row>
    <row r="358" spans="2:4" ht="30" customHeight="1" x14ac:dyDescent="0.3">
      <c r="B358" s="6" t="s">
        <v>267</v>
      </c>
      <c r="C358" s="6" t="s">
        <v>29</v>
      </c>
      <c r="D358" s="6" t="s">
        <v>23</v>
      </c>
    </row>
    <row r="359" spans="2:4" ht="30" customHeight="1" x14ac:dyDescent="0.3">
      <c r="B359" s="6" t="s">
        <v>267</v>
      </c>
      <c r="C359" s="6" t="s">
        <v>49</v>
      </c>
      <c r="D359" s="6" t="s">
        <v>19</v>
      </c>
    </row>
    <row r="360" spans="2:4" ht="30" customHeight="1" x14ac:dyDescent="0.3">
      <c r="B360" s="6" t="s">
        <v>268</v>
      </c>
      <c r="C360" s="6" t="s">
        <v>48</v>
      </c>
      <c r="D360" s="6" t="s">
        <v>177</v>
      </c>
    </row>
    <row r="361" spans="2:4" ht="30" customHeight="1" x14ac:dyDescent="0.3">
      <c r="B361" s="6" t="s">
        <v>268</v>
      </c>
      <c r="C361" s="6" t="s">
        <v>31</v>
      </c>
      <c r="D361" s="6" t="s">
        <v>32</v>
      </c>
    </row>
    <row r="362" spans="2:4" ht="30" customHeight="1" x14ac:dyDescent="0.3">
      <c r="B362" s="6" t="s">
        <v>268</v>
      </c>
      <c r="C362" s="6" t="s">
        <v>48</v>
      </c>
      <c r="D362" s="6" t="s">
        <v>19</v>
      </c>
    </row>
    <row r="363" spans="2:4" ht="30" customHeight="1" x14ac:dyDescent="0.3">
      <c r="B363" s="6" t="s">
        <v>268</v>
      </c>
      <c r="C363" s="6" t="s">
        <v>31</v>
      </c>
      <c r="D363" s="6" t="s">
        <v>26</v>
      </c>
    </row>
    <row r="364" spans="2:4" ht="30" customHeight="1" x14ac:dyDescent="0.3">
      <c r="B364" s="6" t="s">
        <v>269</v>
      </c>
      <c r="C364" s="6" t="s">
        <v>13</v>
      </c>
      <c r="D364" s="6" t="s">
        <v>177</v>
      </c>
    </row>
    <row r="365" spans="2:4" ht="30" customHeight="1" x14ac:dyDescent="0.3">
      <c r="B365" s="6" t="s">
        <v>269</v>
      </c>
      <c r="C365" s="6" t="s">
        <v>54</v>
      </c>
      <c r="D365" s="6" t="s">
        <v>32</v>
      </c>
    </row>
    <row r="366" spans="2:4" ht="30" customHeight="1" x14ac:dyDescent="0.3">
      <c r="B366" s="6" t="s">
        <v>269</v>
      </c>
      <c r="C366" s="6" t="s">
        <v>13</v>
      </c>
      <c r="D366" s="6" t="s">
        <v>26</v>
      </c>
    </row>
    <row r="367" spans="2:4" ht="30" customHeight="1" x14ac:dyDescent="0.3">
      <c r="B367" s="6" t="s">
        <v>269</v>
      </c>
      <c r="C367" s="6" t="s">
        <v>54</v>
      </c>
      <c r="D367" s="6" t="s">
        <v>19</v>
      </c>
    </row>
    <row r="368" spans="2:4" ht="30" customHeight="1" x14ac:dyDescent="0.3">
      <c r="B368" s="6" t="s">
        <v>270</v>
      </c>
      <c r="C368" s="40" t="s">
        <v>29</v>
      </c>
      <c r="D368" s="40" t="s">
        <v>19</v>
      </c>
    </row>
    <row r="369" spans="2:4" ht="30" customHeight="1" x14ac:dyDescent="0.3">
      <c r="B369" s="6" t="s">
        <v>270</v>
      </c>
      <c r="C369" s="40" t="s">
        <v>86</v>
      </c>
      <c r="D369" s="40" t="s">
        <v>32</v>
      </c>
    </row>
    <row r="370" spans="2:4" ht="30" customHeight="1" x14ac:dyDescent="0.3">
      <c r="B370" s="6" t="s">
        <v>270</v>
      </c>
      <c r="C370" s="40" t="s">
        <v>29</v>
      </c>
      <c r="D370" s="40" t="s">
        <v>90</v>
      </c>
    </row>
    <row r="371" spans="2:4" ht="30" customHeight="1" x14ac:dyDescent="0.3">
      <c r="B371" s="6" t="s">
        <v>270</v>
      </c>
      <c r="C371" s="40" t="s">
        <v>86</v>
      </c>
      <c r="D371" s="40" t="s">
        <v>26</v>
      </c>
    </row>
    <row r="372" spans="2:4" ht="30" customHeight="1" x14ac:dyDescent="0.3">
      <c r="B372" s="6" t="s">
        <v>271</v>
      </c>
      <c r="C372" s="40" t="s">
        <v>11</v>
      </c>
      <c r="D372" s="40" t="s">
        <v>32</v>
      </c>
    </row>
    <row r="373" spans="2:4" ht="30" customHeight="1" x14ac:dyDescent="0.3">
      <c r="B373" s="6" t="s">
        <v>271</v>
      </c>
      <c r="C373" s="40" t="s">
        <v>5</v>
      </c>
      <c r="D373" s="40" t="s">
        <v>33</v>
      </c>
    </row>
    <row r="374" spans="2:4" ht="30" customHeight="1" x14ac:dyDescent="0.3">
      <c r="B374" s="6" t="s">
        <v>271</v>
      </c>
      <c r="C374" s="40" t="s">
        <v>11</v>
      </c>
      <c r="D374" s="40" t="s">
        <v>40</v>
      </c>
    </row>
    <row r="375" spans="2:4" ht="30" customHeight="1" x14ac:dyDescent="0.3">
      <c r="B375" s="6" t="s">
        <v>271</v>
      </c>
      <c r="C375" s="40" t="s">
        <v>5</v>
      </c>
      <c r="D375" s="40" t="s">
        <v>19</v>
      </c>
    </row>
    <row r="376" spans="2:4" ht="30" customHeight="1" x14ac:dyDescent="0.3">
      <c r="B376" s="6" t="s">
        <v>272</v>
      </c>
      <c r="C376" s="40" t="s">
        <v>6</v>
      </c>
      <c r="D376" s="40" t="s">
        <v>23</v>
      </c>
    </row>
    <row r="377" spans="2:4" ht="30" customHeight="1" x14ac:dyDescent="0.3">
      <c r="B377" s="6" t="s">
        <v>272</v>
      </c>
      <c r="C377" s="40" t="s">
        <v>12</v>
      </c>
      <c r="D377" s="40" t="s">
        <v>19</v>
      </c>
    </row>
    <row r="378" spans="2:4" ht="30" customHeight="1" x14ac:dyDescent="0.3">
      <c r="B378" s="6" t="s">
        <v>272</v>
      </c>
      <c r="C378" s="40" t="s">
        <v>6</v>
      </c>
      <c r="D378" s="40" t="s">
        <v>26</v>
      </c>
    </row>
    <row r="379" spans="2:4" ht="30" customHeight="1" x14ac:dyDescent="0.3">
      <c r="B379" s="6" t="s">
        <v>272</v>
      </c>
      <c r="C379" s="40" t="s">
        <v>12</v>
      </c>
      <c r="D379" s="40" t="s">
        <v>33</v>
      </c>
    </row>
    <row r="380" spans="2:4" ht="30" customHeight="1" x14ac:dyDescent="0.3">
      <c r="B380" s="6" t="s">
        <v>273</v>
      </c>
      <c r="C380" s="40" t="s">
        <v>42</v>
      </c>
      <c r="D380" s="40" t="s">
        <v>23</v>
      </c>
    </row>
    <row r="381" spans="2:4" ht="30" customHeight="1" x14ac:dyDescent="0.3">
      <c r="B381" s="6" t="s">
        <v>273</v>
      </c>
      <c r="C381" s="40" t="s">
        <v>53</v>
      </c>
      <c r="D381" s="40" t="s">
        <v>32</v>
      </c>
    </row>
    <row r="382" spans="2:4" ht="30" customHeight="1" x14ac:dyDescent="0.3">
      <c r="B382" s="6" t="s">
        <v>273</v>
      </c>
      <c r="C382" s="40" t="s">
        <v>42</v>
      </c>
      <c r="D382" s="40" t="s">
        <v>90</v>
      </c>
    </row>
    <row r="383" spans="2:4" ht="30" customHeight="1" x14ac:dyDescent="0.3">
      <c r="B383" s="6" t="s">
        <v>273</v>
      </c>
      <c r="C383" s="40" t="s">
        <v>53</v>
      </c>
      <c r="D383" s="40" t="s">
        <v>40</v>
      </c>
    </row>
    <row r="384" spans="2:4" ht="30" customHeight="1" x14ac:dyDescent="0.3">
      <c r="B384" s="6" t="s">
        <v>274</v>
      </c>
      <c r="C384" s="40" t="s">
        <v>51</v>
      </c>
      <c r="D384" s="40" t="s">
        <v>32</v>
      </c>
    </row>
    <row r="385" spans="2:4" ht="30" customHeight="1" x14ac:dyDescent="0.3">
      <c r="B385" s="6" t="s">
        <v>274</v>
      </c>
      <c r="C385" s="40" t="s">
        <v>13</v>
      </c>
      <c r="D385" s="40" t="s">
        <v>90</v>
      </c>
    </row>
    <row r="386" spans="2:4" ht="30" customHeight="1" x14ac:dyDescent="0.3">
      <c r="B386" s="6" t="s">
        <v>274</v>
      </c>
      <c r="C386" s="40" t="s">
        <v>51</v>
      </c>
      <c r="D386" s="40" t="s">
        <v>33</v>
      </c>
    </row>
    <row r="387" spans="2:4" ht="30" customHeight="1" x14ac:dyDescent="0.3">
      <c r="B387" s="6" t="s">
        <v>274</v>
      </c>
      <c r="C387" s="40" t="s">
        <v>13</v>
      </c>
      <c r="D387" s="40" t="s">
        <v>19</v>
      </c>
    </row>
    <row r="388" spans="2:4" ht="30" customHeight="1" x14ac:dyDescent="0.3">
      <c r="B388" s="6" t="s">
        <v>275</v>
      </c>
      <c r="C388" s="50" t="s">
        <v>52</v>
      </c>
      <c r="D388" s="50" t="s">
        <v>32</v>
      </c>
    </row>
    <row r="389" spans="2:4" ht="30" customHeight="1" x14ac:dyDescent="0.3">
      <c r="B389" s="6" t="s">
        <v>275</v>
      </c>
      <c r="C389" s="50" t="s">
        <v>48</v>
      </c>
      <c r="D389" s="50" t="s">
        <v>33</v>
      </c>
    </row>
    <row r="390" spans="2:4" ht="30" customHeight="1" x14ac:dyDescent="0.3">
      <c r="B390" s="6" t="s">
        <v>275</v>
      </c>
      <c r="C390" s="50" t="s">
        <v>52</v>
      </c>
      <c r="D390" s="50" t="s">
        <v>90</v>
      </c>
    </row>
    <row r="391" spans="2:4" ht="30" customHeight="1" x14ac:dyDescent="0.3">
      <c r="B391" s="6" t="s">
        <v>275</v>
      </c>
      <c r="C391" s="50" t="s">
        <v>48</v>
      </c>
      <c r="D391" s="50" t="s">
        <v>40</v>
      </c>
    </row>
    <row r="392" spans="2:4" ht="30" customHeight="1" x14ac:dyDescent="0.3">
      <c r="B392" s="50" t="s">
        <v>290</v>
      </c>
      <c r="C392" s="50" t="s">
        <v>54</v>
      </c>
      <c r="D392" s="50" t="s">
        <v>19</v>
      </c>
    </row>
    <row r="393" spans="2:4" ht="30" customHeight="1" x14ac:dyDescent="0.3">
      <c r="B393" s="50" t="s">
        <v>290</v>
      </c>
      <c r="C393" s="50" t="s">
        <v>31</v>
      </c>
      <c r="D393" s="50" t="s">
        <v>23</v>
      </c>
    </row>
    <row r="394" spans="2:4" ht="30" customHeight="1" x14ac:dyDescent="0.3">
      <c r="B394" s="50" t="s">
        <v>290</v>
      </c>
      <c r="C394" s="50" t="s">
        <v>54</v>
      </c>
      <c r="D394" s="50" t="s">
        <v>40</v>
      </c>
    </row>
    <row r="395" spans="2:4" ht="30" customHeight="1" x14ac:dyDescent="0.3">
      <c r="B395" s="50" t="s">
        <v>290</v>
      </c>
      <c r="C395" s="50" t="s">
        <v>31</v>
      </c>
      <c r="D395" s="50" t="s">
        <v>33</v>
      </c>
    </row>
    <row r="396" spans="2:4" ht="30" customHeight="1" x14ac:dyDescent="0.3">
      <c r="B396" s="50" t="s">
        <v>291</v>
      </c>
      <c r="C396" s="50" t="s">
        <v>86</v>
      </c>
      <c r="D396" s="50" t="s">
        <v>32</v>
      </c>
    </row>
    <row r="397" spans="2:4" ht="30" customHeight="1" x14ac:dyDescent="0.3">
      <c r="B397" s="50" t="s">
        <v>291</v>
      </c>
      <c r="C397" s="50" t="s">
        <v>47</v>
      </c>
      <c r="D397" s="50" t="s">
        <v>26</v>
      </c>
    </row>
    <row r="398" spans="2:4" ht="30" customHeight="1" x14ac:dyDescent="0.3">
      <c r="B398" s="50" t="s">
        <v>291</v>
      </c>
      <c r="C398" s="50" t="s">
        <v>86</v>
      </c>
      <c r="D398" s="50" t="s">
        <v>23</v>
      </c>
    </row>
    <row r="399" spans="2:4" ht="30" customHeight="1" x14ac:dyDescent="0.3">
      <c r="B399" s="50" t="s">
        <v>291</v>
      </c>
      <c r="C399" s="50" t="s">
        <v>47</v>
      </c>
      <c r="D399" s="50" t="s">
        <v>40</v>
      </c>
    </row>
    <row r="400" spans="2:4" ht="30" customHeight="1" x14ac:dyDescent="0.3">
      <c r="B400" s="50" t="s">
        <v>292</v>
      </c>
      <c r="C400" s="60" t="s">
        <v>53</v>
      </c>
      <c r="D400" s="60" t="s">
        <v>32</v>
      </c>
    </row>
    <row r="401" spans="2:4" ht="30" customHeight="1" x14ac:dyDescent="0.3">
      <c r="B401" s="50" t="s">
        <v>292</v>
      </c>
      <c r="C401" s="60" t="s">
        <v>30</v>
      </c>
      <c r="D401" s="60" t="s">
        <v>23</v>
      </c>
    </row>
    <row r="402" spans="2:4" ht="30" customHeight="1" x14ac:dyDescent="0.3">
      <c r="B402" s="50" t="s">
        <v>292</v>
      </c>
      <c r="C402" s="60" t="s">
        <v>53</v>
      </c>
      <c r="D402" s="60" t="s">
        <v>26</v>
      </c>
    </row>
    <row r="403" spans="2:4" ht="30" customHeight="1" x14ac:dyDescent="0.3">
      <c r="B403" s="50" t="s">
        <v>292</v>
      </c>
      <c r="C403" s="60" t="s">
        <v>30</v>
      </c>
      <c r="D403" s="60" t="s">
        <v>90</v>
      </c>
    </row>
    <row r="404" spans="2:4" ht="30" customHeight="1" x14ac:dyDescent="0.3">
      <c r="B404" s="50" t="s">
        <v>293</v>
      </c>
      <c r="C404" s="60" t="s">
        <v>50</v>
      </c>
      <c r="D404" s="60" t="s">
        <v>32</v>
      </c>
    </row>
    <row r="405" spans="2:4" ht="30" customHeight="1" x14ac:dyDescent="0.3">
      <c r="B405" s="50" t="s">
        <v>293</v>
      </c>
      <c r="C405" s="60" t="s">
        <v>48</v>
      </c>
      <c r="D405" s="60" t="s">
        <v>33</v>
      </c>
    </row>
    <row r="406" spans="2:4" ht="30" customHeight="1" x14ac:dyDescent="0.3">
      <c r="B406" s="50" t="s">
        <v>293</v>
      </c>
      <c r="C406" s="60" t="s">
        <v>50</v>
      </c>
      <c r="D406" s="60" t="s">
        <v>26</v>
      </c>
    </row>
    <row r="407" spans="2:4" ht="30" customHeight="1" x14ac:dyDescent="0.3">
      <c r="B407" s="50" t="s">
        <v>293</v>
      </c>
      <c r="C407" s="60" t="s">
        <v>48</v>
      </c>
      <c r="D407" s="60" t="s">
        <v>19</v>
      </c>
    </row>
    <row r="408" spans="2:4" ht="30" customHeight="1" x14ac:dyDescent="0.3">
      <c r="B408" s="50" t="s">
        <v>294</v>
      </c>
      <c r="C408" s="60" t="s">
        <v>11</v>
      </c>
      <c r="D408" s="60" t="s">
        <v>40</v>
      </c>
    </row>
    <row r="409" spans="2:4" ht="30" customHeight="1" x14ac:dyDescent="0.3">
      <c r="B409" s="50" t="s">
        <v>294</v>
      </c>
      <c r="C409" s="60" t="s">
        <v>29</v>
      </c>
      <c r="D409" s="60" t="s">
        <v>23</v>
      </c>
    </row>
    <row r="410" spans="2:4" ht="30" customHeight="1" x14ac:dyDescent="0.3">
      <c r="B410" s="50" t="s">
        <v>294</v>
      </c>
      <c r="C410" s="60" t="s">
        <v>11</v>
      </c>
      <c r="D410" s="60" t="s">
        <v>90</v>
      </c>
    </row>
    <row r="411" spans="2:4" ht="30" customHeight="1" x14ac:dyDescent="0.3">
      <c r="B411" s="50" t="s">
        <v>294</v>
      </c>
      <c r="C411" s="60" t="s">
        <v>29</v>
      </c>
      <c r="D411" s="60" t="s">
        <v>32</v>
      </c>
    </row>
    <row r="412" spans="2:4" ht="30" customHeight="1" x14ac:dyDescent="0.3">
      <c r="B412" s="50" t="s">
        <v>295</v>
      </c>
      <c r="C412" s="60" t="s">
        <v>51</v>
      </c>
      <c r="D412" s="60" t="s">
        <v>32</v>
      </c>
    </row>
    <row r="413" spans="2:4" ht="30" customHeight="1" x14ac:dyDescent="0.3">
      <c r="B413" s="50" t="s">
        <v>295</v>
      </c>
      <c r="C413" s="60" t="s">
        <v>49</v>
      </c>
      <c r="D413" s="60" t="s">
        <v>33</v>
      </c>
    </row>
    <row r="414" spans="2:4" ht="30" customHeight="1" x14ac:dyDescent="0.3">
      <c r="B414" s="50" t="s">
        <v>295</v>
      </c>
      <c r="C414" s="60" t="s">
        <v>51</v>
      </c>
      <c r="D414" s="60" t="s">
        <v>90</v>
      </c>
    </row>
    <row r="415" spans="2:4" ht="30" customHeight="1" x14ac:dyDescent="0.3">
      <c r="B415" s="50" t="s">
        <v>295</v>
      </c>
      <c r="C415" s="60" t="s">
        <v>49</v>
      </c>
      <c r="D415" s="60" t="s">
        <v>40</v>
      </c>
    </row>
    <row r="416" spans="2:4" ht="30" customHeight="1" x14ac:dyDescent="0.3">
      <c r="B416" s="50" t="s">
        <v>296</v>
      </c>
      <c r="C416" s="60" t="s">
        <v>13</v>
      </c>
      <c r="D416" s="60" t="s">
        <v>23</v>
      </c>
    </row>
    <row r="417" spans="2:4" ht="30" customHeight="1" x14ac:dyDescent="0.3">
      <c r="B417" s="50" t="s">
        <v>296</v>
      </c>
      <c r="C417" s="60" t="s">
        <v>52</v>
      </c>
      <c r="D417" s="60" t="s">
        <v>40</v>
      </c>
    </row>
    <row r="418" spans="2:4" ht="30" customHeight="1" x14ac:dyDescent="0.3">
      <c r="B418" s="50" t="s">
        <v>296</v>
      </c>
      <c r="C418" s="60" t="s">
        <v>13</v>
      </c>
      <c r="D418" s="60" t="s">
        <v>90</v>
      </c>
    </row>
    <row r="419" spans="2:4" ht="30" customHeight="1" x14ac:dyDescent="0.3">
      <c r="B419" s="50" t="s">
        <v>296</v>
      </c>
      <c r="C419" s="60" t="s">
        <v>52</v>
      </c>
      <c r="D419" s="60" t="s">
        <v>19</v>
      </c>
    </row>
    <row r="420" spans="2:4" ht="30" customHeight="1" x14ac:dyDescent="0.3">
      <c r="B420" s="60" t="s">
        <v>298</v>
      </c>
      <c r="C420" s="60" t="s">
        <v>101</v>
      </c>
      <c r="D420" s="60" t="s">
        <v>23</v>
      </c>
    </row>
    <row r="421" spans="2:4" ht="30" customHeight="1" x14ac:dyDescent="0.3">
      <c r="B421" s="60" t="s">
        <v>298</v>
      </c>
      <c r="C421" s="60" t="s">
        <v>54</v>
      </c>
      <c r="D421" s="60" t="s">
        <v>33</v>
      </c>
    </row>
    <row r="422" spans="2:4" ht="30" customHeight="1" x14ac:dyDescent="0.3">
      <c r="B422" s="60" t="s">
        <v>298</v>
      </c>
      <c r="C422" s="60" t="s">
        <v>101</v>
      </c>
      <c r="D422" s="60" t="s">
        <v>26</v>
      </c>
    </row>
    <row r="423" spans="2:4" ht="30" customHeight="1" x14ac:dyDescent="0.3">
      <c r="B423" s="60" t="s">
        <v>298</v>
      </c>
      <c r="C423" s="60" t="s">
        <v>54</v>
      </c>
      <c r="D423" s="60" t="s">
        <v>40</v>
      </c>
    </row>
    <row r="424" spans="2:4" ht="30" customHeight="1" x14ac:dyDescent="0.3">
      <c r="B424" s="60" t="s">
        <v>299</v>
      </c>
      <c r="C424" s="60" t="s">
        <v>86</v>
      </c>
      <c r="D424" s="60" t="s">
        <v>23</v>
      </c>
    </row>
    <row r="425" spans="2:4" ht="30" customHeight="1" x14ac:dyDescent="0.3">
      <c r="B425" s="60" t="s">
        <v>299</v>
      </c>
      <c r="C425" s="60" t="s">
        <v>6</v>
      </c>
      <c r="D425" s="60" t="s">
        <v>40</v>
      </c>
    </row>
    <row r="426" spans="2:4" ht="30" customHeight="1" x14ac:dyDescent="0.3">
      <c r="B426" s="60" t="s">
        <v>299</v>
      </c>
      <c r="C426" s="60" t="s">
        <v>86</v>
      </c>
      <c r="D426" s="60" t="s">
        <v>26</v>
      </c>
    </row>
    <row r="427" spans="2:4" ht="30" customHeight="1" x14ac:dyDescent="0.3">
      <c r="B427" s="60" t="s">
        <v>299</v>
      </c>
      <c r="C427" s="60" t="s">
        <v>6</v>
      </c>
      <c r="D427" s="60" t="s">
        <v>90</v>
      </c>
    </row>
    <row r="428" spans="2:4" ht="30" customHeight="1" x14ac:dyDescent="0.3">
      <c r="B428" s="60" t="s">
        <v>300</v>
      </c>
      <c r="C428" s="60" t="s">
        <v>50</v>
      </c>
      <c r="D428" s="60" t="s">
        <v>26</v>
      </c>
    </row>
    <row r="429" spans="2:4" ht="30" customHeight="1" x14ac:dyDescent="0.3">
      <c r="B429" s="60" t="s">
        <v>300</v>
      </c>
      <c r="C429" s="60" t="s">
        <v>14</v>
      </c>
      <c r="D429" s="60" t="s">
        <v>32</v>
      </c>
    </row>
    <row r="430" spans="2:4" ht="30" customHeight="1" x14ac:dyDescent="0.3">
      <c r="B430" s="60" t="s">
        <v>300</v>
      </c>
      <c r="C430" s="60" t="s">
        <v>50</v>
      </c>
      <c r="D430" s="60" t="s">
        <v>23</v>
      </c>
    </row>
    <row r="431" spans="2:4" ht="30" customHeight="1" x14ac:dyDescent="0.3">
      <c r="B431" s="60" t="s">
        <v>300</v>
      </c>
      <c r="C431" s="60" t="s">
        <v>14</v>
      </c>
      <c r="D431" s="60" t="s">
        <v>40</v>
      </c>
    </row>
    <row r="432" spans="2:4" ht="30" customHeight="1" x14ac:dyDescent="0.3">
      <c r="B432" s="60" t="s">
        <v>301</v>
      </c>
      <c r="C432" s="60" t="s">
        <v>53</v>
      </c>
      <c r="D432" s="60" t="s">
        <v>32</v>
      </c>
    </row>
    <row r="433" spans="2:4" ht="30" customHeight="1" x14ac:dyDescent="0.3">
      <c r="B433" s="60" t="s">
        <v>301</v>
      </c>
      <c r="C433" s="60" t="s">
        <v>29</v>
      </c>
      <c r="D433" s="60" t="s">
        <v>90</v>
      </c>
    </row>
    <row r="434" spans="2:4" ht="30" customHeight="1" x14ac:dyDescent="0.3">
      <c r="B434" s="60" t="s">
        <v>301</v>
      </c>
      <c r="C434" s="60" t="s">
        <v>53</v>
      </c>
      <c r="D434" s="60" t="s">
        <v>23</v>
      </c>
    </row>
    <row r="435" spans="2:4" ht="30" customHeight="1" x14ac:dyDescent="0.3">
      <c r="B435" s="60" t="s">
        <v>301</v>
      </c>
      <c r="C435" s="60" t="s">
        <v>29</v>
      </c>
      <c r="D435" s="60" t="s">
        <v>33</v>
      </c>
    </row>
    <row r="436" spans="2:4" ht="30" customHeight="1" x14ac:dyDescent="0.3">
      <c r="B436" s="60" t="s">
        <v>302</v>
      </c>
      <c r="C436" s="60" t="s">
        <v>31</v>
      </c>
      <c r="D436" s="60" t="s">
        <v>90</v>
      </c>
    </row>
    <row r="437" spans="2:4" ht="30" customHeight="1" x14ac:dyDescent="0.3">
      <c r="B437" s="60" t="s">
        <v>302</v>
      </c>
      <c r="C437" s="60" t="s">
        <v>49</v>
      </c>
      <c r="D437" s="60" t="s">
        <v>33</v>
      </c>
    </row>
    <row r="438" spans="2:4" ht="30" customHeight="1" x14ac:dyDescent="0.3">
      <c r="B438" s="60" t="s">
        <v>302</v>
      </c>
      <c r="C438" s="60" t="s">
        <v>31</v>
      </c>
      <c r="D438" s="60" t="s">
        <v>26</v>
      </c>
    </row>
    <row r="439" spans="2:4" ht="30" customHeight="1" x14ac:dyDescent="0.3">
      <c r="B439" s="60" t="s">
        <v>302</v>
      </c>
      <c r="C439" s="60" t="s">
        <v>49</v>
      </c>
      <c r="D439" s="60" t="s">
        <v>19</v>
      </c>
    </row>
    <row r="440" spans="2:4" ht="30" customHeight="1" x14ac:dyDescent="0.3">
      <c r="B440" s="60" t="s">
        <v>303</v>
      </c>
      <c r="C440" s="60" t="s">
        <v>42</v>
      </c>
      <c r="D440" s="60" t="s">
        <v>23</v>
      </c>
    </row>
    <row r="441" spans="2:4" ht="30" customHeight="1" x14ac:dyDescent="0.3">
      <c r="B441" s="60" t="s">
        <v>303</v>
      </c>
      <c r="C441" s="60" t="s">
        <v>47</v>
      </c>
      <c r="D441" s="60" t="s">
        <v>33</v>
      </c>
    </row>
    <row r="442" spans="2:4" ht="30" customHeight="1" x14ac:dyDescent="0.3">
      <c r="B442" s="60" t="s">
        <v>303</v>
      </c>
      <c r="C442" s="60" t="s">
        <v>42</v>
      </c>
      <c r="D442" s="60" t="s">
        <v>40</v>
      </c>
    </row>
    <row r="443" spans="2:4" ht="30" customHeight="1" x14ac:dyDescent="0.3">
      <c r="B443" s="60" t="s">
        <v>303</v>
      </c>
      <c r="C443" s="60" t="s">
        <v>47</v>
      </c>
      <c r="D443" s="60" t="s">
        <v>26</v>
      </c>
    </row>
    <row r="444" spans="2:4" ht="30" customHeight="1" x14ac:dyDescent="0.3">
      <c r="B444" s="74" t="s">
        <v>324</v>
      </c>
      <c r="C444" s="74" t="s">
        <v>86</v>
      </c>
      <c r="D444" s="74" t="s">
        <v>32</v>
      </c>
    </row>
    <row r="445" spans="2:4" ht="30" customHeight="1" x14ac:dyDescent="0.3">
      <c r="B445" s="74" t="s">
        <v>324</v>
      </c>
      <c r="C445" s="74" t="s">
        <v>42</v>
      </c>
      <c r="D445" s="74" t="s">
        <v>177</v>
      </c>
    </row>
    <row r="446" spans="2:4" ht="30" customHeight="1" x14ac:dyDescent="0.3">
      <c r="B446" s="74" t="s">
        <v>324</v>
      </c>
      <c r="C446" s="74" t="s">
        <v>86</v>
      </c>
      <c r="D446" s="74" t="s">
        <v>178</v>
      </c>
    </row>
    <row r="447" spans="2:4" ht="30" customHeight="1" x14ac:dyDescent="0.3">
      <c r="B447" s="74" t="s">
        <v>324</v>
      </c>
      <c r="C447" s="74" t="s">
        <v>42</v>
      </c>
      <c r="D447" s="74" t="s">
        <v>23</v>
      </c>
    </row>
    <row r="448" spans="2:4" ht="30" customHeight="1" x14ac:dyDescent="0.3">
      <c r="B448" s="74" t="s">
        <v>325</v>
      </c>
      <c r="C448" s="74" t="s">
        <v>199</v>
      </c>
      <c r="D448" s="74" t="s">
        <v>32</v>
      </c>
    </row>
    <row r="449" spans="2:4" ht="30" customHeight="1" x14ac:dyDescent="0.3">
      <c r="B449" s="74" t="s">
        <v>325</v>
      </c>
      <c r="C449" s="74" t="s">
        <v>13</v>
      </c>
      <c r="D449" s="74" t="s">
        <v>26</v>
      </c>
    </row>
    <row r="450" spans="2:4" ht="30" customHeight="1" x14ac:dyDescent="0.3">
      <c r="B450" s="74" t="s">
        <v>325</v>
      </c>
      <c r="C450" s="74" t="s">
        <v>199</v>
      </c>
      <c r="D450" s="74" t="s">
        <v>177</v>
      </c>
    </row>
    <row r="451" spans="2:4" ht="30" customHeight="1" x14ac:dyDescent="0.3">
      <c r="B451" s="74" t="s">
        <v>325</v>
      </c>
      <c r="C451" s="74" t="s">
        <v>13</v>
      </c>
      <c r="D451" s="74" t="s">
        <v>23</v>
      </c>
    </row>
    <row r="452" spans="2:4" ht="30" customHeight="1" x14ac:dyDescent="0.3">
      <c r="B452" s="74" t="s">
        <v>326</v>
      </c>
      <c r="C452" s="74" t="s">
        <v>6</v>
      </c>
      <c r="D452" s="74" t="s">
        <v>40</v>
      </c>
    </row>
    <row r="453" spans="2:4" ht="30" customHeight="1" x14ac:dyDescent="0.3">
      <c r="B453" s="74" t="s">
        <v>326</v>
      </c>
      <c r="C453" s="74" t="s">
        <v>47</v>
      </c>
      <c r="D453" s="74" t="s">
        <v>23</v>
      </c>
    </row>
    <row r="454" spans="2:4" ht="30" customHeight="1" x14ac:dyDescent="0.3">
      <c r="B454" s="74" t="s">
        <v>326</v>
      </c>
      <c r="C454" s="74" t="s">
        <v>6</v>
      </c>
      <c r="D454" s="74" t="s">
        <v>26</v>
      </c>
    </row>
    <row r="455" spans="2:4" ht="30" customHeight="1" x14ac:dyDescent="0.3">
      <c r="B455" s="74" t="s">
        <v>326</v>
      </c>
      <c r="C455" s="74" t="s">
        <v>47</v>
      </c>
      <c r="D455" s="74" t="s">
        <v>177</v>
      </c>
    </row>
    <row r="456" spans="2:4" ht="30" customHeight="1" x14ac:dyDescent="0.3">
      <c r="B456" s="74" t="s">
        <v>327</v>
      </c>
      <c r="C456" s="74" t="s">
        <v>11</v>
      </c>
      <c r="D456" s="74" t="s">
        <v>177</v>
      </c>
    </row>
    <row r="457" spans="2:4" ht="30" customHeight="1" x14ac:dyDescent="0.3">
      <c r="B457" s="74" t="s">
        <v>327</v>
      </c>
      <c r="C457" s="74" t="s">
        <v>5</v>
      </c>
      <c r="D457" s="74" t="s">
        <v>23</v>
      </c>
    </row>
    <row r="458" spans="2:4" ht="30" customHeight="1" x14ac:dyDescent="0.3">
      <c r="B458" s="74" t="s">
        <v>327</v>
      </c>
      <c r="C458" s="74" t="s">
        <v>11</v>
      </c>
      <c r="D458" s="74" t="s">
        <v>40</v>
      </c>
    </row>
    <row r="459" spans="2:4" ht="30" customHeight="1" x14ac:dyDescent="0.3">
      <c r="B459" s="74" t="s">
        <v>327</v>
      </c>
      <c r="C459" s="74" t="s">
        <v>5</v>
      </c>
      <c r="D459" s="74" t="s">
        <v>26</v>
      </c>
    </row>
    <row r="460" spans="2:4" ht="30" customHeight="1" x14ac:dyDescent="0.3">
      <c r="B460" s="74" t="s">
        <v>328</v>
      </c>
      <c r="C460" s="74" t="s">
        <v>30</v>
      </c>
      <c r="D460" s="74" t="s">
        <v>40</v>
      </c>
    </row>
    <row r="461" spans="2:4" ht="30" customHeight="1" x14ac:dyDescent="0.3">
      <c r="B461" s="74" t="s">
        <v>328</v>
      </c>
      <c r="C461" s="74" t="s">
        <v>53</v>
      </c>
      <c r="D461" s="74" t="s">
        <v>32</v>
      </c>
    </row>
    <row r="462" spans="2:4" ht="30" customHeight="1" x14ac:dyDescent="0.3">
      <c r="B462" s="74" t="s">
        <v>328</v>
      </c>
      <c r="C462" s="74" t="s">
        <v>30</v>
      </c>
      <c r="D462" s="74" t="s">
        <v>177</v>
      </c>
    </row>
    <row r="463" spans="2:4" ht="30" customHeight="1" x14ac:dyDescent="0.3">
      <c r="B463" s="74" t="s">
        <v>328</v>
      </c>
      <c r="C463" s="74" t="s">
        <v>53</v>
      </c>
      <c r="D463" s="74" t="s">
        <v>19</v>
      </c>
    </row>
    <row r="464" spans="2:4" ht="30" customHeight="1" x14ac:dyDescent="0.3">
      <c r="B464" s="74" t="s">
        <v>329</v>
      </c>
      <c r="C464" s="74" t="s">
        <v>54</v>
      </c>
      <c r="D464" s="74" t="s">
        <v>32</v>
      </c>
    </row>
    <row r="465" spans="2:4" ht="30" customHeight="1" x14ac:dyDescent="0.3">
      <c r="B465" s="74" t="s">
        <v>329</v>
      </c>
      <c r="C465" s="74" t="s">
        <v>14</v>
      </c>
      <c r="D465" s="74" t="s">
        <v>19</v>
      </c>
    </row>
    <row r="466" spans="2:4" ht="30" customHeight="1" x14ac:dyDescent="0.3">
      <c r="B466" s="74" t="s">
        <v>329</v>
      </c>
      <c r="C466" s="74" t="s">
        <v>54</v>
      </c>
      <c r="D466" s="74" t="s">
        <v>177</v>
      </c>
    </row>
    <row r="467" spans="2:4" ht="30" customHeight="1" x14ac:dyDescent="0.3">
      <c r="B467" s="74" t="s">
        <v>329</v>
      </c>
      <c r="C467" s="74" t="s">
        <v>14</v>
      </c>
      <c r="D467" s="74" t="s">
        <v>26</v>
      </c>
    </row>
    <row r="468" spans="2:4" ht="30" customHeight="1" x14ac:dyDescent="0.3">
      <c r="B468" s="83" t="s">
        <v>331</v>
      </c>
      <c r="C468" s="83" t="s">
        <v>13</v>
      </c>
      <c r="D468" s="83" t="s">
        <v>23</v>
      </c>
    </row>
    <row r="469" spans="2:4" ht="30" customHeight="1" x14ac:dyDescent="0.3">
      <c r="B469" s="83" t="s">
        <v>331</v>
      </c>
      <c r="C469" s="83" t="s">
        <v>54</v>
      </c>
      <c r="D469" s="83" t="s">
        <v>32</v>
      </c>
    </row>
    <row r="470" spans="2:4" ht="30" customHeight="1" x14ac:dyDescent="0.3">
      <c r="B470" s="83" t="s">
        <v>331</v>
      </c>
      <c r="C470" s="83" t="s">
        <v>13</v>
      </c>
      <c r="D470" s="83" t="s">
        <v>90</v>
      </c>
    </row>
    <row r="471" spans="2:4" ht="30" customHeight="1" x14ac:dyDescent="0.3">
      <c r="B471" s="83" t="s">
        <v>331</v>
      </c>
      <c r="C471" s="83" t="s">
        <v>54</v>
      </c>
      <c r="D471" s="83" t="s">
        <v>40</v>
      </c>
    </row>
    <row r="472" spans="2:4" ht="30" customHeight="1" x14ac:dyDescent="0.3">
      <c r="B472" s="83" t="s">
        <v>332</v>
      </c>
      <c r="C472" s="83" t="s">
        <v>5</v>
      </c>
      <c r="D472" s="83" t="s">
        <v>33</v>
      </c>
    </row>
    <row r="473" spans="2:4" ht="30" customHeight="1" x14ac:dyDescent="0.3">
      <c r="B473" s="83" t="s">
        <v>332</v>
      </c>
      <c r="C473" s="83" t="s">
        <v>12</v>
      </c>
      <c r="D473" s="83" t="s">
        <v>32</v>
      </c>
    </row>
    <row r="474" spans="2:4" ht="30" customHeight="1" x14ac:dyDescent="0.3">
      <c r="B474" s="83" t="s">
        <v>332</v>
      </c>
      <c r="C474" s="83" t="s">
        <v>5</v>
      </c>
      <c r="D474" s="83" t="s">
        <v>90</v>
      </c>
    </row>
    <row r="475" spans="2:4" ht="30" customHeight="1" x14ac:dyDescent="0.3">
      <c r="B475" s="83" t="s">
        <v>332</v>
      </c>
      <c r="C475" s="83" t="s">
        <v>12</v>
      </c>
      <c r="D475" s="83" t="s">
        <v>40</v>
      </c>
    </row>
    <row r="476" spans="2:4" ht="30" customHeight="1" x14ac:dyDescent="0.3">
      <c r="B476" s="83" t="s">
        <v>333</v>
      </c>
      <c r="C476" s="83" t="s">
        <v>101</v>
      </c>
      <c r="D476" s="83" t="s">
        <v>33</v>
      </c>
    </row>
    <row r="477" spans="2:4" ht="30" customHeight="1" x14ac:dyDescent="0.3">
      <c r="B477" s="83" t="s">
        <v>333</v>
      </c>
      <c r="C477" s="83" t="s">
        <v>50</v>
      </c>
      <c r="D477" s="83" t="s">
        <v>32</v>
      </c>
    </row>
    <row r="478" spans="2:4" ht="30" customHeight="1" x14ac:dyDescent="0.3">
      <c r="B478" s="83" t="s">
        <v>333</v>
      </c>
      <c r="C478" s="83" t="s">
        <v>101</v>
      </c>
      <c r="D478" s="83" t="s">
        <v>19</v>
      </c>
    </row>
    <row r="479" spans="2:4" ht="30" customHeight="1" x14ac:dyDescent="0.3">
      <c r="B479" s="83" t="s">
        <v>333</v>
      </c>
      <c r="C479" s="83" t="s">
        <v>50</v>
      </c>
      <c r="D479" s="83" t="s">
        <v>23</v>
      </c>
    </row>
    <row r="480" spans="2:4" ht="30" customHeight="1" x14ac:dyDescent="0.3">
      <c r="B480" s="83" t="s">
        <v>334</v>
      </c>
      <c r="C480" s="83" t="s">
        <v>6</v>
      </c>
      <c r="D480" s="83" t="s">
        <v>40</v>
      </c>
    </row>
    <row r="481" spans="2:4" ht="30" customHeight="1" x14ac:dyDescent="0.3">
      <c r="B481" s="83" t="s">
        <v>334</v>
      </c>
      <c r="C481" s="83" t="s">
        <v>30</v>
      </c>
      <c r="D481" s="83" t="s">
        <v>23</v>
      </c>
    </row>
    <row r="482" spans="2:4" ht="30" customHeight="1" x14ac:dyDescent="0.3">
      <c r="B482" s="83" t="s">
        <v>334</v>
      </c>
      <c r="C482" s="83" t="s">
        <v>6</v>
      </c>
      <c r="D482" s="83" t="s">
        <v>26</v>
      </c>
    </row>
    <row r="483" spans="2:4" ht="30" customHeight="1" x14ac:dyDescent="0.3">
      <c r="B483" s="83" t="s">
        <v>334</v>
      </c>
      <c r="C483" s="83" t="s">
        <v>30</v>
      </c>
      <c r="D483" s="83" t="s">
        <v>33</v>
      </c>
    </row>
    <row r="484" spans="2:4" ht="30" customHeight="1" x14ac:dyDescent="0.3">
      <c r="B484" s="83" t="s">
        <v>335</v>
      </c>
      <c r="C484" s="83" t="s">
        <v>14</v>
      </c>
      <c r="D484" s="83" t="s">
        <v>26</v>
      </c>
    </row>
    <row r="485" spans="2:4" ht="30" customHeight="1" x14ac:dyDescent="0.3">
      <c r="B485" s="83" t="s">
        <v>335</v>
      </c>
      <c r="C485" s="83" t="s">
        <v>51</v>
      </c>
      <c r="D485" s="83" t="s">
        <v>32</v>
      </c>
    </row>
    <row r="486" spans="2:4" ht="30" customHeight="1" x14ac:dyDescent="0.3">
      <c r="B486" s="83" t="s">
        <v>335</v>
      </c>
      <c r="C486" s="83" t="s">
        <v>14</v>
      </c>
      <c r="D486" s="83" t="s">
        <v>40</v>
      </c>
    </row>
    <row r="487" spans="2:4" ht="30" customHeight="1" x14ac:dyDescent="0.3">
      <c r="B487" s="83" t="s">
        <v>335</v>
      </c>
      <c r="C487" s="83" t="s">
        <v>51</v>
      </c>
      <c r="D487" s="83" t="s">
        <v>33</v>
      </c>
    </row>
    <row r="488" spans="2:4" ht="30" customHeight="1" x14ac:dyDescent="0.3">
      <c r="B488" s="83" t="s">
        <v>336</v>
      </c>
      <c r="C488" s="83" t="s">
        <v>52</v>
      </c>
      <c r="D488" s="83" t="s">
        <v>40</v>
      </c>
    </row>
    <row r="489" spans="2:4" ht="30" customHeight="1" x14ac:dyDescent="0.3">
      <c r="B489" s="83" t="s">
        <v>336</v>
      </c>
      <c r="C489" s="83" t="s">
        <v>31</v>
      </c>
      <c r="D489" s="83" t="s">
        <v>90</v>
      </c>
    </row>
    <row r="490" spans="2:4" ht="30" customHeight="1" x14ac:dyDescent="0.3">
      <c r="B490" s="83" t="s">
        <v>336</v>
      </c>
      <c r="C490" s="83" t="s">
        <v>52</v>
      </c>
      <c r="D490" s="83" t="s">
        <v>33</v>
      </c>
    </row>
    <row r="491" spans="2:4" ht="30" customHeight="1" x14ac:dyDescent="0.3">
      <c r="B491" s="83" t="s">
        <v>336</v>
      </c>
      <c r="C491" s="83" t="s">
        <v>31</v>
      </c>
      <c r="D491" s="83" t="s">
        <v>26</v>
      </c>
    </row>
    <row r="492" spans="2:4" ht="30" customHeight="1" x14ac:dyDescent="0.3">
      <c r="B492" s="127" t="s">
        <v>385</v>
      </c>
      <c r="C492" s="127" t="s">
        <v>29</v>
      </c>
      <c r="D492" s="127" t="s">
        <v>90</v>
      </c>
    </row>
    <row r="493" spans="2:4" ht="30" customHeight="1" x14ac:dyDescent="0.3">
      <c r="B493" s="127" t="s">
        <v>385</v>
      </c>
      <c r="C493" s="127" t="s">
        <v>42</v>
      </c>
      <c r="D493" s="127" t="s">
        <v>23</v>
      </c>
    </row>
    <row r="494" spans="2:4" ht="30" customHeight="1" x14ac:dyDescent="0.3">
      <c r="B494" s="127" t="s">
        <v>385</v>
      </c>
      <c r="C494" s="127" t="s">
        <v>29</v>
      </c>
      <c r="D494" s="127" t="s">
        <v>32</v>
      </c>
    </row>
    <row r="495" spans="2:4" ht="30" customHeight="1" x14ac:dyDescent="0.3">
      <c r="B495" s="127" t="s">
        <v>385</v>
      </c>
      <c r="C495" s="127" t="s">
        <v>42</v>
      </c>
      <c r="D495" s="127" t="s">
        <v>19</v>
      </c>
    </row>
    <row r="496" spans="2:4" ht="30" customHeight="1" x14ac:dyDescent="0.3">
      <c r="B496" s="127" t="s">
        <v>379</v>
      </c>
      <c r="C496" s="127" t="s">
        <v>50</v>
      </c>
      <c r="D496" s="127" t="s">
        <v>19</v>
      </c>
    </row>
    <row r="497" spans="2:4" ht="30" customHeight="1" x14ac:dyDescent="0.3">
      <c r="B497" s="127" t="s">
        <v>379</v>
      </c>
      <c r="C497" s="127" t="s">
        <v>31</v>
      </c>
      <c r="D497" s="127" t="s">
        <v>33</v>
      </c>
    </row>
    <row r="498" spans="2:4" ht="30" customHeight="1" x14ac:dyDescent="0.3">
      <c r="B498" s="127" t="s">
        <v>379</v>
      </c>
      <c r="C498" s="127" t="s">
        <v>50</v>
      </c>
      <c r="D498" s="127" t="s">
        <v>40</v>
      </c>
    </row>
    <row r="499" spans="2:4" ht="30" customHeight="1" x14ac:dyDescent="0.3">
      <c r="B499" s="127" t="s">
        <v>379</v>
      </c>
      <c r="C499" s="127" t="s">
        <v>31</v>
      </c>
      <c r="D499" s="127" t="s">
        <v>32</v>
      </c>
    </row>
    <row r="500" spans="2:4" ht="30" customHeight="1" x14ac:dyDescent="0.3">
      <c r="B500" s="127" t="s">
        <v>380</v>
      </c>
      <c r="C500" s="127" t="s">
        <v>6</v>
      </c>
      <c r="D500" s="127" t="s">
        <v>33</v>
      </c>
    </row>
    <row r="501" spans="2:4" ht="30" customHeight="1" x14ac:dyDescent="0.3">
      <c r="B501" s="127" t="s">
        <v>380</v>
      </c>
      <c r="C501" s="127" t="s">
        <v>206</v>
      </c>
      <c r="D501" s="127" t="s">
        <v>19</v>
      </c>
    </row>
    <row r="502" spans="2:4" ht="30" customHeight="1" x14ac:dyDescent="0.3">
      <c r="B502" s="127" t="s">
        <v>380</v>
      </c>
      <c r="C502" s="127" t="s">
        <v>6</v>
      </c>
      <c r="D502" s="127" t="s">
        <v>40</v>
      </c>
    </row>
    <row r="503" spans="2:4" ht="30" customHeight="1" x14ac:dyDescent="0.3">
      <c r="B503" s="127" t="s">
        <v>380</v>
      </c>
      <c r="C503" s="127" t="s">
        <v>206</v>
      </c>
      <c r="D503" s="127" t="s">
        <v>32</v>
      </c>
    </row>
    <row r="504" spans="2:4" ht="30" customHeight="1" x14ac:dyDescent="0.3">
      <c r="B504" s="127" t="s">
        <v>381</v>
      </c>
      <c r="C504" s="127" t="s">
        <v>13</v>
      </c>
      <c r="D504" s="127" t="s">
        <v>33</v>
      </c>
    </row>
    <row r="505" spans="2:4" ht="30" customHeight="1" x14ac:dyDescent="0.3">
      <c r="B505" s="127" t="s">
        <v>381</v>
      </c>
      <c r="C505" s="127" t="s">
        <v>101</v>
      </c>
      <c r="D505" s="127" t="s">
        <v>19</v>
      </c>
    </row>
    <row r="506" spans="2:4" ht="30" customHeight="1" x14ac:dyDescent="0.3">
      <c r="B506" s="127" t="s">
        <v>381</v>
      </c>
      <c r="C506" s="127" t="s">
        <v>13</v>
      </c>
      <c r="D506" s="127" t="s">
        <v>40</v>
      </c>
    </row>
    <row r="507" spans="2:4" ht="30" customHeight="1" x14ac:dyDescent="0.3">
      <c r="B507" s="127" t="s">
        <v>381</v>
      </c>
      <c r="C507" s="127" t="s">
        <v>101</v>
      </c>
      <c r="D507" s="127" t="s">
        <v>23</v>
      </c>
    </row>
    <row r="508" spans="2:4" ht="30" customHeight="1" x14ac:dyDescent="0.3">
      <c r="B508" s="127" t="s">
        <v>382</v>
      </c>
      <c r="C508" s="127" t="s">
        <v>30</v>
      </c>
      <c r="D508" s="127" t="s">
        <v>26</v>
      </c>
    </row>
    <row r="509" spans="2:4" ht="30" customHeight="1" x14ac:dyDescent="0.3">
      <c r="B509" s="127" t="s">
        <v>382</v>
      </c>
      <c r="C509" s="127" t="s">
        <v>42</v>
      </c>
      <c r="D509" s="127" t="s">
        <v>23</v>
      </c>
    </row>
    <row r="510" spans="2:4" ht="30" customHeight="1" x14ac:dyDescent="0.3">
      <c r="B510" s="127" t="s">
        <v>382</v>
      </c>
      <c r="C510" s="127" t="s">
        <v>30</v>
      </c>
      <c r="D510" s="127" t="s">
        <v>90</v>
      </c>
    </row>
    <row r="511" spans="2:4" ht="30" customHeight="1" x14ac:dyDescent="0.3">
      <c r="B511" s="127" t="s">
        <v>382</v>
      </c>
      <c r="C511" s="127" t="s">
        <v>42</v>
      </c>
      <c r="D511" s="127" t="s">
        <v>19</v>
      </c>
    </row>
    <row r="512" spans="2:4" ht="30" customHeight="1" x14ac:dyDescent="0.3">
      <c r="B512" s="127" t="s">
        <v>383</v>
      </c>
      <c r="C512" s="127"/>
      <c r="D512" s="127"/>
    </row>
    <row r="513" spans="2:4" ht="30" customHeight="1" x14ac:dyDescent="0.3">
      <c r="B513" s="127" t="s">
        <v>383</v>
      </c>
      <c r="C513" s="127"/>
      <c r="D513" s="127"/>
    </row>
    <row r="514" spans="2:4" ht="30" customHeight="1" x14ac:dyDescent="0.3">
      <c r="B514" s="127" t="s">
        <v>383</v>
      </c>
      <c r="C514" s="127"/>
      <c r="D514" s="127"/>
    </row>
    <row r="515" spans="2:4" ht="30" customHeight="1" x14ac:dyDescent="0.3">
      <c r="B515" s="127" t="s">
        <v>383</v>
      </c>
      <c r="C515" s="127"/>
      <c r="D515" s="127"/>
    </row>
    <row r="516" spans="2:4" ht="30" customHeight="1" x14ac:dyDescent="0.3">
      <c r="B516" s="127" t="s">
        <v>384</v>
      </c>
      <c r="C516" s="127"/>
      <c r="D516" s="127"/>
    </row>
    <row r="517" spans="2:4" ht="30" customHeight="1" x14ac:dyDescent="0.3">
      <c r="B517" s="127" t="s">
        <v>384</v>
      </c>
      <c r="C517" s="127"/>
      <c r="D517" s="127"/>
    </row>
    <row r="518" spans="2:4" ht="30" customHeight="1" x14ac:dyDescent="0.3">
      <c r="B518" s="127" t="s">
        <v>384</v>
      </c>
      <c r="C518" s="127"/>
      <c r="D518" s="127"/>
    </row>
    <row r="519" spans="2:4" ht="30" customHeight="1" x14ac:dyDescent="0.3">
      <c r="B519" s="127" t="s">
        <v>384</v>
      </c>
      <c r="C519" s="127"/>
      <c r="D519" s="12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E113-707F-49F4-92C8-5DD7FD880F64}">
  <dimension ref="B1:U139"/>
  <sheetViews>
    <sheetView showGridLines="0" zoomScale="75" zoomScaleNormal="75" workbookViewId="0">
      <selection activeCell="I102" sqref="I102"/>
    </sheetView>
  </sheetViews>
  <sheetFormatPr defaultColWidth="8.6640625" defaultRowHeight="30" customHeight="1" x14ac:dyDescent="0.3"/>
  <cols>
    <col min="1" max="1" width="0.88671875" style="6" customWidth="1"/>
    <col min="2" max="4" width="12.5546875" style="6" customWidth="1"/>
    <col min="5" max="5" width="13.5546875" style="6" customWidth="1"/>
    <col min="6" max="7" width="12.5546875" style="6" customWidth="1"/>
    <col min="8" max="8" width="12.5546875" style="10" customWidth="1"/>
    <col min="9" max="9" width="12.5546875" style="6" customWidth="1"/>
    <col min="10" max="12" width="12.5546875" style="8" customWidth="1"/>
    <col min="13" max="15" width="12.5546875" style="10" customWidth="1"/>
    <col min="16" max="17" width="12.6640625" style="6" customWidth="1"/>
    <col min="18" max="18" width="12.44140625" style="6" customWidth="1"/>
    <col min="19" max="19" width="9.109375" style="6" customWidth="1"/>
    <col min="20" max="16384" width="8.6640625" style="6"/>
  </cols>
  <sheetData>
    <row r="1" spans="2:20" ht="4.5" customHeight="1" x14ac:dyDescent="0.3"/>
    <row r="2" spans="2:20" ht="30" customHeight="1" x14ac:dyDescent="0.3">
      <c r="B2" s="21" t="s">
        <v>194</v>
      </c>
      <c r="I2" s="10"/>
      <c r="J2" s="10"/>
      <c r="K2" s="6"/>
      <c r="L2" s="10"/>
      <c r="P2" s="5"/>
      <c r="Q2" s="5"/>
      <c r="R2" s="10"/>
      <c r="S2" s="10"/>
    </row>
    <row r="3" spans="2:20" s="3" customFormat="1" ht="30" customHeight="1" x14ac:dyDescent="0.3">
      <c r="B3" s="1" t="s">
        <v>87</v>
      </c>
      <c r="C3" s="1" t="s">
        <v>61</v>
      </c>
      <c r="D3" s="3" t="s">
        <v>1</v>
      </c>
      <c r="E3" s="3" t="s">
        <v>2</v>
      </c>
      <c r="F3" s="3" t="s">
        <v>8</v>
      </c>
      <c r="G3" s="3" t="s">
        <v>9</v>
      </c>
      <c r="H3" s="3" t="s">
        <v>10</v>
      </c>
      <c r="I3" s="2" t="s">
        <v>0</v>
      </c>
      <c r="J3" s="2" t="s">
        <v>151</v>
      </c>
      <c r="K3" s="41" t="s">
        <v>289</v>
      </c>
      <c r="L3" s="3" t="s">
        <v>15</v>
      </c>
      <c r="M3" s="4" t="s">
        <v>20</v>
      </c>
      <c r="N3" s="2" t="s">
        <v>3</v>
      </c>
      <c r="O3" s="2" t="s">
        <v>4</v>
      </c>
      <c r="P3" s="2" t="s">
        <v>18</v>
      </c>
      <c r="Q3" s="2" t="s">
        <v>7</v>
      </c>
      <c r="R3" s="2" t="s">
        <v>196</v>
      </c>
      <c r="S3" s="3" t="s">
        <v>45</v>
      </c>
      <c r="T3" s="3" t="s">
        <v>46</v>
      </c>
    </row>
    <row r="4" spans="2:20" s="3" customFormat="1" ht="30" customHeight="1" x14ac:dyDescent="0.3">
      <c r="B4" s="14" t="s">
        <v>64</v>
      </c>
      <c r="C4" s="32" t="str">
        <f ca="1">VLOOKUP(tbBets[[#This Row],[Game title]],tbResults[],(MATCH(OFFSET(tbBets[#Headers],0,1),tbResults[#Headers],0)),0)</f>
        <v>2.2.05</v>
      </c>
      <c r="D4" s="11" t="str">
        <f ca="1">VLOOKUP(tbBets[[#This Row],[Game title]],tbResults[],(MATCH(OFFSET(tbBets[#Headers],0,1),tbResults[#Headers],0)),0)</f>
        <v>dooi</v>
      </c>
      <c r="E4" s="11" t="str">
        <f ca="1">VLOOKUP(tbBets[[#This Row],[Game title]],tbResults[],(MATCH(OFFSET(tbBets[#Headers],0,1),tbResults[#Headers],0)),0)</f>
        <v>Effortless</v>
      </c>
      <c r="F4" s="11" t="str">
        <f ca="1">VLOOKUP(tbBets[[#This Row],[Game title]],tbResults[],(MATCH(OFFSET(tbBets[#Headers],0,1),tbResults[#Headers],0)),0)</f>
        <v>Awoken</v>
      </c>
      <c r="G4" s="11" t="str">
        <f ca="1">VLOOKUP(tbBets[[#This Row],[Game title]],tbResults[],(MATCH(OFFSET(tbBets[#Headers],0,1),tbResults[#Headers],0)),0)</f>
        <v>Nyx</v>
      </c>
      <c r="H4" s="11" t="str">
        <f ca="1">VLOOKUP(tbBets[[#This Row],[Game title]],tbResults[],(MATCH(OFFSET(tbBets[#Headers],0,1),tbResults[#Headers],0)),0)</f>
        <v>Anarki</v>
      </c>
      <c r="I4" s="5">
        <v>15100</v>
      </c>
      <c r="J4" s="13">
        <f>tbBets[[#This Row],[Opening Balance]]*(1/25)</f>
        <v>604</v>
      </c>
      <c r="K4" s="13">
        <f>tbBets[[#This Row],[Opening Balance]]*(1/15)</f>
        <v>1006.6666666666666</v>
      </c>
      <c r="L4" s="7" t="s">
        <v>5</v>
      </c>
      <c r="M4" s="8">
        <v>500</v>
      </c>
      <c r="N4" s="9">
        <v>0.05</v>
      </c>
      <c r="O4" s="9">
        <v>0.95</v>
      </c>
      <c r="P4" s="12" t="str">
        <f ca="1">IF(tbBets[[#This Row],[Winner]]=tbBets[[#This Row],[My pick]],"Yes","No")</f>
        <v>Yes</v>
      </c>
      <c r="Q4" s="5">
        <v>9354</v>
      </c>
      <c r="R4" s="13">
        <f ca="1">SUMIF(tbBets[Week Title],tbBets[[#This Row],[Week Title]],tbBets[Payout])-SUMIF(tbBets[Week Title],tbBets[[#This Row],[Week Title]],tbBets[My bet])</f>
        <v>14485</v>
      </c>
      <c r="S4" s="11" t="str">
        <f ca="1">VLOOKUP(tbBets[[#This Row],[Game title]],tbResults[],(MATCH(OFFSET(tbBets[#Headers],0,1),tbResults[#Headers],0)),0)</f>
        <v>dooi</v>
      </c>
      <c r="T4" s="11" t="str">
        <f ca="1">VLOOKUP(tbBets[[#This Row],[Game title]],tbResults[],(MATCH(OFFSET(tbBets[#Headers],0,1),tbResults[#Headers],0)),0)</f>
        <v>Effortless</v>
      </c>
    </row>
    <row r="5" spans="2:20" s="3" customFormat="1" ht="30" customHeight="1" x14ac:dyDescent="0.3">
      <c r="B5" s="14" t="s">
        <v>65</v>
      </c>
      <c r="C5" s="20" t="str">
        <f ca="1">VLOOKUP(tbBets[[#This Row],[Game title]],tbResults[],(MATCH(OFFSET(tbBets[#Headers],0,1),tbResults[#Headers],0)),0)</f>
        <v>2.2.05</v>
      </c>
      <c r="D5" s="11" t="str">
        <f ca="1">VLOOKUP(tbBets[[#This Row],[Game title]],tbResults[],(MATCH(OFFSET(tbBets[#Headers],0,1),tbResults[#Headers],0)),0)</f>
        <v>Nosfa</v>
      </c>
      <c r="E5" s="11" t="str">
        <f ca="1">VLOOKUP(tbBets[[#This Row],[Game title]],tbResults[],(MATCH(OFFSET(tbBets[#Headers],0,1),tbResults[#Headers],0)),0)</f>
        <v>Dramis</v>
      </c>
      <c r="F5" s="11" t="str">
        <f ca="1">VLOOKUP(tbBets[[#This Row],[Game title]],tbResults[],(MATCH(OFFSET(tbBets[#Headers],0,1),tbResults[#Headers],0)),0)</f>
        <v>Awoken</v>
      </c>
      <c r="G5" s="11" t="str">
        <f ca="1">VLOOKUP(tbBets[[#This Row],[Game title]],tbResults[],(MATCH(OFFSET(tbBets[#Headers],0,1),tbResults[#Headers],0)),0)</f>
        <v>Ranger</v>
      </c>
      <c r="H5" s="11" t="str">
        <f ca="1">VLOOKUP(tbBets[[#This Row],[Game title]],tbResults[],(MATCH(OFFSET(tbBets[#Headers],0,1),tbResults[#Headers],0)),0)</f>
        <v>Strogg</v>
      </c>
      <c r="I5" s="5">
        <v>24500</v>
      </c>
      <c r="J5" s="13">
        <f>tbBets[[#This Row],[Opening Balance]]*(1/25)</f>
        <v>980</v>
      </c>
      <c r="K5" s="13">
        <f>tbBets[[#This Row],[Opening Balance]]*(1/15)</f>
        <v>1633.3333333333333</v>
      </c>
      <c r="L5" s="7" t="s">
        <v>11</v>
      </c>
      <c r="M5" s="8">
        <v>500</v>
      </c>
      <c r="N5" s="9">
        <v>0.45</v>
      </c>
      <c r="O5" s="9">
        <v>0.55000000000000004</v>
      </c>
      <c r="P5" s="12" t="str">
        <f ca="1">IF(tbBets[[#This Row],[Winner]]=tbBets[[#This Row],[My pick]],"Yes","No")</f>
        <v>Yes</v>
      </c>
      <c r="Q5" s="5">
        <v>1036</v>
      </c>
      <c r="R5" s="13">
        <f ca="1">SUMIF(tbBets[Week Title],tbBets[[#This Row],[Week Title]],tbBets[Payout])-SUMIF(tbBets[Week Title],tbBets[[#This Row],[Week Title]],tbBets[My bet])</f>
        <v>14485</v>
      </c>
      <c r="S5" s="11" t="str">
        <f ca="1">VLOOKUP(tbBets[[#This Row],[Game title]],tbResults[],(MATCH(OFFSET(tbBets[#Headers],0,1),tbResults[#Headers],0)),0)</f>
        <v>Nosfa</v>
      </c>
      <c r="T5" s="11" t="str">
        <f ca="1">VLOOKUP(tbBets[[#This Row],[Game title]],tbResults[],(MATCH(OFFSET(tbBets[#Headers],0,1),tbResults[#Headers],0)),0)</f>
        <v>Dramis</v>
      </c>
    </row>
    <row r="6" spans="2:20" s="3" customFormat="1" ht="30" customHeight="1" x14ac:dyDescent="0.3">
      <c r="B6" s="14" t="s">
        <v>66</v>
      </c>
      <c r="C6" s="20" t="str">
        <f ca="1">VLOOKUP(tbBets[[#This Row],[Game title]],tbResults[],(MATCH(OFFSET(tbBets[#Headers],0,1),tbResults[#Headers],0)),0)</f>
        <v>2.2.05</v>
      </c>
      <c r="D6" s="11" t="str">
        <f ca="1">VLOOKUP(tbBets[[#This Row],[Game title]],tbResults[],(MATCH(OFFSET(tbBets[#Headers],0,1),tbResults[#Headers],0)),0)</f>
        <v>Nosfa</v>
      </c>
      <c r="E6" s="11" t="str">
        <f ca="1">VLOOKUP(tbBets[[#This Row],[Game title]],tbResults[],(MATCH(OFFSET(tbBets[#Headers],0,1),tbResults[#Headers],0)),0)</f>
        <v>Dramis</v>
      </c>
      <c r="F6" s="11" t="str">
        <f ca="1">VLOOKUP(tbBets[[#This Row],[Game title]],tbResults[],(MATCH(OFFSET(tbBets[#Headers],0,1),tbResults[#Headers],0)),0)</f>
        <v>Molten Falls</v>
      </c>
      <c r="G6" s="11" t="str">
        <f ca="1">VLOOKUP(tbBets[[#This Row],[Game title]],tbResults[],(MATCH(OFFSET(tbBets[#Headers],0,1),tbResults[#Headers],0)),0)</f>
        <v>Sorlag</v>
      </c>
      <c r="H6" s="11" t="str">
        <f ca="1">VLOOKUP(tbBets[[#This Row],[Game title]],tbResults[],(MATCH(OFFSET(tbBets[#Headers],0,1),tbResults[#Headers],0)),0)</f>
        <v>Slash</v>
      </c>
      <c r="I6" s="5">
        <v>25586</v>
      </c>
      <c r="J6" s="13">
        <f>tbBets[[#This Row],[Opening Balance]]*(1/25)</f>
        <v>1023.44</v>
      </c>
      <c r="K6" s="13">
        <f>tbBets[[#This Row],[Opening Balance]]*(1/15)</f>
        <v>1705.7333333333333</v>
      </c>
      <c r="L6" s="7" t="s">
        <v>12</v>
      </c>
      <c r="M6" s="8">
        <v>500</v>
      </c>
      <c r="N6" s="9">
        <v>0.8</v>
      </c>
      <c r="O6" s="9">
        <v>0.2</v>
      </c>
      <c r="P6" s="12" t="str">
        <f ca="1">IF(tbBets[[#This Row],[Winner]]=tbBets[[#This Row],[My pick]],"Yes","No")</f>
        <v>No</v>
      </c>
      <c r="Q6" s="5">
        <v>0</v>
      </c>
      <c r="R6" s="13">
        <f ca="1">SUMIF(tbBets[Week Title],tbBets[[#This Row],[Week Title]],tbBets[Payout])-SUMIF(tbBets[Week Title],tbBets[[#This Row],[Week Title]],tbBets[My bet])</f>
        <v>14485</v>
      </c>
      <c r="S6" s="11" t="str">
        <f ca="1">VLOOKUP(tbBets[[#This Row],[Game title]],tbResults[],(MATCH(OFFSET(tbBets[#Headers],0,1),tbResults[#Headers],0)),0)</f>
        <v>Nosfa</v>
      </c>
      <c r="T6" s="11" t="str">
        <f ca="1">VLOOKUP(tbBets[[#This Row],[Game title]],tbResults[],(MATCH(OFFSET(tbBets[#Headers],0,1),tbResults[#Headers],0)),0)</f>
        <v>Dramis</v>
      </c>
    </row>
    <row r="7" spans="2:20" s="3" customFormat="1" ht="30" customHeight="1" x14ac:dyDescent="0.3">
      <c r="B7" s="14" t="s">
        <v>67</v>
      </c>
      <c r="C7" s="20" t="str">
        <f ca="1">VLOOKUP(tbBets[[#This Row],[Game title]],tbResults[],(MATCH(OFFSET(tbBets[#Headers],0,1),tbResults[#Headers],0)),0)</f>
        <v>2.2.05</v>
      </c>
      <c r="D7" s="11" t="str">
        <f ca="1">VLOOKUP(tbBets[[#This Row],[Game title]],tbResults[],(MATCH(OFFSET(tbBets[#Headers],0,1),tbResults[#Headers],0)),0)</f>
        <v>Nosfa</v>
      </c>
      <c r="E7" s="11" t="str">
        <f ca="1">VLOOKUP(tbBets[[#This Row],[Game title]],tbResults[],(MATCH(OFFSET(tbBets[#Headers],0,1),tbResults[#Headers],0)),0)</f>
        <v>Dramis</v>
      </c>
      <c r="F7" s="11" t="str">
        <f ca="1">VLOOKUP(tbBets[[#This Row],[Game title]],tbResults[],(MATCH(OFFSET(tbBets[#Headers],0,1),tbResults[#Headers],0)),0)</f>
        <v>Ruins of Sarnath</v>
      </c>
      <c r="G7" s="11" t="str">
        <f ca="1">VLOOKUP(tbBets[[#This Row],[Game title]],tbResults[],(MATCH(OFFSET(tbBets[#Headers],0,1),tbResults[#Headers],0)),0)</f>
        <v>BJ Blazkowicz</v>
      </c>
      <c r="H7" s="11" t="str">
        <f ca="1">VLOOKUP(tbBets[[#This Row],[Game title]],tbResults[],(MATCH(OFFSET(tbBets[#Headers],0,1),tbResults[#Headers],0)),0)</f>
        <v>Keel</v>
      </c>
      <c r="I7" s="5">
        <v>24700</v>
      </c>
      <c r="J7" s="13">
        <f>tbBets[[#This Row],[Opening Balance]]*(1/25)</f>
        <v>988</v>
      </c>
      <c r="K7" s="13">
        <f>tbBets[[#This Row],[Opening Balance]]*(1/15)</f>
        <v>1646.6666666666667</v>
      </c>
      <c r="L7" s="7" t="s">
        <v>12</v>
      </c>
      <c r="M7" s="8">
        <v>500</v>
      </c>
      <c r="N7" s="9">
        <v>0.91</v>
      </c>
      <c r="O7" s="9">
        <v>0.09</v>
      </c>
      <c r="P7" s="12" t="str">
        <f ca="1">IF(tbBets[[#This Row],[Winner]]=tbBets[[#This Row],[My pick]],"Yes","No")</f>
        <v>No</v>
      </c>
      <c r="Q7" s="5">
        <v>0</v>
      </c>
      <c r="R7" s="13">
        <f ca="1">SUMIF(tbBets[Week Title],tbBets[[#This Row],[Week Title]],tbBets[Payout])-SUMIF(tbBets[Week Title],tbBets[[#This Row],[Week Title]],tbBets[My bet])</f>
        <v>14485</v>
      </c>
      <c r="S7" s="11" t="str">
        <f ca="1">VLOOKUP(tbBets[[#This Row],[Game title]],tbResults[],(MATCH(OFFSET(tbBets[#Headers],0,1),tbResults[#Headers],0)),0)</f>
        <v>Nosfa</v>
      </c>
      <c r="T7" s="11" t="str">
        <f ca="1">VLOOKUP(tbBets[[#This Row],[Game title]],tbResults[],(MATCH(OFFSET(tbBets[#Headers],0,1),tbResults[#Headers],0)),0)</f>
        <v>Dramis</v>
      </c>
    </row>
    <row r="8" spans="2:20" s="3" customFormat="1" ht="30" customHeight="1" x14ac:dyDescent="0.3">
      <c r="B8" s="14" t="s">
        <v>68</v>
      </c>
      <c r="C8" s="20" t="str">
        <f ca="1">VLOOKUP(tbBets[[#This Row],[Game title]],tbResults[],(MATCH(OFFSET(tbBets[#Headers],0,1),tbResults[#Headers],0)),0)</f>
        <v>2.2.05</v>
      </c>
      <c r="D8" s="11" t="str">
        <f ca="1">VLOOKUP(tbBets[[#This Row],[Game title]],tbResults[],(MATCH(OFFSET(tbBets[#Headers],0,1),tbResults[#Headers],0)),0)</f>
        <v>Vengeurr</v>
      </c>
      <c r="E8" s="11" t="str">
        <f ca="1">VLOOKUP(tbBets[[#This Row],[Game title]],tbResults[],(MATCH(OFFSET(tbBets[#Headers],0,1),tbResults[#Headers],0)),0)</f>
        <v>Cypher</v>
      </c>
      <c r="F8" s="11" t="str">
        <f ca="1">VLOOKUP(tbBets[[#This Row],[Game title]],tbResults[],(MATCH(OFFSET(tbBets[#Headers],0,1),tbResults[#Headers],0)),0)</f>
        <v>Corrupted Keep</v>
      </c>
      <c r="G8" s="11" t="str">
        <f ca="1">VLOOKUP(tbBets[[#This Row],[Game title]],tbResults[],(MATCH(OFFSET(tbBets[#Headers],0,1),tbResults[#Headers],0)),0)</f>
        <v>Galena</v>
      </c>
      <c r="H8" s="11" t="str">
        <f ca="1">VLOOKUP(tbBets[[#This Row],[Game title]],tbResults[],(MATCH(OFFSET(tbBets[#Headers],0,1),tbResults[#Headers],0)),0)</f>
        <v>Doom</v>
      </c>
      <c r="I8" s="5">
        <v>24300</v>
      </c>
      <c r="J8" s="13">
        <f>tbBets[[#This Row],[Opening Balance]]*(1/25)</f>
        <v>972</v>
      </c>
      <c r="K8" s="13">
        <f>tbBets[[#This Row],[Opening Balance]]*(1/15)</f>
        <v>1620</v>
      </c>
      <c r="L8" s="7" t="s">
        <v>13</v>
      </c>
      <c r="M8" s="8">
        <v>500</v>
      </c>
      <c r="N8" s="9">
        <v>0.53</v>
      </c>
      <c r="O8" s="9">
        <v>0.47</v>
      </c>
      <c r="P8" s="12" t="str">
        <f ca="1">IF(tbBets[[#This Row],[Winner]]=tbBets[[#This Row],[My pick]],"Yes","No")</f>
        <v>Yes</v>
      </c>
      <c r="Q8" s="5">
        <v>600</v>
      </c>
      <c r="R8" s="13">
        <f ca="1">SUMIF(tbBets[Week Title],tbBets[[#This Row],[Week Title]],tbBets[Payout])-SUMIF(tbBets[Week Title],tbBets[[#This Row],[Week Title]],tbBets[My bet])</f>
        <v>14485</v>
      </c>
      <c r="S8" s="11" t="str">
        <f ca="1">VLOOKUP(tbBets[[#This Row],[Game title]],tbResults[],(MATCH(OFFSET(tbBets[#Headers],0,1),tbResults[#Headers],0)),0)</f>
        <v>Vengeurr</v>
      </c>
      <c r="T8" s="11" t="str">
        <f ca="1">VLOOKUP(tbBets[[#This Row],[Game title]],tbResults[],(MATCH(OFFSET(tbBets[#Headers],0,1),tbResults[#Headers],0)),0)</f>
        <v>Cypher</v>
      </c>
    </row>
    <row r="9" spans="2:20" s="3" customFormat="1" ht="30" customHeight="1" x14ac:dyDescent="0.3">
      <c r="B9" s="14" t="s">
        <v>69</v>
      </c>
      <c r="C9" s="20" t="str">
        <f ca="1">VLOOKUP(tbBets[[#This Row],[Game title]],tbResults[],(MATCH(OFFSET(tbBets[#Headers],0,1),tbResults[#Headers],0)),0)</f>
        <v>2.2.05</v>
      </c>
      <c r="D9" s="11" t="str">
        <f ca="1">VLOOKUP(tbBets[[#This Row],[Game title]],tbResults[],(MATCH(OFFSET(tbBets[#Headers],0,1),tbResults[#Headers],0)),0)</f>
        <v>Vengeurr</v>
      </c>
      <c r="E9" s="11" t="str">
        <f ca="1">VLOOKUP(tbBets[[#This Row],[Game title]],tbResults[],(MATCH(OFFSET(tbBets[#Headers],0,1),tbResults[#Headers],0)),0)</f>
        <v>Cypher</v>
      </c>
      <c r="F9" s="11" t="str">
        <f ca="1">VLOOKUP(tbBets[[#This Row],[Game title]],tbResults[],(MATCH(OFFSET(tbBets[#Headers],0,1),tbResults[#Headers],0)),0)</f>
        <v>Exile</v>
      </c>
      <c r="G9" s="11" t="str">
        <f ca="1">VLOOKUP(tbBets[[#This Row],[Game title]],tbResults[],(MATCH(OFFSET(tbBets[#Headers],0,1),tbResults[#Headers],0)),0)</f>
        <v>Visor</v>
      </c>
      <c r="H9" s="11" t="str">
        <f ca="1">VLOOKUP(tbBets[[#This Row],[Game title]],tbResults[],(MATCH(OFFSET(tbBets[#Headers],0,1),tbResults[#Headers],0)),0)</f>
        <v>Keel</v>
      </c>
      <c r="I9" s="5">
        <v>24900</v>
      </c>
      <c r="J9" s="13">
        <f>tbBets[[#This Row],[Opening Balance]]*(1/25)</f>
        <v>996</v>
      </c>
      <c r="K9" s="13">
        <f>tbBets[[#This Row],[Opening Balance]]*(1/15)</f>
        <v>1660</v>
      </c>
      <c r="L9" s="7" t="s">
        <v>13</v>
      </c>
      <c r="M9" s="8">
        <v>500</v>
      </c>
      <c r="N9" s="9">
        <v>0.41</v>
      </c>
      <c r="O9" s="9">
        <v>0.59</v>
      </c>
      <c r="P9" s="12" t="str">
        <f ca="1">IF(tbBets[[#This Row],[Winner]]=tbBets[[#This Row],[My pick]],"Yes","No")</f>
        <v>No</v>
      </c>
      <c r="Q9" s="5">
        <v>0</v>
      </c>
      <c r="R9" s="13">
        <f ca="1">SUMIF(tbBets[Week Title],tbBets[[#This Row],[Week Title]],tbBets[Payout])-SUMIF(tbBets[Week Title],tbBets[[#This Row],[Week Title]],tbBets[My bet])</f>
        <v>14485</v>
      </c>
      <c r="S9" s="11" t="str">
        <f ca="1">VLOOKUP(tbBets[[#This Row],[Game title]],tbResults[],(MATCH(OFFSET(tbBets[#Headers],0,1),tbResults[#Headers],0)),0)</f>
        <v>Cypher</v>
      </c>
      <c r="T9" s="11" t="str">
        <f ca="1">VLOOKUP(tbBets[[#This Row],[Game title]],tbResults[],(MATCH(OFFSET(tbBets[#Headers],0,1),tbResults[#Headers],0)),0)</f>
        <v>Vengeurr</v>
      </c>
    </row>
    <row r="10" spans="2:20" s="3" customFormat="1" ht="30" customHeight="1" x14ac:dyDescent="0.3">
      <c r="B10" s="14" t="s">
        <v>70</v>
      </c>
      <c r="C10" s="20" t="str">
        <f ca="1">VLOOKUP(tbBets[[#This Row],[Game title]],tbResults[],(MATCH(OFFSET(tbBets[#Headers],0,1),tbResults[#Headers],0)),0)</f>
        <v>2.2.05</v>
      </c>
      <c r="D10" s="11" t="str">
        <f ca="1">VLOOKUP(tbBets[[#This Row],[Game title]],tbResults[],(MATCH(OFFSET(tbBets[#Headers],0,1),tbResults[#Headers],0)),0)</f>
        <v>Vengeurr</v>
      </c>
      <c r="E10" s="11" t="str">
        <f ca="1">VLOOKUP(tbBets[[#This Row],[Game title]],tbResults[],(MATCH(OFFSET(tbBets[#Headers],0,1),tbResults[#Headers],0)),0)</f>
        <v>Cypher</v>
      </c>
      <c r="F10" s="11" t="str">
        <f ca="1">VLOOKUP(tbBets[[#This Row],[Game title]],tbResults[],(MATCH(OFFSET(tbBets[#Headers],0,1),tbResults[#Headers],0)),0)</f>
        <v>Ruins of Sarnath</v>
      </c>
      <c r="G10" s="11" t="str">
        <f ca="1">VLOOKUP(tbBets[[#This Row],[Game title]],tbResults[],(MATCH(OFFSET(tbBets[#Headers],0,1),tbResults[#Headers],0)),0)</f>
        <v>Eisen</v>
      </c>
      <c r="H10" s="11" t="str">
        <f ca="1">VLOOKUP(tbBets[[#This Row],[Game title]],tbResults[],(MATCH(OFFSET(tbBets[#Headers],0,1),tbResults[#Headers],0)),0)</f>
        <v>Nyx</v>
      </c>
      <c r="I10" s="5">
        <v>24400</v>
      </c>
      <c r="J10" s="13">
        <f>tbBets[[#This Row],[Opening Balance]]*(1/25)</f>
        <v>976</v>
      </c>
      <c r="K10" s="13">
        <f>tbBets[[#This Row],[Opening Balance]]*(1/15)</f>
        <v>1626.6666666666667</v>
      </c>
      <c r="L10" s="7" t="s">
        <v>13</v>
      </c>
      <c r="M10" s="8">
        <v>500</v>
      </c>
      <c r="N10" s="9">
        <v>0.42</v>
      </c>
      <c r="O10" s="9">
        <v>0.57999999999999996</v>
      </c>
      <c r="P10" s="12" t="str">
        <f ca="1">IF(tbBets[[#This Row],[Winner]]=tbBets[[#This Row],[My pick]],"Yes","No")</f>
        <v>Yes</v>
      </c>
      <c r="Q10" s="5">
        <v>1196</v>
      </c>
      <c r="R10" s="13">
        <f ca="1">SUMIF(tbBets[Week Title],tbBets[[#This Row],[Week Title]],tbBets[Payout])-SUMIF(tbBets[Week Title],tbBets[[#This Row],[Week Title]],tbBets[My bet])</f>
        <v>14485</v>
      </c>
      <c r="S10" s="11" t="str">
        <f ca="1">VLOOKUP(tbBets[[#This Row],[Game title]],tbResults[],(MATCH(OFFSET(tbBets[#Headers],0,1),tbResults[#Headers],0)),0)</f>
        <v>Vengeurr</v>
      </c>
      <c r="T10" s="11" t="str">
        <f ca="1">VLOOKUP(tbBets[[#This Row],[Game title]],tbResults[],(MATCH(OFFSET(tbBets[#Headers],0,1),tbResults[#Headers],0)),0)</f>
        <v>Cypher</v>
      </c>
    </row>
    <row r="11" spans="2:20" s="3" customFormat="1" ht="30" customHeight="1" x14ac:dyDescent="0.3">
      <c r="B11" s="14" t="s">
        <v>71</v>
      </c>
      <c r="C11" s="20" t="str">
        <f ca="1">VLOOKUP(tbBets[[#This Row],[Game title]],tbResults[],(MATCH(OFFSET(tbBets[#Headers],0,1),tbResults[#Headers],0)),0)</f>
        <v>2.2.05</v>
      </c>
      <c r="D11" s="11" t="str">
        <f ca="1">VLOOKUP(tbBets[[#This Row],[Game title]],tbResults[],(MATCH(OFFSET(tbBets[#Headers],0,1),tbResults[#Headers],0)),0)</f>
        <v>Zenaku</v>
      </c>
      <c r="E11" s="11" t="str">
        <f ca="1">VLOOKUP(tbBets[[#This Row],[Game title]],tbResults[],(MATCH(OFFSET(tbBets[#Headers],0,1),tbResults[#Headers],0)),0)</f>
        <v>Psygib</v>
      </c>
      <c r="F11" s="11" t="str">
        <f ca="1">VLOOKUP(tbBets[[#This Row],[Game title]],tbResults[],(MATCH(OFFSET(tbBets[#Headers],0,1),tbResults[#Headers],0)),0)</f>
        <v>Corrupted Keep</v>
      </c>
      <c r="G11" s="11" t="str">
        <f ca="1">VLOOKUP(tbBets[[#This Row],[Game title]],tbResults[],(MATCH(OFFSET(tbBets[#Headers],0,1),tbResults[#Headers],0)),0)</f>
        <v>Strogg</v>
      </c>
      <c r="H11" s="11" t="str">
        <f ca="1">VLOOKUP(tbBets[[#This Row],[Game title]],tbResults[],(MATCH(OFFSET(tbBets[#Headers],0,1),tbResults[#Headers],0)),0)</f>
        <v>Ranger</v>
      </c>
      <c r="I11" s="5">
        <v>25200</v>
      </c>
      <c r="J11" s="13">
        <f>tbBets[[#This Row],[Opening Balance]]*(1/25)</f>
        <v>1008</v>
      </c>
      <c r="K11" s="13">
        <f>tbBets[[#This Row],[Opening Balance]]*(1/15)</f>
        <v>1680</v>
      </c>
      <c r="L11" s="7" t="s">
        <v>29</v>
      </c>
      <c r="M11" s="8">
        <v>1000</v>
      </c>
      <c r="N11" s="9">
        <v>0.67</v>
      </c>
      <c r="O11" s="9">
        <v>0.33</v>
      </c>
      <c r="P11" s="12" t="str">
        <f ca="1">IF(tbBets[[#This Row],[Winner]]=tbBets[[#This Row],[My pick]],"Yes","No")</f>
        <v>Yes</v>
      </c>
      <c r="Q11" s="5">
        <v>1484</v>
      </c>
      <c r="R11" s="13">
        <f ca="1">SUMIF(tbBets[Week Title],tbBets[[#This Row],[Week Title]],tbBets[Payout])-SUMIF(tbBets[Week Title],tbBets[[#This Row],[Week Title]],tbBets[My bet])</f>
        <v>14485</v>
      </c>
      <c r="S11" s="11" t="str">
        <f ca="1">VLOOKUP(tbBets[[#This Row],[Game title]],tbResults[],(MATCH(OFFSET(tbBets[#Headers],0,1),tbResults[#Headers],0)),0)</f>
        <v>Zenaku</v>
      </c>
      <c r="T11" s="11" t="str">
        <f ca="1">VLOOKUP(tbBets[[#This Row],[Game title]],tbResults[],(MATCH(OFFSET(tbBets[#Headers],0,1),tbResults[#Headers],0)),0)</f>
        <v>Psygib</v>
      </c>
    </row>
    <row r="12" spans="2:20" s="3" customFormat="1" ht="30" customHeight="1" x14ac:dyDescent="0.3">
      <c r="B12" s="14" t="s">
        <v>72</v>
      </c>
      <c r="C12" s="20" t="str">
        <f ca="1">VLOOKUP(tbBets[[#This Row],[Game title]],tbResults[],(MATCH(OFFSET(tbBets[#Headers],0,1),tbResults[#Headers],0)),0)</f>
        <v>2.2.05</v>
      </c>
      <c r="D12" s="11" t="str">
        <f ca="1">VLOOKUP(tbBets[[#This Row],[Game title]],tbResults[],(MATCH(OFFSET(tbBets[#Headers],0,1),tbResults[#Headers],0)),0)</f>
        <v>Zenaku</v>
      </c>
      <c r="E12" s="11" t="str">
        <f ca="1">VLOOKUP(tbBets[[#This Row],[Game title]],tbResults[],(MATCH(OFFSET(tbBets[#Headers],0,1),tbResults[#Headers],0)),0)</f>
        <v>Psygib</v>
      </c>
      <c r="F12" s="11" t="str">
        <f ca="1">VLOOKUP(tbBets[[#This Row],[Game title]],tbResults[],(MATCH(OFFSET(tbBets[#Headers],0,1),tbResults[#Headers],0)),0)</f>
        <v>Molten Falls</v>
      </c>
      <c r="G12" s="11" t="str">
        <f ca="1">VLOOKUP(tbBets[[#This Row],[Game title]],tbResults[],(MATCH(OFFSET(tbBets[#Headers],0,1),tbResults[#Headers],0)),0)</f>
        <v>Doom</v>
      </c>
      <c r="H12" s="11" t="str">
        <f ca="1">VLOOKUP(tbBets[[#This Row],[Game title]],tbResults[],(MATCH(OFFSET(tbBets[#Headers],0,1),tbResults[#Headers],0)),0)</f>
        <v>Anarki</v>
      </c>
      <c r="I12" s="5">
        <v>25800</v>
      </c>
      <c r="J12" s="13">
        <f>tbBets[[#This Row],[Opening Balance]]*(1/25)</f>
        <v>1032</v>
      </c>
      <c r="K12" s="13">
        <f>tbBets[[#This Row],[Opening Balance]]*(1/15)</f>
        <v>1720</v>
      </c>
      <c r="L12" s="7" t="s">
        <v>29</v>
      </c>
      <c r="M12" s="8">
        <v>500</v>
      </c>
      <c r="N12" s="9">
        <v>0.74</v>
      </c>
      <c r="O12" s="9">
        <v>0.26</v>
      </c>
      <c r="P12" s="12" t="str">
        <f ca="1">IF(tbBets[[#This Row],[Winner]]=tbBets[[#This Row],[My pick]],"Yes","No")</f>
        <v>Yes</v>
      </c>
      <c r="Q12" s="5">
        <v>689</v>
      </c>
      <c r="R12" s="13">
        <f ca="1">SUMIF(tbBets[Week Title],tbBets[[#This Row],[Week Title]],tbBets[Payout])-SUMIF(tbBets[Week Title],tbBets[[#This Row],[Week Title]],tbBets[My bet])</f>
        <v>14485</v>
      </c>
      <c r="S12" s="11" t="str">
        <f ca="1">VLOOKUP(tbBets[[#This Row],[Game title]],tbResults[],(MATCH(OFFSET(tbBets[#Headers],0,1),tbResults[#Headers],0)),0)</f>
        <v>Zenaku</v>
      </c>
      <c r="T12" s="11" t="str">
        <f ca="1">VLOOKUP(tbBets[[#This Row],[Game title]],tbResults[],(MATCH(OFFSET(tbBets[#Headers],0,1),tbResults[#Headers],0)),0)</f>
        <v>Psygib</v>
      </c>
    </row>
    <row r="13" spans="2:20" s="3" customFormat="1" ht="30" customHeight="1" x14ac:dyDescent="0.3">
      <c r="B13" s="14" t="s">
        <v>73</v>
      </c>
      <c r="C13" s="20" t="str">
        <f ca="1">VLOOKUP(tbBets[[#This Row],[Game title]],tbResults[],(MATCH(OFFSET(tbBets[#Headers],0,1),tbResults[#Headers],0)),0)</f>
        <v>2.2.05</v>
      </c>
      <c r="D13" s="11" t="str">
        <f ca="1">VLOOKUP(tbBets[[#This Row],[Game title]],tbResults[],(MATCH(OFFSET(tbBets[#Headers],0,1),tbResults[#Headers],0)),0)</f>
        <v>Zenaku</v>
      </c>
      <c r="E13" s="11" t="str">
        <f ca="1">VLOOKUP(tbBets[[#This Row],[Game title]],tbResults[],(MATCH(OFFSET(tbBets[#Headers],0,1),tbResults[#Headers],0)),0)</f>
        <v>Psygib</v>
      </c>
      <c r="F13" s="11" t="str">
        <f ca="1">VLOOKUP(tbBets[[#This Row],[Game title]],tbResults[],(MATCH(OFFSET(tbBets[#Headers],0,1),tbResults[#Headers],0)),0)</f>
        <v>Deep Embrace</v>
      </c>
      <c r="G13" s="11" t="str">
        <f ca="1">VLOOKUP(tbBets[[#This Row],[Game title]],tbResults[],(MATCH(OFFSET(tbBets[#Headers],0,1),tbResults[#Headers],0)),0)</f>
        <v>BJ Blazkowicz</v>
      </c>
      <c r="H13" s="11" t="str">
        <f ca="1">VLOOKUP(tbBets[[#This Row],[Game title]],tbResults[],(MATCH(OFFSET(tbBets[#Headers],0,1),tbResults[#Headers],0)),0)</f>
        <v>Nyx</v>
      </c>
      <c r="I13" s="5">
        <v>26100</v>
      </c>
      <c r="J13" s="13">
        <f>tbBets[[#This Row],[Opening Balance]]*(1/25)</f>
        <v>1044</v>
      </c>
      <c r="K13" s="13">
        <f>tbBets[[#This Row],[Opening Balance]]*(1/15)</f>
        <v>1740</v>
      </c>
      <c r="L13" s="7" t="s">
        <v>29</v>
      </c>
      <c r="M13" s="8">
        <v>2000</v>
      </c>
      <c r="N13" s="9">
        <v>0.64</v>
      </c>
      <c r="O13" s="9">
        <v>0.36</v>
      </c>
      <c r="P13" s="12" t="str">
        <f ca="1">IF(tbBets[[#This Row],[Winner]]=tbBets[[#This Row],[My pick]],"Yes","No")</f>
        <v>No</v>
      </c>
      <c r="Q13" s="5">
        <v>0</v>
      </c>
      <c r="R13" s="13">
        <f ca="1">SUMIF(tbBets[Week Title],tbBets[[#This Row],[Week Title]],tbBets[Payout])-SUMIF(tbBets[Week Title],tbBets[[#This Row],[Week Title]],tbBets[My bet])</f>
        <v>14485</v>
      </c>
      <c r="S13" s="11" t="str">
        <f ca="1">VLOOKUP(tbBets[[#This Row],[Game title]],tbResults[],(MATCH(OFFSET(tbBets[#Headers],0,1),tbResults[#Headers],0)),0)</f>
        <v>Psygib</v>
      </c>
      <c r="T13" s="11" t="str">
        <f ca="1">VLOOKUP(tbBets[[#This Row],[Game title]],tbResults[],(MATCH(OFFSET(tbBets[#Headers],0,1),tbResults[#Headers],0)),0)</f>
        <v>Zenaku</v>
      </c>
    </row>
    <row r="14" spans="2:20" s="3" customFormat="1" ht="30" customHeight="1" x14ac:dyDescent="0.3">
      <c r="B14" s="14" t="s">
        <v>74</v>
      </c>
      <c r="C14" s="20" t="str">
        <f ca="1">VLOOKUP(tbBets[[#This Row],[Game title]],tbResults[],(MATCH(OFFSET(tbBets[#Headers],0,1),tbResults[#Headers],0)),0)</f>
        <v>2.2.05</v>
      </c>
      <c r="D14" s="11" t="str">
        <f ca="1">VLOOKUP(tbBets[[#This Row],[Game title]],tbResults[],(MATCH(OFFSET(tbBets[#Headers],0,1),tbResults[#Headers],0)),0)</f>
        <v>k1llsen</v>
      </c>
      <c r="E14" s="11" t="str">
        <f ca="1">VLOOKUP(tbBets[[#This Row],[Game title]],tbResults[],(MATCH(OFFSET(tbBets[#Headers],0,1),tbResults[#Headers],0)),0)</f>
        <v>coollerz</v>
      </c>
      <c r="F14" s="11" t="str">
        <f ca="1">VLOOKUP(tbBets[[#This Row],[Game title]],tbResults[],(MATCH(OFFSET(tbBets[#Headers],0,1),tbResults[#Headers],0)),0)</f>
        <v>Molten Falls</v>
      </c>
      <c r="G14" s="11" t="str">
        <f ca="1">VLOOKUP(tbBets[[#This Row],[Game title]],tbResults[],(MATCH(OFFSET(tbBets[#Headers],0,1),tbResults[#Headers],0)),0)</f>
        <v>Anarki</v>
      </c>
      <c r="H14" s="11" t="str">
        <f ca="1">VLOOKUP(tbBets[[#This Row],[Game title]],tbResults[],(MATCH(OFFSET(tbBets[#Headers],0,1),tbResults[#Headers],0)),0)</f>
        <v>Galena</v>
      </c>
      <c r="I14" s="5">
        <v>24300</v>
      </c>
      <c r="J14" s="13">
        <f>tbBets[[#This Row],[Opening Balance]]*(1/25)</f>
        <v>972</v>
      </c>
      <c r="K14" s="13">
        <f>tbBets[[#This Row],[Opening Balance]]*(1/15)</f>
        <v>1620</v>
      </c>
      <c r="L14" s="7" t="s">
        <v>31</v>
      </c>
      <c r="M14" s="8">
        <v>5000</v>
      </c>
      <c r="N14" s="9">
        <v>0.57999999999999996</v>
      </c>
      <c r="O14" s="9">
        <v>0.42</v>
      </c>
      <c r="P14" s="12" t="str">
        <f ca="1">IF(tbBets[[#This Row],[Winner]]=tbBets[[#This Row],[My pick]],"Yes","No")</f>
        <v>No</v>
      </c>
      <c r="Q14" s="5">
        <v>0</v>
      </c>
      <c r="R14" s="13">
        <f ca="1">SUMIF(tbBets[Week Title],tbBets[[#This Row],[Week Title]],tbBets[Payout])-SUMIF(tbBets[Week Title],tbBets[[#This Row],[Week Title]],tbBets[My bet])</f>
        <v>14485</v>
      </c>
      <c r="S14" s="11" t="str">
        <f ca="1">VLOOKUP(tbBets[[#This Row],[Game title]],tbResults[],(MATCH(OFFSET(tbBets[#Headers],0,1),tbResults[#Headers],0)),0)</f>
        <v>coollerz</v>
      </c>
      <c r="T14" s="11" t="str">
        <f ca="1">VLOOKUP(tbBets[[#This Row],[Game title]],tbResults[],(MATCH(OFFSET(tbBets[#Headers],0,1),tbResults[#Headers],0)),0)</f>
        <v>k1llsen</v>
      </c>
    </row>
    <row r="15" spans="2:20" s="3" customFormat="1" ht="30" customHeight="1" x14ac:dyDescent="0.3">
      <c r="B15" s="14" t="s">
        <v>75</v>
      </c>
      <c r="C15" s="20" t="str">
        <f ca="1">VLOOKUP(tbBets[[#This Row],[Game title]],tbResults[],(MATCH(OFFSET(tbBets[#Headers],0,1),tbResults[#Headers],0)),0)</f>
        <v>2.2.05</v>
      </c>
      <c r="D15" s="11" t="str">
        <f ca="1">VLOOKUP(tbBets[[#This Row],[Game title]],tbResults[],(MATCH(OFFSET(tbBets[#Headers],0,1),tbResults[#Headers],0)),0)</f>
        <v>k1llsen</v>
      </c>
      <c r="E15" s="11" t="str">
        <f ca="1">VLOOKUP(tbBets[[#This Row],[Game title]],tbResults[],(MATCH(OFFSET(tbBets[#Headers],0,1),tbResults[#Headers],0)),0)</f>
        <v>coollerz</v>
      </c>
      <c r="F15" s="11" t="str">
        <f ca="1">VLOOKUP(tbBets[[#This Row],[Game title]],tbResults[],(MATCH(OFFSET(tbBets[#Headers],0,1),tbResults[#Headers],0)),0)</f>
        <v>Ruins of Sarnath</v>
      </c>
      <c r="G15" s="11" t="str">
        <f ca="1">VLOOKUP(tbBets[[#This Row],[Game title]],tbResults[],(MATCH(OFFSET(tbBets[#Headers],0,1),tbResults[#Headers],0)),0)</f>
        <v>Visor</v>
      </c>
      <c r="H15" s="11" t="str">
        <f ca="1">VLOOKUP(tbBets[[#This Row],[Game title]],tbResults[],(MATCH(OFFSET(tbBets[#Headers],0,1),tbResults[#Headers],0)),0)</f>
        <v>Eisen</v>
      </c>
      <c r="I15" s="5">
        <v>19400</v>
      </c>
      <c r="J15" s="13">
        <f>tbBets[[#This Row],[Opening Balance]]*(1/25)</f>
        <v>776</v>
      </c>
      <c r="K15" s="13">
        <f>tbBets[[#This Row],[Opening Balance]]*(1/15)</f>
        <v>1293.3333333333333</v>
      </c>
      <c r="L15" s="7" t="s">
        <v>31</v>
      </c>
      <c r="M15" s="8">
        <v>10000</v>
      </c>
      <c r="N15" s="9">
        <v>0.45</v>
      </c>
      <c r="O15" s="9">
        <v>0.55000000000000004</v>
      </c>
      <c r="P15" s="12" t="str">
        <f ca="1">IF(tbBets[[#This Row],[Winner]]=tbBets[[#This Row],[My pick]],"Yes","No")</f>
        <v>Yes</v>
      </c>
      <c r="Q15" s="5">
        <v>22126</v>
      </c>
      <c r="R15" s="13">
        <f ca="1">SUMIF(tbBets[Week Title],tbBets[[#This Row],[Week Title]],tbBets[Payout])-SUMIF(tbBets[Week Title],tbBets[[#This Row],[Week Title]],tbBets[My bet])</f>
        <v>14485</v>
      </c>
      <c r="S15" s="11" t="str">
        <f ca="1">VLOOKUP(tbBets[[#This Row],[Game title]],tbResults[],(MATCH(OFFSET(tbBets[#Headers],0,1),tbResults[#Headers],0)),0)</f>
        <v>k1llsen</v>
      </c>
      <c r="T15" s="11" t="str">
        <f ca="1">VLOOKUP(tbBets[[#This Row],[Game title]],tbResults[],(MATCH(OFFSET(tbBets[#Headers],0,1),tbResults[#Headers],0)),0)</f>
        <v>coollerz</v>
      </c>
    </row>
    <row r="16" spans="2:20" s="3" customFormat="1" ht="30" customHeight="1" x14ac:dyDescent="0.3">
      <c r="B16" s="14" t="s">
        <v>137</v>
      </c>
      <c r="C16" s="20" t="str">
        <f ca="1">VLOOKUP(tbBets[[#This Row],[Game title]],tbResults[],(MATCH(OFFSET(tbBets[#Headers],0,1),tbResults[#Headers],0)),0)</f>
        <v>2.2.06</v>
      </c>
      <c r="D16" s="11" t="str">
        <f ca="1">VLOOKUP(tbBets[[#This Row],[Game title]],tbResults[],(MATCH(OFFSET(tbBets[#Headers],0,1),tbResults[#Headers],0)),0)</f>
        <v>Garpy</v>
      </c>
      <c r="E16" s="11" t="str">
        <f ca="1">VLOOKUP(tbBets[[#This Row],[Game title]],tbResults[],(MATCH(OFFSET(tbBets[#Headers],0,1),tbResults[#Headers],0)),0)</f>
        <v>Cypher</v>
      </c>
      <c r="F16" s="11" t="str">
        <f ca="1">VLOOKUP(tbBets[[#This Row],[Game title]],tbResults[],(MATCH(OFFSET(tbBets[#Headers],0,1),tbResults[#Headers],0)),0)</f>
        <v>Exile</v>
      </c>
      <c r="G16" s="11" t="str">
        <f ca="1">VLOOKUP(tbBets[[#This Row],[Game title]],tbResults[],(MATCH(OFFSET(tbBets[#Headers],0,1),tbResults[#Headers],0)),0)</f>
        <v>Anarki</v>
      </c>
      <c r="H16" s="11" t="str">
        <f ca="1">VLOOKUP(tbBets[[#This Row],[Game title]],tbResults[],(MATCH(OFFSET(tbBets[#Headers],0,1),tbResults[#Headers],0)),0)</f>
        <v>Doom</v>
      </c>
      <c r="I16" s="5">
        <v>32100</v>
      </c>
      <c r="J16" s="13">
        <f>tbBets[[#This Row],[Opening Balance]]*(1/25)</f>
        <v>1284</v>
      </c>
      <c r="K16" s="13">
        <f>tbBets[[#This Row],[Opening Balance]]*(1/15)</f>
        <v>2140</v>
      </c>
      <c r="L16" s="7" t="s">
        <v>101</v>
      </c>
      <c r="M16" s="8">
        <v>500</v>
      </c>
      <c r="N16" s="9">
        <v>0.9</v>
      </c>
      <c r="O16" s="9">
        <v>0.1</v>
      </c>
      <c r="P16" s="12" t="str">
        <f ca="1">IF(tbBets[[#This Row],[Winner]]=tbBets[[#This Row],[My pick]],"Yes","No")</f>
        <v>No</v>
      </c>
      <c r="Q16" s="5">
        <v>0</v>
      </c>
      <c r="R16" s="13">
        <f ca="1">SUMIF(tbBets[Week Title],tbBets[[#This Row],[Week Title]],tbBets[Payout])-SUMIF(tbBets[Week Title],tbBets[[#This Row],[Week Title]],tbBets[My bet])</f>
        <v>6290</v>
      </c>
      <c r="S16" s="11" t="str">
        <f ca="1">VLOOKUP(tbBets[[#This Row],[Game title]],tbResults[],(MATCH(OFFSET(tbBets[#Headers],0,1),tbResults[#Headers],0)),0)</f>
        <v>Cypher</v>
      </c>
      <c r="T16" s="11" t="str">
        <f ca="1">VLOOKUP(tbBets[[#This Row],[Game title]],tbResults[],(MATCH(OFFSET(tbBets[#Headers],0,1),tbResults[#Headers],0)),0)</f>
        <v>Garpy</v>
      </c>
    </row>
    <row r="17" spans="2:21" s="3" customFormat="1" ht="30" customHeight="1" x14ac:dyDescent="0.3">
      <c r="B17" s="14" t="s">
        <v>138</v>
      </c>
      <c r="C17" s="20" t="str">
        <f ca="1">VLOOKUP(tbBets[[#This Row],[Game title]],tbResults[],(MATCH(OFFSET(tbBets[#Headers],0,1),tbResults[#Headers],0)),0)</f>
        <v>2.2.06</v>
      </c>
      <c r="D17" s="11" t="str">
        <f ca="1">VLOOKUP(tbBets[[#This Row],[Game title]],tbResults[],(MATCH(OFFSET(tbBets[#Headers],0,1),tbResults[#Headers],0)),0)</f>
        <v>Garpy</v>
      </c>
      <c r="E17" s="11" t="str">
        <f ca="1">VLOOKUP(tbBets[[#This Row],[Game title]],tbResults[],(MATCH(OFFSET(tbBets[#Headers],0,1),tbResults[#Headers],0)),0)</f>
        <v>Cypher</v>
      </c>
      <c r="F17" s="11" t="str">
        <f ca="1">VLOOKUP(tbBets[[#This Row],[Game title]],tbResults[],(MATCH(OFFSET(tbBets[#Headers],0,1),tbResults[#Headers],0)),0)</f>
        <v>Ruins of Sarnath</v>
      </c>
      <c r="G17" s="11" t="str">
        <f ca="1">VLOOKUP(tbBets[[#This Row],[Game title]],tbResults[],(MATCH(OFFSET(tbBets[#Headers],0,1),tbResults[#Headers],0)),0)</f>
        <v>BJ Blazkowicz</v>
      </c>
      <c r="H17" s="11" t="str">
        <f ca="1">VLOOKUP(tbBets[[#This Row],[Game title]],tbResults[],(MATCH(OFFSET(tbBets[#Headers],0,1),tbResults[#Headers],0)),0)</f>
        <v>Ranger</v>
      </c>
      <c r="I17" s="5">
        <v>31700</v>
      </c>
      <c r="J17" s="13">
        <f>tbBets[[#This Row],[Opening Balance]]*(1/25)</f>
        <v>1268</v>
      </c>
      <c r="K17" s="13">
        <f>tbBets[[#This Row],[Opening Balance]]*(1/15)</f>
        <v>2113.3333333333335</v>
      </c>
      <c r="L17" s="7" t="s">
        <v>101</v>
      </c>
      <c r="M17" s="8">
        <v>500</v>
      </c>
      <c r="N17" s="9">
        <v>0.92</v>
      </c>
      <c r="O17" s="9">
        <v>0.08</v>
      </c>
      <c r="P17" s="12" t="str">
        <f ca="1">IF(tbBets[[#This Row],[Winner]]=tbBets[[#This Row],[My pick]],"Yes","No")</f>
        <v>Yes</v>
      </c>
      <c r="Q17" s="5">
        <v>6442</v>
      </c>
      <c r="R17" s="13">
        <f ca="1">SUMIF(tbBets[Week Title],tbBets[[#This Row],[Week Title]],tbBets[Payout])-SUMIF(tbBets[Week Title],tbBets[[#This Row],[Week Title]],tbBets[My bet])</f>
        <v>6290</v>
      </c>
      <c r="S17" s="11" t="str">
        <f ca="1">VLOOKUP(tbBets[[#This Row],[Game title]],tbResults[],(MATCH(OFFSET(tbBets[#Headers],0,1),tbResults[#Headers],0)),0)</f>
        <v>Garpy</v>
      </c>
      <c r="T17" s="11" t="str">
        <f ca="1">VLOOKUP(tbBets[[#This Row],[Game title]],tbResults[],(MATCH(OFFSET(tbBets[#Headers],0,1),tbResults[#Headers],0)),0)</f>
        <v>Cypher</v>
      </c>
    </row>
    <row r="18" spans="2:21" ht="30" customHeight="1" x14ac:dyDescent="0.3">
      <c r="B18" s="14" t="s">
        <v>139</v>
      </c>
      <c r="C18" s="20" t="str">
        <f ca="1">VLOOKUP(tbBets[[#This Row],[Game title]],tbResults[],(MATCH(OFFSET(tbBets[#Headers],0,1),tbResults[#Headers],0)),0)</f>
        <v>2.2.06</v>
      </c>
      <c r="D18" s="11" t="str">
        <f ca="1">VLOOKUP(tbBets[[#This Row],[Game title]],tbResults[],(MATCH(OFFSET(tbBets[#Headers],0,1),tbResults[#Headers],0)),0)</f>
        <v>maxter</v>
      </c>
      <c r="E18" s="11" t="str">
        <f ca="1">VLOOKUP(tbBets[[#This Row],[Game title]],tbResults[],(MATCH(OFFSET(tbBets[#Headers],0,1),tbResults[#Headers],0)),0)</f>
        <v>Nosfa</v>
      </c>
      <c r="F18" s="11" t="str">
        <f ca="1">VLOOKUP(tbBets[[#This Row],[Game title]],tbResults[],(MATCH(OFFSET(tbBets[#Headers],0,1),tbResults[#Headers],0)),0)</f>
        <v>Exile</v>
      </c>
      <c r="G18" s="11" t="str">
        <f ca="1">VLOOKUP(tbBets[[#This Row],[Game title]],tbResults[],(MATCH(OFFSET(tbBets[#Headers],0,1),tbResults[#Headers],0)),0)</f>
        <v>Sorlag</v>
      </c>
      <c r="H18" s="11" t="str">
        <f ca="1">VLOOKUP(tbBets[[#This Row],[Game title]],tbResults[],(MATCH(OFFSET(tbBets[#Headers],0,1),tbResults[#Headers],0)),0)</f>
        <v>Ranger</v>
      </c>
      <c r="I18" s="5">
        <v>37700</v>
      </c>
      <c r="J18" s="13">
        <f>tbBets[[#This Row],[Opening Balance]]*(1/25)</f>
        <v>1508</v>
      </c>
      <c r="K18" s="13">
        <f>tbBets[[#This Row],[Opening Balance]]*(1/15)</f>
        <v>2513.3333333333335</v>
      </c>
      <c r="L18" s="7" t="s">
        <v>11</v>
      </c>
      <c r="M18" s="8">
        <v>1500</v>
      </c>
      <c r="N18" s="9">
        <v>0.17</v>
      </c>
      <c r="O18" s="9">
        <v>0.83</v>
      </c>
      <c r="P18" s="12" t="str">
        <f ca="1">IF(tbBets[[#This Row],[Winner]]=tbBets[[#This Row],[My pick]],"Yes","No")</f>
        <v>Yes</v>
      </c>
      <c r="Q18" s="5">
        <v>1806</v>
      </c>
      <c r="R18" s="13">
        <f ca="1">SUMIF(tbBets[Week Title],tbBets[[#This Row],[Week Title]],tbBets[Payout])-SUMIF(tbBets[Week Title],tbBets[[#This Row],[Week Title]],tbBets[My bet])</f>
        <v>6290</v>
      </c>
      <c r="S18" s="11" t="str">
        <f ca="1">VLOOKUP(tbBets[[#This Row],[Game title]],tbResults[],(MATCH(OFFSET(tbBets[#Headers],0,1),tbResults[#Headers],0)),0)</f>
        <v>Nosfa</v>
      </c>
      <c r="T18" s="11" t="str">
        <f ca="1">VLOOKUP(tbBets[[#This Row],[Game title]],tbResults[],(MATCH(OFFSET(tbBets[#Headers],0,1),tbResults[#Headers],0)),0)</f>
        <v>maxter</v>
      </c>
    </row>
    <row r="19" spans="2:21" ht="30" customHeight="1" x14ac:dyDescent="0.3">
      <c r="B19" s="14" t="s">
        <v>140</v>
      </c>
      <c r="C19" s="20" t="str">
        <f ca="1">VLOOKUP(tbBets[[#This Row],[Game title]],tbResults[],(MATCH(OFFSET(tbBets[#Headers],0,1),tbResults[#Headers],0)),0)</f>
        <v>2.2.06</v>
      </c>
      <c r="D19" s="11" t="str">
        <f ca="1">VLOOKUP(tbBets[[#This Row],[Game title]],tbResults[],(MATCH(OFFSET(tbBets[#Headers],0,1),tbResults[#Headers],0)),0)</f>
        <v>maxter</v>
      </c>
      <c r="E19" s="11" t="str">
        <f ca="1">VLOOKUP(tbBets[[#This Row],[Game title]],tbResults[],(MATCH(OFFSET(tbBets[#Headers],0,1),tbResults[#Headers],0)),0)</f>
        <v>Nosfa</v>
      </c>
      <c r="F19" s="11" t="str">
        <f ca="1">VLOOKUP(tbBets[[#This Row],[Game title]],tbResults[],(MATCH(OFFSET(tbBets[#Headers],0,1),tbResults[#Headers],0)),0)</f>
        <v>Ruins of Sarnath</v>
      </c>
      <c r="G19" s="11" t="str">
        <f ca="1">VLOOKUP(tbBets[[#This Row],[Game title]],tbResults[],(MATCH(OFFSET(tbBets[#Headers],0,1),tbResults[#Headers],0)),0)</f>
        <v>Visor</v>
      </c>
      <c r="H19" s="11" t="str">
        <f ca="1">VLOOKUP(tbBets[[#This Row],[Game title]],tbResults[],(MATCH(OFFSET(tbBets[#Headers],0,1),tbResults[#Headers],0)),0)</f>
        <v>Strogg</v>
      </c>
      <c r="I19" s="5">
        <v>38100</v>
      </c>
      <c r="J19" s="13">
        <f>tbBets[[#This Row],[Opening Balance]]*(1/25)</f>
        <v>1524</v>
      </c>
      <c r="K19" s="13">
        <f>tbBets[[#This Row],[Opening Balance]]*(1/15)</f>
        <v>2540</v>
      </c>
      <c r="L19" s="7" t="s">
        <v>11</v>
      </c>
      <c r="M19" s="8">
        <v>2500</v>
      </c>
      <c r="N19" s="9">
        <v>0.18</v>
      </c>
      <c r="O19" s="9">
        <v>0.82</v>
      </c>
      <c r="P19" s="12" t="str">
        <f ca="1">IF(tbBets[[#This Row],[Winner]]=tbBets[[#This Row],[My pick]],"Yes","No")</f>
        <v>No</v>
      </c>
      <c r="Q19" s="5">
        <v>0</v>
      </c>
      <c r="R19" s="13">
        <f ca="1">SUMIF(tbBets[Week Title],tbBets[[#This Row],[Week Title]],tbBets[Payout])-SUMIF(tbBets[Week Title],tbBets[[#This Row],[Week Title]],tbBets[My bet])</f>
        <v>6290</v>
      </c>
      <c r="S19" s="11" t="str">
        <f ca="1">VLOOKUP(tbBets[[#This Row],[Game title]],tbResults[],(MATCH(OFFSET(tbBets[#Headers],0,1),tbResults[#Headers],0)),0)</f>
        <v>maxter</v>
      </c>
      <c r="T19" s="11" t="str">
        <f ca="1">VLOOKUP(tbBets[[#This Row],[Game title]],tbResults[],(MATCH(OFFSET(tbBets[#Headers],0,1),tbResults[#Headers],0)),0)</f>
        <v>Nosfa</v>
      </c>
    </row>
    <row r="20" spans="2:21" ht="30" customHeight="1" x14ac:dyDescent="0.3">
      <c r="B20" s="14" t="s">
        <v>141</v>
      </c>
      <c r="C20" s="20" t="str">
        <f ca="1">VLOOKUP(tbBets[[#This Row],[Game title]],tbResults[],(MATCH(OFFSET(tbBets[#Headers],0,1),tbResults[#Headers],0)),0)</f>
        <v>2.2.06</v>
      </c>
      <c r="D20" s="11" t="str">
        <f ca="1">VLOOKUP(tbBets[[#This Row],[Game title]],tbResults[],(MATCH(OFFSET(tbBets[#Headers],0,1),tbResults[#Headers],0)),0)</f>
        <v>maxter</v>
      </c>
      <c r="E20" s="11" t="str">
        <f ca="1">VLOOKUP(tbBets[[#This Row],[Game title]],tbResults[],(MATCH(OFFSET(tbBets[#Headers],0,1),tbResults[#Headers],0)),0)</f>
        <v>Nosfa</v>
      </c>
      <c r="F20" s="11" t="str">
        <f ca="1">VLOOKUP(tbBets[[#This Row],[Game title]],tbResults[],(MATCH(OFFSET(tbBets[#Headers],0,1),tbResults[#Headers],0)),0)</f>
        <v>Awoken</v>
      </c>
      <c r="G20" s="11" t="str">
        <f ca="1">VLOOKUP(tbBets[[#This Row],[Game title]],tbResults[],(MATCH(OFFSET(tbBets[#Headers],0,1),tbResults[#Headers],0)),0)</f>
        <v>Eisen</v>
      </c>
      <c r="H20" s="11" t="str">
        <f ca="1">VLOOKUP(tbBets[[#This Row],[Game title]],tbResults[],(MATCH(OFFSET(tbBets[#Headers],0,1),tbResults[#Headers],0)),0)</f>
        <v>Anarki</v>
      </c>
      <c r="I20" s="5">
        <v>35700</v>
      </c>
      <c r="J20" s="13">
        <f>tbBets[[#This Row],[Opening Balance]]*(1/25)</f>
        <v>1428</v>
      </c>
      <c r="K20" s="13">
        <f>tbBets[[#This Row],[Opening Balance]]*(1/15)</f>
        <v>2380</v>
      </c>
      <c r="L20" s="7" t="s">
        <v>11</v>
      </c>
      <c r="M20" s="8">
        <v>3000</v>
      </c>
      <c r="N20" s="9">
        <v>0.46</v>
      </c>
      <c r="O20" s="9">
        <v>0.54</v>
      </c>
      <c r="P20" s="12" t="str">
        <f ca="1">IF(tbBets[[#This Row],[Winner]]=tbBets[[#This Row],[My pick]],"Yes","No")</f>
        <v>Yes</v>
      </c>
      <c r="Q20" s="5">
        <v>5541</v>
      </c>
      <c r="R20" s="13">
        <f ca="1">SUMIF(tbBets[Week Title],tbBets[[#This Row],[Week Title]],tbBets[Payout])-SUMIF(tbBets[Week Title],tbBets[[#This Row],[Week Title]],tbBets[My bet])</f>
        <v>6290</v>
      </c>
      <c r="S20" s="11" t="str">
        <f ca="1">VLOOKUP(tbBets[[#This Row],[Game title]],tbResults[],(MATCH(OFFSET(tbBets[#Headers],0,1),tbResults[#Headers],0)),0)</f>
        <v>Nosfa</v>
      </c>
      <c r="T20" s="11" t="str">
        <f ca="1">VLOOKUP(tbBets[[#This Row],[Game title]],tbResults[],(MATCH(OFFSET(tbBets[#Headers],0,1),tbResults[#Headers],0)),0)</f>
        <v>maxter</v>
      </c>
    </row>
    <row r="21" spans="2:21" ht="30" customHeight="1" x14ac:dyDescent="0.3">
      <c r="B21" s="14" t="s">
        <v>142</v>
      </c>
      <c r="C21" s="20" t="str">
        <f ca="1">VLOOKUP(tbBets[[#This Row],[Game title]],tbResults[],(MATCH(OFFSET(tbBets[#Headers],0,1),tbResults[#Headers],0)),0)</f>
        <v>2.2.06</v>
      </c>
      <c r="D21" s="11" t="str">
        <f ca="1">VLOOKUP(tbBets[[#This Row],[Game title]],tbResults[],(MATCH(OFFSET(tbBets[#Headers],0,1),tbResults[#Headers],0)),0)</f>
        <v>cnz</v>
      </c>
      <c r="E21" s="11" t="str">
        <f ca="1">VLOOKUP(tbBets[[#This Row],[Game title]],tbResults[],(MATCH(OFFSET(tbBets[#Headers],0,1),tbResults[#Headers],0)),0)</f>
        <v>Raisy</v>
      </c>
      <c r="F21" s="11" t="str">
        <f ca="1">VLOOKUP(tbBets[[#This Row],[Game title]],tbResults[],(MATCH(OFFSET(tbBets[#Headers],0,1),tbResults[#Headers],0)),0)</f>
        <v>Molten Falls</v>
      </c>
      <c r="G21" s="11" t="str">
        <f ca="1">VLOOKUP(tbBets[[#This Row],[Game title]],tbResults[],(MATCH(OFFSET(tbBets[#Headers],0,1),tbResults[#Headers],0)),0)</f>
        <v>Anarki</v>
      </c>
      <c r="H21" s="11" t="str">
        <f ca="1">VLOOKUP(tbBets[[#This Row],[Game title]],tbResults[],(MATCH(OFFSET(tbBets[#Headers],0,1),tbResults[#Headers],0)),0)</f>
        <v>Sorlag</v>
      </c>
      <c r="I21" s="5">
        <v>38400</v>
      </c>
      <c r="J21" s="13">
        <f>tbBets[[#This Row],[Opening Balance]]*(1/25)</f>
        <v>1536</v>
      </c>
      <c r="K21" s="13">
        <f>tbBets[[#This Row],[Opening Balance]]*(1/15)</f>
        <v>2560</v>
      </c>
      <c r="L21" s="7" t="s">
        <v>49</v>
      </c>
      <c r="M21" s="8">
        <v>2500</v>
      </c>
      <c r="N21" s="9">
        <v>0.09</v>
      </c>
      <c r="O21" s="9">
        <v>0.91</v>
      </c>
      <c r="P21" s="12" t="str">
        <f ca="1">IF(tbBets[[#This Row],[Winner]]=tbBets[[#This Row],[My pick]],"Yes","No")</f>
        <v>No</v>
      </c>
      <c r="Q21" s="5">
        <v>0</v>
      </c>
      <c r="R21" s="13">
        <f ca="1">SUMIF(tbBets[Week Title],tbBets[[#This Row],[Week Title]],tbBets[Payout])-SUMIF(tbBets[Week Title],tbBets[[#This Row],[Week Title]],tbBets[My bet])</f>
        <v>6290</v>
      </c>
      <c r="S21" s="11" t="str">
        <f ca="1">VLOOKUP(tbBets[[#This Row],[Game title]],tbResults[],(MATCH(OFFSET(tbBets[#Headers],0,1),tbResults[#Headers],0)),0)</f>
        <v>cnz</v>
      </c>
      <c r="T21" s="11" t="str">
        <f ca="1">VLOOKUP(tbBets[[#This Row],[Game title]],tbResults[],(MATCH(OFFSET(tbBets[#Headers],0,1),tbResults[#Headers],0)),0)</f>
        <v>Raisy</v>
      </c>
    </row>
    <row r="22" spans="2:21" ht="30" customHeight="1" x14ac:dyDescent="0.3">
      <c r="B22" s="14" t="s">
        <v>143</v>
      </c>
      <c r="C22" s="20" t="str">
        <f ca="1">VLOOKUP(tbBets[[#This Row],[Game title]],tbResults[],(MATCH(OFFSET(tbBets[#Headers],0,1),tbResults[#Headers],0)),0)</f>
        <v>2.2.06</v>
      </c>
      <c r="D22" s="11" t="str">
        <f ca="1">VLOOKUP(tbBets[[#This Row],[Game title]],tbResults[],(MATCH(OFFSET(tbBets[#Headers],0,1),tbResults[#Headers],0)),0)</f>
        <v>cnz</v>
      </c>
      <c r="E22" s="11" t="str">
        <f ca="1">VLOOKUP(tbBets[[#This Row],[Game title]],tbResults[],(MATCH(OFFSET(tbBets[#Headers],0,1),tbResults[#Headers],0)),0)</f>
        <v>Raisy</v>
      </c>
      <c r="F22" s="11" t="str">
        <f ca="1">VLOOKUP(tbBets[[#This Row],[Game title]],tbResults[],(MATCH(OFFSET(tbBets[#Headers],0,1),tbResults[#Headers],0)),0)</f>
        <v>Corrupted Keep</v>
      </c>
      <c r="G22" s="11" t="str">
        <f ca="1">VLOOKUP(tbBets[[#This Row],[Game title]],tbResults[],(MATCH(OFFSET(tbBets[#Headers],0,1),tbResults[#Headers],0)),0)</f>
        <v>Galena</v>
      </c>
      <c r="H22" s="11" t="str">
        <f ca="1">VLOOKUP(tbBets[[#This Row],[Game title]],tbResults[],(MATCH(OFFSET(tbBets[#Headers],0,1),tbResults[#Headers],0)),0)</f>
        <v>Strogg</v>
      </c>
      <c r="I22" s="5">
        <v>35900</v>
      </c>
      <c r="J22" s="13">
        <f>tbBets[[#This Row],[Opening Balance]]*(1/25)</f>
        <v>1436</v>
      </c>
      <c r="K22" s="13">
        <f>tbBets[[#This Row],[Opening Balance]]*(1/15)</f>
        <v>2393.3333333333335</v>
      </c>
      <c r="L22" s="7" t="s">
        <v>49</v>
      </c>
      <c r="M22" s="8">
        <v>3000</v>
      </c>
      <c r="N22" s="9"/>
      <c r="O22" s="9"/>
      <c r="P22" s="12" t="str">
        <f ca="1">IF(tbBets[[#This Row],[Winner]]=tbBets[[#This Row],[My pick]],"Yes","No")</f>
        <v>Yes</v>
      </c>
      <c r="Q22" s="5">
        <v>3534</v>
      </c>
      <c r="R22" s="13">
        <f ca="1">SUMIF(tbBets[Week Title],tbBets[[#This Row],[Week Title]],tbBets[Payout])-SUMIF(tbBets[Week Title],tbBets[[#This Row],[Week Title]],tbBets[My bet])</f>
        <v>6290</v>
      </c>
      <c r="S22" s="11" t="str">
        <f ca="1">VLOOKUP(tbBets[[#This Row],[Game title]],tbResults[],(MATCH(OFFSET(tbBets[#Headers],0,1),tbResults[#Headers],0)),0)</f>
        <v>Raisy</v>
      </c>
      <c r="T22" s="11" t="str">
        <f ca="1">VLOOKUP(tbBets[[#This Row],[Game title]],tbResults[],(MATCH(OFFSET(tbBets[#Headers],0,1),tbResults[#Headers],0)),0)</f>
        <v>cnz</v>
      </c>
    </row>
    <row r="23" spans="2:21" ht="30" customHeight="1" x14ac:dyDescent="0.3">
      <c r="B23" s="14" t="s">
        <v>144</v>
      </c>
      <c r="C23" s="20" t="str">
        <f ca="1">VLOOKUP(tbBets[[#This Row],[Game title]],tbResults[],(MATCH(OFFSET(tbBets[#Headers],0,1),tbResults[#Headers],0)),0)</f>
        <v>2.2.06</v>
      </c>
      <c r="D23" s="11" t="str">
        <f ca="1">VLOOKUP(tbBets[[#This Row],[Game title]],tbResults[],(MATCH(OFFSET(tbBets[#Headers],0,1),tbResults[#Headers],0)),0)</f>
        <v>cnz</v>
      </c>
      <c r="E23" s="11" t="str">
        <f ca="1">VLOOKUP(tbBets[[#This Row],[Game title]],tbResults[],(MATCH(OFFSET(tbBets[#Headers],0,1),tbResults[#Headers],0)),0)</f>
        <v>Raisy</v>
      </c>
      <c r="F23" s="11" t="str">
        <f ca="1">VLOOKUP(tbBets[[#This Row],[Game title]],tbResults[],(MATCH(OFFSET(tbBets[#Headers],0,1),tbResults[#Headers],0)),0)</f>
        <v>Ruins of Sarnath</v>
      </c>
      <c r="G23" s="11" t="str">
        <f ca="1">VLOOKUP(tbBets[[#This Row],[Game title]],tbResults[],(MATCH(OFFSET(tbBets[#Headers],0,1),tbResults[#Headers],0)),0)</f>
        <v>Athena</v>
      </c>
      <c r="H23" s="11" t="str">
        <f ca="1">VLOOKUP(tbBets[[#This Row],[Game title]],tbResults[],(MATCH(OFFSET(tbBets[#Headers],0,1),tbResults[#Headers],0)),0)</f>
        <v>Nyx</v>
      </c>
      <c r="I23" s="5">
        <v>36500</v>
      </c>
      <c r="J23" s="13">
        <f>tbBets[[#This Row],[Opening Balance]]*(1/25)</f>
        <v>1460</v>
      </c>
      <c r="K23" s="13">
        <f>tbBets[[#This Row],[Opening Balance]]*(1/15)</f>
        <v>2433.3333333333335</v>
      </c>
      <c r="L23" s="7" t="s">
        <v>49</v>
      </c>
      <c r="M23" s="8">
        <v>5000</v>
      </c>
      <c r="N23" s="9">
        <v>0.2</v>
      </c>
      <c r="O23" s="9">
        <v>0.8</v>
      </c>
      <c r="P23" s="12" t="str">
        <f ca="1">IF(tbBets[[#This Row],[Winner]]=tbBets[[#This Row],[My pick]],"Yes","No")</f>
        <v>Yes</v>
      </c>
      <c r="Q23" s="5">
        <v>6226</v>
      </c>
      <c r="R23" s="13">
        <f ca="1">SUMIF(tbBets[Week Title],tbBets[[#This Row],[Week Title]],tbBets[Payout])-SUMIF(tbBets[Week Title],tbBets[[#This Row],[Week Title]],tbBets[My bet])</f>
        <v>6290</v>
      </c>
      <c r="S23" s="11" t="str">
        <f ca="1">VLOOKUP(tbBets[[#This Row],[Game title]],tbResults[],(MATCH(OFFSET(tbBets[#Headers],0,1),tbResults[#Headers],0)),0)</f>
        <v>Raisy</v>
      </c>
      <c r="T23" s="11" t="str">
        <f ca="1">VLOOKUP(tbBets[[#This Row],[Game title]],tbResults[],(MATCH(OFFSET(tbBets[#Headers],0,1),tbResults[#Headers],0)),0)</f>
        <v>cnz</v>
      </c>
    </row>
    <row r="24" spans="2:21" ht="30" customHeight="1" x14ac:dyDescent="0.3">
      <c r="B24" s="14" t="s">
        <v>145</v>
      </c>
      <c r="C24" s="20" t="str">
        <f ca="1">VLOOKUP(tbBets[[#This Row],[Game title]],tbResults[],(MATCH(OFFSET(tbBets[#Headers],0,1),tbResults[#Headers],0)),0)</f>
        <v>2.2.06</v>
      </c>
      <c r="D24" s="11" t="str">
        <f ca="1">VLOOKUP(tbBets[[#This Row],[Game title]],tbResults[],(MATCH(OFFSET(tbBets[#Headers],0,1),tbResults[#Headers],0)),0)</f>
        <v>Rapha</v>
      </c>
      <c r="E24" s="11" t="str">
        <f ca="1">VLOOKUP(tbBets[[#This Row],[Game title]],tbResults[],(MATCH(OFFSET(tbBets[#Headers],0,1),tbResults[#Headers],0)),0)</f>
        <v>dooi</v>
      </c>
      <c r="F24" s="11" t="str">
        <f ca="1">VLOOKUP(tbBets[[#This Row],[Game title]],tbResults[],(MATCH(OFFSET(tbBets[#Headers],0,1),tbResults[#Headers],0)),0)</f>
        <v>Corrupted Keep</v>
      </c>
      <c r="G24" s="11" t="str">
        <f ca="1">VLOOKUP(tbBets[[#This Row],[Game title]],tbResults[],(MATCH(OFFSET(tbBets[#Headers],0,1),tbResults[#Headers],0)),0)</f>
        <v>BJ Blazkowicz</v>
      </c>
      <c r="H24" s="11" t="str">
        <f ca="1">VLOOKUP(tbBets[[#This Row],[Game title]],tbResults[],(MATCH(OFFSET(tbBets[#Headers],0,1),tbResults[#Headers],0)),0)</f>
        <v>Ranger</v>
      </c>
      <c r="I24" s="5">
        <v>37900</v>
      </c>
      <c r="J24" s="13">
        <f>tbBets[[#This Row],[Opening Balance]]*(1/25)</f>
        <v>1516</v>
      </c>
      <c r="K24" s="13">
        <f>tbBets[[#This Row],[Opening Balance]]*(1/15)</f>
        <v>2526.6666666666665</v>
      </c>
      <c r="L24" s="7" t="s">
        <v>47</v>
      </c>
      <c r="M24" s="8">
        <v>5000</v>
      </c>
      <c r="N24" s="9">
        <v>0.98</v>
      </c>
      <c r="O24" s="9">
        <v>0.02</v>
      </c>
      <c r="P24" s="12" t="str">
        <f ca="1">IF(tbBets[[#This Row],[Winner]]=tbBets[[#This Row],[My pick]],"Yes","No")</f>
        <v>Yes</v>
      </c>
      <c r="Q24" s="5">
        <v>5168</v>
      </c>
      <c r="R24" s="13">
        <f ca="1">SUMIF(tbBets[Week Title],tbBets[[#This Row],[Week Title]],tbBets[Payout])-SUMIF(tbBets[Week Title],tbBets[[#This Row],[Week Title]],tbBets[My bet])</f>
        <v>6290</v>
      </c>
      <c r="S24" s="11" t="str">
        <f ca="1">VLOOKUP(tbBets[[#This Row],[Game title]],tbResults[],(MATCH(OFFSET(tbBets[#Headers],0,1),tbResults[#Headers],0)),0)</f>
        <v>Rapha</v>
      </c>
      <c r="T24" s="11" t="str">
        <f ca="1">VLOOKUP(tbBets[[#This Row],[Game title]],tbResults[],(MATCH(OFFSET(tbBets[#Headers],0,1),tbResults[#Headers],0)),0)</f>
        <v>dooi</v>
      </c>
    </row>
    <row r="25" spans="2:21" ht="30" customHeight="1" x14ac:dyDescent="0.3">
      <c r="B25" s="14" t="s">
        <v>146</v>
      </c>
      <c r="C25" s="20" t="str">
        <f ca="1">VLOOKUP(tbBets[[#This Row],[Game title]],tbResults[],(MATCH(OFFSET(tbBets[#Headers],0,1),tbResults[#Headers],0)),0)</f>
        <v>2.2.06</v>
      </c>
      <c r="D25" s="11" t="str">
        <f ca="1">VLOOKUP(tbBets[[#This Row],[Game title]],tbResults[],(MATCH(OFFSET(tbBets[#Headers],0,1),tbResults[#Headers],0)),0)</f>
        <v>Rapha</v>
      </c>
      <c r="E25" s="11" t="str">
        <f ca="1">VLOOKUP(tbBets[[#This Row],[Game title]],tbResults[],(MATCH(OFFSET(tbBets[#Headers],0,1),tbResults[#Headers],0)),0)</f>
        <v>dooi</v>
      </c>
      <c r="F25" s="11" t="str">
        <f ca="1">VLOOKUP(tbBets[[#This Row],[Game title]],tbResults[],(MATCH(OFFSET(tbBets[#Headers],0,1),tbResults[#Headers],0)),0)</f>
        <v>Awoken</v>
      </c>
      <c r="G25" s="11" t="str">
        <f ca="1">VLOOKUP(tbBets[[#This Row],[Game title]],tbResults[],(MATCH(OFFSET(tbBets[#Headers],0,1),tbResults[#Headers],0)),0)</f>
        <v>Doom</v>
      </c>
      <c r="H25" s="11" t="str">
        <f ca="1">VLOOKUP(tbBets[[#This Row],[Game title]],tbResults[],(MATCH(OFFSET(tbBets[#Headers],0,1),tbResults[#Headers],0)),0)</f>
        <v>Nyx</v>
      </c>
      <c r="I25" s="5">
        <v>38100</v>
      </c>
      <c r="J25" s="13">
        <f>tbBets[[#This Row],[Opening Balance]]*(1/25)</f>
        <v>1524</v>
      </c>
      <c r="K25" s="13">
        <f>tbBets[[#This Row],[Opening Balance]]*(1/15)</f>
        <v>2540</v>
      </c>
      <c r="L25" s="7" t="s">
        <v>47</v>
      </c>
      <c r="M25" s="8">
        <v>10000</v>
      </c>
      <c r="N25" s="9">
        <v>0.99</v>
      </c>
      <c r="O25" s="9">
        <v>0.01</v>
      </c>
      <c r="P25" s="12" t="str">
        <f ca="1">IF(tbBets[[#This Row],[Winner]]=tbBets[[#This Row],[My pick]],"Yes","No")</f>
        <v>Yes</v>
      </c>
      <c r="Q25" s="5">
        <v>10140</v>
      </c>
      <c r="R25" s="13">
        <f ca="1">SUMIF(tbBets[Week Title],tbBets[[#This Row],[Week Title]],tbBets[Payout])-SUMIF(tbBets[Week Title],tbBets[[#This Row],[Week Title]],tbBets[My bet])</f>
        <v>6290</v>
      </c>
      <c r="S25" s="11" t="str">
        <f ca="1">VLOOKUP(tbBets[[#This Row],[Game title]],tbResults[],(MATCH(OFFSET(tbBets[#Headers],0,1),tbResults[#Headers],0)),0)</f>
        <v>Rapha</v>
      </c>
      <c r="T25" s="11" t="str">
        <f ca="1">VLOOKUP(tbBets[[#This Row],[Game title]],tbResults[],(MATCH(OFFSET(tbBets[#Headers],0,1),tbResults[#Headers],0)),0)</f>
        <v>dooi</v>
      </c>
    </row>
    <row r="26" spans="2:21" ht="30" customHeight="1" x14ac:dyDescent="0.3">
      <c r="B26" s="14" t="s">
        <v>147</v>
      </c>
      <c r="C26" s="20" t="str">
        <f ca="1">VLOOKUP(tbBets[[#This Row],[Game title]],tbResults[],(MATCH(OFFSET(tbBets[#Headers],0,1),tbResults[#Headers],0)),0)</f>
        <v>2.2.06</v>
      </c>
      <c r="D26" s="11" t="str">
        <f ca="1">VLOOKUP(tbBets[[#This Row],[Game title]],tbResults[],(MATCH(OFFSET(tbBets[#Headers],0,1),tbResults[#Headers],0)),0)</f>
        <v>Rapha</v>
      </c>
      <c r="E26" s="11" t="str">
        <f ca="1">VLOOKUP(tbBets[[#This Row],[Game title]],tbResults[],(MATCH(OFFSET(tbBets[#Headers],0,1),tbResults[#Headers],0)),0)</f>
        <v>dooi</v>
      </c>
      <c r="F26" s="11" t="str">
        <f ca="1">VLOOKUP(tbBets[[#This Row],[Game title]],tbResults[],(MATCH(OFFSET(tbBets[#Headers],0,1),tbResults[#Headers],0)),0)</f>
        <v>Deep Embrace</v>
      </c>
      <c r="G26" s="11" t="str">
        <f ca="1">VLOOKUP(tbBets[[#This Row],[Game title]],tbResults[],(MATCH(OFFSET(tbBets[#Headers],0,1),tbResults[#Headers],0)),0)</f>
        <v>Death Knight</v>
      </c>
      <c r="H26" s="11" t="str">
        <f ca="1">VLOOKUP(tbBets[[#This Row],[Game title]],tbResults[],(MATCH(OFFSET(tbBets[#Headers],0,1),tbResults[#Headers],0)),0)</f>
        <v>Sorlag</v>
      </c>
      <c r="I26" s="5">
        <v>38300</v>
      </c>
      <c r="J26" s="13">
        <f>tbBets[[#This Row],[Opening Balance]]*(1/25)</f>
        <v>1532</v>
      </c>
      <c r="K26" s="13">
        <f>tbBets[[#This Row],[Opening Balance]]*(1/15)</f>
        <v>2553.3333333333335</v>
      </c>
      <c r="L26" s="7" t="s">
        <v>47</v>
      </c>
      <c r="M26" s="8">
        <v>38000</v>
      </c>
      <c r="N26" s="9">
        <v>0.98</v>
      </c>
      <c r="O26" s="9">
        <v>0.02</v>
      </c>
      <c r="P26" s="12" t="str">
        <f ca="1">IF(tbBets[[#This Row],[Winner]]=tbBets[[#This Row],[My pick]],"Yes","No")</f>
        <v>Yes</v>
      </c>
      <c r="Q26" s="5">
        <v>38780</v>
      </c>
      <c r="R26" s="13">
        <f ca="1">SUMIF(tbBets[Week Title],tbBets[[#This Row],[Week Title]],tbBets[Payout])-SUMIF(tbBets[Week Title],tbBets[[#This Row],[Week Title]],tbBets[My bet])</f>
        <v>6290</v>
      </c>
      <c r="S26" s="11" t="str">
        <f ca="1">VLOOKUP(tbBets[[#This Row],[Game title]],tbResults[],(MATCH(OFFSET(tbBets[#Headers],0,1),tbResults[#Headers],0)),0)</f>
        <v>Rapha</v>
      </c>
      <c r="T26" s="11" t="str">
        <f ca="1">VLOOKUP(tbBets[[#This Row],[Game title]],tbResults[],(MATCH(OFFSET(tbBets[#Headers],0,1),tbResults[#Headers],0)),0)</f>
        <v>dooi</v>
      </c>
    </row>
    <row r="27" spans="2:21" ht="30" customHeight="1" x14ac:dyDescent="0.3">
      <c r="B27" s="14" t="s">
        <v>148</v>
      </c>
      <c r="C27" s="20" t="str">
        <f ca="1">VLOOKUP(tbBets[[#This Row],[Game title]],tbResults[],(MATCH(OFFSET(tbBets[#Headers],0,1),tbResults[#Headers],0)),0)</f>
        <v>2.2.06</v>
      </c>
      <c r="D27" s="11" t="str">
        <f ca="1">VLOOKUP(tbBets[[#This Row],[Game title]],tbResults[],(MATCH(OFFSET(tbBets[#Headers],0,1),tbResults[#Headers],0)),0)</f>
        <v>k1llsen</v>
      </c>
      <c r="E27" s="11" t="str">
        <f ca="1">VLOOKUP(tbBets[[#This Row],[Game title]],tbResults[],(MATCH(OFFSET(tbBets[#Headers],0,1),tbResults[#Headers],0)),0)</f>
        <v>spart1e</v>
      </c>
      <c r="F27" s="11" t="str">
        <f ca="1">VLOOKUP(tbBets[[#This Row],[Game title]],tbResults[],(MATCH(OFFSET(tbBets[#Headers],0,1),tbResults[#Headers],0)),0)</f>
        <v>Exile</v>
      </c>
      <c r="G27" s="11" t="str">
        <f ca="1">VLOOKUP(tbBets[[#This Row],[Game title]],tbResults[],(MATCH(OFFSET(tbBets[#Headers],0,1),tbResults[#Headers],0)),0)</f>
        <v>Doom</v>
      </c>
      <c r="H27" s="11" t="str">
        <f ca="1">VLOOKUP(tbBets[[#This Row],[Game title]],tbResults[],(MATCH(OFFSET(tbBets[#Headers],0,1),tbResults[#Headers],0)),0)</f>
        <v>Visor</v>
      </c>
      <c r="I27" s="5">
        <v>39200</v>
      </c>
      <c r="J27" s="13">
        <f>tbBets[[#This Row],[Opening Balance]]*(1/25)</f>
        <v>1568</v>
      </c>
      <c r="K27" s="13">
        <f>tbBets[[#This Row],[Opening Balance]]*(1/15)</f>
        <v>2613.3333333333335</v>
      </c>
      <c r="L27" s="7" t="s">
        <v>31</v>
      </c>
      <c r="M27" s="8">
        <v>3000</v>
      </c>
      <c r="N27" s="9">
        <v>0.78</v>
      </c>
      <c r="O27" s="9">
        <v>0.22</v>
      </c>
      <c r="P27" s="12" t="str">
        <f ca="1">IF(tbBets[[#This Row],[Winner]]=tbBets[[#This Row],[My pick]],"Yes","No")</f>
        <v>No</v>
      </c>
      <c r="Q27" s="5">
        <v>0</v>
      </c>
      <c r="R27" s="13">
        <f ca="1">SUMIF(tbBets[Week Title],tbBets[[#This Row],[Week Title]],tbBets[Payout])-SUMIF(tbBets[Week Title],tbBets[[#This Row],[Week Title]],tbBets[My bet])</f>
        <v>6290</v>
      </c>
      <c r="S27" s="11" t="str">
        <f ca="1">VLOOKUP(tbBets[[#This Row],[Game title]],tbResults[],(MATCH(OFFSET(tbBets[#Headers],0,1),tbResults[#Headers],0)),0)</f>
        <v>spart1e</v>
      </c>
      <c r="T27" s="11" t="str">
        <f ca="1">VLOOKUP(tbBets[[#This Row],[Game title]],tbResults[],(MATCH(OFFSET(tbBets[#Headers],0,1),tbResults[#Headers],0)),0)</f>
        <v>k1llsen</v>
      </c>
    </row>
    <row r="28" spans="2:21" ht="30" customHeight="1" x14ac:dyDescent="0.3">
      <c r="B28" s="14" t="s">
        <v>149</v>
      </c>
      <c r="C28" s="20" t="str">
        <f ca="1">VLOOKUP(tbBets[[#This Row],[Game title]],tbResults[],(MATCH(OFFSET(tbBets[#Headers],0,1),tbResults[#Headers],0)),0)</f>
        <v>2.2.06</v>
      </c>
      <c r="D28" s="11" t="str">
        <f ca="1">VLOOKUP(tbBets[[#This Row],[Game title]],tbResults[],(MATCH(OFFSET(tbBets[#Headers],0,1),tbResults[#Headers],0)),0)</f>
        <v>k1llsen</v>
      </c>
      <c r="E28" s="11" t="str">
        <f ca="1">VLOOKUP(tbBets[[#This Row],[Game title]],tbResults[],(MATCH(OFFSET(tbBets[#Headers],0,1),tbResults[#Headers],0)),0)</f>
        <v>spart1e</v>
      </c>
      <c r="F28" s="11" t="str">
        <f ca="1">VLOOKUP(tbBets[[#This Row],[Game title]],tbResults[],(MATCH(OFFSET(tbBets[#Headers],0,1),tbResults[#Headers],0)),0)</f>
        <v>Deep Embrace</v>
      </c>
      <c r="G28" s="11" t="str">
        <f ca="1">VLOOKUP(tbBets[[#This Row],[Game title]],tbResults[],(MATCH(OFFSET(tbBets[#Headers],0,1),tbResults[#Headers],0)),0)</f>
        <v>Keel</v>
      </c>
      <c r="H28" s="11" t="str">
        <f ca="1">VLOOKUP(tbBets[[#This Row],[Game title]],tbResults[],(MATCH(OFFSET(tbBets[#Headers],0,1),tbResults[#Headers],0)),0)</f>
        <v>Strogg</v>
      </c>
      <c r="I28" s="5">
        <v>36300</v>
      </c>
      <c r="J28" s="13">
        <f>tbBets[[#This Row],[Opening Balance]]*(1/25)</f>
        <v>1452</v>
      </c>
      <c r="K28" s="13">
        <f>tbBets[[#This Row],[Opening Balance]]*(1/15)</f>
        <v>2420</v>
      </c>
      <c r="L28" s="7" t="s">
        <v>31</v>
      </c>
      <c r="M28" s="8">
        <v>3000</v>
      </c>
      <c r="N28" s="9">
        <v>0.88</v>
      </c>
      <c r="O28" s="9">
        <v>0.12</v>
      </c>
      <c r="P28" s="12" t="str">
        <f ca="1">IF(tbBets[[#This Row],[Winner]]=tbBets[[#This Row],[My pick]],"Yes","No")</f>
        <v>Yes</v>
      </c>
      <c r="Q28" s="5">
        <v>3400</v>
      </c>
      <c r="R28" s="13">
        <f ca="1">SUMIF(tbBets[Week Title],tbBets[[#This Row],[Week Title]],tbBets[Payout])-SUMIF(tbBets[Week Title],tbBets[[#This Row],[Week Title]],tbBets[My bet])</f>
        <v>6290</v>
      </c>
      <c r="S28" s="11" t="str">
        <f ca="1">VLOOKUP(tbBets[[#This Row],[Game title]],tbResults[],(MATCH(OFFSET(tbBets[#Headers],0,1),tbResults[#Headers],0)),0)</f>
        <v>k1llsen</v>
      </c>
      <c r="T28" s="11" t="str">
        <f ca="1">VLOOKUP(tbBets[[#This Row],[Game title]],tbResults[],(MATCH(OFFSET(tbBets[#Headers],0,1),tbResults[#Headers],0)),0)</f>
        <v>spart1e</v>
      </c>
    </row>
    <row r="29" spans="2:21" ht="30" customHeight="1" x14ac:dyDescent="0.3">
      <c r="B29" s="14" t="s">
        <v>150</v>
      </c>
      <c r="C29" s="20" t="str">
        <f ca="1">VLOOKUP(tbBets[[#This Row],[Game title]],tbResults[],(MATCH(OFFSET(tbBets[#Headers],0,1),tbResults[#Headers],0)),0)</f>
        <v>2.2.06</v>
      </c>
      <c r="D29" s="11" t="str">
        <f ca="1">VLOOKUP(tbBets[[#This Row],[Game title]],tbResults[],(MATCH(OFFSET(tbBets[#Headers],0,1),tbResults[#Headers],0)),0)</f>
        <v>k1llsen</v>
      </c>
      <c r="E29" s="11" t="str">
        <f ca="1">VLOOKUP(tbBets[[#This Row],[Game title]],tbResults[],(MATCH(OFFSET(tbBets[#Headers],0,1),tbResults[#Headers],0)),0)</f>
        <v>spart1e</v>
      </c>
      <c r="F29" s="11" t="str">
        <f ca="1">VLOOKUP(tbBets[[#This Row],[Game title]],tbResults[],(MATCH(OFFSET(tbBets[#Headers],0,1),tbResults[#Headers],0)),0)</f>
        <v>Corrupted Keep</v>
      </c>
      <c r="G29" s="11" t="str">
        <f ca="1">VLOOKUP(tbBets[[#This Row],[Game title]],tbResults[],(MATCH(OFFSET(tbBets[#Headers],0,1),tbResults[#Headers],0)),0)</f>
        <v>BJ Blazkowicz</v>
      </c>
      <c r="H29" s="11" t="str">
        <f ca="1">VLOOKUP(tbBets[[#This Row],[Game title]],tbResults[],(MATCH(OFFSET(tbBets[#Headers],0,1),tbResults[#Headers],0)),0)</f>
        <v>Galena</v>
      </c>
      <c r="I29" s="5">
        <v>36700</v>
      </c>
      <c r="J29" s="13">
        <f>tbBets[[#This Row],[Opening Balance]]*(1/25)</f>
        <v>1468</v>
      </c>
      <c r="K29" s="13">
        <f>tbBets[[#This Row],[Opening Balance]]*(1/15)</f>
        <v>2446.6666666666665</v>
      </c>
      <c r="L29" s="7" t="s">
        <v>31</v>
      </c>
      <c r="M29" s="8">
        <v>10000</v>
      </c>
      <c r="N29" s="9">
        <v>0.78</v>
      </c>
      <c r="O29" s="9">
        <v>0.22</v>
      </c>
      <c r="P29" s="12" t="str">
        <f ca="1">IF(tbBets[[#This Row],[Winner]]=tbBets[[#This Row],[My pick]],"Yes","No")</f>
        <v>Yes</v>
      </c>
      <c r="Q29" s="5">
        <v>12753</v>
      </c>
      <c r="R29" s="13">
        <f ca="1">SUMIF(tbBets[Week Title],tbBets[[#This Row],[Week Title]],tbBets[Payout])-SUMIF(tbBets[Week Title],tbBets[[#This Row],[Week Title]],tbBets[My bet])</f>
        <v>6290</v>
      </c>
      <c r="S29" s="11" t="str">
        <f ca="1">VLOOKUP(tbBets[[#This Row],[Game title]],tbResults[],(MATCH(OFFSET(tbBets[#Headers],0,1),tbResults[#Headers],0)),0)</f>
        <v>k1llsen</v>
      </c>
      <c r="T29" s="11" t="str">
        <f ca="1">VLOOKUP(tbBets[[#This Row],[Game title]],tbResults[],(MATCH(OFFSET(tbBets[#Headers],0,1),tbResults[#Headers],0)),0)</f>
        <v>spart1e</v>
      </c>
    </row>
    <row r="30" spans="2:21" ht="30" customHeight="1" x14ac:dyDescent="0.3">
      <c r="B30" s="14" t="s">
        <v>179</v>
      </c>
      <c r="C30" s="20" t="str">
        <f ca="1">VLOOKUP(tbBets[[#This Row],[Game title]],tbResults[],(MATCH(OFFSET(tbBets[#Headers],0,1),tbResults[#Headers],0)),0)</f>
        <v>2.2.07</v>
      </c>
      <c r="D30" s="11" t="str">
        <f ca="1">VLOOKUP(tbBets[[#This Row],[Game title]],tbResults[],(MATCH(OFFSET(tbBets[#Headers],0,1),tbResults[#Headers],0)),0)</f>
        <v>Nosfa</v>
      </c>
      <c r="E30" s="11" t="str">
        <f ca="1">VLOOKUP(tbBets[[#This Row],[Game title]],tbResults[],(MATCH(OFFSET(tbBets[#Headers],0,1),tbResults[#Headers],0)),0)</f>
        <v>Psygib</v>
      </c>
      <c r="F30" s="11" t="str">
        <f ca="1">VLOOKUP(tbBets[[#This Row],[Game title]],tbResults[],(MATCH(OFFSET(tbBets[#Headers],0,1),tbResults[#Headers],0)),0)</f>
        <v>Ruins of Sarnath</v>
      </c>
      <c r="G30" s="11" t="str">
        <f ca="1">VLOOKUP(tbBets[[#This Row],[Game title]],tbResults[],(MATCH(OFFSET(tbBets[#Headers],0,1),tbResults[#Headers],0)),0)</f>
        <v>Strogg</v>
      </c>
      <c r="H30" s="11" t="str">
        <f ca="1">VLOOKUP(tbBets[[#This Row],[Game title]],tbResults[],(MATCH(OFFSET(tbBets[#Headers],0,1),tbResults[#Headers],0)),0)</f>
        <v>Anarki</v>
      </c>
      <c r="I30" s="5">
        <v>40000</v>
      </c>
      <c r="J30" s="13">
        <f>tbBets[[#This Row],[Opening Balance]]*(1/25)</f>
        <v>1600</v>
      </c>
      <c r="K30" s="13">
        <f>tbBets[[#This Row],[Opening Balance]]*(1/15)</f>
        <v>2666.6666666666665</v>
      </c>
      <c r="L30" s="7" t="s">
        <v>30</v>
      </c>
      <c r="M30" s="8">
        <v>1500</v>
      </c>
      <c r="N30" s="9">
        <v>0.64</v>
      </c>
      <c r="O30" s="9">
        <v>0.36</v>
      </c>
      <c r="P30" s="12" t="str">
        <f ca="1">IF(tbBets[[#This Row],[Winner]]=tbBets[[#This Row],[My pick]],"Yes","No")</f>
        <v>No</v>
      </c>
      <c r="Q30" s="5">
        <v>0</v>
      </c>
      <c r="R30" s="13">
        <f ca="1">SUMIF(tbBets[Week Title],tbBets[[#This Row],[Week Title]],tbBets[Payout])-SUMIF(tbBets[Week Title],tbBets[[#This Row],[Week Title]],tbBets[My bet])</f>
        <v>-486</v>
      </c>
      <c r="S30" s="11" t="str">
        <f ca="1">VLOOKUP(tbBets[[#This Row],[Game title]],tbResults[],(MATCH(OFFSET(tbBets[#Headers],0,1),tbResults[#Headers],0)),0)</f>
        <v>Nosfa</v>
      </c>
      <c r="T30" s="11" t="str">
        <f ca="1">VLOOKUP(tbBets[[#This Row],[Game title]],tbResults[],(MATCH(OFFSET(tbBets[#Headers],0,1),tbResults[#Headers],0)),0)</f>
        <v>Psygib</v>
      </c>
    </row>
    <row r="31" spans="2:21" ht="30" customHeight="1" x14ac:dyDescent="0.3">
      <c r="B31" s="14" t="s">
        <v>180</v>
      </c>
      <c r="C31" s="20" t="str">
        <f ca="1">VLOOKUP(tbBets[[#This Row],[Game title]],tbResults[],(MATCH(OFFSET(tbBets[#Headers],0,1),tbResults[#Headers],0)),0)</f>
        <v>2.2.07</v>
      </c>
      <c r="D31" s="11" t="str">
        <f ca="1">VLOOKUP(tbBets[[#This Row],[Game title]],tbResults[],(MATCH(OFFSET(tbBets[#Headers],0,1),tbResults[#Headers],0)),0)</f>
        <v>Nosfa</v>
      </c>
      <c r="E31" s="11" t="str">
        <f ca="1">VLOOKUP(tbBets[[#This Row],[Game title]],tbResults[],(MATCH(OFFSET(tbBets[#Headers],0,1),tbResults[#Headers],0)),0)</f>
        <v>Psygib</v>
      </c>
      <c r="F31" s="11" t="str">
        <f ca="1">VLOOKUP(tbBets[[#This Row],[Game title]],tbResults[],(MATCH(OFFSET(tbBets[#Headers],0,1),tbResults[#Headers],0)),0)</f>
        <v>Awoken</v>
      </c>
      <c r="G31" s="11" t="str">
        <f ca="1">VLOOKUP(tbBets[[#This Row],[Game title]],tbResults[],(MATCH(OFFSET(tbBets[#Headers],0,1),tbResults[#Headers],0)),0)</f>
        <v>Athena</v>
      </c>
      <c r="H31" s="11" t="str">
        <f ca="1">VLOOKUP(tbBets[[#This Row],[Game title]],tbResults[],(MATCH(OFFSET(tbBets[#Headers],0,1),tbResults[#Headers],0)),0)</f>
        <v>Ranger</v>
      </c>
      <c r="I31" s="5">
        <v>38600</v>
      </c>
      <c r="J31" s="13">
        <f>tbBets[[#This Row],[Opening Balance]]*(1/25)</f>
        <v>1544</v>
      </c>
      <c r="K31" s="13">
        <f>tbBets[[#This Row],[Opening Balance]]*(1/15)</f>
        <v>2573.3333333333335</v>
      </c>
      <c r="L31" s="7" t="s">
        <v>30</v>
      </c>
      <c r="M31" s="8">
        <v>1500</v>
      </c>
      <c r="N31" s="9">
        <v>0.79</v>
      </c>
      <c r="O31" s="9">
        <v>0.21</v>
      </c>
      <c r="P31" s="12" t="str">
        <f ca="1">IF(tbBets[[#This Row],[Winner]]=tbBets[[#This Row],[My pick]],"Yes","No")</f>
        <v>No</v>
      </c>
      <c r="Q31" s="5">
        <v>0</v>
      </c>
      <c r="R31" s="13">
        <f ca="1">SUMIF(tbBets[Week Title],tbBets[[#This Row],[Week Title]],tbBets[Payout])-SUMIF(tbBets[Week Title],tbBets[[#This Row],[Week Title]],tbBets[My bet])</f>
        <v>-486</v>
      </c>
      <c r="S31" s="11" t="str">
        <f ca="1">VLOOKUP(tbBets[[#This Row],[Game title]],tbResults[],(MATCH(OFFSET(tbBets[#Headers],0,1),tbResults[#Headers],0)),0)</f>
        <v>Nosfa</v>
      </c>
      <c r="T31" s="11" t="str">
        <f ca="1">VLOOKUP(tbBets[[#This Row],[Game title]],tbResults[],(MATCH(OFFSET(tbBets[#Headers],0,1),tbResults[#Headers],0)),0)</f>
        <v>Psygib</v>
      </c>
    </row>
    <row r="32" spans="2:21" ht="30" customHeight="1" x14ac:dyDescent="0.3">
      <c r="B32" s="14" t="s">
        <v>181</v>
      </c>
      <c r="C32" s="20" t="str">
        <f ca="1">VLOOKUP(tbBets[[#This Row],[Game title]],tbResults[],(MATCH(OFFSET(tbBets[#Headers],0,1),tbResults[#Headers],0)),0)</f>
        <v>2.2.07</v>
      </c>
      <c r="D32" s="11" t="str">
        <f ca="1">VLOOKUP(tbBets[[#This Row],[Game title]],tbResults[],(MATCH(OFFSET(tbBets[#Headers],0,1),tbResults[#Headers],0)),0)</f>
        <v>Nosfa</v>
      </c>
      <c r="E32" s="11" t="str">
        <f ca="1">VLOOKUP(tbBets[[#This Row],[Game title]],tbResults[],(MATCH(OFFSET(tbBets[#Headers],0,1),tbResults[#Headers],0)),0)</f>
        <v>Psygib</v>
      </c>
      <c r="F32" s="11" t="str">
        <f ca="1">VLOOKUP(tbBets[[#This Row],[Game title]],tbResults[],(MATCH(OFFSET(tbBets[#Headers],0,1),tbResults[#Headers],0)),0)</f>
        <v>Exile</v>
      </c>
      <c r="G32" s="11" t="str">
        <f ca="1">VLOOKUP(tbBets[[#This Row],[Game title]],tbResults[],(MATCH(OFFSET(tbBets[#Headers],0,1),tbResults[#Headers],0)),0)</f>
        <v>Visor</v>
      </c>
      <c r="H32" s="11" t="str">
        <f ca="1">VLOOKUP(tbBets[[#This Row],[Game title]],tbResults[],(MATCH(OFFSET(tbBets[#Headers],0,1),tbResults[#Headers],0)),0)</f>
        <v>BJ Blazkowicz</v>
      </c>
      <c r="I32" s="5">
        <v>37200</v>
      </c>
      <c r="J32" s="13">
        <f>tbBets[[#This Row],[Opening Balance]]*(1/25)</f>
        <v>1488</v>
      </c>
      <c r="K32" s="13">
        <f>tbBets[[#This Row],[Opening Balance]]*(1/15)</f>
        <v>2480</v>
      </c>
      <c r="L32" s="7" t="s">
        <v>30</v>
      </c>
      <c r="M32" s="8">
        <v>1500</v>
      </c>
      <c r="N32" s="9">
        <v>0.83</v>
      </c>
      <c r="O32" s="9">
        <v>0.17</v>
      </c>
      <c r="P32" s="12" t="str">
        <f ca="1">IF(tbBets[[#This Row],[Winner]]=tbBets[[#This Row],[My pick]],"Yes","No")</f>
        <v>No</v>
      </c>
      <c r="Q32" s="5">
        <v>0</v>
      </c>
      <c r="R32" s="13">
        <f ca="1">SUMIF(tbBets[Week Title],tbBets[[#This Row],[Week Title]],tbBets[Payout])-SUMIF(tbBets[Week Title],tbBets[[#This Row],[Week Title]],tbBets[My bet])</f>
        <v>-486</v>
      </c>
      <c r="S32" s="11" t="str">
        <f ca="1">VLOOKUP(tbBets[[#This Row],[Game title]],tbResults[],(MATCH(OFFSET(tbBets[#Headers],0,1),tbResults[#Headers],0)),0)</f>
        <v>Nosfa</v>
      </c>
      <c r="T32" s="11" t="str">
        <f ca="1">VLOOKUP(tbBets[[#This Row],[Game title]],tbResults[],(MATCH(OFFSET(tbBets[#Headers],0,1),tbResults[#Headers],0)),0)</f>
        <v>Psygib</v>
      </c>
      <c r="U32" s="30"/>
    </row>
    <row r="33" spans="2:20" ht="30" customHeight="1" x14ac:dyDescent="0.3">
      <c r="B33" s="14" t="s">
        <v>182</v>
      </c>
      <c r="C33" s="20" t="str">
        <f ca="1">VLOOKUP(tbBets[[#This Row],[Game title]],tbResults[],(MATCH(OFFSET(tbBets[#Headers],0,1),tbResults[#Headers],0)),0)</f>
        <v>2.2.07</v>
      </c>
      <c r="D33" s="11" t="str">
        <f ca="1">VLOOKUP(tbBets[[#This Row],[Game title]],tbResults[],(MATCH(OFFSET(tbBets[#Headers],0,1),tbResults[#Headers],0)),0)</f>
        <v>coollerz</v>
      </c>
      <c r="E33" s="11" t="str">
        <f ca="1">VLOOKUP(tbBets[[#This Row],[Game title]],tbResults[],(MATCH(OFFSET(tbBets[#Headers],0,1),tbResults[#Headers],0)),0)</f>
        <v>Garpy</v>
      </c>
      <c r="F33" s="11" t="str">
        <f ca="1">VLOOKUP(tbBets[[#This Row],[Game title]],tbResults[],(MATCH(OFFSET(tbBets[#Headers],0,1),tbResults[#Headers],0)),0)</f>
        <v>Corrupted Keep</v>
      </c>
      <c r="G33" s="11" t="str">
        <f ca="1">VLOOKUP(tbBets[[#This Row],[Game title]],tbResults[],(MATCH(OFFSET(tbBets[#Headers],0,1),tbResults[#Headers],0)),0)</f>
        <v>Sorlag</v>
      </c>
      <c r="H33" s="11" t="str">
        <f ca="1">VLOOKUP(tbBets[[#This Row],[Game title]],tbResults[],(MATCH(OFFSET(tbBets[#Headers],0,1),tbResults[#Headers],0)),0)</f>
        <v>Strogg</v>
      </c>
      <c r="I33" s="5">
        <v>35800</v>
      </c>
      <c r="J33" s="13">
        <f>tbBets[[#This Row],[Opening Balance]]*(1/25)</f>
        <v>1432</v>
      </c>
      <c r="K33" s="13">
        <f>tbBets[[#This Row],[Opening Balance]]*(1/15)</f>
        <v>2386.6666666666665</v>
      </c>
      <c r="L33" s="7" t="s">
        <v>101</v>
      </c>
      <c r="M33" s="8">
        <v>1500</v>
      </c>
      <c r="N33" s="9">
        <v>0.76</v>
      </c>
      <c r="O33" s="9">
        <v>0.24</v>
      </c>
      <c r="P33" s="12" t="str">
        <f ca="1">IF(tbBets[[#This Row],[Winner]]=tbBets[[#This Row],[My pick]],"Yes","No")</f>
        <v>Yes</v>
      </c>
      <c r="Q33" s="5">
        <v>6200</v>
      </c>
      <c r="R33" s="13">
        <f ca="1">SUMIF(tbBets[Week Title],tbBets[[#This Row],[Week Title]],tbBets[Payout])-SUMIF(tbBets[Week Title],tbBets[[#This Row],[Week Title]],tbBets[My bet])</f>
        <v>-486</v>
      </c>
      <c r="S33" s="11" t="str">
        <f ca="1">VLOOKUP(tbBets[[#This Row],[Game title]],tbResults[],(MATCH(OFFSET(tbBets[#Headers],0,1),tbResults[#Headers],0)),0)</f>
        <v>Garpy</v>
      </c>
      <c r="T33" s="11" t="str">
        <f ca="1">VLOOKUP(tbBets[[#This Row],[Game title]],tbResults[],(MATCH(OFFSET(tbBets[#Headers],0,1),tbResults[#Headers],0)),0)</f>
        <v>coollerz</v>
      </c>
    </row>
    <row r="34" spans="2:20" ht="30" customHeight="1" x14ac:dyDescent="0.3">
      <c r="B34" s="14" t="s">
        <v>183</v>
      </c>
      <c r="C34" s="20" t="str">
        <f ca="1">VLOOKUP(tbBets[[#This Row],[Game title]],tbResults[],(MATCH(OFFSET(tbBets[#Headers],0,1),tbResults[#Headers],0)),0)</f>
        <v>2.2.07</v>
      </c>
      <c r="D34" s="11" t="str">
        <f ca="1">VLOOKUP(tbBets[[#This Row],[Game title]],tbResults[],(MATCH(OFFSET(tbBets[#Headers],0,1),tbResults[#Headers],0)),0)</f>
        <v>coollerz</v>
      </c>
      <c r="E34" s="11" t="str">
        <f ca="1">VLOOKUP(tbBets[[#This Row],[Game title]],tbResults[],(MATCH(OFFSET(tbBets[#Headers],0,1),tbResults[#Headers],0)),0)</f>
        <v>Garpy</v>
      </c>
      <c r="F34" s="11" t="str">
        <f ca="1">VLOOKUP(tbBets[[#This Row],[Game title]],tbResults[],(MATCH(OFFSET(tbBets[#Headers],0,1),tbResults[#Headers],0)),0)</f>
        <v>Deep Embrace</v>
      </c>
      <c r="G34" s="11" t="str">
        <f ca="1">VLOOKUP(tbBets[[#This Row],[Game title]],tbResults[],(MATCH(OFFSET(tbBets[#Headers],0,1),tbResults[#Headers],0)),0)</f>
        <v>Keel</v>
      </c>
      <c r="H34" s="11" t="str">
        <f ca="1">VLOOKUP(tbBets[[#This Row],[Game title]],tbResults[],(MATCH(OFFSET(tbBets[#Headers],0,1),tbResults[#Headers],0)),0)</f>
        <v>Eisen</v>
      </c>
      <c r="I34" s="5">
        <v>40600</v>
      </c>
      <c r="J34" s="13">
        <f>tbBets[[#This Row],[Opening Balance]]*(1/25)</f>
        <v>1624</v>
      </c>
      <c r="K34" s="13">
        <f>tbBets[[#This Row],[Opening Balance]]*(1/15)</f>
        <v>2706.6666666666665</v>
      </c>
      <c r="L34" s="7" t="s">
        <v>101</v>
      </c>
      <c r="M34" s="8">
        <v>1500</v>
      </c>
      <c r="N34" s="9">
        <v>0</v>
      </c>
      <c r="O34" s="9">
        <v>0</v>
      </c>
      <c r="P34" s="12" t="str">
        <f ca="1">IF(tbBets[[#This Row],[Winner]]=tbBets[[#This Row],[My pick]],"Yes","No")</f>
        <v>Yes</v>
      </c>
      <c r="Q34" s="5">
        <v>3727</v>
      </c>
      <c r="R34" s="13">
        <f ca="1">SUMIF(tbBets[Week Title],tbBets[[#This Row],[Week Title]],tbBets[Payout])-SUMIF(tbBets[Week Title],tbBets[[#This Row],[Week Title]],tbBets[My bet])</f>
        <v>-486</v>
      </c>
      <c r="S34" s="11" t="str">
        <f ca="1">VLOOKUP(tbBets[[#This Row],[Game title]],tbResults[],(MATCH(OFFSET(tbBets[#Headers],0,1),tbResults[#Headers],0)),0)</f>
        <v>Garpy</v>
      </c>
      <c r="T34" s="11" t="str">
        <f ca="1">VLOOKUP(tbBets[[#This Row],[Game title]],tbResults[],(MATCH(OFFSET(tbBets[#Headers],0,1),tbResults[#Headers],0)),0)</f>
        <v>coollerz</v>
      </c>
    </row>
    <row r="35" spans="2:20" ht="30" customHeight="1" x14ac:dyDescent="0.3">
      <c r="B35" s="14" t="s">
        <v>184</v>
      </c>
      <c r="C35" s="20" t="str">
        <f ca="1">VLOOKUP(tbBets[[#This Row],[Game title]],tbResults[],(MATCH(OFFSET(tbBets[#Headers],0,1),tbResults[#Headers],0)),0)</f>
        <v>2.2.07</v>
      </c>
      <c r="D35" s="11" t="str">
        <f ca="1">VLOOKUP(tbBets[[#This Row],[Game title]],tbResults[],(MATCH(OFFSET(tbBets[#Headers],0,1),tbResults[#Headers],0)),0)</f>
        <v>coollerz</v>
      </c>
      <c r="E35" s="11" t="str">
        <f ca="1">VLOOKUP(tbBets[[#This Row],[Game title]],tbResults[],(MATCH(OFFSET(tbBets[#Headers],0,1),tbResults[#Headers],0)),0)</f>
        <v>Garpy</v>
      </c>
      <c r="F35" s="11" t="str">
        <f ca="1">VLOOKUP(tbBets[[#This Row],[Game title]],tbResults[],(MATCH(OFFSET(tbBets[#Headers],0,1),tbResults[#Headers],0)),0)</f>
        <v>Ruins of Sarnath</v>
      </c>
      <c r="G35" s="11" t="str">
        <f ca="1">VLOOKUP(tbBets[[#This Row],[Game title]],tbResults[],(MATCH(OFFSET(tbBets[#Headers],0,1),tbResults[#Headers],0)),0)</f>
        <v>Anarki</v>
      </c>
      <c r="H35" s="11" t="str">
        <f ca="1">VLOOKUP(tbBets[[#This Row],[Game title]],tbResults[],(MATCH(OFFSET(tbBets[#Headers],0,1),tbResults[#Headers],0)),0)</f>
        <v>Ranger</v>
      </c>
      <c r="I35" s="5">
        <v>42900</v>
      </c>
      <c r="J35" s="13">
        <f>tbBets[[#This Row],[Opening Balance]]*(1/25)</f>
        <v>1716</v>
      </c>
      <c r="K35" s="13">
        <f>tbBets[[#This Row],[Opening Balance]]*(1/15)</f>
        <v>2860</v>
      </c>
      <c r="L35" s="7" t="s">
        <v>101</v>
      </c>
      <c r="M35" s="8">
        <v>1500</v>
      </c>
      <c r="N35" s="9">
        <v>0.52</v>
      </c>
      <c r="O35" s="9">
        <v>0.48</v>
      </c>
      <c r="P35" s="12" t="str">
        <f ca="1">IF(tbBets[[#This Row],[Winner]]=tbBets[[#This Row],[My pick]],"Yes","No")</f>
        <v>No</v>
      </c>
      <c r="Q35" s="5">
        <v>0</v>
      </c>
      <c r="R35" s="13">
        <f ca="1">SUMIF(tbBets[Week Title],tbBets[[#This Row],[Week Title]],tbBets[Payout])-SUMIF(tbBets[Week Title],tbBets[[#This Row],[Week Title]],tbBets[My bet])</f>
        <v>-486</v>
      </c>
      <c r="S35" s="11" t="str">
        <f ca="1">VLOOKUP(tbBets[[#This Row],[Game title]],tbResults[],(MATCH(OFFSET(tbBets[#Headers],0,1),tbResults[#Headers],0)),0)</f>
        <v>coollerz</v>
      </c>
      <c r="T35" s="11" t="str">
        <f ca="1">VLOOKUP(tbBets[[#This Row],[Game title]],tbResults[],(MATCH(OFFSET(tbBets[#Headers],0,1),tbResults[#Headers],0)),0)</f>
        <v>Garpy</v>
      </c>
    </row>
    <row r="36" spans="2:20" ht="30" customHeight="1" x14ac:dyDescent="0.3">
      <c r="B36" s="14" t="s">
        <v>185</v>
      </c>
      <c r="C36" s="20" t="str">
        <f ca="1">VLOOKUP(tbBets[[#This Row],[Game title]],tbResults[],(MATCH(OFFSET(tbBets[#Headers],0,1),tbResults[#Headers],0)),0)</f>
        <v>2.2.07</v>
      </c>
      <c r="D36" s="11" t="str">
        <f ca="1">VLOOKUP(tbBets[[#This Row],[Game title]],tbResults[],(MATCH(OFFSET(tbBets[#Headers],0,1),tbResults[#Headers],0)),0)</f>
        <v>dramis</v>
      </c>
      <c r="E36" s="11" t="str">
        <f ca="1">VLOOKUP(tbBets[[#This Row],[Game title]],tbResults[],(MATCH(OFFSET(tbBets[#Headers],0,1),tbResults[#Headers],0)),0)</f>
        <v>Zenaku</v>
      </c>
      <c r="F36" s="11" t="str">
        <f ca="1">VLOOKUP(tbBets[[#This Row],[Game title]],tbResults[],(MATCH(OFFSET(tbBets[#Headers],0,1),tbResults[#Headers],0)),0)</f>
        <v>Ruins of Sarnath</v>
      </c>
      <c r="G36" s="11" t="str">
        <f ca="1">VLOOKUP(tbBets[[#This Row],[Game title]],tbResults[],(MATCH(OFFSET(tbBets[#Headers],0,1),tbResults[#Headers],0)),0)</f>
        <v>Strogg</v>
      </c>
      <c r="H36" s="11" t="str">
        <f ca="1">VLOOKUP(tbBets[[#This Row],[Game title]],tbResults[],(MATCH(OFFSET(tbBets[#Headers],0,1),tbResults[#Headers],0)),0)</f>
        <v>Sorlag</v>
      </c>
      <c r="I36" s="5">
        <v>41500</v>
      </c>
      <c r="J36" s="13">
        <f>tbBets[[#This Row],[Opening Balance]]*(1/25)</f>
        <v>1660</v>
      </c>
      <c r="K36" s="13">
        <f>tbBets[[#This Row],[Opening Balance]]*(1/15)</f>
        <v>2766.6666666666665</v>
      </c>
      <c r="L36" s="7" t="s">
        <v>29</v>
      </c>
      <c r="M36" s="8">
        <v>1500</v>
      </c>
      <c r="N36" s="9">
        <v>0.27</v>
      </c>
      <c r="O36" s="9">
        <v>0.73</v>
      </c>
      <c r="P36" s="12" t="str">
        <f ca="1">IF(tbBets[[#This Row],[Winner]]=tbBets[[#This Row],[My pick]],"Yes","No")</f>
        <v>Yes</v>
      </c>
      <c r="Q36" s="5">
        <v>2047</v>
      </c>
      <c r="R36" s="13">
        <f ca="1">SUMIF(tbBets[Week Title],tbBets[[#This Row],[Week Title]],tbBets[Payout])-SUMIF(tbBets[Week Title],tbBets[[#This Row],[Week Title]],tbBets[My bet])</f>
        <v>-486</v>
      </c>
      <c r="S36" s="11" t="str">
        <f ca="1">VLOOKUP(tbBets[[#This Row],[Game title]],tbResults[],(MATCH(OFFSET(tbBets[#Headers],0,1),tbResults[#Headers],0)),0)</f>
        <v>Zenaku</v>
      </c>
      <c r="T36" s="11" t="str">
        <f ca="1">VLOOKUP(tbBets[[#This Row],[Game title]],tbResults[],(MATCH(OFFSET(tbBets[#Headers],0,1),tbResults[#Headers],0)),0)</f>
        <v>dramis</v>
      </c>
    </row>
    <row r="37" spans="2:20" ht="30" customHeight="1" x14ac:dyDescent="0.3">
      <c r="B37" s="14" t="s">
        <v>186</v>
      </c>
      <c r="C37" s="20" t="str">
        <f ca="1">VLOOKUP(tbBets[[#This Row],[Game title]],tbResults[],(MATCH(OFFSET(tbBets[#Headers],0,1),tbResults[#Headers],0)),0)</f>
        <v>2.2.07</v>
      </c>
      <c r="D37" s="11" t="str">
        <f ca="1">VLOOKUP(tbBets[[#This Row],[Game title]],tbResults[],(MATCH(OFFSET(tbBets[#Headers],0,1),tbResults[#Headers],0)),0)</f>
        <v>dramis</v>
      </c>
      <c r="E37" s="11" t="str">
        <f ca="1">VLOOKUP(tbBets[[#This Row],[Game title]],tbResults[],(MATCH(OFFSET(tbBets[#Headers],0,1),tbResults[#Headers],0)),0)</f>
        <v>Zenaku</v>
      </c>
      <c r="F37" s="11" t="str">
        <f ca="1">VLOOKUP(tbBets[[#This Row],[Game title]],tbResults[],(MATCH(OFFSET(tbBets[#Headers],0,1),tbResults[#Headers],0)),0)</f>
        <v>Exile</v>
      </c>
      <c r="G37" s="11" t="str">
        <f ca="1">VLOOKUP(tbBets[[#This Row],[Game title]],tbResults[],(MATCH(OFFSET(tbBets[#Headers],0,1),tbResults[#Headers],0)),0)</f>
        <v>Anarki</v>
      </c>
      <c r="H37" s="11" t="str">
        <f ca="1">VLOOKUP(tbBets[[#This Row],[Game title]],tbResults[],(MATCH(OFFSET(tbBets[#Headers],0,1),tbResults[#Headers],0)),0)</f>
        <v>Doom</v>
      </c>
      <c r="I37" s="5">
        <v>42200</v>
      </c>
      <c r="J37" s="13">
        <f>tbBets[[#This Row],[Opening Balance]]*(1/25)</f>
        <v>1688</v>
      </c>
      <c r="K37" s="13">
        <f>tbBets[[#This Row],[Opening Balance]]*(1/15)</f>
        <v>2813.3333333333335</v>
      </c>
      <c r="L37" s="7" t="s">
        <v>29</v>
      </c>
      <c r="M37" s="8">
        <v>1500</v>
      </c>
      <c r="N37" s="9">
        <v>0.25</v>
      </c>
      <c r="O37" s="9">
        <v>0.75</v>
      </c>
      <c r="P37" s="12" t="str">
        <f ca="1">IF(tbBets[[#This Row],[Winner]]=tbBets[[#This Row],[My pick]],"Yes","No")</f>
        <v>Yes</v>
      </c>
      <c r="Q37" s="5">
        <v>2040</v>
      </c>
      <c r="R37" s="13">
        <f ca="1">SUMIF(tbBets[Week Title],tbBets[[#This Row],[Week Title]],tbBets[Payout])-SUMIF(tbBets[Week Title],tbBets[[#This Row],[Week Title]],tbBets[My bet])</f>
        <v>-486</v>
      </c>
      <c r="S37" s="11" t="str">
        <f ca="1">VLOOKUP(tbBets[[#This Row],[Game title]],tbResults[],(MATCH(OFFSET(tbBets[#Headers],0,1),tbResults[#Headers],0)),0)</f>
        <v>Zenaku</v>
      </c>
      <c r="T37" s="11" t="str">
        <f ca="1">VLOOKUP(tbBets[[#This Row],[Game title]],tbResults[],(MATCH(OFFSET(tbBets[#Headers],0,1),tbResults[#Headers],0)),0)</f>
        <v>dramis</v>
      </c>
    </row>
    <row r="38" spans="2:20" ht="30" customHeight="1" x14ac:dyDescent="0.3">
      <c r="B38" s="14" t="s">
        <v>187</v>
      </c>
      <c r="C38" s="20" t="str">
        <f ca="1">VLOOKUP(tbBets[[#This Row],[Game title]],tbResults[],(MATCH(OFFSET(tbBets[#Headers],0,1),tbResults[#Headers],0)),0)</f>
        <v>2.2.07</v>
      </c>
      <c r="D38" s="11" t="str">
        <f ca="1">VLOOKUP(tbBets[[#This Row],[Game title]],tbResults[],(MATCH(OFFSET(tbBets[#Headers],0,1),tbResults[#Headers],0)),0)</f>
        <v>dramis</v>
      </c>
      <c r="E38" s="11" t="str">
        <f ca="1">VLOOKUP(tbBets[[#This Row],[Game title]],tbResults[],(MATCH(OFFSET(tbBets[#Headers],0,1),tbResults[#Headers],0)),0)</f>
        <v>Zenaku</v>
      </c>
      <c r="F38" s="11" t="str">
        <f ca="1">VLOOKUP(tbBets[[#This Row],[Game title]],tbResults[],(MATCH(OFFSET(tbBets[#Headers],0,1),tbResults[#Headers],0)),0)</f>
        <v>Vale of P'nath</v>
      </c>
      <c r="G38" s="11" t="str">
        <f ca="1">VLOOKUP(tbBets[[#This Row],[Game title]],tbResults[],(MATCH(OFFSET(tbBets[#Headers],0,1),tbResults[#Headers],0)),0)</f>
        <v>Ranger</v>
      </c>
      <c r="H38" s="11" t="str">
        <f ca="1">VLOOKUP(tbBets[[#This Row],[Game title]],tbResults[],(MATCH(OFFSET(tbBets[#Headers],0,1),tbResults[#Headers],0)),0)</f>
        <v>Galena</v>
      </c>
      <c r="I38" s="5">
        <v>42700</v>
      </c>
      <c r="J38" s="13">
        <f>tbBets[[#This Row],[Opening Balance]]*(1/25)</f>
        <v>1708</v>
      </c>
      <c r="K38" s="13">
        <f>tbBets[[#This Row],[Opening Balance]]*(1/15)</f>
        <v>2846.6666666666665</v>
      </c>
      <c r="L38" s="7" t="s">
        <v>29</v>
      </c>
      <c r="M38" s="8">
        <v>2500</v>
      </c>
      <c r="N38" s="9">
        <v>0.34</v>
      </c>
      <c r="O38" s="9">
        <v>0.66</v>
      </c>
      <c r="P38" s="12" t="str">
        <f ca="1">IF(tbBets[[#This Row],[Winner]]=tbBets[[#This Row],[My pick]],"Yes","No")</f>
        <v>No</v>
      </c>
      <c r="Q38" s="5">
        <v>0</v>
      </c>
      <c r="R38" s="13">
        <f ca="1">SUMIF(tbBets[Week Title],tbBets[[#This Row],[Week Title]],tbBets[Payout])-SUMIF(tbBets[Week Title],tbBets[[#This Row],[Week Title]],tbBets[My bet])</f>
        <v>-486</v>
      </c>
      <c r="S38" s="11" t="str">
        <f ca="1">VLOOKUP(tbBets[[#This Row],[Game title]],tbResults[],(MATCH(OFFSET(tbBets[#Headers],0,1),tbResults[#Headers],0)),0)</f>
        <v>dramis</v>
      </c>
      <c r="T38" s="11" t="str">
        <f ca="1">VLOOKUP(tbBets[[#This Row],[Game title]],tbResults[],(MATCH(OFFSET(tbBets[#Headers],0,1),tbResults[#Headers],0)),0)</f>
        <v>Zenaku</v>
      </c>
    </row>
    <row r="39" spans="2:20" ht="30" customHeight="1" x14ac:dyDescent="0.3">
      <c r="B39" s="14" t="s">
        <v>237</v>
      </c>
      <c r="C39" s="20" t="str">
        <f ca="1">VLOOKUP(tbBets[[#This Row],[Game title]],tbResults[],(MATCH(OFFSET(tbBets[#Headers],0,1),tbResults[#Headers],0)),0)</f>
        <v>2.2.08</v>
      </c>
      <c r="D39" s="11" t="str">
        <f ca="1">VLOOKUP(tbBets[[#This Row],[Game title]],tbResults[],(MATCH(OFFSET(tbBets[#Headers],0,1),tbResults[#Headers],0)),0)</f>
        <v>Nosfa</v>
      </c>
      <c r="E39" s="11" t="str">
        <f ca="1">VLOOKUP(tbBets[[#This Row],[Game title]],tbResults[],(MATCH(OFFSET(tbBets[#Headers],0,1),tbResults[#Headers],0)),0)</f>
        <v>DaHanG</v>
      </c>
      <c r="F39" s="11" t="str">
        <f ca="1">VLOOKUP(tbBets[[#This Row],[Game title]],tbResults[],(MATCH(OFFSET(tbBets[#Headers],0,1),tbResults[#Headers],0)),0)</f>
        <v>Deep Embrace</v>
      </c>
      <c r="G39" s="11" t="str">
        <f ca="1">VLOOKUP(tbBets[[#This Row],[Game title]],tbResults[],(MATCH(OFFSET(tbBets[#Headers],0,1),tbResults[#Headers],0)),0)</f>
        <v>Athena</v>
      </c>
      <c r="H39" s="11" t="str">
        <f ca="1">VLOOKUP(tbBets[[#This Row],[Game title]],tbResults[],(MATCH(OFFSET(tbBets[#Headers],0,1),tbResults[#Headers],0)),0)</f>
        <v>Doom</v>
      </c>
      <c r="I39" s="5">
        <v>40800</v>
      </c>
      <c r="J39" s="13">
        <f>tbBets[[#This Row],[Opening Balance]]*(1/25)</f>
        <v>1632</v>
      </c>
      <c r="K39" s="13">
        <f>tbBets[[#This Row],[Opening Balance]]*(1/15)</f>
        <v>2720</v>
      </c>
      <c r="L39" s="7" t="s">
        <v>11</v>
      </c>
      <c r="M39" s="8">
        <v>1500</v>
      </c>
      <c r="N39" s="9">
        <v>0.18</v>
      </c>
      <c r="O39" s="9">
        <v>0.82</v>
      </c>
      <c r="P39" s="12" t="str">
        <f ca="1">IF(tbBets[[#This Row],[Winner]]=tbBets[[#This Row],[My pick]],"Yes","No")</f>
        <v>No</v>
      </c>
      <c r="Q39" s="5">
        <v>0</v>
      </c>
      <c r="R39" s="13">
        <f ca="1">SUMIF(tbBets[Week Title],tbBets[[#This Row],[Week Title]],tbBets[Payout])-SUMIF(tbBets[Week Title],tbBets[[#This Row],[Week Title]],tbBets[My bet])</f>
        <v>34780</v>
      </c>
      <c r="S39" s="11" t="str">
        <f ca="1">VLOOKUP(tbBets[[#This Row],[Game title]],tbResults[],(MATCH(OFFSET(tbBets[#Headers],0,1),tbResults[#Headers],0)),0)</f>
        <v>DaHanG</v>
      </c>
      <c r="T39" s="11" t="str">
        <f ca="1">VLOOKUP(tbBets[[#This Row],[Game title]],tbResults[],(MATCH(OFFSET(tbBets[#Headers],0,1),tbResults[#Headers],0)),0)</f>
        <v>Nosfa</v>
      </c>
    </row>
    <row r="40" spans="2:20" ht="30" customHeight="1" x14ac:dyDescent="0.3">
      <c r="B40" s="14" t="s">
        <v>238</v>
      </c>
      <c r="C40" s="20" t="str">
        <f ca="1">VLOOKUP(tbBets[[#This Row],[Game title]],tbResults[],(MATCH(OFFSET(tbBets[#Headers],0,1),tbResults[#Headers],0)),0)</f>
        <v>2.2.08</v>
      </c>
      <c r="D40" s="11" t="str">
        <f ca="1">VLOOKUP(tbBets[[#This Row],[Game title]],tbResults[],(MATCH(OFFSET(tbBets[#Headers],0,1),tbResults[#Headers],0)),0)</f>
        <v>cha1n</v>
      </c>
      <c r="E40" s="11" t="str">
        <f ca="1">VLOOKUP(tbBets[[#This Row],[Game title]],tbResults[],(MATCH(OFFSET(tbBets[#Headers],0,1),tbResults[#Headers],0)),0)</f>
        <v>dooi</v>
      </c>
      <c r="F40" s="11" t="str">
        <f ca="1">VLOOKUP(tbBets[[#This Row],[Game title]],tbResults[],(MATCH(OFFSET(tbBets[#Headers],0,1),tbResults[#Headers],0)),0)</f>
        <v>Awoken</v>
      </c>
      <c r="G40" s="11" t="str">
        <f ca="1">VLOOKUP(tbBets[[#This Row],[Game title]],tbResults[],(MATCH(OFFSET(tbBets[#Headers],0,1),tbResults[#Headers],0)),0)</f>
        <v>Athena</v>
      </c>
      <c r="H40" s="11" t="str">
        <f ca="1">VLOOKUP(tbBets[[#This Row],[Game title]],tbResults[],(MATCH(OFFSET(tbBets[#Headers],0,1),tbResults[#Headers],0)),0)</f>
        <v>Doom</v>
      </c>
      <c r="I40" s="5">
        <v>37900</v>
      </c>
      <c r="J40" s="13">
        <f>tbBets[[#This Row],[Opening Balance]]*(1/25)</f>
        <v>1516</v>
      </c>
      <c r="K40" s="13">
        <f>tbBets[[#This Row],[Opening Balance]]*(1/15)</f>
        <v>2526.6666666666665</v>
      </c>
      <c r="L40" s="7" t="s">
        <v>5</v>
      </c>
      <c r="M40" s="8">
        <v>1500</v>
      </c>
      <c r="N40" s="9">
        <v>0.77</v>
      </c>
      <c r="O40" s="9">
        <v>0.23</v>
      </c>
      <c r="P40" s="12" t="str">
        <f ca="1">IF(tbBets[[#This Row],[Winner]]=tbBets[[#This Row],[My pick]],"Yes","No")</f>
        <v>No</v>
      </c>
      <c r="Q40" s="5">
        <v>0</v>
      </c>
      <c r="R40" s="13">
        <f ca="1">SUMIF(tbBets[Week Title],tbBets[[#This Row],[Week Title]],tbBets[Payout])-SUMIF(tbBets[Week Title],tbBets[[#This Row],[Week Title]],tbBets[My bet])</f>
        <v>34780</v>
      </c>
      <c r="S40" s="11" t="str">
        <f ca="1">VLOOKUP(tbBets[[#This Row],[Game title]],tbResults[],(MATCH(OFFSET(tbBets[#Headers],0,1),tbResults[#Headers],0)),0)</f>
        <v>cha1n</v>
      </c>
      <c r="T40" s="11" t="str">
        <f ca="1">VLOOKUP(tbBets[[#This Row],[Game title]],tbResults[],(MATCH(OFFSET(tbBets[#Headers],0,1),tbResults[#Headers],0)),0)</f>
        <v>dooi</v>
      </c>
    </row>
    <row r="41" spans="2:20" ht="30" customHeight="1" x14ac:dyDescent="0.3">
      <c r="B41" s="14" t="s">
        <v>239</v>
      </c>
      <c r="C41" s="20" t="str">
        <f ca="1">VLOOKUP(tbBets[[#This Row],[Game title]],tbResults[],(MATCH(OFFSET(tbBets[#Headers],0,1),tbResults[#Headers],0)),0)</f>
        <v>2.2.08</v>
      </c>
      <c r="D41" s="11" t="str">
        <f ca="1">VLOOKUP(tbBets[[#This Row],[Game title]],tbResults[],(MATCH(OFFSET(tbBets[#Headers],0,1),tbResults[#Headers],0)),0)</f>
        <v>cha1n</v>
      </c>
      <c r="E41" s="11" t="str">
        <f ca="1">VLOOKUP(tbBets[[#This Row],[Game title]],tbResults[],(MATCH(OFFSET(tbBets[#Headers],0,1),tbResults[#Headers],0)),0)</f>
        <v>dooi</v>
      </c>
      <c r="F41" s="11" t="str">
        <f ca="1">VLOOKUP(tbBets[[#This Row],[Game title]],tbResults[],(MATCH(OFFSET(tbBets[#Headers],0,1),tbResults[#Headers],0)),0)</f>
        <v>Molten Falls</v>
      </c>
      <c r="G41" s="11" t="str">
        <f ca="1">VLOOKUP(tbBets[[#This Row],[Game title]],tbResults[],(MATCH(OFFSET(tbBets[#Headers],0,1),tbResults[#Headers],0)),0)</f>
        <v>Sorlag</v>
      </c>
      <c r="H41" s="11" t="str">
        <f ca="1">VLOOKUP(tbBets[[#This Row],[Game title]],tbResults[],(MATCH(OFFSET(tbBets[#Headers],0,1),tbResults[#Headers],0)),0)</f>
        <v>Strogg</v>
      </c>
      <c r="I41" s="5">
        <v>38000</v>
      </c>
      <c r="J41" s="13">
        <f>tbBets[[#This Row],[Opening Balance]]*(1/25)</f>
        <v>1520</v>
      </c>
      <c r="K41" s="13">
        <f>tbBets[[#This Row],[Opening Balance]]*(1/15)</f>
        <v>2533.3333333333335</v>
      </c>
      <c r="L41" s="7" t="s">
        <v>5</v>
      </c>
      <c r="M41" s="8">
        <v>1500</v>
      </c>
      <c r="N41" s="9"/>
      <c r="O41" s="9"/>
      <c r="P41" s="12" t="str">
        <f ca="1">IF(tbBets[[#This Row],[Winner]]=tbBets[[#This Row],[My pick]],"Yes","No")</f>
        <v>Yes</v>
      </c>
      <c r="Q41" s="5">
        <v>20553</v>
      </c>
      <c r="R41" s="13">
        <f ca="1">SUMIF(tbBets[Week Title],tbBets[[#This Row],[Week Title]],tbBets[Payout])-SUMIF(tbBets[Week Title],tbBets[[#This Row],[Week Title]],tbBets[My bet])</f>
        <v>34780</v>
      </c>
      <c r="S41" s="11" t="str">
        <f ca="1">VLOOKUP(tbBets[[#This Row],[Game title]],tbResults[],(MATCH(OFFSET(tbBets[#Headers],0,1),tbResults[#Headers],0)),0)</f>
        <v>dooi</v>
      </c>
      <c r="T41" s="11" t="str">
        <f ca="1">VLOOKUP(tbBets[[#This Row],[Game title]],tbResults[],(MATCH(OFFSET(tbBets[#Headers],0,1),tbResults[#Headers],0)),0)</f>
        <v>cha1n</v>
      </c>
    </row>
    <row r="42" spans="2:20" ht="30" customHeight="1" x14ac:dyDescent="0.3">
      <c r="B42" s="14" t="s">
        <v>240</v>
      </c>
      <c r="C42" s="20" t="str">
        <f ca="1">VLOOKUP(tbBets[[#This Row],[Game title]],tbResults[],(MATCH(OFFSET(tbBets[#Headers],0,1),tbResults[#Headers],0)),0)</f>
        <v>2.2.08</v>
      </c>
      <c r="D42" s="11" t="str">
        <f ca="1">VLOOKUP(tbBets[[#This Row],[Game title]],tbResults[],(MATCH(OFFSET(tbBets[#Headers],0,1),tbResults[#Headers],0)),0)</f>
        <v>cha1n</v>
      </c>
      <c r="E42" s="11" t="str">
        <f ca="1">VLOOKUP(tbBets[[#This Row],[Game title]],tbResults[],(MATCH(OFFSET(tbBets[#Headers],0,1),tbResults[#Headers],0)),0)</f>
        <v>dooi</v>
      </c>
      <c r="F42" s="11" t="str">
        <f ca="1">VLOOKUP(tbBets[[#This Row],[Game title]],tbResults[],(MATCH(OFFSET(tbBets[#Headers],0,1),tbResults[#Headers],0)),0)</f>
        <v>Deep Embrace</v>
      </c>
      <c r="G42" s="11" t="str">
        <f ca="1">VLOOKUP(tbBets[[#This Row],[Game title]],tbResults[],(MATCH(OFFSET(tbBets[#Headers],0,1),tbResults[#Headers],0)),0)</f>
        <v>Eisen</v>
      </c>
      <c r="H42" s="11" t="str">
        <f ca="1">VLOOKUP(tbBets[[#This Row],[Game title]],tbResults[],(MATCH(OFFSET(tbBets[#Headers],0,1),tbResults[#Headers],0)),0)</f>
        <v>Ranger</v>
      </c>
      <c r="I42" s="5">
        <v>57100</v>
      </c>
      <c r="J42" s="13">
        <f>tbBets[[#This Row],[Opening Balance]]*(1/25)</f>
        <v>2284</v>
      </c>
      <c r="K42" s="13">
        <f>tbBets[[#This Row],[Opening Balance]]*(1/15)</f>
        <v>3806.6666666666665</v>
      </c>
      <c r="L42" s="7" t="s">
        <v>53</v>
      </c>
      <c r="M42" s="8">
        <v>50000</v>
      </c>
      <c r="N42" s="9">
        <v>0.91</v>
      </c>
      <c r="O42" s="9">
        <v>0.09</v>
      </c>
      <c r="P42" s="12" t="str">
        <f ca="1">IF(tbBets[[#This Row],[Winner]]=tbBets[[#This Row],[My pick]],"Yes","No")</f>
        <v>Yes</v>
      </c>
      <c r="Q42" s="5">
        <v>55423</v>
      </c>
      <c r="R42" s="13">
        <f ca="1">SUMIF(tbBets[Week Title],tbBets[[#This Row],[Week Title]],tbBets[Payout])-SUMIF(tbBets[Week Title],tbBets[[#This Row],[Week Title]],tbBets[My bet])</f>
        <v>34780</v>
      </c>
      <c r="S42" s="11" t="str">
        <f ca="1">VLOOKUP(tbBets[[#This Row],[Game title]],tbResults[],(MATCH(OFFSET(tbBets[#Headers],0,1),tbResults[#Headers],0)),0)</f>
        <v>cha1n</v>
      </c>
      <c r="T42" s="11" t="str">
        <f ca="1">VLOOKUP(tbBets[[#This Row],[Game title]],tbResults[],(MATCH(OFFSET(tbBets[#Headers],0,1),tbResults[#Headers],0)),0)</f>
        <v>dooi</v>
      </c>
    </row>
    <row r="43" spans="2:20" ht="30" customHeight="1" x14ac:dyDescent="0.3">
      <c r="B43" s="14" t="s">
        <v>241</v>
      </c>
      <c r="C43" s="20" t="str">
        <f ca="1">VLOOKUP(tbBets[[#This Row],[Game title]],tbResults[],(MATCH(OFFSET(tbBets[#Headers],0,1),tbResults[#Headers],0)),0)</f>
        <v>2.2.08</v>
      </c>
      <c r="D43" s="11" t="str">
        <f ca="1">VLOOKUP(tbBets[[#This Row],[Game title]],tbResults[],(MATCH(OFFSET(tbBets[#Headers],0,1),tbResults[#Headers],0)),0)</f>
        <v>Av3k</v>
      </c>
      <c r="E43" s="11" t="str">
        <f ca="1">VLOOKUP(tbBets[[#This Row],[Game title]],tbResults[],(MATCH(OFFSET(tbBets[#Headers],0,1),tbResults[#Headers],0)),0)</f>
        <v>spart1e</v>
      </c>
      <c r="F43" s="11" t="str">
        <f ca="1">VLOOKUP(tbBets[[#This Row],[Game title]],tbResults[],(MATCH(OFFSET(tbBets[#Headers],0,1),tbResults[#Headers],0)),0)</f>
        <v>Awoken</v>
      </c>
      <c r="G43" s="11" t="str">
        <f ca="1">VLOOKUP(tbBets[[#This Row],[Game title]],tbResults[],(MATCH(OFFSET(tbBets[#Headers],0,1),tbResults[#Headers],0)),0)</f>
        <v>Strogg</v>
      </c>
      <c r="H43" s="11" t="str">
        <f ca="1">VLOOKUP(tbBets[[#This Row],[Game title]],tbResults[],(MATCH(OFFSET(tbBets[#Headers],0,1),tbResults[#Headers],0)),0)</f>
        <v>Sorlag</v>
      </c>
      <c r="I43" s="5">
        <v>62600</v>
      </c>
      <c r="J43" s="13">
        <f>tbBets[[#This Row],[Opening Balance]]*(1/25)</f>
        <v>2504</v>
      </c>
      <c r="K43" s="13">
        <f>tbBets[[#This Row],[Opening Balance]]*(1/15)</f>
        <v>4173.333333333333</v>
      </c>
      <c r="L43" s="7" t="s">
        <v>50</v>
      </c>
      <c r="M43" s="8">
        <v>1500</v>
      </c>
      <c r="N43" s="9">
        <v>0.65</v>
      </c>
      <c r="O43" s="9">
        <v>0.35</v>
      </c>
      <c r="P43" s="12" t="str">
        <f ca="1">IF(tbBets[[#This Row],[Winner]]=tbBets[[#This Row],[My pick]],"Yes","No")</f>
        <v>Yes</v>
      </c>
      <c r="Q43" s="5">
        <v>3900</v>
      </c>
      <c r="R43" s="13">
        <f ca="1">SUMIF(tbBets[Week Title],tbBets[[#This Row],[Week Title]],tbBets[Payout])-SUMIF(tbBets[Week Title],tbBets[[#This Row],[Week Title]],tbBets[My bet])</f>
        <v>34780</v>
      </c>
      <c r="S43" s="11" t="str">
        <f ca="1">VLOOKUP(tbBets[[#This Row],[Game title]],tbResults[],(MATCH(OFFSET(tbBets[#Headers],0,1),tbResults[#Headers],0)),0)</f>
        <v>spart1e</v>
      </c>
      <c r="T43" s="11" t="str">
        <f ca="1">VLOOKUP(tbBets[[#This Row],[Game title]],tbResults[],(MATCH(OFFSET(tbBets[#Headers],0,1),tbResults[#Headers],0)),0)</f>
        <v>Av3k</v>
      </c>
    </row>
    <row r="44" spans="2:20" ht="30" customHeight="1" x14ac:dyDescent="0.3">
      <c r="B44" s="14" t="s">
        <v>242</v>
      </c>
      <c r="C44" s="20" t="str">
        <f ca="1">VLOOKUP(tbBets[[#This Row],[Game title]],tbResults[],(MATCH(OFFSET(tbBets[#Headers],0,1),tbResults[#Headers],0)),0)</f>
        <v>2.2.08</v>
      </c>
      <c r="D44" s="11" t="str">
        <f ca="1">VLOOKUP(tbBets[[#This Row],[Game title]],tbResults[],(MATCH(OFFSET(tbBets[#Headers],0,1),tbResults[#Headers],0)),0)</f>
        <v>Av3k</v>
      </c>
      <c r="E44" s="11" t="str">
        <f ca="1">VLOOKUP(tbBets[[#This Row],[Game title]],tbResults[],(MATCH(OFFSET(tbBets[#Headers],0,1),tbResults[#Headers],0)),0)</f>
        <v>spart1e</v>
      </c>
      <c r="F44" s="11" t="str">
        <f ca="1">VLOOKUP(tbBets[[#This Row],[Game title]],tbResults[],(MATCH(OFFSET(tbBets[#Headers],0,1),tbResults[#Headers],0)),0)</f>
        <v>Exile</v>
      </c>
      <c r="G44" s="11" t="str">
        <f ca="1">VLOOKUP(tbBets[[#This Row],[Game title]],tbResults[],(MATCH(OFFSET(tbBets[#Headers],0,1),tbResults[#Headers],0)),0)</f>
        <v>Ranger</v>
      </c>
      <c r="H44" s="11" t="str">
        <f ca="1">VLOOKUP(tbBets[[#This Row],[Game title]],tbResults[],(MATCH(OFFSET(tbBets[#Headers],0,1),tbResults[#Headers],0)),0)</f>
        <v>Galena</v>
      </c>
      <c r="I44" s="5">
        <v>65500</v>
      </c>
      <c r="J44" s="13">
        <f>tbBets[[#This Row],[Opening Balance]]*(1/25)</f>
        <v>2620</v>
      </c>
      <c r="K44" s="13">
        <f>tbBets[[#This Row],[Opening Balance]]*(1/15)</f>
        <v>4366.666666666667</v>
      </c>
      <c r="L44" s="7" t="s">
        <v>50</v>
      </c>
      <c r="M44" s="8">
        <v>1500</v>
      </c>
      <c r="N44" s="9"/>
      <c r="O44" s="9"/>
      <c r="P44" s="12" t="str">
        <f ca="1">IF(tbBets[[#This Row],[Winner]]=tbBets[[#This Row],[My pick]],"Yes","No")</f>
        <v>Yes</v>
      </c>
      <c r="Q44" s="5">
        <v>2200</v>
      </c>
      <c r="R44" s="13">
        <f ca="1">SUMIF(tbBets[Week Title],tbBets[[#This Row],[Week Title]],tbBets[Payout])-SUMIF(tbBets[Week Title],tbBets[[#This Row],[Week Title]],tbBets[My bet])</f>
        <v>34780</v>
      </c>
      <c r="S44" s="11" t="str">
        <f ca="1">VLOOKUP(tbBets[[#This Row],[Game title]],tbResults[],(MATCH(OFFSET(tbBets[#Headers],0,1),tbResults[#Headers],0)),0)</f>
        <v>spart1e</v>
      </c>
      <c r="T44" s="11" t="str">
        <f ca="1">VLOOKUP(tbBets[[#This Row],[Game title]],tbResults[],(MATCH(OFFSET(tbBets[#Headers],0,1),tbResults[#Headers],0)),0)</f>
        <v>Av3k</v>
      </c>
    </row>
    <row r="45" spans="2:20" ht="30" customHeight="1" x14ac:dyDescent="0.3">
      <c r="B45" s="14" t="s">
        <v>243</v>
      </c>
      <c r="C45" s="20" t="str">
        <f ca="1">VLOOKUP(tbBets[[#This Row],[Game title]],tbResults[],(MATCH(OFFSET(tbBets[#Headers],0,1),tbResults[#Headers],0)),0)</f>
        <v>2.2.08</v>
      </c>
      <c r="D45" s="11" t="str">
        <f ca="1">VLOOKUP(tbBets[[#This Row],[Game title]],tbResults[],(MATCH(OFFSET(tbBets[#Headers],0,1),tbResults[#Headers],0)),0)</f>
        <v>Av3k</v>
      </c>
      <c r="E45" s="11" t="str">
        <f ca="1">VLOOKUP(tbBets[[#This Row],[Game title]],tbResults[],(MATCH(OFFSET(tbBets[#Headers],0,1),tbResults[#Headers],0)),0)</f>
        <v>spart1e</v>
      </c>
      <c r="F45" s="11" t="str">
        <f ca="1">VLOOKUP(tbBets[[#This Row],[Game title]],tbResults[],(MATCH(OFFSET(tbBets[#Headers],0,1),tbResults[#Headers],0)),0)</f>
        <v>Ruins of Sarnath</v>
      </c>
      <c r="G45" s="11" t="str">
        <f ca="1">VLOOKUP(tbBets[[#This Row],[Game title]],tbResults[],(MATCH(OFFSET(tbBets[#Headers],0,1),tbResults[#Headers],0)),0)</f>
        <v>Keel</v>
      </c>
      <c r="H45" s="11" t="str">
        <f ca="1">VLOOKUP(tbBets[[#This Row],[Game title]],tbResults[],(MATCH(OFFSET(tbBets[#Headers],0,1),tbResults[#Headers],0)),0)</f>
        <v>Scalebearer</v>
      </c>
      <c r="I45" s="5">
        <v>67700</v>
      </c>
      <c r="J45" s="13">
        <f>tbBets[[#This Row],[Opening Balance]]*(1/25)</f>
        <v>2708</v>
      </c>
      <c r="K45" s="13">
        <f>tbBets[[#This Row],[Opening Balance]]*(1/15)</f>
        <v>4513.333333333333</v>
      </c>
      <c r="L45" s="7" t="s">
        <v>50</v>
      </c>
      <c r="M45" s="8">
        <v>2500</v>
      </c>
      <c r="N45" s="9">
        <v>0.67</v>
      </c>
      <c r="O45" s="9">
        <v>0.33</v>
      </c>
      <c r="P45" s="12" t="str">
        <f ca="1">IF(tbBets[[#This Row],[Winner]]=tbBets[[#This Row],[My pick]],"Yes","No")</f>
        <v>No</v>
      </c>
      <c r="Q45" s="5">
        <v>0</v>
      </c>
      <c r="R45" s="13">
        <f ca="1">SUMIF(tbBets[Week Title],tbBets[[#This Row],[Week Title]],tbBets[Payout])-SUMIF(tbBets[Week Title],tbBets[[#This Row],[Week Title]],tbBets[My bet])</f>
        <v>34780</v>
      </c>
      <c r="S45" s="11" t="str">
        <f ca="1">VLOOKUP(tbBets[[#This Row],[Game title]],tbResults[],(MATCH(OFFSET(tbBets[#Headers],0,1),tbResults[#Headers],0)),0)</f>
        <v>Av3k</v>
      </c>
      <c r="T45" s="11" t="str">
        <f ca="1">VLOOKUP(tbBets[[#This Row],[Game title]],tbResults[],(MATCH(OFFSET(tbBets[#Headers],0,1),tbResults[#Headers],0)),0)</f>
        <v>spart1e</v>
      </c>
    </row>
    <row r="46" spans="2:20" ht="30" customHeight="1" x14ac:dyDescent="0.3">
      <c r="B46" s="14" t="s">
        <v>244</v>
      </c>
      <c r="C46" s="20" t="str">
        <f ca="1">VLOOKUP(tbBets[[#This Row],[Game title]],tbResults[],(MATCH(OFFSET(tbBets[#Headers],0,1),tbResults[#Headers],0)),0)</f>
        <v>2.2.08</v>
      </c>
      <c r="D46" s="11" t="str">
        <f ca="1">VLOOKUP(tbBets[[#This Row],[Game title]],tbResults[],(MATCH(OFFSET(tbBets[#Headers],0,1),tbResults[#Headers],0)),0)</f>
        <v>dramis</v>
      </c>
      <c r="E46" s="11" t="str">
        <f ca="1">VLOOKUP(tbBets[[#This Row],[Game title]],tbResults[],(MATCH(OFFSET(tbBets[#Headers],0,1),tbResults[#Headers],0)),0)</f>
        <v>Maxter</v>
      </c>
      <c r="F46" s="11" t="str">
        <f ca="1">VLOOKUP(tbBets[[#This Row],[Game title]],tbResults[],(MATCH(OFFSET(tbBets[#Headers],0,1),tbResults[#Headers],0)),0)</f>
        <v>Awoken</v>
      </c>
      <c r="G46" s="11" t="str">
        <f ca="1">VLOOKUP(tbBets[[#This Row],[Game title]],tbResults[],(MATCH(OFFSET(tbBets[#Headers],0,1),tbResults[#Headers],0)),0)</f>
        <v>Strogg</v>
      </c>
      <c r="H46" s="11" t="str">
        <f ca="1">VLOOKUP(tbBets[[#This Row],[Game title]],tbResults[],(MATCH(OFFSET(tbBets[#Headers],0,1),tbResults[#Headers],0)),0)</f>
        <v>Ranger</v>
      </c>
      <c r="I46" s="5">
        <f>62800+2500</f>
        <v>65300</v>
      </c>
      <c r="J46" s="13">
        <f>tbBets[[#This Row],[Opening Balance]]*(1/25)</f>
        <v>2612</v>
      </c>
      <c r="K46" s="13">
        <f>tbBets[[#This Row],[Opening Balance]]*(1/15)</f>
        <v>4353.333333333333</v>
      </c>
      <c r="L46" s="7" t="s">
        <v>86</v>
      </c>
      <c r="M46" s="8">
        <v>2500</v>
      </c>
      <c r="N46" s="9">
        <v>0.71</v>
      </c>
      <c r="O46" s="9">
        <v>0.28999999999999998</v>
      </c>
      <c r="P46" s="12" t="str">
        <f ca="1">IF(tbBets[[#This Row],[Winner]]=tbBets[[#This Row],[My pick]],"Yes","No")</f>
        <v>Yes</v>
      </c>
      <c r="Q46" s="5">
        <v>3544</v>
      </c>
      <c r="R46" s="13">
        <f ca="1">SUMIF(tbBets[Week Title],tbBets[[#This Row],[Week Title]],tbBets[Payout])-SUMIF(tbBets[Week Title],tbBets[[#This Row],[Week Title]],tbBets[My bet])</f>
        <v>34780</v>
      </c>
      <c r="S46" s="11" t="str">
        <f ca="1">VLOOKUP(tbBets[[#This Row],[Game title]],tbResults[],(MATCH(OFFSET(tbBets[#Headers],0,1),tbResults[#Headers],0)),0)</f>
        <v>Maxter</v>
      </c>
      <c r="T46" s="11" t="str">
        <f ca="1">VLOOKUP(tbBets[[#This Row],[Game title]],tbResults[],(MATCH(OFFSET(tbBets[#Headers],0,1),tbResults[#Headers],0)),0)</f>
        <v>dramis</v>
      </c>
    </row>
    <row r="47" spans="2:20" ht="30" customHeight="1" x14ac:dyDescent="0.3">
      <c r="B47" s="14" t="s">
        <v>245</v>
      </c>
      <c r="C47" s="20" t="str">
        <f ca="1">VLOOKUP(tbBets[[#This Row],[Game title]],tbResults[],(MATCH(OFFSET(tbBets[#Headers],0,1),tbResults[#Headers],0)),0)</f>
        <v>2.2.08</v>
      </c>
      <c r="D47" s="11" t="str">
        <f ca="1">VLOOKUP(tbBets[[#This Row],[Game title]],tbResults[],(MATCH(OFFSET(tbBets[#Headers],0,1),tbResults[#Headers],0)),0)</f>
        <v>dramis</v>
      </c>
      <c r="E47" s="11" t="str">
        <f ca="1">VLOOKUP(tbBets[[#This Row],[Game title]],tbResults[],(MATCH(OFFSET(tbBets[#Headers],0,1),tbResults[#Headers],0)),0)</f>
        <v>Maxter</v>
      </c>
      <c r="F47" s="11" t="str">
        <f ca="1">VLOOKUP(tbBets[[#This Row],[Game title]],tbResults[],(MATCH(OFFSET(tbBets[#Headers],0,1),tbResults[#Headers],0)),0)</f>
        <v>Ruins of Sarnath</v>
      </c>
      <c r="G47" s="11" t="str">
        <f ca="1">VLOOKUP(tbBets[[#This Row],[Game title]],tbResults[],(MATCH(OFFSET(tbBets[#Headers],0,1),tbResults[#Headers],0)),0)</f>
        <v>Scalebearer</v>
      </c>
      <c r="H47" s="11" t="str">
        <f ca="1">VLOOKUP(tbBets[[#This Row],[Game title]],tbResults[],(MATCH(OFFSET(tbBets[#Headers],0,1),tbResults[#Headers],0)),0)</f>
        <v>Keel</v>
      </c>
      <c r="I47" s="5">
        <f>63900+2500</f>
        <v>66400</v>
      </c>
      <c r="J47" s="13">
        <f>tbBets[[#This Row],[Opening Balance]]*(1/25)</f>
        <v>2656</v>
      </c>
      <c r="K47" s="13">
        <f>tbBets[[#This Row],[Opening Balance]]*(1/15)</f>
        <v>4426.666666666667</v>
      </c>
      <c r="L47" s="7" t="s">
        <v>86</v>
      </c>
      <c r="M47" s="8">
        <v>2500</v>
      </c>
      <c r="N47" s="9"/>
      <c r="O47" s="9"/>
      <c r="P47" s="12" t="str">
        <f ca="1">IF(tbBets[[#This Row],[Winner]]=tbBets[[#This Row],[My pick]],"Yes","No")</f>
        <v>Yes</v>
      </c>
      <c r="Q47" s="5">
        <v>3160</v>
      </c>
      <c r="R47" s="13">
        <f ca="1">SUMIF(tbBets[Week Title],tbBets[[#This Row],[Week Title]],tbBets[Payout])-SUMIF(tbBets[Week Title],tbBets[[#This Row],[Week Title]],tbBets[My bet])</f>
        <v>34780</v>
      </c>
      <c r="S47" s="11" t="str">
        <f ca="1">VLOOKUP(tbBets[[#This Row],[Game title]],tbResults[],(MATCH(OFFSET(tbBets[#Headers],0,1),tbResults[#Headers],0)),0)</f>
        <v>Maxter</v>
      </c>
      <c r="T47" s="11" t="str">
        <f ca="1">VLOOKUP(tbBets[[#This Row],[Game title]],tbResults[],(MATCH(OFFSET(tbBets[#Headers],0,1),tbResults[#Headers],0)),0)</f>
        <v>dramis</v>
      </c>
    </row>
    <row r="48" spans="2:20" ht="30" customHeight="1" x14ac:dyDescent="0.3">
      <c r="B48" s="14" t="s">
        <v>246</v>
      </c>
      <c r="C48" s="20" t="str">
        <f ca="1">VLOOKUP(tbBets[[#This Row],[Game title]],tbResults[],(MATCH(OFFSET(tbBets[#Headers],0,1),tbResults[#Headers],0)),0)</f>
        <v>2.2.08</v>
      </c>
      <c r="D48" s="11" t="str">
        <f ca="1">VLOOKUP(tbBets[[#This Row],[Game title]],tbResults[],(MATCH(OFFSET(tbBets[#Headers],0,1),tbResults[#Headers],0)),0)</f>
        <v>dramis</v>
      </c>
      <c r="E48" s="11" t="str">
        <f ca="1">VLOOKUP(tbBets[[#This Row],[Game title]],tbResults[],(MATCH(OFFSET(tbBets[#Headers],0,1),tbResults[#Headers],0)),0)</f>
        <v>Maxter</v>
      </c>
      <c r="F48" s="11" t="str">
        <f ca="1">VLOOKUP(tbBets[[#This Row],[Game title]],tbResults[],(MATCH(OFFSET(tbBets[#Headers],0,1),tbResults[#Headers],0)),0)</f>
        <v>Vale of P'nath</v>
      </c>
      <c r="G48" s="11" t="str">
        <f ca="1">VLOOKUP(tbBets[[#This Row],[Game title]],tbResults[],(MATCH(OFFSET(tbBets[#Headers],0,1),tbResults[#Headers],0)),0)</f>
        <v>Galena</v>
      </c>
      <c r="H48" s="11" t="str">
        <f ca="1">VLOOKUP(tbBets[[#This Row],[Game title]],tbResults[],(MATCH(OFFSET(tbBets[#Headers],0,1),tbResults[#Headers],0)),0)</f>
        <v>BJ Blazkowicz</v>
      </c>
      <c r="I48" s="5">
        <v>67200</v>
      </c>
      <c r="J48" s="13">
        <f>tbBets[[#This Row],[Opening Balance]]*(1/25)</f>
        <v>2688</v>
      </c>
      <c r="K48" s="13">
        <f>tbBets[[#This Row],[Opening Balance]]*(1/15)</f>
        <v>4480</v>
      </c>
      <c r="L48" s="7" t="s">
        <v>86</v>
      </c>
      <c r="M48" s="8">
        <v>2500</v>
      </c>
      <c r="N48" s="9">
        <v>0.53</v>
      </c>
      <c r="O48" s="9">
        <v>0.47</v>
      </c>
      <c r="P48" s="12" t="str">
        <f ca="1">IF(tbBets[[#This Row],[Winner]]=tbBets[[#This Row],[My pick]],"Yes","No")</f>
        <v>Yes</v>
      </c>
      <c r="Q48" s="5">
        <v>4750</v>
      </c>
      <c r="R48" s="13">
        <f ca="1">SUMIF(tbBets[Week Title],tbBets[[#This Row],[Week Title]],tbBets[Payout])-SUMIF(tbBets[Week Title],tbBets[[#This Row],[Week Title]],tbBets[My bet])</f>
        <v>34780</v>
      </c>
      <c r="S48" s="11" t="str">
        <f ca="1">VLOOKUP(tbBets[[#This Row],[Game title]],tbResults[],(MATCH(OFFSET(tbBets[#Headers],0,1),tbResults[#Headers],0)),0)</f>
        <v>Maxter</v>
      </c>
      <c r="T48" s="11" t="str">
        <f ca="1">VLOOKUP(tbBets[[#This Row],[Game title]],tbResults[],(MATCH(OFFSET(tbBets[#Headers],0,1),tbResults[#Headers],0)),0)</f>
        <v>dramis</v>
      </c>
    </row>
    <row r="49" spans="2:20" ht="30" customHeight="1" x14ac:dyDescent="0.3">
      <c r="B49" s="14" t="s">
        <v>247</v>
      </c>
      <c r="C49" s="20" t="str">
        <f ca="1">VLOOKUP(tbBets[[#This Row],[Game title]],tbResults[],(MATCH(OFFSET(tbBets[#Headers],0,1),tbResults[#Headers],0)),0)</f>
        <v>2.2.08</v>
      </c>
      <c r="D49" s="11" t="str">
        <f ca="1">VLOOKUP(tbBets[[#This Row],[Game title]],tbResults[],(MATCH(OFFSET(tbBets[#Headers],0,1),tbResults[#Headers],0)),0)</f>
        <v>coollerz</v>
      </c>
      <c r="E49" s="11" t="str">
        <f ca="1">VLOOKUP(tbBets[[#This Row],[Game title]],tbResults[],(MATCH(OFFSET(tbBets[#Headers],0,1),tbResults[#Headers],0)),0)</f>
        <v>Cypher</v>
      </c>
      <c r="F49" s="11" t="str">
        <f ca="1">VLOOKUP(tbBets[[#This Row],[Game title]],tbResults[],(MATCH(OFFSET(tbBets[#Headers],0,1),tbResults[#Headers],0)),0)</f>
        <v>Awoken</v>
      </c>
      <c r="G49" s="11" t="str">
        <f ca="1">VLOOKUP(tbBets[[#This Row],[Game title]],tbResults[],(MATCH(OFFSET(tbBets[#Headers],0,1),tbResults[#Headers],0)),0)</f>
        <v>Ranger</v>
      </c>
      <c r="H49" s="11" t="str">
        <f ca="1">VLOOKUP(tbBets[[#This Row],[Game title]],tbResults[],(MATCH(OFFSET(tbBets[#Headers],0,1),tbResults[#Headers],0)),0)</f>
        <v>Strogg</v>
      </c>
      <c r="I49" s="5">
        <f>67100+2500</f>
        <v>69600</v>
      </c>
      <c r="J49" s="13">
        <f>tbBets[[#This Row],[Opening Balance]]*(1/25)</f>
        <v>2784</v>
      </c>
      <c r="K49" s="13">
        <f>tbBets[[#This Row],[Opening Balance]]*(1/15)</f>
        <v>4640</v>
      </c>
      <c r="L49" s="7" t="s">
        <v>14</v>
      </c>
      <c r="M49" s="8">
        <v>2500</v>
      </c>
      <c r="N49" s="9">
        <v>0.66</v>
      </c>
      <c r="O49" s="9">
        <v>0.34</v>
      </c>
      <c r="P49" s="12" t="str">
        <f ca="1">IF(tbBets[[#This Row],[Winner]]=tbBets[[#This Row],[My pick]],"Yes","No")</f>
        <v>No</v>
      </c>
      <c r="Q49" s="5">
        <v>0</v>
      </c>
      <c r="R49" s="13">
        <f ca="1">SUMIF(tbBets[Week Title],tbBets[[#This Row],[Week Title]],tbBets[Payout])-SUMIF(tbBets[Week Title],tbBets[[#This Row],[Week Title]],tbBets[My bet])</f>
        <v>34780</v>
      </c>
      <c r="S49" s="11" t="str">
        <f ca="1">VLOOKUP(tbBets[[#This Row],[Game title]],tbResults[],(MATCH(OFFSET(tbBets[#Headers],0,1),tbResults[#Headers],0)),0)</f>
        <v>coollerz</v>
      </c>
      <c r="T49" s="11" t="str">
        <f ca="1">VLOOKUP(tbBets[[#This Row],[Game title]],tbResults[],(MATCH(OFFSET(tbBets[#Headers],0,1),tbResults[#Headers],0)),0)</f>
        <v>Cypher</v>
      </c>
    </row>
    <row r="50" spans="2:20" ht="30" customHeight="1" x14ac:dyDescent="0.3">
      <c r="B50" s="14" t="s">
        <v>248</v>
      </c>
      <c r="C50" s="20" t="str">
        <f ca="1">VLOOKUP(tbBets[[#This Row],[Game title]],tbResults[],(MATCH(OFFSET(tbBets[#Headers],0,1),tbResults[#Headers],0)),0)</f>
        <v>2.2.08</v>
      </c>
      <c r="D50" s="11" t="str">
        <f ca="1">VLOOKUP(tbBets[[#This Row],[Game title]],tbResults[],(MATCH(OFFSET(tbBets[#Headers],0,1),tbResults[#Headers],0)),0)</f>
        <v>coollerz</v>
      </c>
      <c r="E50" s="11" t="str">
        <f ca="1">VLOOKUP(tbBets[[#This Row],[Game title]],tbResults[],(MATCH(OFFSET(tbBets[#Headers],0,1),tbResults[#Headers],0)),0)</f>
        <v>Cypher</v>
      </c>
      <c r="F50" s="11" t="str">
        <f ca="1">VLOOKUP(tbBets[[#This Row],[Game title]],tbResults[],(MATCH(OFFSET(tbBets[#Headers],0,1),tbResults[#Headers],0)),0)</f>
        <v>Molten Falls</v>
      </c>
      <c r="G50" s="11" t="str">
        <f ca="1">VLOOKUP(tbBets[[#This Row],[Game title]],tbResults[],(MATCH(OFFSET(tbBets[#Headers],0,1),tbResults[#Headers],0)),0)</f>
        <v>Sorlag</v>
      </c>
      <c r="H50" s="11" t="str">
        <f ca="1">VLOOKUP(tbBets[[#This Row],[Game title]],tbResults[],(MATCH(OFFSET(tbBets[#Headers],0,1),tbResults[#Headers],0)),0)</f>
        <v>Galena</v>
      </c>
      <c r="I50" s="5">
        <f>64700+2500</f>
        <v>67200</v>
      </c>
      <c r="J50" s="13">
        <f>tbBets[[#This Row],[Opening Balance]]*(1/25)</f>
        <v>2688</v>
      </c>
      <c r="K50" s="13">
        <f>tbBets[[#This Row],[Opening Balance]]*(1/15)</f>
        <v>4480</v>
      </c>
      <c r="L50" s="7" t="s">
        <v>14</v>
      </c>
      <c r="M50" s="8">
        <v>2500</v>
      </c>
      <c r="N50" s="9">
        <v>0.43</v>
      </c>
      <c r="O50" s="9">
        <v>0.56999999999999995</v>
      </c>
      <c r="P50" s="12" t="str">
        <f ca="1">IF(tbBets[[#This Row],[Winner]]=tbBets[[#This Row],[My pick]],"Yes","No")</f>
        <v>No</v>
      </c>
      <c r="Q50" s="5">
        <v>0</v>
      </c>
      <c r="R50" s="13">
        <f ca="1">SUMIF(tbBets[Week Title],tbBets[[#This Row],[Week Title]],tbBets[Payout])-SUMIF(tbBets[Week Title],tbBets[[#This Row],[Week Title]],tbBets[My bet])</f>
        <v>34780</v>
      </c>
      <c r="S50" s="11" t="str">
        <f ca="1">VLOOKUP(tbBets[[#This Row],[Game title]],tbResults[],(MATCH(OFFSET(tbBets[#Headers],0,1),tbResults[#Headers],0)),0)</f>
        <v>coollerz</v>
      </c>
      <c r="T50" s="11" t="str">
        <f ca="1">VLOOKUP(tbBets[[#This Row],[Game title]],tbResults[],(MATCH(OFFSET(tbBets[#Headers],0,1),tbResults[#Headers],0)),0)</f>
        <v>Cypher</v>
      </c>
    </row>
    <row r="51" spans="2:20" ht="30" customHeight="1" x14ac:dyDescent="0.3">
      <c r="B51" s="14" t="s">
        <v>249</v>
      </c>
      <c r="C51" s="20" t="str">
        <f ca="1">VLOOKUP(tbBets[[#This Row],[Game title]],tbResults[],(MATCH(OFFSET(tbBets[#Headers],0,1),tbResults[#Headers],0)),0)</f>
        <v>2.2.08</v>
      </c>
      <c r="D51" s="11" t="str">
        <f ca="1">VLOOKUP(tbBets[[#This Row],[Game title]],tbResults[],(MATCH(OFFSET(tbBets[#Headers],0,1),tbResults[#Headers],0)),0)</f>
        <v>coollerz</v>
      </c>
      <c r="E51" s="11" t="str">
        <f ca="1">VLOOKUP(tbBets[[#This Row],[Game title]],tbResults[],(MATCH(OFFSET(tbBets[#Headers],0,1),tbResults[#Headers],0)),0)</f>
        <v>Cypher</v>
      </c>
      <c r="F51" s="11" t="str">
        <f ca="1">VLOOKUP(tbBets[[#This Row],[Game title]],tbResults[],(MATCH(OFFSET(tbBets[#Headers],0,1),tbResults[#Headers],0)),0)</f>
        <v>Vale of P'nath</v>
      </c>
      <c r="G51" s="11" t="str">
        <f ca="1">VLOOKUP(tbBets[[#This Row],[Game title]],tbResults[],(MATCH(OFFSET(tbBets[#Headers],0,1),tbResults[#Headers],0)),0)</f>
        <v>Keel</v>
      </c>
      <c r="H51" s="11" t="str">
        <f ca="1">VLOOKUP(tbBets[[#This Row],[Game title]],tbResults[],(MATCH(OFFSET(tbBets[#Headers],0,1),tbResults[#Headers],0)),0)</f>
        <v>BJ Blazkowicz</v>
      </c>
      <c r="I51" s="5">
        <f>59700+5000</f>
        <v>64700</v>
      </c>
      <c r="J51" s="13">
        <f>tbBets[[#This Row],[Opening Balance]]*(1/25)</f>
        <v>2588</v>
      </c>
      <c r="K51" s="13">
        <f>tbBets[[#This Row],[Opening Balance]]*(1/15)</f>
        <v>4313.333333333333</v>
      </c>
      <c r="L51" s="7" t="s">
        <v>14</v>
      </c>
      <c r="M51" s="8">
        <v>5000</v>
      </c>
      <c r="N51" s="9">
        <v>0.41</v>
      </c>
      <c r="O51" s="9">
        <v>0.59</v>
      </c>
      <c r="P51" s="12" t="str">
        <f ca="1">IF(tbBets[[#This Row],[Winner]]=tbBets[[#This Row],[My pick]],"Yes","No")</f>
        <v>Yes</v>
      </c>
      <c r="Q51" s="5">
        <v>12323</v>
      </c>
      <c r="R51" s="13">
        <f ca="1">SUMIF(tbBets[Week Title],tbBets[[#This Row],[Week Title]],tbBets[Payout])-SUMIF(tbBets[Week Title],tbBets[[#This Row],[Week Title]],tbBets[My bet])</f>
        <v>34780</v>
      </c>
      <c r="S51" s="11" t="str">
        <f ca="1">VLOOKUP(tbBets[[#This Row],[Game title]],tbResults[],(MATCH(OFFSET(tbBets[#Headers],0,1),tbResults[#Headers],0)),0)</f>
        <v>Cypher</v>
      </c>
      <c r="T51" s="11" t="str">
        <f ca="1">VLOOKUP(tbBets[[#This Row],[Game title]],tbResults[],(MATCH(OFFSET(tbBets[#Headers],0,1),tbResults[#Headers],0)),0)</f>
        <v>coollerz</v>
      </c>
    </row>
    <row r="52" spans="2:20" ht="30" customHeight="1" x14ac:dyDescent="0.3">
      <c r="B52" s="14" t="s">
        <v>250</v>
      </c>
      <c r="C52" s="20" t="str">
        <f ca="1">VLOOKUP(tbBets[[#This Row],[Game title]],tbResults[],(MATCH(OFFSET(tbBets[#Headers],0,1),tbResults[#Headers],0)),0)</f>
        <v>2.2.08</v>
      </c>
      <c r="D52" s="11" t="str">
        <f ca="1">VLOOKUP(tbBets[[#This Row],[Game title]],tbResults[],(MATCH(OFFSET(tbBets[#Headers],0,1),tbResults[#Headers],0)),0)</f>
        <v>Raisy</v>
      </c>
      <c r="E52" s="11" t="str">
        <f ca="1">VLOOKUP(tbBets[[#This Row],[Game title]],tbResults[],(MATCH(OFFSET(tbBets[#Headers],0,1),tbResults[#Headers],0)),0)</f>
        <v>Vengeurr</v>
      </c>
      <c r="F52" s="11" t="str">
        <f ca="1">VLOOKUP(tbBets[[#This Row],[Game title]],tbResults[],(MATCH(OFFSET(tbBets[#Headers],0,1),tbResults[#Headers],0)),0)</f>
        <v>Corrupted Keep</v>
      </c>
      <c r="G52" s="11" t="str">
        <f ca="1">VLOOKUP(tbBets[[#This Row],[Game title]],tbResults[],(MATCH(OFFSET(tbBets[#Headers],0,1),tbResults[#Headers],0)),0)</f>
        <v>Strogg</v>
      </c>
      <c r="H52" s="11" t="str">
        <f ca="1">VLOOKUP(tbBets[[#This Row],[Game title]],tbResults[],(MATCH(OFFSET(tbBets[#Headers],0,1),tbResults[#Headers],0)),0)</f>
        <v>Galena</v>
      </c>
      <c r="I52" s="5">
        <v>69700</v>
      </c>
      <c r="J52" s="13">
        <f>tbBets[[#This Row],[Opening Balance]]*(1/25)</f>
        <v>2788</v>
      </c>
      <c r="K52" s="13">
        <f>tbBets[[#This Row],[Opening Balance]]*(1/15)</f>
        <v>4646.666666666667</v>
      </c>
      <c r="L52" s="7" t="s">
        <v>13</v>
      </c>
      <c r="M52" s="8">
        <v>2500</v>
      </c>
      <c r="N52" s="9">
        <v>0.37</v>
      </c>
      <c r="O52" s="9">
        <v>0.63</v>
      </c>
      <c r="P52" s="12" t="str">
        <f ca="1">IF(tbBets[[#This Row],[Winner]]=tbBets[[#This Row],[My pick]],"Yes","No")</f>
        <v>No</v>
      </c>
      <c r="Q52" s="5">
        <v>0</v>
      </c>
      <c r="R52" s="13">
        <f ca="1">SUMIF(tbBets[Week Title],tbBets[[#This Row],[Week Title]],tbBets[Payout])-SUMIF(tbBets[Week Title],tbBets[[#This Row],[Week Title]],tbBets[My bet])</f>
        <v>34780</v>
      </c>
      <c r="S52" s="11" t="str">
        <f ca="1">VLOOKUP(tbBets[[#This Row],[Game title]],tbResults[],(MATCH(OFFSET(tbBets[#Headers],0,1),tbResults[#Headers],0)),0)</f>
        <v>Raisy</v>
      </c>
      <c r="T52" s="11" t="str">
        <f ca="1">VLOOKUP(tbBets[[#This Row],[Game title]],tbResults[],(MATCH(OFFSET(tbBets[#Headers],0,1),tbResults[#Headers],0)),0)</f>
        <v>Vengeurr</v>
      </c>
    </row>
    <row r="53" spans="2:20" ht="30" customHeight="1" x14ac:dyDescent="0.3">
      <c r="B53" s="14" t="s">
        <v>251</v>
      </c>
      <c r="C53" s="20" t="str">
        <f ca="1">VLOOKUP(tbBets[[#This Row],[Game title]],tbResults[],(MATCH(OFFSET(tbBets[#Headers],0,1),tbResults[#Headers],0)),0)</f>
        <v>2.2.08</v>
      </c>
      <c r="D53" s="11" t="str">
        <f ca="1">VLOOKUP(tbBets[[#This Row],[Game title]],tbResults[],(MATCH(OFFSET(tbBets[#Headers],0,1),tbResults[#Headers],0)),0)</f>
        <v>Raisy</v>
      </c>
      <c r="E53" s="11" t="str">
        <f ca="1">VLOOKUP(tbBets[[#This Row],[Game title]],tbResults[],(MATCH(OFFSET(tbBets[#Headers],0,1),tbResults[#Headers],0)),0)</f>
        <v>Vengeurr</v>
      </c>
      <c r="F53" s="11" t="str">
        <f ca="1">VLOOKUP(tbBets[[#This Row],[Game title]],tbResults[],(MATCH(OFFSET(tbBets[#Headers],0,1),tbResults[#Headers],0)),0)</f>
        <v>Awoken</v>
      </c>
      <c r="G53" s="11" t="str">
        <f ca="1">VLOOKUP(tbBets[[#This Row],[Game title]],tbResults[],(MATCH(OFFSET(tbBets[#Headers],0,1),tbResults[#Headers],0)),0)</f>
        <v>Visor</v>
      </c>
      <c r="H53" s="11" t="str">
        <f ca="1">VLOOKUP(tbBets[[#This Row],[Game title]],tbResults[],(MATCH(OFFSET(tbBets[#Headers],0,1),tbResults[#Headers],0)),0)</f>
        <v>Doom</v>
      </c>
      <c r="I53" s="5">
        <f>66300+3500</f>
        <v>69800</v>
      </c>
      <c r="J53" s="13">
        <f>tbBets[[#This Row],[Opening Balance]]*(1/25)</f>
        <v>2792</v>
      </c>
      <c r="K53" s="13">
        <f>tbBets[[#This Row],[Opening Balance]]*(1/15)</f>
        <v>4653.333333333333</v>
      </c>
      <c r="L53" s="7" t="s">
        <v>13</v>
      </c>
      <c r="M53" s="8">
        <v>3500</v>
      </c>
      <c r="N53" s="9">
        <v>0.51</v>
      </c>
      <c r="O53" s="9">
        <v>0.49</v>
      </c>
      <c r="P53" s="12" t="str">
        <f ca="1">IF(tbBets[[#This Row],[Winner]]=tbBets[[#This Row],[My pick]],"Yes","No")</f>
        <v>Yes</v>
      </c>
      <c r="Q53" s="5">
        <v>6842</v>
      </c>
      <c r="R53" s="13">
        <f ca="1">SUMIF(tbBets[Week Title],tbBets[[#This Row],[Week Title]],tbBets[Payout])-SUMIF(tbBets[Week Title],tbBets[[#This Row],[Week Title]],tbBets[My bet])</f>
        <v>34780</v>
      </c>
      <c r="S53" s="11" t="str">
        <f ca="1">VLOOKUP(tbBets[[#This Row],[Game title]],tbResults[],(MATCH(OFFSET(tbBets[#Headers],0,1),tbResults[#Headers],0)),0)</f>
        <v>Vengeurr</v>
      </c>
      <c r="T53" s="11" t="str">
        <f ca="1">VLOOKUP(tbBets[[#This Row],[Game title]],tbResults[],(MATCH(OFFSET(tbBets[#Headers],0,1),tbResults[#Headers],0)),0)</f>
        <v>Raisy</v>
      </c>
    </row>
    <row r="54" spans="2:20" ht="30" customHeight="1" x14ac:dyDescent="0.3">
      <c r="B54" s="14" t="s">
        <v>252</v>
      </c>
      <c r="C54" s="20" t="str">
        <f ca="1">VLOOKUP(tbBets[[#This Row],[Game title]],tbResults[],(MATCH(OFFSET(tbBets[#Headers],0,1),tbResults[#Headers],0)),0)</f>
        <v>2.2.08</v>
      </c>
      <c r="D54" s="11" t="str">
        <f ca="1">VLOOKUP(tbBets[[#This Row],[Game title]],tbResults[],(MATCH(OFFSET(tbBets[#Headers],0,1),tbResults[#Headers],0)),0)</f>
        <v>Raisy</v>
      </c>
      <c r="E54" s="11" t="str">
        <f ca="1">VLOOKUP(tbBets[[#This Row],[Game title]],tbResults[],(MATCH(OFFSET(tbBets[#Headers],0,1),tbResults[#Headers],0)),0)</f>
        <v>Vengeurr</v>
      </c>
      <c r="F54" s="11" t="str">
        <f ca="1">VLOOKUP(tbBets[[#This Row],[Game title]],tbResults[],(MATCH(OFFSET(tbBets[#Headers],0,1),tbResults[#Headers],0)),0)</f>
        <v>Ruins of Sarnath</v>
      </c>
      <c r="G54" s="11" t="str">
        <f ca="1">VLOOKUP(tbBets[[#This Row],[Game title]],tbResults[],(MATCH(OFFSET(tbBets[#Headers],0,1),tbResults[#Headers],0)),0)</f>
        <v>Ranger</v>
      </c>
      <c r="H54" s="11" t="str">
        <f ca="1">VLOOKUP(tbBets[[#This Row],[Game title]],tbResults[],(MATCH(OFFSET(tbBets[#Headers],0,1),tbResults[#Headers],0)),0)</f>
        <v>Anarki</v>
      </c>
      <c r="I54" s="5">
        <f>69700+3500</f>
        <v>73200</v>
      </c>
      <c r="J54" s="13">
        <f>tbBets[[#This Row],[Opening Balance]]*(1/25)</f>
        <v>2928</v>
      </c>
      <c r="K54" s="13">
        <f>tbBets[[#This Row],[Opening Balance]]*(1/15)</f>
        <v>4880</v>
      </c>
      <c r="L54" s="7" t="s">
        <v>13</v>
      </c>
      <c r="M54" s="8">
        <v>3500</v>
      </c>
      <c r="N54" s="9">
        <v>0.39</v>
      </c>
      <c r="O54" s="9">
        <v>0.61</v>
      </c>
      <c r="P54" s="12" t="str">
        <f ca="1">IF(tbBets[[#This Row],[Winner]]=tbBets[[#This Row],[My pick]],"Yes","No")</f>
        <v>Yes</v>
      </c>
      <c r="Q54" s="5">
        <v>9085</v>
      </c>
      <c r="R54" s="13">
        <f ca="1">SUMIF(tbBets[Week Title],tbBets[[#This Row],[Week Title]],tbBets[Payout])-SUMIF(tbBets[Week Title],tbBets[[#This Row],[Week Title]],tbBets[My bet])</f>
        <v>34780</v>
      </c>
      <c r="S54" s="11" t="str">
        <f ca="1">VLOOKUP(tbBets[[#This Row],[Game title]],tbResults[],(MATCH(OFFSET(tbBets[#Headers],0,1),tbResults[#Headers],0)),0)</f>
        <v>Vengeurr</v>
      </c>
      <c r="T54" s="11" t="str">
        <f ca="1">VLOOKUP(tbBets[[#This Row],[Game title]],tbResults[],(MATCH(OFFSET(tbBets[#Headers],0,1),tbResults[#Headers],0)),0)</f>
        <v>Raisy</v>
      </c>
    </row>
    <row r="55" spans="2:20" ht="30" customHeight="1" x14ac:dyDescent="0.3">
      <c r="B55" s="14" t="s">
        <v>276</v>
      </c>
      <c r="C55" s="20" t="str">
        <f ca="1">VLOOKUP(tbBets[[#This Row],[Game title]],tbResults[],(MATCH(OFFSET(tbBets[#Headers],0,1),tbResults[#Headers],0)),0)</f>
        <v>2.2.09</v>
      </c>
      <c r="D55" s="11" t="str">
        <f ca="1">VLOOKUP(tbBets[[#This Row],[Game title]],tbResults[],(MATCH(OFFSET(tbBets[#Headers],0,1),tbResults[#Headers],0)),0)</f>
        <v>Zenaku</v>
      </c>
      <c r="E55" s="11" t="str">
        <f ca="1">VLOOKUP(tbBets[[#This Row],[Game title]],tbResults[],(MATCH(OFFSET(tbBets[#Headers],0,1),tbResults[#Headers],0)),0)</f>
        <v>Maxter</v>
      </c>
      <c r="F55" s="11" t="str">
        <f ca="1">VLOOKUP(tbBets[[#This Row],[Game title]],tbResults[],(MATCH(OFFSET(tbBets[#Headers],0,1),tbResults[#Headers],0)),0)</f>
        <v>Deep Embrace</v>
      </c>
      <c r="G55" s="11" t="str">
        <f ca="1">VLOOKUP(tbBets[[#This Row],[Game title]],tbResults[],(MATCH(OFFSET(tbBets[#Headers],0,1),tbResults[#Headers],0)),0)</f>
        <v>Scalebearer</v>
      </c>
      <c r="H55" s="11" t="str">
        <f ca="1">VLOOKUP(tbBets[[#This Row],[Game title]],tbResults[],(MATCH(OFFSET(tbBets[#Headers],0,1),tbResults[#Headers],0)),0)</f>
        <v>Keel</v>
      </c>
      <c r="I55" s="5">
        <v>79600</v>
      </c>
      <c r="J55" s="13">
        <f>tbBets[[#This Row],[Opening Balance]]*(1/25)</f>
        <v>3184</v>
      </c>
      <c r="K55" s="13">
        <f>tbBets[[#This Row],[Opening Balance]]*(1/15)</f>
        <v>5306.666666666667</v>
      </c>
      <c r="L55" s="43" t="s">
        <v>86</v>
      </c>
      <c r="M55" s="8">
        <v>5000</v>
      </c>
      <c r="N55" s="9">
        <v>0.61</v>
      </c>
      <c r="O55" s="9">
        <v>0.39</v>
      </c>
      <c r="P55" s="12" t="str">
        <f ca="1">IF(tbBets[[#This Row],[Winner]]=tbBets[[#This Row],[My pick]],"Yes","No")</f>
        <v>Yes</v>
      </c>
      <c r="Q55" s="5">
        <v>11527</v>
      </c>
      <c r="R55" s="13">
        <f ca="1">SUMIF(tbBets[Week Title],tbBets[[#This Row],[Week Title]],tbBets[Payout])-SUMIF(tbBets[Week Title],tbBets[[#This Row],[Week Title]],tbBets[My bet])</f>
        <v>9471</v>
      </c>
      <c r="S55" s="11" t="str">
        <f ca="1">VLOOKUP(tbBets[[#This Row],[Game title]],tbResults[],(MATCH(OFFSET(tbBets[#Headers],0,1),tbResults[#Headers],0)),0)</f>
        <v>Maxter</v>
      </c>
      <c r="T55" s="11" t="str">
        <f ca="1">VLOOKUP(tbBets[[#This Row],[Game title]],tbResults[],(MATCH(OFFSET(tbBets[#Headers],0,1),tbResults[#Headers],0)),0)</f>
        <v>Zenaku</v>
      </c>
    </row>
    <row r="56" spans="2:20" ht="30" customHeight="1" x14ac:dyDescent="0.3">
      <c r="B56" s="14" t="s">
        <v>277</v>
      </c>
      <c r="C56" s="20" t="str">
        <f ca="1">VLOOKUP(tbBets[[#This Row],[Game title]],tbResults[],(MATCH(OFFSET(tbBets[#Headers],0,1),tbResults[#Headers],0)),0)</f>
        <v>2.2.09</v>
      </c>
      <c r="D56" s="11" t="str">
        <f ca="1">VLOOKUP(tbBets[[#This Row],[Game title]],tbResults[],(MATCH(OFFSET(tbBets[#Headers],0,1),tbResults[#Headers],0)),0)</f>
        <v>dooi</v>
      </c>
      <c r="E56" s="11" t="str">
        <f ca="1">VLOOKUP(tbBets[[#This Row],[Game title]],tbResults[],(MATCH(OFFSET(tbBets[#Headers],0,1),tbResults[#Headers],0)),0)</f>
        <v>Nosfa</v>
      </c>
      <c r="F56" s="11" t="str">
        <f ca="1">VLOOKUP(tbBets[[#This Row],[Game title]],tbResults[],(MATCH(OFFSET(tbBets[#Headers],0,1),tbResults[#Headers],0)),0)</f>
        <v>Ruins of Sarnath</v>
      </c>
      <c r="G56" s="11" t="str">
        <f ca="1">VLOOKUP(tbBets[[#This Row],[Game title]],tbResults[],(MATCH(OFFSET(tbBets[#Headers],0,1),tbResults[#Headers],0)),0)</f>
        <v>Strogg</v>
      </c>
      <c r="H56" s="11" t="str">
        <f ca="1">VLOOKUP(tbBets[[#This Row],[Game title]],tbResults[],(MATCH(OFFSET(tbBets[#Headers],0,1),tbResults[#Headers],0)),0)</f>
        <v>Sorlag</v>
      </c>
      <c r="I56" s="5">
        <v>86300</v>
      </c>
      <c r="J56" s="13">
        <f>tbBets[[#This Row],[Opening Balance]]*(1/25)</f>
        <v>3452</v>
      </c>
      <c r="K56" s="13">
        <f>tbBets[[#This Row],[Opening Balance]]*(1/15)</f>
        <v>5753.333333333333</v>
      </c>
      <c r="L56" s="43" t="s">
        <v>11</v>
      </c>
      <c r="M56" s="8">
        <v>10000</v>
      </c>
      <c r="N56" s="9">
        <v>0.87</v>
      </c>
      <c r="O56" s="9">
        <v>0.13</v>
      </c>
      <c r="P56" s="12" t="str">
        <f ca="1">IF(tbBets[[#This Row],[Winner]]=tbBets[[#This Row],[My pick]],"Yes","No")</f>
        <v>Yes</v>
      </c>
      <c r="Q56" s="5">
        <v>11549</v>
      </c>
      <c r="R56" s="13">
        <f ca="1">SUMIF(tbBets[Week Title],tbBets[[#This Row],[Week Title]],tbBets[Payout])-SUMIF(tbBets[Week Title],tbBets[[#This Row],[Week Title]],tbBets[My bet])</f>
        <v>9471</v>
      </c>
      <c r="S56" s="11" t="str">
        <f ca="1">VLOOKUP(tbBets[[#This Row],[Game title]],tbResults[],(MATCH(OFFSET(tbBets[#Headers],0,1),tbResults[#Headers],0)),0)</f>
        <v>Nosfa</v>
      </c>
      <c r="T56" s="11" t="str">
        <f ca="1">VLOOKUP(tbBets[[#This Row],[Game title]],tbResults[],(MATCH(OFFSET(tbBets[#Headers],0,1),tbResults[#Headers],0)),0)</f>
        <v>dooi</v>
      </c>
    </row>
    <row r="57" spans="2:20" ht="30" customHeight="1" x14ac:dyDescent="0.3">
      <c r="B57" s="14" t="s">
        <v>278</v>
      </c>
      <c r="C57" s="20" t="str">
        <f ca="1">VLOOKUP(tbBets[[#This Row],[Game title]],tbResults[],(MATCH(OFFSET(tbBets[#Headers],0,1),tbResults[#Headers],0)),0)</f>
        <v>2.2.09</v>
      </c>
      <c r="D57" s="11" t="str">
        <f ca="1">VLOOKUP(tbBets[[#This Row],[Game title]],tbResults[],(MATCH(OFFSET(tbBets[#Headers],0,1),tbResults[#Headers],0)),0)</f>
        <v>dooi</v>
      </c>
      <c r="E57" s="11" t="str">
        <f ca="1">VLOOKUP(tbBets[[#This Row],[Game title]],tbResults[],(MATCH(OFFSET(tbBets[#Headers],0,1),tbResults[#Headers],0)),0)</f>
        <v>Nosfa</v>
      </c>
      <c r="F57" s="11" t="str">
        <f ca="1">VLOOKUP(tbBets[[#This Row],[Game title]],tbResults[],(MATCH(OFFSET(tbBets[#Headers],0,1),tbResults[#Headers],0)),0)</f>
        <v>Molten Falls</v>
      </c>
      <c r="G57" s="11" t="str">
        <f ca="1">VLOOKUP(tbBets[[#This Row],[Game title]],tbResults[],(MATCH(OFFSET(tbBets[#Headers],0,1),tbResults[#Headers],0)),0)</f>
        <v>Visor</v>
      </c>
      <c r="H57" s="11" t="str">
        <f ca="1">VLOOKUP(tbBets[[#This Row],[Game title]],tbResults[],(MATCH(OFFSET(tbBets[#Headers],0,1),tbResults[#Headers],0)),0)</f>
        <v>Ranger</v>
      </c>
      <c r="I57" s="5">
        <f>85400+2500</f>
        <v>87900</v>
      </c>
      <c r="J57" s="13">
        <f>tbBets[[#This Row],[Opening Balance]]*(1/25)</f>
        <v>3516</v>
      </c>
      <c r="K57" s="13">
        <f>tbBets[[#This Row],[Opening Balance]]*(1/15)</f>
        <v>5860</v>
      </c>
      <c r="L57" s="43" t="s">
        <v>5</v>
      </c>
      <c r="M57" s="8">
        <v>2500</v>
      </c>
      <c r="N57" s="9"/>
      <c r="O57" s="9"/>
      <c r="P57" s="12" t="str">
        <f ca="1">IF(tbBets[[#This Row],[Winner]]=tbBets[[#This Row],[My pick]],"Yes","No")</f>
        <v>No</v>
      </c>
      <c r="Q57" s="5">
        <v>0</v>
      </c>
      <c r="R57" s="13">
        <f ca="1">SUMIF(tbBets[Week Title],tbBets[[#This Row],[Week Title]],tbBets[Payout])-SUMIF(tbBets[Week Title],tbBets[[#This Row],[Week Title]],tbBets[My bet])</f>
        <v>9471</v>
      </c>
      <c r="S57" s="11" t="str">
        <f ca="1">VLOOKUP(tbBets[[#This Row],[Game title]],tbResults[],(MATCH(OFFSET(tbBets[#Headers],0,1),tbResults[#Headers],0)),0)</f>
        <v>Nosfa</v>
      </c>
      <c r="T57" s="11" t="str">
        <f ca="1">VLOOKUP(tbBets[[#This Row],[Game title]],tbResults[],(MATCH(OFFSET(tbBets[#Headers],0,1),tbResults[#Headers],0)),0)</f>
        <v>dooi</v>
      </c>
    </row>
    <row r="58" spans="2:20" ht="30" customHeight="1" x14ac:dyDescent="0.3">
      <c r="B58" s="14" t="s">
        <v>279</v>
      </c>
      <c r="C58" s="20" t="str">
        <f ca="1">VLOOKUP(tbBets[[#This Row],[Game title]],tbResults[],(MATCH(OFFSET(tbBets[#Headers],0,1),tbResults[#Headers],0)),0)</f>
        <v>2.2.09</v>
      </c>
      <c r="D58" s="11" t="str">
        <f ca="1">VLOOKUP(tbBets[[#This Row],[Game title]],tbResults[],(MATCH(OFFSET(tbBets[#Headers],0,1),tbResults[#Headers],0)),0)</f>
        <v>dooi</v>
      </c>
      <c r="E58" s="11" t="str">
        <f ca="1">VLOOKUP(tbBets[[#This Row],[Game title]],tbResults[],(MATCH(OFFSET(tbBets[#Headers],0,1),tbResults[#Headers],0)),0)</f>
        <v>Nosfa</v>
      </c>
      <c r="F58" s="11" t="str">
        <f ca="1">VLOOKUP(tbBets[[#This Row],[Game title]],tbResults[],(MATCH(OFFSET(tbBets[#Headers],0,1),tbResults[#Headers],0)),0)</f>
        <v>Vale of P'nath</v>
      </c>
      <c r="G58" s="11" t="str">
        <f ca="1">VLOOKUP(tbBets[[#This Row],[Game title]],tbResults[],(MATCH(OFFSET(tbBets[#Headers],0,1),tbResults[#Headers],0)),0)</f>
        <v>Eisen</v>
      </c>
      <c r="H58" s="11" t="str">
        <f ca="1">VLOOKUP(tbBets[[#This Row],[Game title]],tbResults[],(MATCH(OFFSET(tbBets[#Headers],0,1),tbResults[#Headers],0)),0)</f>
        <v>BJ Blazkowicz</v>
      </c>
      <c r="I58" s="5">
        <v>85400</v>
      </c>
      <c r="J58" s="13">
        <f>tbBets[[#This Row],[Opening Balance]]*(1/25)</f>
        <v>3416</v>
      </c>
      <c r="K58" s="13">
        <f>tbBets[[#This Row],[Opening Balance]]*(1/15)</f>
        <v>5693.333333333333</v>
      </c>
      <c r="L58" s="43" t="s">
        <v>11</v>
      </c>
      <c r="M58" s="8">
        <v>10000</v>
      </c>
      <c r="N58" s="9">
        <v>0.78</v>
      </c>
      <c r="O58" s="9">
        <v>0.22</v>
      </c>
      <c r="P58" s="12" t="str">
        <f ca="1">IF(tbBets[[#This Row],[Winner]]=tbBets[[#This Row],[My pick]],"Yes","No")</f>
        <v>Yes</v>
      </c>
      <c r="Q58" s="5">
        <v>12815</v>
      </c>
      <c r="R58" s="13">
        <f ca="1">SUMIF(tbBets[Week Title],tbBets[[#This Row],[Week Title]],tbBets[Payout])-SUMIF(tbBets[Week Title],tbBets[[#This Row],[Week Title]],tbBets[My bet])</f>
        <v>9471</v>
      </c>
      <c r="S58" s="11" t="str">
        <f ca="1">VLOOKUP(tbBets[[#This Row],[Game title]],tbResults[],(MATCH(OFFSET(tbBets[#Headers],0,1),tbResults[#Headers],0)),0)</f>
        <v>Nosfa</v>
      </c>
      <c r="T58" s="11" t="str">
        <f ca="1">VLOOKUP(tbBets[[#This Row],[Game title]],tbResults[],(MATCH(OFFSET(tbBets[#Headers],0,1),tbResults[#Headers],0)),0)</f>
        <v>dooi</v>
      </c>
    </row>
    <row r="59" spans="2:20" ht="30" customHeight="1" x14ac:dyDescent="0.3">
      <c r="B59" s="14" t="s">
        <v>280</v>
      </c>
      <c r="C59" s="20" t="str">
        <f ca="1">VLOOKUP(tbBets[[#This Row],[Game title]],tbResults[],(MATCH(OFFSET(tbBets[#Headers],0,1),tbResults[#Headers],0)),0)</f>
        <v>2.2.09</v>
      </c>
      <c r="D59" s="11" t="str">
        <f ca="1">VLOOKUP(tbBets[[#This Row],[Game title]],tbResults[],(MATCH(OFFSET(tbBets[#Headers],0,1),tbResults[#Headers],0)),0)</f>
        <v>dramis</v>
      </c>
      <c r="E59" s="11" t="str">
        <f ca="1">VLOOKUP(tbBets[[#This Row],[Game title]],tbResults[],(MATCH(OFFSET(tbBets[#Headers],0,1),tbResults[#Headers],0)),0)</f>
        <v>Effortless</v>
      </c>
      <c r="F59" s="11" t="str">
        <f ca="1">VLOOKUP(tbBets[[#This Row],[Game title]],tbResults[],(MATCH(OFFSET(tbBets[#Headers],0,1),tbResults[#Headers],0)),0)</f>
        <v>Corrupted Keep</v>
      </c>
      <c r="G59" s="11" t="str">
        <f ca="1">VLOOKUP(tbBets[[#This Row],[Game title]],tbResults[],(MATCH(OFFSET(tbBets[#Headers],0,1),tbResults[#Headers],0)),0)</f>
        <v>Strogg</v>
      </c>
      <c r="H59" s="11" t="str">
        <f ca="1">VLOOKUP(tbBets[[#This Row],[Game title]],tbResults[],(MATCH(OFFSET(tbBets[#Headers],0,1),tbResults[#Headers],0)),0)</f>
        <v>Keel</v>
      </c>
      <c r="I59" s="5">
        <v>88400</v>
      </c>
      <c r="J59" s="13">
        <f>tbBets[[#This Row],[Opening Balance]]*(1/25)</f>
        <v>3536</v>
      </c>
      <c r="K59" s="13">
        <f>tbBets[[#This Row],[Opening Balance]]*(1/15)</f>
        <v>5893.333333333333</v>
      </c>
      <c r="L59" s="43" t="s">
        <v>12</v>
      </c>
      <c r="M59" s="8">
        <v>3500</v>
      </c>
      <c r="N59" s="9">
        <v>0.52</v>
      </c>
      <c r="O59" s="9">
        <v>0.48</v>
      </c>
      <c r="P59" s="12" t="str">
        <f ca="1">IF(tbBets[[#This Row],[Winner]]=tbBets[[#This Row],[My pick]],"Yes","No")</f>
        <v>No</v>
      </c>
      <c r="Q59" s="5">
        <v>0</v>
      </c>
      <c r="R59" s="13">
        <f ca="1">SUMIF(tbBets[Week Title],tbBets[[#This Row],[Week Title]],tbBets[Payout])-SUMIF(tbBets[Week Title],tbBets[[#This Row],[Week Title]],tbBets[My bet])</f>
        <v>9471</v>
      </c>
      <c r="S59" s="11" t="str">
        <f ca="1">VLOOKUP(tbBets[[#This Row],[Game title]],tbResults[],(MATCH(OFFSET(tbBets[#Headers],0,1),tbResults[#Headers],0)),0)</f>
        <v>Effortless</v>
      </c>
      <c r="T59" s="11" t="str">
        <f ca="1">VLOOKUP(tbBets[[#This Row],[Game title]],tbResults[],(MATCH(OFFSET(tbBets[#Headers],0,1),tbResults[#Headers],0)),0)</f>
        <v>dramis</v>
      </c>
    </row>
    <row r="60" spans="2:20" ht="30" customHeight="1" x14ac:dyDescent="0.3">
      <c r="B60" s="14" t="s">
        <v>281</v>
      </c>
      <c r="C60" s="20" t="str">
        <f ca="1">VLOOKUP(tbBets[[#This Row],[Game title]],tbResults[],(MATCH(OFFSET(tbBets[#Headers],0,1),tbResults[#Headers],0)),0)</f>
        <v>2.2.09</v>
      </c>
      <c r="D60" s="11" t="str">
        <f ca="1">VLOOKUP(tbBets[[#This Row],[Game title]],tbResults[],(MATCH(OFFSET(tbBets[#Headers],0,1),tbResults[#Headers],0)),0)</f>
        <v>dramis</v>
      </c>
      <c r="E60" s="11" t="str">
        <f ca="1">VLOOKUP(tbBets[[#This Row],[Game title]],tbResults[],(MATCH(OFFSET(tbBets[#Headers],0,1),tbResults[#Headers],0)),0)</f>
        <v>Effortless</v>
      </c>
      <c r="F60" s="11" t="str">
        <f ca="1">VLOOKUP(tbBets[[#This Row],[Game title]],tbResults[],(MATCH(OFFSET(tbBets[#Headers],0,1),tbResults[#Headers],0)),0)</f>
        <v>Deep Embrace</v>
      </c>
      <c r="G60" s="11" t="str">
        <f ca="1">VLOOKUP(tbBets[[#This Row],[Game title]],tbResults[],(MATCH(OFFSET(tbBets[#Headers],0,1),tbResults[#Headers],0)),0)</f>
        <v>Athena</v>
      </c>
      <c r="H60" s="11" t="str">
        <f ca="1">VLOOKUP(tbBets[[#This Row],[Game title]],tbResults[],(MATCH(OFFSET(tbBets[#Headers],0,1),tbResults[#Headers],0)),0)</f>
        <v>Ranger</v>
      </c>
      <c r="I60" s="5">
        <f>8200+3000</f>
        <v>11200</v>
      </c>
      <c r="J60" s="13">
        <f>tbBets[[#This Row],[Opening Balance]]*(1/25)</f>
        <v>448</v>
      </c>
      <c r="K60" s="13">
        <f>tbBets[[#This Row],[Opening Balance]]*(1/15)</f>
        <v>746.66666666666663</v>
      </c>
      <c r="L60" s="43" t="s">
        <v>6</v>
      </c>
      <c r="M60" s="8">
        <v>3000</v>
      </c>
      <c r="N60" s="9">
        <v>0.56000000000000005</v>
      </c>
      <c r="O60" s="9">
        <v>0.44</v>
      </c>
      <c r="P60" s="12" t="str">
        <f ca="1">IF(tbBets[[#This Row],[Winner]]=tbBets[[#This Row],[My pick]],"Yes","No")</f>
        <v>Yes</v>
      </c>
      <c r="Q60" s="5">
        <v>5402</v>
      </c>
      <c r="R60" s="13">
        <f ca="1">SUMIF(tbBets[Week Title],tbBets[[#This Row],[Week Title]],tbBets[Payout])-SUMIF(tbBets[Week Title],tbBets[[#This Row],[Week Title]],tbBets[My bet])</f>
        <v>9471</v>
      </c>
      <c r="S60" s="11" t="str">
        <f ca="1">VLOOKUP(tbBets[[#This Row],[Game title]],tbResults[],(MATCH(OFFSET(tbBets[#Headers],0,1),tbResults[#Headers],0)),0)</f>
        <v>Effortless</v>
      </c>
      <c r="T60" s="11" t="str">
        <f ca="1">VLOOKUP(tbBets[[#This Row],[Game title]],tbResults[],(MATCH(OFFSET(tbBets[#Headers],0,1),tbResults[#Headers],0)),0)</f>
        <v>dramis</v>
      </c>
    </row>
    <row r="61" spans="2:20" ht="30" customHeight="1" x14ac:dyDescent="0.3">
      <c r="B61" s="14" t="s">
        <v>282</v>
      </c>
      <c r="C61" s="20" t="str">
        <f ca="1">VLOOKUP(tbBets[[#This Row],[Game title]],tbResults[],(MATCH(OFFSET(tbBets[#Headers],0,1),tbResults[#Headers],0)),0)</f>
        <v>2.2.09</v>
      </c>
      <c r="D61" s="11" t="str">
        <f ca="1">VLOOKUP(tbBets[[#This Row],[Game title]],tbResults[],(MATCH(OFFSET(tbBets[#Headers],0,1),tbResults[#Headers],0)),0)</f>
        <v>dramis</v>
      </c>
      <c r="E61" s="11" t="str">
        <f ca="1">VLOOKUP(tbBets[[#This Row],[Game title]],tbResults[],(MATCH(OFFSET(tbBets[#Headers],0,1),tbResults[#Headers],0)),0)</f>
        <v>Effortless</v>
      </c>
      <c r="F61" s="11" t="str">
        <f ca="1">VLOOKUP(tbBets[[#This Row],[Game title]],tbResults[],(MATCH(OFFSET(tbBets[#Headers],0,1),tbResults[#Headers],0)),0)</f>
        <v>Vale of P'nath</v>
      </c>
      <c r="G61" s="11" t="str">
        <f ca="1">VLOOKUP(tbBets[[#This Row],[Game title]],tbResults[],(MATCH(OFFSET(tbBets[#Headers],0,1),tbResults[#Headers],0)),0)</f>
        <v>Scalebearer</v>
      </c>
      <c r="H61" s="11" t="str">
        <f ca="1">VLOOKUP(tbBets[[#This Row],[Game title]],tbResults[],(MATCH(OFFSET(tbBets[#Headers],0,1),tbResults[#Headers],0)),0)</f>
        <v>Galena</v>
      </c>
      <c r="I61" s="5">
        <v>87400</v>
      </c>
      <c r="J61" s="13">
        <f>tbBets[[#This Row],[Opening Balance]]*(1/25)</f>
        <v>3496</v>
      </c>
      <c r="K61" s="13">
        <f>tbBets[[#This Row],[Opening Balance]]*(1/15)</f>
        <v>5826.666666666667</v>
      </c>
      <c r="L61" s="43" t="s">
        <v>6</v>
      </c>
      <c r="M61" s="8">
        <v>3000</v>
      </c>
      <c r="N61" s="9">
        <v>0.36</v>
      </c>
      <c r="O61" s="9">
        <v>0.64</v>
      </c>
      <c r="P61" s="12" t="str">
        <f ca="1">IF(tbBets[[#This Row],[Winner]]=tbBets[[#This Row],[My pick]],"Yes","No")</f>
        <v>Yes</v>
      </c>
      <c r="Q61" s="5">
        <v>8439</v>
      </c>
      <c r="R61" s="13">
        <f ca="1">SUMIF(tbBets[Week Title],tbBets[[#This Row],[Week Title]],tbBets[Payout])-SUMIF(tbBets[Week Title],tbBets[[#This Row],[Week Title]],tbBets[My bet])</f>
        <v>9471</v>
      </c>
      <c r="S61" s="11" t="str">
        <f ca="1">VLOOKUP(tbBets[[#This Row],[Game title]],tbResults[],(MATCH(OFFSET(tbBets[#Headers],0,1),tbResults[#Headers],0)),0)</f>
        <v>Effortless</v>
      </c>
      <c r="T61" s="11" t="str">
        <f ca="1">VLOOKUP(tbBets[[#This Row],[Game title]],tbResults[],(MATCH(OFFSET(tbBets[#Headers],0,1),tbResults[#Headers],0)),0)</f>
        <v>dramis</v>
      </c>
    </row>
    <row r="62" spans="2:20" ht="30" customHeight="1" x14ac:dyDescent="0.3">
      <c r="B62" s="14" t="s">
        <v>283</v>
      </c>
      <c r="C62" s="20" t="str">
        <f ca="1">VLOOKUP(tbBets[[#This Row],[Game title]],tbResults[],(MATCH(OFFSET(tbBets[#Headers],0,1),tbResults[#Headers],0)),0)</f>
        <v>2.2.09</v>
      </c>
      <c r="D62" s="11" t="str">
        <f ca="1">VLOOKUP(tbBets[[#This Row],[Game title]],tbResults[],(MATCH(OFFSET(tbBets[#Headers],0,1),tbResults[#Headers],0)),0)</f>
        <v>DaHanG</v>
      </c>
      <c r="E62" s="11" t="str">
        <f ca="1">VLOOKUP(tbBets[[#This Row],[Game title]],tbResults[],(MATCH(OFFSET(tbBets[#Headers],0,1),tbResults[#Headers],0)),0)</f>
        <v>cha1n</v>
      </c>
      <c r="F62" s="11" t="str">
        <f ca="1">VLOOKUP(tbBets[[#This Row],[Game title]],tbResults[],(MATCH(OFFSET(tbBets[#Headers],0,1),tbResults[#Headers],0)),0)</f>
        <v>Exile</v>
      </c>
      <c r="G62" s="11" t="str">
        <f ca="1">VLOOKUP(tbBets[[#This Row],[Game title]],tbResults[],(MATCH(OFFSET(tbBets[#Headers],0,1),tbResults[#Headers],0)),0)</f>
        <v>Doom</v>
      </c>
      <c r="H62" s="11" t="str">
        <f ca="1">VLOOKUP(tbBets[[#This Row],[Game title]],tbResults[],(MATCH(OFFSET(tbBets[#Headers],0,1),tbResults[#Headers],0)),0)</f>
        <v>Athena</v>
      </c>
      <c r="I62" s="5">
        <v>93000</v>
      </c>
      <c r="J62" s="13">
        <f>tbBets[[#This Row],[Opening Balance]]*(1/25)</f>
        <v>3720</v>
      </c>
      <c r="K62" s="13">
        <f>tbBets[[#This Row],[Opening Balance]]*(1/15)</f>
        <v>6200</v>
      </c>
      <c r="L62" s="43" t="s">
        <v>53</v>
      </c>
      <c r="M62" s="8">
        <v>3000</v>
      </c>
      <c r="N62" s="9">
        <v>0.86</v>
      </c>
      <c r="O62" s="9">
        <v>0.14000000000000001</v>
      </c>
      <c r="P62" s="12" t="str">
        <f ca="1">IF(tbBets[[#This Row],[Winner]]=tbBets[[#This Row],[My pick]],"Yes","No")</f>
        <v>No</v>
      </c>
      <c r="Q62" s="5">
        <v>0</v>
      </c>
      <c r="R62" s="13">
        <f ca="1">SUMIF(tbBets[Week Title],tbBets[[#This Row],[Week Title]],tbBets[Payout])-SUMIF(tbBets[Week Title],tbBets[[#This Row],[Week Title]],tbBets[My bet])</f>
        <v>9471</v>
      </c>
      <c r="S62" s="11" t="str">
        <f ca="1">VLOOKUP(tbBets[[#This Row],[Game title]],tbResults[],(MATCH(OFFSET(tbBets[#Headers],0,1),tbResults[#Headers],0)),0)</f>
        <v>DaHanG</v>
      </c>
      <c r="T62" s="11" t="str">
        <f ca="1">VLOOKUP(tbBets[[#This Row],[Game title]],tbResults[],(MATCH(OFFSET(tbBets[#Headers],0,1),tbResults[#Headers],0)),0)</f>
        <v>cha1n</v>
      </c>
    </row>
    <row r="63" spans="2:20" ht="30" customHeight="1" x14ac:dyDescent="0.3">
      <c r="B63" s="14" t="s">
        <v>284</v>
      </c>
      <c r="C63" s="20" t="str">
        <f ca="1">VLOOKUP(tbBets[[#This Row],[Game title]],tbResults[],(MATCH(OFFSET(tbBets[#Headers],0,1),tbResults[#Headers],0)),0)</f>
        <v>2.2.09</v>
      </c>
      <c r="D63" s="11" t="str">
        <f ca="1">VLOOKUP(tbBets[[#This Row],[Game title]],tbResults[],(MATCH(OFFSET(tbBets[#Headers],0,1),tbResults[#Headers],0)),0)</f>
        <v>DaHanG</v>
      </c>
      <c r="E63" s="11" t="str">
        <f ca="1">VLOOKUP(tbBets[[#This Row],[Game title]],tbResults[],(MATCH(OFFSET(tbBets[#Headers],0,1),tbResults[#Headers],0)),0)</f>
        <v>cha1n</v>
      </c>
      <c r="F63" s="11" t="str">
        <f ca="1">VLOOKUP(tbBets[[#This Row],[Game title]],tbResults[],(MATCH(OFFSET(tbBets[#Headers],0,1),tbResults[#Headers],0)),0)</f>
        <v>Ruins of Sarnath</v>
      </c>
      <c r="G63" s="11" t="str">
        <f ca="1">VLOOKUP(tbBets[[#This Row],[Game title]],tbResults[],(MATCH(OFFSET(tbBets[#Headers],0,1),tbResults[#Headers],0)),0)</f>
        <v>Ranger</v>
      </c>
      <c r="H63" s="11" t="str">
        <f ca="1">VLOOKUP(tbBets[[#This Row],[Game title]],tbResults[],(MATCH(OFFSET(tbBets[#Headers],0,1),tbResults[#Headers],0)),0)</f>
        <v>Sorlag</v>
      </c>
      <c r="I63" s="5">
        <v>90000</v>
      </c>
      <c r="J63" s="13">
        <f>tbBets[[#This Row],[Opening Balance]]*(1/25)</f>
        <v>3600</v>
      </c>
      <c r="K63" s="13">
        <f>tbBets[[#This Row],[Opening Balance]]*(1/15)</f>
        <v>6000</v>
      </c>
      <c r="L63" s="43" t="s">
        <v>53</v>
      </c>
      <c r="M63" s="8">
        <v>3000</v>
      </c>
      <c r="N63" s="9">
        <v>0.79</v>
      </c>
      <c r="O63" s="9">
        <v>0.21</v>
      </c>
      <c r="P63" s="12" t="str">
        <f ca="1">IF(tbBets[[#This Row],[Winner]]=tbBets[[#This Row],[My pick]],"Yes","No")</f>
        <v>No</v>
      </c>
      <c r="Q63" s="5">
        <v>0</v>
      </c>
      <c r="R63" s="13">
        <f ca="1">SUMIF(tbBets[Week Title],tbBets[[#This Row],[Week Title]],tbBets[Payout])-SUMIF(tbBets[Week Title],tbBets[[#This Row],[Week Title]],tbBets[My bet])</f>
        <v>9471</v>
      </c>
      <c r="S63" s="11" t="str">
        <f ca="1">VLOOKUP(tbBets[[#This Row],[Game title]],tbResults[],(MATCH(OFFSET(tbBets[#Headers],0,1),tbResults[#Headers],0)),0)</f>
        <v>DaHanG</v>
      </c>
      <c r="T63" s="11" t="str">
        <f ca="1">VLOOKUP(tbBets[[#This Row],[Game title]],tbResults[],(MATCH(OFFSET(tbBets[#Headers],0,1),tbResults[#Headers],0)),0)</f>
        <v>cha1n</v>
      </c>
    </row>
    <row r="64" spans="2:20" ht="30" customHeight="1" x14ac:dyDescent="0.3">
      <c r="B64" s="14" t="s">
        <v>285</v>
      </c>
      <c r="C64" s="20" t="str">
        <f ca="1">VLOOKUP(tbBets[[#This Row],[Game title]],tbResults[],(MATCH(OFFSET(tbBets[#Headers],0,1),tbResults[#Headers],0)),0)</f>
        <v>2.2.09</v>
      </c>
      <c r="D64" s="11" t="str">
        <f ca="1">VLOOKUP(tbBets[[#This Row],[Game title]],tbResults[],(MATCH(OFFSET(tbBets[#Headers],0,1),tbResults[#Headers],0)),0)</f>
        <v>DaHanG</v>
      </c>
      <c r="E64" s="11" t="str">
        <f ca="1">VLOOKUP(tbBets[[#This Row],[Game title]],tbResults[],(MATCH(OFFSET(tbBets[#Headers],0,1),tbResults[#Headers],0)),0)</f>
        <v>cha1n</v>
      </c>
      <c r="F64" s="11" t="str">
        <f ca="1">VLOOKUP(tbBets[[#This Row],[Game title]],tbResults[],(MATCH(OFFSET(tbBets[#Headers],0,1),tbResults[#Headers],0)),0)</f>
        <v>Awoken</v>
      </c>
      <c r="G64" s="11" t="str">
        <f ca="1">VLOOKUP(tbBets[[#This Row],[Game title]],tbResults[],(MATCH(OFFSET(tbBets[#Headers],0,1),tbResults[#Headers],0)),0)</f>
        <v>Eisen</v>
      </c>
      <c r="H64" s="11" t="str">
        <f ca="1">VLOOKUP(tbBets[[#This Row],[Game title]],tbResults[],(MATCH(OFFSET(tbBets[#Headers],0,1),tbResults[#Headers],0)),0)</f>
        <v>Galena</v>
      </c>
      <c r="I64" s="5">
        <v>87100</v>
      </c>
      <c r="J64" s="13">
        <f>tbBets[[#This Row],[Opening Balance]]*(1/25)</f>
        <v>3484</v>
      </c>
      <c r="K64" s="13">
        <f>tbBets[[#This Row],[Opening Balance]]*(1/15)</f>
        <v>5806.666666666667</v>
      </c>
      <c r="L64" s="43" t="s">
        <v>53</v>
      </c>
      <c r="M64" s="8">
        <v>3000</v>
      </c>
      <c r="N64" s="9">
        <v>0.84</v>
      </c>
      <c r="O64" s="9">
        <v>0.16</v>
      </c>
      <c r="P64" s="12" t="str">
        <f ca="1">IF(tbBets[[#This Row],[Winner]]=tbBets[[#This Row],[My pick]],"Yes","No")</f>
        <v>No</v>
      </c>
      <c r="Q64" s="5">
        <v>0</v>
      </c>
      <c r="R64" s="13">
        <f ca="1">SUMIF(tbBets[Week Title],tbBets[[#This Row],[Week Title]],tbBets[Payout])-SUMIF(tbBets[Week Title],tbBets[[#This Row],[Week Title]],tbBets[My bet])</f>
        <v>9471</v>
      </c>
      <c r="S64" s="11" t="str">
        <f ca="1">VLOOKUP(tbBets[[#This Row],[Game title]],tbResults[],(MATCH(OFFSET(tbBets[#Headers],0,1),tbResults[#Headers],0)),0)</f>
        <v>DaHanG</v>
      </c>
      <c r="T64" s="11" t="str">
        <f ca="1">VLOOKUP(tbBets[[#This Row],[Game title]],tbResults[],(MATCH(OFFSET(tbBets[#Headers],0,1),tbResults[#Headers],0)),0)</f>
        <v>cha1n</v>
      </c>
    </row>
    <row r="65" spans="2:20" ht="30" customHeight="1" x14ac:dyDescent="0.3">
      <c r="B65" s="14" t="s">
        <v>286</v>
      </c>
      <c r="C65" s="20" t="str">
        <f ca="1">VLOOKUP(tbBets[[#This Row],[Game title]],tbResults[],(MATCH(OFFSET(tbBets[#Headers],0,1),tbResults[#Headers],0)),0)</f>
        <v>2.2.09</v>
      </c>
      <c r="D65" s="11" t="str">
        <f ca="1">VLOOKUP(tbBets[[#This Row],[Game title]],tbResults[],(MATCH(OFFSET(tbBets[#Headers],0,1),tbResults[#Headers],0)),0)</f>
        <v>Vengeurr</v>
      </c>
      <c r="E65" s="11" t="str">
        <f ca="1">VLOOKUP(tbBets[[#This Row],[Game title]],tbResults[],(MATCH(OFFSET(tbBets[#Headers],0,1),tbResults[#Headers],0)),0)</f>
        <v>Base</v>
      </c>
      <c r="F65" s="11" t="str">
        <f ca="1">VLOOKUP(tbBets[[#This Row],[Game title]],tbResults[],(MATCH(OFFSET(tbBets[#Headers],0,1),tbResults[#Headers],0)),0)</f>
        <v>Molten Falls</v>
      </c>
      <c r="G65" s="11" t="str">
        <f ca="1">VLOOKUP(tbBets[[#This Row],[Game title]],tbResults[],(MATCH(OFFSET(tbBets[#Headers],0,1),tbResults[#Headers],0)),0)</f>
        <v>Galena</v>
      </c>
      <c r="H65" s="11" t="str">
        <f ca="1">VLOOKUP(tbBets[[#This Row],[Game title]],tbResults[],(MATCH(OFFSET(tbBets[#Headers],0,1),tbResults[#Headers],0)),0)</f>
        <v>Anarki</v>
      </c>
      <c r="I65" s="5">
        <v>84200</v>
      </c>
      <c r="J65" s="13">
        <f>tbBets[[#This Row],[Opening Balance]]*(1/25)</f>
        <v>3368</v>
      </c>
      <c r="K65" s="13">
        <f>tbBets[[#This Row],[Opening Balance]]*(1/15)</f>
        <v>5613.333333333333</v>
      </c>
      <c r="L65" s="43" t="s">
        <v>51</v>
      </c>
      <c r="M65" s="8">
        <v>3000</v>
      </c>
      <c r="N65" s="9">
        <v>0.47</v>
      </c>
      <c r="O65" s="9">
        <v>0.53</v>
      </c>
      <c r="P65" s="12" t="str">
        <f ca="1">IF(tbBets[[#This Row],[Winner]]=tbBets[[#This Row],[My pick]],"Yes","No")</f>
        <v>No</v>
      </c>
      <c r="Q65" s="5">
        <v>0</v>
      </c>
      <c r="R65" s="13">
        <f ca="1">SUMIF(tbBets[Week Title],tbBets[[#This Row],[Week Title]],tbBets[Payout])-SUMIF(tbBets[Week Title],tbBets[[#This Row],[Week Title]],tbBets[My bet])</f>
        <v>9471</v>
      </c>
      <c r="S65" s="11" t="str">
        <f ca="1">VLOOKUP(tbBets[[#This Row],[Game title]],tbResults[],(MATCH(OFFSET(tbBets[#Headers],0,1),tbResults[#Headers],0)),0)</f>
        <v>Vengeurr</v>
      </c>
      <c r="T65" s="11" t="str">
        <f ca="1">VLOOKUP(tbBets[[#This Row],[Game title]],tbResults[],(MATCH(OFFSET(tbBets[#Headers],0,1),tbResults[#Headers],0)),0)</f>
        <v>Base</v>
      </c>
    </row>
    <row r="66" spans="2:20" ht="30" customHeight="1" x14ac:dyDescent="0.3">
      <c r="B66" s="14" t="s">
        <v>287</v>
      </c>
      <c r="C66" s="20" t="str">
        <f ca="1">VLOOKUP(tbBets[[#This Row],[Game title]],tbResults[],(MATCH(OFFSET(tbBets[#Headers],0,1),tbResults[#Headers],0)),0)</f>
        <v>2.2.09</v>
      </c>
      <c r="D66" s="11" t="str">
        <f ca="1">VLOOKUP(tbBets[[#This Row],[Game title]],tbResults[],(MATCH(OFFSET(tbBets[#Headers],0,1),tbResults[#Headers],0)),0)</f>
        <v>Vengeurr</v>
      </c>
      <c r="E66" s="11" t="str">
        <f ca="1">VLOOKUP(tbBets[[#This Row],[Game title]],tbResults[],(MATCH(OFFSET(tbBets[#Headers],0,1),tbResults[#Headers],0)),0)</f>
        <v>Base</v>
      </c>
      <c r="F66" s="11" t="str">
        <f ca="1">VLOOKUP(tbBets[[#This Row],[Game title]],tbResults[],(MATCH(OFFSET(tbBets[#Headers],0,1),tbResults[#Headers],0)),0)</f>
        <v>Ruins of Sarnath</v>
      </c>
      <c r="G66" s="11" t="str">
        <f ca="1">VLOOKUP(tbBets[[#This Row],[Game title]],tbResults[],(MATCH(OFFSET(tbBets[#Headers],0,1),tbResults[#Headers],0)),0)</f>
        <v>Eisen</v>
      </c>
      <c r="H66" s="11" t="str">
        <f ca="1">VLOOKUP(tbBets[[#This Row],[Game title]],tbResults[],(MATCH(OFFSET(tbBets[#Headers],0,1),tbResults[#Headers],0)),0)</f>
        <v>Sorlag</v>
      </c>
      <c r="I66" s="5">
        <f>77800+3500</f>
        <v>81300</v>
      </c>
      <c r="J66" s="13">
        <f>tbBets[[#This Row],[Opening Balance]]*(1/25)</f>
        <v>3252</v>
      </c>
      <c r="K66" s="13">
        <f>tbBets[[#This Row],[Opening Balance]]*(1/15)</f>
        <v>5420</v>
      </c>
      <c r="L66" s="43" t="s">
        <v>13</v>
      </c>
      <c r="M66" s="8">
        <v>3500</v>
      </c>
      <c r="N66" s="9"/>
      <c r="O66" s="9"/>
      <c r="P66" s="12" t="str">
        <f ca="1">IF(tbBets[[#This Row],[Winner]]=tbBets[[#This Row],[My pick]],"Yes","No")</f>
        <v>Yes</v>
      </c>
      <c r="Q66" s="5">
        <v>8081</v>
      </c>
      <c r="R66" s="13">
        <f ca="1">SUMIF(tbBets[Week Title],tbBets[[#This Row],[Week Title]],tbBets[Payout])-SUMIF(tbBets[Week Title],tbBets[[#This Row],[Week Title]],tbBets[My bet])</f>
        <v>9471</v>
      </c>
      <c r="S66" s="11" t="str">
        <f ca="1">VLOOKUP(tbBets[[#This Row],[Game title]],tbResults[],(MATCH(OFFSET(tbBets[#Headers],0,1),tbResults[#Headers],0)),0)</f>
        <v>Vengeurr</v>
      </c>
      <c r="T66" s="11" t="str">
        <f ca="1">VLOOKUP(tbBets[[#This Row],[Game title]],tbResults[],(MATCH(OFFSET(tbBets[#Headers],0,1),tbResults[#Headers],0)),0)</f>
        <v>Base</v>
      </c>
    </row>
    <row r="67" spans="2:20" ht="30" customHeight="1" x14ac:dyDescent="0.3">
      <c r="B67" s="14" t="s">
        <v>288</v>
      </c>
      <c r="C67" s="20" t="str">
        <f ca="1">VLOOKUP(tbBets[[#This Row],[Game title]],tbResults[],(MATCH(OFFSET(tbBets[#Headers],0,1),tbResults[#Headers],0)),0)</f>
        <v>2.2.09</v>
      </c>
      <c r="D67" s="11" t="str">
        <f ca="1">VLOOKUP(tbBets[[#This Row],[Game title]],tbResults[],(MATCH(OFFSET(tbBets[#Headers],0,1),tbResults[#Headers],0)),0)</f>
        <v>Vengeurr</v>
      </c>
      <c r="E67" s="11" t="str">
        <f ca="1">VLOOKUP(tbBets[[#This Row],[Game title]],tbResults[],(MATCH(OFFSET(tbBets[#Headers],0,1),tbResults[#Headers],0)),0)</f>
        <v>Base</v>
      </c>
      <c r="F67" s="11" t="str">
        <f ca="1">VLOOKUP(tbBets[[#This Row],[Game title]],tbResults[],(MATCH(OFFSET(tbBets[#Headers],0,1),tbResults[#Headers],0)),0)</f>
        <v>Awoken</v>
      </c>
      <c r="G67" s="11" t="str">
        <f ca="1">VLOOKUP(tbBets[[#This Row],[Game title]],tbResults[],(MATCH(OFFSET(tbBets[#Headers],0,1),tbResults[#Headers],0)),0)</f>
        <v>Ranger</v>
      </c>
      <c r="H67" s="11" t="str">
        <f ca="1">VLOOKUP(tbBets[[#This Row],[Game title]],tbResults[],(MATCH(OFFSET(tbBets[#Headers],0,1),tbResults[#Headers],0)),0)</f>
        <v>Athena</v>
      </c>
      <c r="I67" s="5">
        <v>86000</v>
      </c>
      <c r="J67" s="13">
        <f>tbBets[[#This Row],[Opening Balance]]*(1/25)</f>
        <v>3440</v>
      </c>
      <c r="K67" s="13">
        <f>tbBets[[#This Row],[Opening Balance]]*(1/15)</f>
        <v>5733.333333333333</v>
      </c>
      <c r="L67" s="43" t="s">
        <v>51</v>
      </c>
      <c r="M67" s="8">
        <v>3500</v>
      </c>
      <c r="N67" s="9">
        <v>0.46</v>
      </c>
      <c r="O67" s="9">
        <v>0.54</v>
      </c>
      <c r="P67" s="12" t="str">
        <f ca="1">IF(tbBets[[#This Row],[Winner]]=tbBets[[#This Row],[My pick]],"Yes","No")</f>
        <v>Yes</v>
      </c>
      <c r="Q67" s="5">
        <v>7658</v>
      </c>
      <c r="R67" s="13">
        <f ca="1">SUMIF(tbBets[Week Title],tbBets[[#This Row],[Week Title]],tbBets[Payout])-SUMIF(tbBets[Week Title],tbBets[[#This Row],[Week Title]],tbBets[My bet])</f>
        <v>9471</v>
      </c>
      <c r="S67" s="11" t="str">
        <f ca="1">VLOOKUP(tbBets[[#This Row],[Game title]],tbResults[],(MATCH(OFFSET(tbBets[#Headers],0,1),tbResults[#Headers],0)),0)</f>
        <v>Base</v>
      </c>
      <c r="T67" s="11" t="str">
        <f ca="1">VLOOKUP(tbBets[[#This Row],[Game title]],tbResults[],(MATCH(OFFSET(tbBets[#Headers],0,1),tbResults[#Headers],0)),0)</f>
        <v>Vengeurr</v>
      </c>
    </row>
    <row r="68" spans="2:20" ht="30" customHeight="1" x14ac:dyDescent="0.3">
      <c r="B68" s="69" t="s">
        <v>304</v>
      </c>
      <c r="C68" s="20" t="str">
        <f ca="1">VLOOKUP(tbBets[[#This Row],[Game title]],tbResults[],(MATCH(OFFSET(tbBets[#Headers],0,1),tbResults[#Headers],0)),0)</f>
        <v>2.2.10</v>
      </c>
      <c r="D68" s="11" t="str">
        <f ca="1">VLOOKUP(tbBets[[#This Row],[Game title]],tbResults[],(MATCH(OFFSET(tbBets[#Headers],0,1),tbResults[#Headers],0)),0)</f>
        <v>k1llsen</v>
      </c>
      <c r="E68" s="11" t="str">
        <f ca="1">VLOOKUP(tbBets[[#This Row],[Game title]],tbResults[],(MATCH(OFFSET(tbBets[#Headers],0,1),tbResults[#Headers],0)),0)</f>
        <v>cnz</v>
      </c>
      <c r="F68" s="11" t="str">
        <f ca="1">VLOOKUP(tbBets[[#This Row],[Game title]],tbResults[],(MATCH(OFFSET(tbBets[#Headers],0,1),tbResults[#Headers],0)),0)</f>
        <v>Ruins of Sarnath</v>
      </c>
      <c r="G68" s="11" t="str">
        <f ca="1">VLOOKUP(tbBets[[#This Row],[Game title]],tbResults[],(MATCH(OFFSET(tbBets[#Headers],0,1),tbResults[#Headers],0)),0)</f>
        <v>Strogg</v>
      </c>
      <c r="H68" s="11" t="str">
        <f ca="1">VLOOKUP(tbBets[[#This Row],[Game title]],tbResults[],(MATCH(OFFSET(tbBets[#Headers],0,1),tbResults[#Headers],0)),0)</f>
        <v>Eisen</v>
      </c>
      <c r="I68" s="5">
        <v>90900</v>
      </c>
      <c r="J68" s="13">
        <f>tbBets[[#This Row],[Opening Balance]]*(1/25)</f>
        <v>3636</v>
      </c>
      <c r="K68" s="13">
        <f>tbBets[[#This Row],[Opening Balance]]*(1/15)</f>
        <v>6060</v>
      </c>
      <c r="L68" s="59" t="s">
        <v>54</v>
      </c>
      <c r="M68" s="8">
        <v>6000</v>
      </c>
      <c r="N68" s="9">
        <v>0.42</v>
      </c>
      <c r="O68" s="9">
        <v>0.57999999999999996</v>
      </c>
      <c r="P68" s="12" t="str">
        <f ca="1">IF(tbBets[[#This Row],[Winner]]=tbBets[[#This Row],[My pick]],"Yes","No")</f>
        <v>No</v>
      </c>
      <c r="Q68" s="5">
        <v>0</v>
      </c>
      <c r="R68" s="13">
        <f ca="1">SUMIF(tbBets[Week Title],tbBets[[#This Row],[Week Title]],tbBets[Payout])-SUMIF(tbBets[Week Title],tbBets[[#This Row],[Week Title]],tbBets[My bet])</f>
        <v>-12000</v>
      </c>
      <c r="S68" s="11" t="str">
        <f ca="1">VLOOKUP(tbBets[[#This Row],[Game title]],tbResults[],(MATCH(OFFSET(tbBets[#Headers],0,1),tbResults[#Headers],0)),0)</f>
        <v>k1llsen</v>
      </c>
      <c r="T68" s="11" t="str">
        <f ca="1">VLOOKUP(tbBets[[#This Row],[Game title]],tbResults[],(MATCH(OFFSET(tbBets[#Headers],0,1),tbResults[#Headers],0)),0)</f>
        <v>cnz</v>
      </c>
    </row>
    <row r="69" spans="2:20" ht="30" customHeight="1" x14ac:dyDescent="0.3">
      <c r="B69" s="69" t="s">
        <v>305</v>
      </c>
      <c r="C69" s="20" t="str">
        <f ca="1">VLOOKUP(tbBets[[#This Row],[Game title]],tbResults[],(MATCH(OFFSET(tbBets[#Headers],0,1),tbResults[#Headers],0)),0)</f>
        <v>2.2.10</v>
      </c>
      <c r="D69" s="11" t="str">
        <f ca="1">VLOOKUP(tbBets[[#This Row],[Game title]],tbResults[],(MATCH(OFFSET(tbBets[#Headers],0,1),tbResults[#Headers],0)),0)</f>
        <v>k1llsen</v>
      </c>
      <c r="E69" s="11" t="str">
        <f ca="1">VLOOKUP(tbBets[[#This Row],[Game title]],tbResults[],(MATCH(OFFSET(tbBets[#Headers],0,1),tbResults[#Headers],0)),0)</f>
        <v>cnz</v>
      </c>
      <c r="F69" s="11" t="str">
        <f ca="1">VLOOKUP(tbBets[[#This Row],[Game title]],tbResults[],(MATCH(OFFSET(tbBets[#Headers],0,1),tbResults[#Headers],0)),0)</f>
        <v>Corrupted Keep</v>
      </c>
      <c r="G69" s="11" t="str">
        <f ca="1">VLOOKUP(tbBets[[#This Row],[Game title]],tbResults[],(MATCH(OFFSET(tbBets[#Headers],0,1),tbResults[#Headers],0)),0)</f>
        <v>Doom</v>
      </c>
      <c r="H69" s="11" t="str">
        <f ca="1">VLOOKUP(tbBets[[#This Row],[Game title]],tbResults[],(MATCH(OFFSET(tbBets[#Headers],0,1),tbResults[#Headers],0)),0)</f>
        <v>Ranger</v>
      </c>
      <c r="I69" s="5">
        <v>85000</v>
      </c>
      <c r="J69" s="13">
        <f>tbBets[[#This Row],[Opening Balance]]*(1/25)</f>
        <v>3400</v>
      </c>
      <c r="K69" s="13">
        <f>tbBets[[#This Row],[Opening Balance]]*(1/15)</f>
        <v>5666.666666666667</v>
      </c>
      <c r="L69" s="59" t="s">
        <v>54</v>
      </c>
      <c r="M69" s="8">
        <v>6000</v>
      </c>
      <c r="N69" s="9">
        <v>0.31</v>
      </c>
      <c r="O69" s="9">
        <v>0.69</v>
      </c>
      <c r="P69" s="12" t="str">
        <f ca="1">IF(tbBets[[#This Row],[Winner]]=tbBets[[#This Row],[My pick]],"Yes","No")</f>
        <v>No</v>
      </c>
      <c r="Q69" s="5">
        <v>0</v>
      </c>
      <c r="R69" s="13">
        <f ca="1">SUMIF(tbBets[Week Title],tbBets[[#This Row],[Week Title]],tbBets[Payout])-SUMIF(tbBets[Week Title],tbBets[[#This Row],[Week Title]],tbBets[My bet])</f>
        <v>-12000</v>
      </c>
      <c r="S69" s="11" t="str">
        <f ca="1">VLOOKUP(tbBets[[#This Row],[Game title]],tbResults[],(MATCH(OFFSET(tbBets[#Headers],0,1),tbResults[#Headers],0)),0)</f>
        <v>k1llsen</v>
      </c>
      <c r="T69" s="11" t="str">
        <f ca="1">VLOOKUP(tbBets[[#This Row],[Game title]],tbResults[],(MATCH(OFFSET(tbBets[#Headers],0,1),tbResults[#Headers],0)),0)</f>
        <v>cnz</v>
      </c>
    </row>
    <row r="70" spans="2:20" ht="30" customHeight="1" x14ac:dyDescent="0.3">
      <c r="B70" s="14" t="s">
        <v>297</v>
      </c>
      <c r="C70" s="20" t="str">
        <f ca="1">VLOOKUP(tbBets[[#This Row],[Game title]],tbResults[],(MATCH(OFFSET(tbBets[#Headers],0,1),tbResults[#Headers],0)),0)</f>
        <v>2.2.11</v>
      </c>
      <c r="D70" s="11" t="str">
        <f ca="1">VLOOKUP(tbBets[[#This Row],[Game title]],tbResults[],(MATCH(OFFSET(tbBets[#Headers],0,1),tbResults[#Headers],0)),0)</f>
        <v>Garpy</v>
      </c>
      <c r="E70" s="11" t="str">
        <f ca="1">VLOOKUP(tbBets[[#This Row],[Game title]],tbResults[],(MATCH(OFFSET(tbBets[#Headers],0,1),tbResults[#Headers],0)),0)</f>
        <v>cnz</v>
      </c>
      <c r="F70" s="11" t="str">
        <f ca="1">VLOOKUP(tbBets[[#This Row],[Game title]],tbResults[],(MATCH(OFFSET(tbBets[#Headers],0,1),tbResults[#Headers],0)),0)</f>
        <v>Vale of P'nath</v>
      </c>
      <c r="G70" s="11" t="str">
        <f ca="1">VLOOKUP(tbBets[[#This Row],[Game title]],tbResults[],(MATCH(OFFSET(tbBets[#Headers],0,1),tbResults[#Headers],0)),0)</f>
        <v>Galena</v>
      </c>
      <c r="H70" s="11" t="str">
        <f ca="1">VLOOKUP(tbBets[[#This Row],[Game title]],tbResults[],(MATCH(OFFSET(tbBets[#Headers],0,1),tbResults[#Headers],0)),0)</f>
        <v>Eisen</v>
      </c>
      <c r="I70" s="5">
        <v>80000</v>
      </c>
      <c r="J70" s="13">
        <f>tbBets[[#This Row],[Opening Balance]]*(1/25)</f>
        <v>3200</v>
      </c>
      <c r="K70" s="13">
        <f>tbBets[[#This Row],[Opening Balance]]*(1/15)</f>
        <v>5333.333333333333</v>
      </c>
      <c r="L70" s="59" t="s">
        <v>54</v>
      </c>
      <c r="M70" s="8">
        <v>5000</v>
      </c>
      <c r="N70" s="9">
        <v>0.52</v>
      </c>
      <c r="O70" s="9">
        <v>0.48</v>
      </c>
      <c r="P70" s="12" t="str">
        <f ca="1">IF(tbBets[[#This Row],[Winner]]=tbBets[[#This Row],[My pick]],"Yes","No")</f>
        <v>Yes</v>
      </c>
      <c r="Q70" s="5">
        <v>9639</v>
      </c>
      <c r="R70" s="13">
        <f ca="1">SUMIF(tbBets[Week Title],tbBets[[#This Row],[Week Title]],tbBets[Payout])-SUMIF(tbBets[Week Title],tbBets[[#This Row],[Week Title]],tbBets[My bet])</f>
        <v>162512</v>
      </c>
      <c r="S70" s="11" t="str">
        <f ca="1">VLOOKUP(tbBets[[#This Row],[Game title]],tbResults[],(MATCH(OFFSET(tbBets[#Headers],0,1),tbResults[#Headers],0)),0)</f>
        <v>cnz</v>
      </c>
      <c r="T70" s="11" t="str">
        <f ca="1">VLOOKUP(tbBets[[#This Row],[Game title]],tbResults[],(MATCH(OFFSET(tbBets[#Headers],0,1),tbResults[#Headers],0)),0)</f>
        <v>Garpy</v>
      </c>
    </row>
    <row r="71" spans="2:20" ht="30" customHeight="1" x14ac:dyDescent="0.3">
      <c r="B71" s="14" t="s">
        <v>306</v>
      </c>
      <c r="C71" s="20" t="str">
        <f ca="1">VLOOKUP(tbBets[[#This Row],[Game title]],tbResults[],(MATCH(OFFSET(tbBets[#Headers],0,1),tbResults[#Headers],0)),0)</f>
        <v>2.2.11</v>
      </c>
      <c r="D71" s="11" t="str">
        <f ca="1">VLOOKUP(tbBets[[#This Row],[Game title]],tbResults[],(MATCH(OFFSET(tbBets[#Headers],0,1),tbResults[#Headers],0)),0)</f>
        <v>Garpy</v>
      </c>
      <c r="E71" s="11" t="str">
        <f ca="1">VLOOKUP(tbBets[[#This Row],[Game title]],tbResults[],(MATCH(OFFSET(tbBets[#Headers],0,1),tbResults[#Headers],0)),0)</f>
        <v>cnz</v>
      </c>
      <c r="F71" s="11" t="str">
        <f ca="1">VLOOKUP(tbBets[[#This Row],[Game title]],tbResults[],(MATCH(OFFSET(tbBets[#Headers],0,1),tbResults[#Headers],0)),0)</f>
        <v>Corrupted Keep</v>
      </c>
      <c r="G71" s="11" t="str">
        <f ca="1">VLOOKUP(tbBets[[#This Row],[Game title]],tbResults[],(MATCH(OFFSET(tbBets[#Headers],0,1),tbResults[#Headers],0)),0)</f>
        <v>Ranger</v>
      </c>
      <c r="H71" s="11" t="str">
        <f ca="1">VLOOKUP(tbBets[[#This Row],[Game title]],tbResults[],(MATCH(OFFSET(tbBets[#Headers],0,1),tbResults[#Headers],0)),0)</f>
        <v>Visor</v>
      </c>
      <c r="I71" s="5">
        <f>77700+7000</f>
        <v>84700</v>
      </c>
      <c r="J71" s="13">
        <f>tbBets[[#This Row],[Opening Balance]]*(1/25)</f>
        <v>3388</v>
      </c>
      <c r="K71" s="13">
        <f>tbBets[[#This Row],[Opening Balance]]*(1/15)</f>
        <v>5646.666666666667</v>
      </c>
      <c r="L71" s="59" t="s">
        <v>54</v>
      </c>
      <c r="M71" s="8">
        <v>7000</v>
      </c>
      <c r="N71" s="9">
        <v>0.44</v>
      </c>
      <c r="O71" s="9">
        <v>0.56000000000000005</v>
      </c>
      <c r="P71" s="12" t="str">
        <f ca="1">IF(tbBets[[#This Row],[Winner]]=tbBets[[#This Row],[My pick]],"Yes","No")</f>
        <v>No</v>
      </c>
      <c r="Q71" s="5">
        <v>0</v>
      </c>
      <c r="R71" s="13">
        <f ca="1">SUMIF(tbBets[Week Title],tbBets[[#This Row],[Week Title]],tbBets[Payout])-SUMIF(tbBets[Week Title],tbBets[[#This Row],[Week Title]],tbBets[My bet])</f>
        <v>162512</v>
      </c>
      <c r="S71" s="11" t="str">
        <f ca="1">VLOOKUP(tbBets[[#This Row],[Game title]],tbResults[],(MATCH(OFFSET(tbBets[#Headers],0,1),tbResults[#Headers],0)),0)</f>
        <v>Garpy</v>
      </c>
      <c r="T71" s="11" t="str">
        <f ca="1">VLOOKUP(tbBets[[#This Row],[Game title]],tbResults[],(MATCH(OFFSET(tbBets[#Headers],0,1),tbResults[#Headers],0)),0)</f>
        <v>cnz</v>
      </c>
    </row>
    <row r="72" spans="2:20" ht="30" customHeight="1" x14ac:dyDescent="0.3">
      <c r="B72" s="14" t="s">
        <v>307</v>
      </c>
      <c r="C72" s="20" t="str">
        <f ca="1">VLOOKUP(tbBets[[#This Row],[Game title]],tbResults[],(MATCH(OFFSET(tbBets[#Headers],0,1),tbResults[#Headers],0)),0)</f>
        <v>2.2.11</v>
      </c>
      <c r="D72" s="11" t="str">
        <f ca="1">VLOOKUP(tbBets[[#This Row],[Game title]],tbResults[],(MATCH(OFFSET(tbBets[#Headers],0,1),tbResults[#Headers],0)),0)</f>
        <v>Garpy</v>
      </c>
      <c r="E72" s="11" t="str">
        <f ca="1">VLOOKUP(tbBets[[#This Row],[Game title]],tbResults[],(MATCH(OFFSET(tbBets[#Headers],0,1),tbResults[#Headers],0)),0)</f>
        <v>cnz</v>
      </c>
      <c r="F72" s="11" t="str">
        <f ca="1">VLOOKUP(tbBets[[#This Row],[Game title]],tbResults[],(MATCH(OFFSET(tbBets[#Headers],0,1),tbResults[#Headers],0)),0)</f>
        <v>Ruins of Sarnath</v>
      </c>
      <c r="G72" s="11" t="str">
        <f ca="1">VLOOKUP(tbBets[[#This Row],[Game title]],tbResults[],(MATCH(OFFSET(tbBets[#Headers],0,1),tbResults[#Headers],0)),0)</f>
        <v>Sorlag</v>
      </c>
      <c r="H72" s="11" t="str">
        <f ca="1">VLOOKUP(tbBets[[#This Row],[Game title]],tbResults[],(MATCH(OFFSET(tbBets[#Headers],0,1),tbResults[#Headers],0)),0)</f>
        <v>Anarki</v>
      </c>
      <c r="I72" s="5">
        <v>77800</v>
      </c>
      <c r="J72" s="13">
        <f>tbBets[[#This Row],[Opening Balance]]*(1/25)</f>
        <v>3112</v>
      </c>
      <c r="K72" s="13">
        <f>tbBets[[#This Row],[Opening Balance]]*(1/15)</f>
        <v>5186.666666666667</v>
      </c>
      <c r="L72" s="59" t="s">
        <v>54</v>
      </c>
      <c r="M72" s="8">
        <v>77000</v>
      </c>
      <c r="N72" s="9">
        <v>0.61</v>
      </c>
      <c r="O72" s="9">
        <v>0.39</v>
      </c>
      <c r="P72" s="12" t="str">
        <f ca="1">IF(tbBets[[#This Row],[Winner]]=tbBets[[#This Row],[My pick]],"Yes","No")</f>
        <v>Yes</v>
      </c>
      <c r="Q72" s="5">
        <v>126130</v>
      </c>
      <c r="R72" s="13">
        <f ca="1">SUMIF(tbBets[Week Title],tbBets[[#This Row],[Week Title]],tbBets[Payout])-SUMIF(tbBets[Week Title],tbBets[[#This Row],[Week Title]],tbBets[My bet])</f>
        <v>162512</v>
      </c>
      <c r="S72" s="11" t="str">
        <f ca="1">VLOOKUP(tbBets[[#This Row],[Game title]],tbResults[],(MATCH(OFFSET(tbBets[#Headers],0,1),tbResults[#Headers],0)),0)</f>
        <v>cnz</v>
      </c>
      <c r="T72" s="11" t="str">
        <f ca="1">VLOOKUP(tbBets[[#This Row],[Game title]],tbResults[],(MATCH(OFFSET(tbBets[#Headers],0,1),tbResults[#Headers],0)),0)</f>
        <v>Garpy</v>
      </c>
    </row>
    <row r="73" spans="2:20" ht="30" customHeight="1" x14ac:dyDescent="0.3">
      <c r="B73" s="14" t="s">
        <v>308</v>
      </c>
      <c r="C73" s="20" t="str">
        <f ca="1">VLOOKUP(tbBets[[#This Row],[Game title]],tbResults[],(MATCH(OFFSET(tbBets[#Headers],0,1),tbResults[#Headers],0)),0)</f>
        <v>2.2.11</v>
      </c>
      <c r="D73" s="11" t="str">
        <f ca="1">VLOOKUP(tbBets[[#This Row],[Game title]],tbResults[],(MATCH(OFFSET(tbBets[#Headers],0,1),tbResults[#Headers],0)),0)</f>
        <v>maxter</v>
      </c>
      <c r="E73" s="11" t="str">
        <f ca="1">VLOOKUP(tbBets[[#This Row],[Game title]],tbResults[],(MATCH(OFFSET(tbBets[#Headers],0,1),tbResults[#Headers],0)),0)</f>
        <v>Effortless</v>
      </c>
      <c r="F73" s="11" t="str">
        <f ca="1">VLOOKUP(tbBets[[#This Row],[Game title]],tbResults[],(MATCH(OFFSET(tbBets[#Headers],0,1),tbResults[#Headers],0)),0)</f>
        <v>Corrupted Keep</v>
      </c>
      <c r="G73" s="11" t="str">
        <f ca="1">VLOOKUP(tbBets[[#This Row],[Game title]],tbResults[],(MATCH(OFFSET(tbBets[#Headers],0,1),tbResults[#Headers],0)),0)</f>
        <v>Strogg</v>
      </c>
      <c r="H73" s="11" t="str">
        <f ca="1">VLOOKUP(tbBets[[#This Row],[Game title]],tbResults[],(MATCH(OFFSET(tbBets[#Headers],0,1),tbResults[#Headers],0)),0)</f>
        <v>Keel</v>
      </c>
      <c r="I73" s="5">
        <f>3000+122100</f>
        <v>125100</v>
      </c>
      <c r="J73" s="13">
        <f>tbBets[[#This Row],[Opening Balance]]*(1/25)</f>
        <v>5004</v>
      </c>
      <c r="K73" s="13">
        <f>tbBets[[#This Row],[Opening Balance]]*(1/15)</f>
        <v>8340</v>
      </c>
      <c r="L73" s="72" t="s">
        <v>6</v>
      </c>
      <c r="M73" s="8">
        <v>3000</v>
      </c>
      <c r="N73" s="9">
        <v>0.52</v>
      </c>
      <c r="O73" s="9">
        <v>0.48</v>
      </c>
      <c r="P73" s="12" t="str">
        <f ca="1">IF(tbBets[[#This Row],[Winner]]=tbBets[[#This Row],[My pick]],"Yes","No")</f>
        <v>No</v>
      </c>
      <c r="Q73" s="5">
        <v>0</v>
      </c>
      <c r="R73" s="13">
        <f ca="1">SUMIF(tbBets[Week Title],tbBets[[#This Row],[Week Title]],tbBets[Payout])-SUMIF(tbBets[Week Title],tbBets[[#This Row],[Week Title]],tbBets[My bet])</f>
        <v>162512</v>
      </c>
      <c r="S73" s="11" t="str">
        <f ca="1">VLOOKUP(tbBets[[#This Row],[Game title]],tbResults[],(MATCH(OFFSET(tbBets[#Headers],0,1),tbResults[#Headers],0)),0)</f>
        <v>maxter</v>
      </c>
      <c r="T73" s="11" t="str">
        <f ca="1">VLOOKUP(tbBets[[#This Row],[Game title]],tbResults[],(MATCH(OFFSET(tbBets[#Headers],0,1),tbResults[#Headers],0)),0)</f>
        <v>Effortless</v>
      </c>
    </row>
    <row r="74" spans="2:20" ht="30" customHeight="1" x14ac:dyDescent="0.3">
      <c r="B74" s="14" t="s">
        <v>309</v>
      </c>
      <c r="C74" s="20" t="str">
        <f ca="1">VLOOKUP(tbBets[[#This Row],[Game title]],tbResults[],(MATCH(OFFSET(tbBets[#Headers],0,1),tbResults[#Headers],0)),0)</f>
        <v>2.2.11</v>
      </c>
      <c r="D74" s="11" t="str">
        <f ca="1">VLOOKUP(tbBets[[#This Row],[Game title]],tbResults[],(MATCH(OFFSET(tbBets[#Headers],0,1),tbResults[#Headers],0)),0)</f>
        <v>maxter</v>
      </c>
      <c r="E74" s="11" t="str">
        <f ca="1">VLOOKUP(tbBets[[#This Row],[Game title]],tbResults[],(MATCH(OFFSET(tbBets[#Headers],0,1),tbResults[#Headers],0)),0)</f>
        <v>Effortless</v>
      </c>
      <c r="F74" s="11" t="str">
        <f ca="1">VLOOKUP(tbBets[[#This Row],[Game title]],tbResults[],(MATCH(OFFSET(tbBets[#Headers],0,1),tbResults[#Headers],0)),0)</f>
        <v>Awoken</v>
      </c>
      <c r="G74" s="11" t="str">
        <f ca="1">VLOOKUP(tbBets[[#This Row],[Game title]],tbResults[],(MATCH(OFFSET(tbBets[#Headers],0,1),tbResults[#Headers],0)),0)</f>
        <v>BJ Blazkowicz</v>
      </c>
      <c r="H74" s="11" t="str">
        <f ca="1">VLOOKUP(tbBets[[#This Row],[Game title]],tbResults[],(MATCH(OFFSET(tbBets[#Headers],0,1),tbResults[#Headers],0)),0)</f>
        <v>Doom</v>
      </c>
      <c r="I74" s="5">
        <f>117100+5000</f>
        <v>122100</v>
      </c>
      <c r="J74" s="13">
        <f>tbBets[[#This Row],[Opening Balance]]*(1/25)</f>
        <v>4884</v>
      </c>
      <c r="K74" s="13">
        <f>tbBets[[#This Row],[Opening Balance]]*(1/15)</f>
        <v>8140</v>
      </c>
      <c r="L74" s="72" t="s">
        <v>6</v>
      </c>
      <c r="M74" s="8">
        <v>5000</v>
      </c>
      <c r="N74" s="9">
        <v>0.72</v>
      </c>
      <c r="O74" s="9">
        <v>0.28000000000000003</v>
      </c>
      <c r="P74" s="12" t="str">
        <f ca="1">IF(tbBets[[#This Row],[Winner]]=tbBets[[#This Row],[My pick]],"Yes","No")</f>
        <v>Yes</v>
      </c>
      <c r="Q74" s="5">
        <v>17918</v>
      </c>
      <c r="R74" s="13">
        <f ca="1">SUMIF(tbBets[Week Title],tbBets[[#This Row],[Week Title]],tbBets[Payout])-SUMIF(tbBets[Week Title],tbBets[[#This Row],[Week Title]],tbBets[My bet])</f>
        <v>162512</v>
      </c>
      <c r="S74" s="11" t="str">
        <f ca="1">VLOOKUP(tbBets[[#This Row],[Game title]],tbResults[],(MATCH(OFFSET(tbBets[#Headers],0,1),tbResults[#Headers],0)),0)</f>
        <v>Effortless</v>
      </c>
      <c r="T74" s="11" t="str">
        <f ca="1">VLOOKUP(tbBets[[#This Row],[Game title]],tbResults[],(MATCH(OFFSET(tbBets[#Headers],0,1),tbResults[#Headers],0)),0)</f>
        <v>maxter</v>
      </c>
    </row>
    <row r="75" spans="2:20" ht="30" customHeight="1" x14ac:dyDescent="0.3">
      <c r="B75" s="14" t="s">
        <v>310</v>
      </c>
      <c r="C75" s="20" t="str">
        <f ca="1">VLOOKUP(tbBets[[#This Row],[Game title]],tbResults[],(MATCH(OFFSET(tbBets[#Headers],0,1),tbResults[#Headers],0)),0)</f>
        <v>2.2.11</v>
      </c>
      <c r="D75" s="11" t="str">
        <f ca="1">VLOOKUP(tbBets[[#This Row],[Game title]],tbResults[],(MATCH(OFFSET(tbBets[#Headers],0,1),tbResults[#Headers],0)),0)</f>
        <v>spart1e</v>
      </c>
      <c r="E75" s="11" t="str">
        <f ca="1">VLOOKUP(tbBets[[#This Row],[Game title]],tbResults[],(MATCH(OFFSET(tbBets[#Headers],0,1),tbResults[#Headers],0)),0)</f>
        <v>Cypher</v>
      </c>
      <c r="F75" s="11" t="str">
        <f ca="1">VLOOKUP(tbBets[[#This Row],[Game title]],tbResults[],(MATCH(OFFSET(tbBets[#Headers],0,1),tbResults[#Headers],0)),0)</f>
        <v>Exile</v>
      </c>
      <c r="G75" s="11" t="str">
        <f ca="1">VLOOKUP(tbBets[[#This Row],[Game title]],tbResults[],(MATCH(OFFSET(tbBets[#Headers],0,1),tbResults[#Headers],0)),0)</f>
        <v>Anarki</v>
      </c>
      <c r="H75" s="11" t="str">
        <f ca="1">VLOOKUP(tbBets[[#This Row],[Game title]],tbResults[],(MATCH(OFFSET(tbBets[#Headers],0,1),tbResults[#Headers],0)),0)</f>
        <v>Sorlag</v>
      </c>
      <c r="I75" s="5">
        <v>135200</v>
      </c>
      <c r="J75" s="13">
        <f>tbBets[[#This Row],[Opening Balance]]*(1/25)</f>
        <v>5408</v>
      </c>
      <c r="K75" s="13">
        <f>tbBets[[#This Row],[Opening Balance]]*(1/15)</f>
        <v>9013.3333333333339</v>
      </c>
      <c r="L75" s="72" t="s">
        <v>14</v>
      </c>
      <c r="M75" s="8">
        <v>5000</v>
      </c>
      <c r="N75" s="9">
        <v>0.7</v>
      </c>
      <c r="O75" s="9">
        <v>0.3</v>
      </c>
      <c r="P75" s="12" t="str">
        <f ca="1">IF(tbBets[[#This Row],[Winner]]=tbBets[[#This Row],[My pick]],"Yes","No")</f>
        <v>No</v>
      </c>
      <c r="Q75" s="5">
        <v>0</v>
      </c>
      <c r="R75" s="13">
        <f ca="1">SUMIF(tbBets[Week Title],tbBets[[#This Row],[Week Title]],tbBets[Payout])-SUMIF(tbBets[Week Title],tbBets[[#This Row],[Week Title]],tbBets[My bet])</f>
        <v>162512</v>
      </c>
      <c r="S75" s="11" t="str">
        <f ca="1">VLOOKUP(tbBets[[#This Row],[Game title]],tbResults[],(MATCH(OFFSET(tbBets[#Headers],0,1),tbResults[#Headers],0)),0)</f>
        <v>spart1e</v>
      </c>
      <c r="T75" s="11" t="str">
        <f ca="1">VLOOKUP(tbBets[[#This Row],[Game title]],tbResults[],(MATCH(OFFSET(tbBets[#Headers],0,1),tbResults[#Headers],0)),0)</f>
        <v>Cypher</v>
      </c>
    </row>
    <row r="76" spans="2:20" ht="30" customHeight="1" x14ac:dyDescent="0.3">
      <c r="B76" s="14" t="s">
        <v>311</v>
      </c>
      <c r="C76" s="20" t="str">
        <f ca="1">VLOOKUP(tbBets[[#This Row],[Game title]],tbResults[],(MATCH(OFFSET(tbBets[#Headers],0,1),tbResults[#Headers],0)),0)</f>
        <v>2.2.11</v>
      </c>
      <c r="D76" s="11" t="str">
        <f ca="1">VLOOKUP(tbBets[[#This Row],[Game title]],tbResults[],(MATCH(OFFSET(tbBets[#Headers],0,1),tbResults[#Headers],0)),0)</f>
        <v>spart1e</v>
      </c>
      <c r="E76" s="11" t="str">
        <f ca="1">VLOOKUP(tbBets[[#This Row],[Game title]],tbResults[],(MATCH(OFFSET(tbBets[#Headers],0,1),tbResults[#Headers],0)),0)</f>
        <v>Cypher</v>
      </c>
      <c r="F76" s="11" t="str">
        <f ca="1">VLOOKUP(tbBets[[#This Row],[Game title]],tbResults[],(MATCH(OFFSET(tbBets[#Headers],0,1),tbResults[#Headers],0)),0)</f>
        <v>Vale of P'nath</v>
      </c>
      <c r="G76" s="11" t="str">
        <f ca="1">VLOOKUP(tbBets[[#This Row],[Game title]],tbResults[],(MATCH(OFFSET(tbBets[#Headers],0,1),tbResults[#Headers],0)),0)</f>
        <v>Eisen</v>
      </c>
      <c r="H76" s="11" t="str">
        <f ca="1">VLOOKUP(tbBets[[#This Row],[Game title]],tbResults[],(MATCH(OFFSET(tbBets[#Headers],0,1),tbResults[#Headers],0)),0)</f>
        <v>Galena</v>
      </c>
      <c r="I76" s="5">
        <f>125300+5000</f>
        <v>130300</v>
      </c>
      <c r="J76" s="13">
        <f>tbBets[[#This Row],[Opening Balance]]*(1/25)</f>
        <v>5212</v>
      </c>
      <c r="K76" s="13">
        <f>tbBets[[#This Row],[Opening Balance]]*(1/15)</f>
        <v>8686.6666666666661</v>
      </c>
      <c r="L76" s="72" t="s">
        <v>14</v>
      </c>
      <c r="M76" s="8">
        <v>5000</v>
      </c>
      <c r="N76" s="9">
        <v>0.45</v>
      </c>
      <c r="O76" s="9">
        <v>0.55000000000000004</v>
      </c>
      <c r="P76" s="12" t="str">
        <f ca="1">IF(tbBets[[#This Row],[Winner]]=tbBets[[#This Row],[My pick]],"Yes","No")</f>
        <v>Yes</v>
      </c>
      <c r="Q76" s="5">
        <v>6200</v>
      </c>
      <c r="R76" s="13">
        <f ca="1">SUMIF(tbBets[Week Title],tbBets[[#This Row],[Week Title]],tbBets[Payout])-SUMIF(tbBets[Week Title],tbBets[[#This Row],[Week Title]],tbBets[My bet])</f>
        <v>162512</v>
      </c>
      <c r="S76" s="11" t="str">
        <f ca="1">VLOOKUP(tbBets[[#This Row],[Game title]],tbResults[],(MATCH(OFFSET(tbBets[#Headers],0,1),tbResults[#Headers],0)),0)</f>
        <v>Cypher</v>
      </c>
      <c r="T76" s="11" t="str">
        <f ca="1">VLOOKUP(tbBets[[#This Row],[Game title]],tbResults[],(MATCH(OFFSET(tbBets[#Headers],0,1),tbResults[#Headers],0)),0)</f>
        <v>spart1e</v>
      </c>
    </row>
    <row r="77" spans="2:20" ht="30" customHeight="1" x14ac:dyDescent="0.3">
      <c r="B77" s="14" t="s">
        <v>312</v>
      </c>
      <c r="C77" s="20" t="str">
        <f ca="1">VLOOKUP(tbBets[[#This Row],[Game title]],tbResults[],(MATCH(OFFSET(tbBets[#Headers],0,1),tbResults[#Headers],0)),0)</f>
        <v>2.2.11</v>
      </c>
      <c r="D77" s="11" t="str">
        <f ca="1">VLOOKUP(tbBets[[#This Row],[Game title]],tbResults[],(MATCH(OFFSET(tbBets[#Headers],0,1),tbResults[#Headers],0)),0)</f>
        <v>spart1e</v>
      </c>
      <c r="E77" s="11" t="str">
        <f ca="1">VLOOKUP(tbBets[[#This Row],[Game title]],tbResults[],(MATCH(OFFSET(tbBets[#Headers],0,1),tbResults[#Headers],0)),0)</f>
        <v>Cypher</v>
      </c>
      <c r="F77" s="11" t="str">
        <f ca="1">VLOOKUP(tbBets[[#This Row],[Game title]],tbResults[],(MATCH(OFFSET(tbBets[#Headers],0,1),tbResults[#Headers],0)),0)</f>
        <v>Awoken</v>
      </c>
      <c r="G77" s="11" t="str">
        <f ca="1">VLOOKUP(tbBets[[#This Row],[Game title]],tbResults[],(MATCH(OFFSET(tbBets[#Headers],0,1),tbResults[#Headers],0)),0)</f>
        <v>Ranger</v>
      </c>
      <c r="H77" s="11" t="str">
        <f ca="1">VLOOKUP(tbBets[[#This Row],[Game title]],tbResults[],(MATCH(OFFSET(tbBets[#Headers],0,1),tbResults[#Headers],0)),0)</f>
        <v>Keel</v>
      </c>
      <c r="I77" s="71">
        <f>131500+5000</f>
        <v>136500</v>
      </c>
      <c r="J77" s="13">
        <f>tbBets[[#This Row],[Opening Balance]]*(1/25)</f>
        <v>5460</v>
      </c>
      <c r="K77" s="13">
        <f>tbBets[[#This Row],[Opening Balance]]*(1/15)</f>
        <v>9100</v>
      </c>
      <c r="L77" s="72" t="s">
        <v>14</v>
      </c>
      <c r="M77" s="8">
        <v>5000</v>
      </c>
      <c r="N77" s="9">
        <v>0.59</v>
      </c>
      <c r="O77" s="9">
        <v>0.41</v>
      </c>
      <c r="P77" s="12" t="str">
        <f ca="1">IF(tbBets[[#This Row],[Winner]]=tbBets[[#This Row],[My pick]],"Yes","No")</f>
        <v>Yes</v>
      </c>
      <c r="Q77" s="5">
        <v>7300</v>
      </c>
      <c r="R77" s="13">
        <f ca="1">SUMIF(tbBets[Week Title],tbBets[[#This Row],[Week Title]],tbBets[Payout])-SUMIF(tbBets[Week Title],tbBets[[#This Row],[Week Title]],tbBets[My bet])</f>
        <v>162512</v>
      </c>
      <c r="S77" s="11" t="str">
        <f ca="1">VLOOKUP(tbBets[[#This Row],[Game title]],tbResults[],(MATCH(OFFSET(tbBets[#Headers],0,1),tbResults[#Headers],0)),0)</f>
        <v>Cypher</v>
      </c>
      <c r="T77" s="11" t="str">
        <f ca="1">VLOOKUP(tbBets[[#This Row],[Game title]],tbResults[],(MATCH(OFFSET(tbBets[#Headers],0,1),tbResults[#Headers],0)),0)</f>
        <v>spart1e</v>
      </c>
    </row>
    <row r="78" spans="2:20" ht="30" customHeight="1" x14ac:dyDescent="0.3">
      <c r="B78" s="14" t="s">
        <v>313</v>
      </c>
      <c r="C78" s="20" t="str">
        <f ca="1">VLOOKUP(tbBets[[#This Row],[Game title]],tbResults[],(MATCH(OFFSET(tbBets[#Headers],0,1),tbResults[#Headers],0)),0)</f>
        <v>2.2.11</v>
      </c>
      <c r="D78" s="11" t="str">
        <f ca="1">VLOOKUP(tbBets[[#This Row],[Game title]],tbResults[],(MATCH(OFFSET(tbBets[#Headers],0,1),tbResults[#Headers],0)),0)</f>
        <v>cha1n</v>
      </c>
      <c r="E78" s="11" t="str">
        <f ca="1">VLOOKUP(tbBets[[#This Row],[Game title]],tbResults[],(MATCH(OFFSET(tbBets[#Headers],0,1),tbResults[#Headers],0)),0)</f>
        <v>Zenaku</v>
      </c>
      <c r="F78" s="11" t="str">
        <f ca="1">VLOOKUP(tbBets[[#This Row],[Game title]],tbResults[],(MATCH(OFFSET(tbBets[#Headers],0,1),tbResults[#Headers],0)),0)</f>
        <v>Deep Embrace</v>
      </c>
      <c r="G78" s="11" t="str">
        <f ca="1">VLOOKUP(tbBets[[#This Row],[Game title]],tbResults[],(MATCH(OFFSET(tbBets[#Headers],0,1),tbResults[#Headers],0)),0)</f>
        <v>Doom</v>
      </c>
      <c r="H78" s="11" t="str">
        <f ca="1">VLOOKUP(tbBets[[#This Row],[Game title]],tbResults[],(MATCH(OFFSET(tbBets[#Headers],0,1),tbResults[#Headers],0)),0)</f>
        <v>Keel</v>
      </c>
      <c r="I78" s="5">
        <v>138900</v>
      </c>
      <c r="J78" s="13">
        <f>tbBets[[#This Row],[Opening Balance]]*(1/25)</f>
        <v>5556</v>
      </c>
      <c r="K78" s="13">
        <f>tbBets[[#This Row],[Opening Balance]]*(1/15)</f>
        <v>9260</v>
      </c>
      <c r="L78" s="72" t="s">
        <v>53</v>
      </c>
      <c r="M78" s="8">
        <v>7000</v>
      </c>
      <c r="N78" s="9">
        <v>0.51</v>
      </c>
      <c r="O78" s="9">
        <v>0.49</v>
      </c>
      <c r="P78" s="12" t="str">
        <f ca="1">IF(tbBets[[#This Row],[Winner]]=tbBets[[#This Row],[My pick]],"Yes","No")</f>
        <v>Yes</v>
      </c>
      <c r="Q78" s="5">
        <v>13677</v>
      </c>
      <c r="R78" s="13">
        <f ca="1">SUMIF(tbBets[Week Title],tbBets[[#This Row],[Week Title]],tbBets[Payout])-SUMIF(tbBets[Week Title],tbBets[[#This Row],[Week Title]],tbBets[My bet])</f>
        <v>162512</v>
      </c>
      <c r="S78" s="11" t="str">
        <f ca="1">VLOOKUP(tbBets[[#This Row],[Game title]],tbResults[],(MATCH(OFFSET(tbBets[#Headers],0,1),tbResults[#Headers],0)),0)</f>
        <v>cha1n</v>
      </c>
      <c r="T78" s="11" t="str">
        <f ca="1">VLOOKUP(tbBets[[#This Row],[Game title]],tbResults[],(MATCH(OFFSET(tbBets[#Headers],0,1),tbResults[#Headers],0)),0)</f>
        <v>Zenaku</v>
      </c>
    </row>
    <row r="79" spans="2:20" ht="30" customHeight="1" x14ac:dyDescent="0.3">
      <c r="B79" s="14" t="s">
        <v>314</v>
      </c>
      <c r="C79" s="20" t="str">
        <f ca="1">VLOOKUP(tbBets[[#This Row],[Game title]],tbResults[],(MATCH(OFFSET(tbBets[#Headers],0,1),tbResults[#Headers],0)),0)</f>
        <v>2.2.11</v>
      </c>
      <c r="D79" s="11" t="str">
        <f ca="1">VLOOKUP(tbBets[[#This Row],[Game title]],tbResults[],(MATCH(OFFSET(tbBets[#Headers],0,1),tbResults[#Headers],0)),0)</f>
        <v>cha1n</v>
      </c>
      <c r="E79" s="11" t="str">
        <f ca="1">VLOOKUP(tbBets[[#This Row],[Game title]],tbResults[],(MATCH(OFFSET(tbBets[#Headers],0,1),tbResults[#Headers],0)),0)</f>
        <v>Zenaku</v>
      </c>
      <c r="F79" s="11" t="str">
        <f ca="1">VLOOKUP(tbBets[[#This Row],[Game title]],tbResults[],(MATCH(OFFSET(tbBets[#Headers],0,1),tbResults[#Headers],0)),0)</f>
        <v>Awoken</v>
      </c>
      <c r="G79" s="11" t="str">
        <f ca="1">VLOOKUP(tbBets[[#This Row],[Game title]],tbResults[],(MATCH(OFFSET(tbBets[#Headers],0,1),tbResults[#Headers],0)),0)</f>
        <v>Athena</v>
      </c>
      <c r="H79" s="11" t="str">
        <f ca="1">VLOOKUP(tbBets[[#This Row],[Game title]],tbResults[],(MATCH(OFFSET(tbBets[#Headers],0,1),tbResults[#Headers],0)),0)</f>
        <v>Nyx</v>
      </c>
      <c r="I79" s="5">
        <v>145600</v>
      </c>
      <c r="J79" s="13">
        <f>tbBets[[#This Row],[Opening Balance]]*(1/25)</f>
        <v>5824</v>
      </c>
      <c r="K79" s="13">
        <f>tbBets[[#This Row],[Opening Balance]]*(1/15)</f>
        <v>9706.6666666666661</v>
      </c>
      <c r="L79" s="72" t="s">
        <v>53</v>
      </c>
      <c r="M79" s="8">
        <v>10000</v>
      </c>
      <c r="N79" s="9">
        <v>0.5</v>
      </c>
      <c r="O79" s="9">
        <v>0.5</v>
      </c>
      <c r="P79" s="12" t="str">
        <f ca="1">IF(tbBets[[#This Row],[Winner]]=tbBets[[#This Row],[My pick]],"Yes","No")</f>
        <v>Yes</v>
      </c>
      <c r="Q79" s="5">
        <v>20111</v>
      </c>
      <c r="R79" s="13">
        <f ca="1">SUMIF(tbBets[Week Title],tbBets[[#This Row],[Week Title]],tbBets[Payout])-SUMIF(tbBets[Week Title],tbBets[[#This Row],[Week Title]],tbBets[My bet])</f>
        <v>162512</v>
      </c>
      <c r="S79" s="11" t="str">
        <f ca="1">VLOOKUP(tbBets[[#This Row],[Game title]],tbResults[],(MATCH(OFFSET(tbBets[#Headers],0,1),tbResults[#Headers],0)),0)</f>
        <v>cha1n</v>
      </c>
      <c r="T79" s="11" t="str">
        <f ca="1">VLOOKUP(tbBets[[#This Row],[Game title]],tbResults[],(MATCH(OFFSET(tbBets[#Headers],0,1),tbResults[#Headers],0)),0)</f>
        <v>Zenaku</v>
      </c>
    </row>
    <row r="80" spans="2:20" ht="30" customHeight="1" x14ac:dyDescent="0.3">
      <c r="B80" s="14" t="s">
        <v>315</v>
      </c>
      <c r="C80" s="20" t="str">
        <f ca="1">VLOOKUP(tbBets[[#This Row],[Game title]],tbResults[],(MATCH(OFFSET(tbBets[#Headers],0,1),tbResults[#Headers],0)),0)</f>
        <v>2.2.11</v>
      </c>
      <c r="D80" s="11" t="str">
        <f ca="1">VLOOKUP(tbBets[[#This Row],[Game title]],tbResults[],(MATCH(OFFSET(tbBets[#Headers],0,1),tbResults[#Headers],0)),0)</f>
        <v>k1llsen</v>
      </c>
      <c r="E80" s="11" t="str">
        <f ca="1">VLOOKUP(tbBets[[#This Row],[Game title]],tbResults[],(MATCH(OFFSET(tbBets[#Headers],0,1),tbResults[#Headers],0)),0)</f>
        <v>Raisy</v>
      </c>
      <c r="F80" s="11" t="str">
        <f ca="1">VLOOKUP(tbBets[[#This Row],[Game title]],tbResults[],(MATCH(OFFSET(tbBets[#Headers],0,1),tbResults[#Headers],0)),0)</f>
        <v>Deep Embrace</v>
      </c>
      <c r="G80" s="11" t="str">
        <f ca="1">VLOOKUP(tbBets[[#This Row],[Game title]],tbResults[],(MATCH(OFFSET(tbBets[#Headers],0,1),tbResults[#Headers],0)),0)</f>
        <v>Strogg</v>
      </c>
      <c r="H80" s="11" t="str">
        <f ca="1">VLOOKUP(tbBets[[#This Row],[Game title]],tbResults[],(MATCH(OFFSET(tbBets[#Headers],0,1),tbResults[#Headers],0)),0)</f>
        <v>Keel</v>
      </c>
      <c r="I80" s="5">
        <f>150900+5000</f>
        <v>155900</v>
      </c>
      <c r="J80" s="13">
        <f>tbBets[[#This Row],[Opening Balance]]*(1/25)</f>
        <v>6236</v>
      </c>
      <c r="K80" s="13">
        <f>tbBets[[#This Row],[Opening Balance]]*(1/15)</f>
        <v>10393.333333333334</v>
      </c>
      <c r="L80" s="72" t="s">
        <v>49</v>
      </c>
      <c r="M80" s="8">
        <v>5000</v>
      </c>
      <c r="N80" s="9">
        <v>0.44</v>
      </c>
      <c r="O80" s="9">
        <v>0.56000000000000005</v>
      </c>
      <c r="P80" s="12" t="str">
        <f ca="1">IF(tbBets[[#This Row],[Winner]]=tbBets[[#This Row],[My pick]],"Yes","No")</f>
        <v>Yes</v>
      </c>
      <c r="Q80" s="5">
        <v>8900</v>
      </c>
      <c r="R80" s="13">
        <f ca="1">SUMIF(tbBets[Week Title],tbBets[[#This Row],[Week Title]],tbBets[Payout])-SUMIF(tbBets[Week Title],tbBets[[#This Row],[Week Title]],tbBets[My bet])</f>
        <v>162512</v>
      </c>
      <c r="S80" s="11" t="str">
        <f ca="1">VLOOKUP(tbBets[[#This Row],[Game title]],tbResults[],(MATCH(OFFSET(tbBets[#Headers],0,1),tbResults[#Headers],0)),0)</f>
        <v>Raisy</v>
      </c>
      <c r="T80" s="11" t="str">
        <f ca="1">VLOOKUP(tbBets[[#This Row],[Game title]],tbResults[],(MATCH(OFFSET(tbBets[#Headers],0,1),tbResults[#Headers],0)),0)</f>
        <v>k1llsen</v>
      </c>
    </row>
    <row r="81" spans="2:20" ht="30" customHeight="1" x14ac:dyDescent="0.3">
      <c r="B81" s="14" t="s">
        <v>316</v>
      </c>
      <c r="C81" s="20" t="str">
        <f ca="1">VLOOKUP(tbBets[[#This Row],[Game title]],tbResults[],(MATCH(OFFSET(tbBets[#Headers],0,1),tbResults[#Headers],0)),0)</f>
        <v>2.2.11</v>
      </c>
      <c r="D81" s="11" t="str">
        <f ca="1">VLOOKUP(tbBets[[#This Row],[Game title]],tbResults[],(MATCH(OFFSET(tbBets[#Headers],0,1),tbResults[#Headers],0)),0)</f>
        <v>k1llsen</v>
      </c>
      <c r="E81" s="11" t="str">
        <f ca="1">VLOOKUP(tbBets[[#This Row],[Game title]],tbResults[],(MATCH(OFFSET(tbBets[#Headers],0,1),tbResults[#Headers],0)),0)</f>
        <v>Raisy</v>
      </c>
      <c r="F81" s="11" t="str">
        <f ca="1">VLOOKUP(tbBets[[#This Row],[Game title]],tbResults[],(MATCH(OFFSET(tbBets[#Headers],0,1),tbResults[#Headers],0)),0)</f>
        <v>Corrupted Keep</v>
      </c>
      <c r="G81" s="11" t="str">
        <f ca="1">VLOOKUP(tbBets[[#This Row],[Game title]],tbResults[],(MATCH(OFFSET(tbBets[#Headers],0,1),tbResults[#Headers],0)),0)</f>
        <v>Eisen</v>
      </c>
      <c r="H81" s="11" t="str">
        <f ca="1">VLOOKUP(tbBets[[#This Row],[Game title]],tbResults[],(MATCH(OFFSET(tbBets[#Headers],0,1),tbResults[#Headers],0)),0)</f>
        <v>Visor</v>
      </c>
      <c r="I81" s="5">
        <v>159800</v>
      </c>
      <c r="J81" s="13">
        <f>tbBets[[#This Row],[Opening Balance]]*(1/25)</f>
        <v>6392</v>
      </c>
      <c r="K81" s="13">
        <f>tbBets[[#This Row],[Opening Balance]]*(1/15)</f>
        <v>10653.333333333334</v>
      </c>
      <c r="L81" s="72" t="s">
        <v>31</v>
      </c>
      <c r="M81" s="8">
        <v>3000</v>
      </c>
      <c r="N81" s="9">
        <v>0.4</v>
      </c>
      <c r="O81" s="9">
        <v>0.6</v>
      </c>
      <c r="P81" s="12" t="str">
        <f ca="1">IF(tbBets[[#This Row],[Winner]]=tbBets[[#This Row],[My pick]],"Yes","No")</f>
        <v>No</v>
      </c>
      <c r="Q81" s="5">
        <v>0</v>
      </c>
      <c r="R81" s="13">
        <f ca="1">SUMIF(tbBets[Week Title],tbBets[[#This Row],[Week Title]],tbBets[Payout])-SUMIF(tbBets[Week Title],tbBets[[#This Row],[Week Title]],tbBets[My bet])</f>
        <v>162512</v>
      </c>
      <c r="S81" s="11" t="str">
        <f ca="1">VLOOKUP(tbBets[[#This Row],[Game title]],tbResults[],(MATCH(OFFSET(tbBets[#Headers],0,1),tbResults[#Headers],0)),0)</f>
        <v>Raisy</v>
      </c>
      <c r="T81" s="11" t="str">
        <f ca="1">VLOOKUP(tbBets[[#This Row],[Game title]],tbResults[],(MATCH(OFFSET(tbBets[#Headers],0,1),tbResults[#Headers],0)),0)</f>
        <v>k1llsen</v>
      </c>
    </row>
    <row r="82" spans="2:20" ht="30" customHeight="1" x14ac:dyDescent="0.3">
      <c r="B82" s="14" t="s">
        <v>317</v>
      </c>
      <c r="C82" s="20" t="str">
        <f ca="1">VLOOKUP(tbBets[[#This Row],[Game title]],tbResults[],(MATCH(OFFSET(tbBets[#Headers],0,1),tbResults[#Headers],0)),0)</f>
        <v>2.2.11</v>
      </c>
      <c r="D82" s="11" t="str">
        <f ca="1">VLOOKUP(tbBets[[#This Row],[Game title]],tbResults[],(MATCH(OFFSET(tbBets[#Headers],0,1),tbResults[#Headers],0)),0)</f>
        <v>k1llsen</v>
      </c>
      <c r="E82" s="11" t="str">
        <f ca="1">VLOOKUP(tbBets[[#This Row],[Game title]],tbResults[],(MATCH(OFFSET(tbBets[#Headers],0,1),tbResults[#Headers],0)),0)</f>
        <v>Raisy</v>
      </c>
      <c r="F82" s="11" t="str">
        <f ca="1">VLOOKUP(tbBets[[#This Row],[Game title]],tbResults[],(MATCH(OFFSET(tbBets[#Headers],0,1),tbResults[#Headers],0)),0)</f>
        <v>Molten Falls</v>
      </c>
      <c r="G82" s="11" t="str">
        <f ca="1">VLOOKUP(tbBets[[#This Row],[Game title]],tbResults[],(MATCH(OFFSET(tbBets[#Headers],0,1),tbResults[#Headers],0)),0)</f>
        <v>Ranger</v>
      </c>
      <c r="H82" s="11" t="str">
        <f ca="1">VLOOKUP(tbBets[[#This Row],[Game title]],tbResults[],(MATCH(OFFSET(tbBets[#Headers],0,1),tbResults[#Headers],0)),0)</f>
        <v>Clutch</v>
      </c>
      <c r="I82" s="5">
        <f>136900+20000</f>
        <v>156900</v>
      </c>
      <c r="J82" s="13">
        <f>tbBets[[#This Row],[Opening Balance]]*(1/25)</f>
        <v>6276</v>
      </c>
      <c r="K82" s="13">
        <f>tbBets[[#This Row],[Opening Balance]]*(1/15)</f>
        <v>10460</v>
      </c>
      <c r="L82" s="72" t="s">
        <v>49</v>
      </c>
      <c r="M82" s="8">
        <v>20000</v>
      </c>
      <c r="N82" s="9">
        <v>0.47</v>
      </c>
      <c r="O82" s="9">
        <v>0.53</v>
      </c>
      <c r="P82" s="12" t="str">
        <f ca="1">IF(tbBets[[#This Row],[Winner]]=tbBets[[#This Row],[My pick]],"Yes","No")</f>
        <v>Yes</v>
      </c>
      <c r="Q82" s="5">
        <v>37574</v>
      </c>
      <c r="R82" s="13">
        <f ca="1">SUMIF(tbBets[Week Title],tbBets[[#This Row],[Week Title]],tbBets[Payout])-SUMIF(tbBets[Week Title],tbBets[[#This Row],[Week Title]],tbBets[My bet])</f>
        <v>162512</v>
      </c>
      <c r="S82" s="11" t="str">
        <f ca="1">VLOOKUP(tbBets[[#This Row],[Game title]],tbResults[],(MATCH(OFFSET(tbBets[#Headers],0,1),tbResults[#Headers],0)),0)</f>
        <v>Raisy</v>
      </c>
      <c r="T82" s="11" t="str">
        <f ca="1">VLOOKUP(tbBets[[#This Row],[Game title]],tbResults[],(MATCH(OFFSET(tbBets[#Headers],0,1),tbResults[#Headers],0)),0)</f>
        <v>k1llsen</v>
      </c>
    </row>
    <row r="83" spans="2:20" ht="30" customHeight="1" x14ac:dyDescent="0.3">
      <c r="B83" s="14" t="s">
        <v>318</v>
      </c>
      <c r="C83" s="20" t="str">
        <f ca="1">VLOOKUP(tbBets[[#This Row],[Game title]],tbResults[],(MATCH(OFFSET(tbBets[#Headers],0,1),tbResults[#Headers],0)),0)</f>
        <v>2.2.11</v>
      </c>
      <c r="D83" s="11" t="str">
        <f ca="1">VLOOKUP(tbBets[[#This Row],[Game title]],tbResults[],(MATCH(OFFSET(tbBets[#Headers],0,1),tbResults[#Headers],0)),0)</f>
        <v>DaHanG</v>
      </c>
      <c r="E83" s="11" t="str">
        <f ca="1">VLOOKUP(tbBets[[#This Row],[Game title]],tbResults[],(MATCH(OFFSET(tbBets[#Headers],0,1),tbResults[#Headers],0)),0)</f>
        <v>Rapha</v>
      </c>
      <c r="F83" s="11" t="str">
        <f ca="1">VLOOKUP(tbBets[[#This Row],[Game title]],tbResults[],(MATCH(OFFSET(tbBets[#Headers],0,1),tbResults[#Headers],0)),0)</f>
        <v>Awoken</v>
      </c>
      <c r="G83" s="11" t="str">
        <f ca="1">VLOOKUP(tbBets[[#This Row],[Game title]],tbResults[],(MATCH(OFFSET(tbBets[#Headers],0,1),tbResults[#Headers],0)),0)</f>
        <v>Ranger</v>
      </c>
      <c r="H83" s="11" t="str">
        <f ca="1">VLOOKUP(tbBets[[#This Row],[Game title]],tbResults[],(MATCH(OFFSET(tbBets[#Headers],0,1),tbResults[#Headers],0)),0)</f>
        <v>Doom</v>
      </c>
      <c r="I83" s="5">
        <v>174700</v>
      </c>
      <c r="J83" s="13">
        <f>tbBets[[#This Row],[Opening Balance]]*(1/25)</f>
        <v>6988</v>
      </c>
      <c r="K83" s="13">
        <f>tbBets[[#This Row],[Opening Balance]]*(1/15)</f>
        <v>11646.666666666666</v>
      </c>
      <c r="L83" s="72" t="s">
        <v>47</v>
      </c>
      <c r="M83" s="8">
        <v>174000</v>
      </c>
      <c r="N83" s="9">
        <v>0.16</v>
      </c>
      <c r="O83" s="9">
        <v>0.84</v>
      </c>
      <c r="P83" s="12" t="str">
        <f ca="1">IF(tbBets[[#This Row],[Winner]]=tbBets[[#This Row],[My pick]],"Yes","No")</f>
        <v>Yes</v>
      </c>
      <c r="Q83" s="5">
        <v>207190</v>
      </c>
      <c r="R83" s="13">
        <f ca="1">SUMIF(tbBets[Week Title],tbBets[[#This Row],[Week Title]],tbBets[Payout])-SUMIF(tbBets[Week Title],tbBets[[#This Row],[Week Title]],tbBets[My bet])</f>
        <v>162512</v>
      </c>
      <c r="S83" s="11" t="str">
        <f ca="1">VLOOKUP(tbBets[[#This Row],[Game title]],tbResults[],(MATCH(OFFSET(tbBets[#Headers],0,1),tbResults[#Headers],0)),0)</f>
        <v>Rapha</v>
      </c>
      <c r="T83" s="11" t="str">
        <f ca="1">VLOOKUP(tbBets[[#This Row],[Game title]],tbResults[],(MATCH(OFFSET(tbBets[#Headers],0,1),tbResults[#Headers],0)),0)</f>
        <v>DaHanG</v>
      </c>
    </row>
    <row r="84" spans="2:20" ht="30" customHeight="1" x14ac:dyDescent="0.3">
      <c r="B84" s="14" t="s">
        <v>319</v>
      </c>
      <c r="C84" s="20" t="str">
        <f ca="1">VLOOKUP(tbBets[[#This Row],[Game title]],tbResults[],(MATCH(OFFSET(tbBets[#Headers],0,1),tbResults[#Headers],0)),0)</f>
        <v>2.2.11</v>
      </c>
      <c r="D84" s="11" t="str">
        <f ca="1">VLOOKUP(tbBets[[#This Row],[Game title]],tbResults[],(MATCH(OFFSET(tbBets[#Headers],0,1),tbResults[#Headers],0)),0)</f>
        <v>DaHanG</v>
      </c>
      <c r="E84" s="11" t="str">
        <f ca="1">VLOOKUP(tbBets[[#This Row],[Game title]],tbResults[],(MATCH(OFFSET(tbBets[#Headers],0,1),tbResults[#Headers],0)),0)</f>
        <v>Rapha</v>
      </c>
      <c r="F84" s="11" t="str">
        <f ca="1">VLOOKUP(tbBets[[#This Row],[Game title]],tbResults[],(MATCH(OFFSET(tbBets[#Headers],0,1),tbResults[#Headers],0)),0)</f>
        <v>Vale of P'nath</v>
      </c>
      <c r="G84" s="11" t="str">
        <f ca="1">VLOOKUP(tbBets[[#This Row],[Game title]],tbResults[],(MATCH(OFFSET(tbBets[#Headers],0,1),tbResults[#Headers],0)),0)</f>
        <v>Keel</v>
      </c>
      <c r="H84" s="11" t="str">
        <f ca="1">VLOOKUP(tbBets[[#This Row],[Game title]],tbResults[],(MATCH(OFFSET(tbBets[#Headers],0,1),tbResults[#Headers],0)),0)</f>
        <v>Scalebearer</v>
      </c>
      <c r="I84" s="5">
        <v>208000</v>
      </c>
      <c r="J84" s="13">
        <f>tbBets[[#This Row],[Opening Balance]]*(1/25)</f>
        <v>8320</v>
      </c>
      <c r="K84" s="13">
        <f>tbBets[[#This Row],[Opening Balance]]*(1/15)</f>
        <v>13866.666666666666</v>
      </c>
      <c r="L84" s="72" t="s">
        <v>47</v>
      </c>
      <c r="M84" s="8">
        <v>207000</v>
      </c>
      <c r="N84" s="9">
        <v>0.16</v>
      </c>
      <c r="O84" s="9">
        <v>0.84</v>
      </c>
      <c r="P84" s="12" t="str">
        <f ca="1">IF(tbBets[[#This Row],[Winner]]=tbBets[[#This Row],[My pick]],"Yes","No")</f>
        <v>Yes</v>
      </c>
      <c r="Q84" s="5">
        <v>245873</v>
      </c>
      <c r="R84" s="13">
        <f ca="1">SUMIF(tbBets[Week Title],tbBets[[#This Row],[Week Title]],tbBets[Payout])-SUMIF(tbBets[Week Title],tbBets[[#This Row],[Week Title]],tbBets[My bet])</f>
        <v>162512</v>
      </c>
      <c r="S84" s="11" t="str">
        <f ca="1">VLOOKUP(tbBets[[#This Row],[Game title]],tbResults[],(MATCH(OFFSET(tbBets[#Headers],0,1),tbResults[#Headers],0)),0)</f>
        <v>Rapha</v>
      </c>
      <c r="T84" s="11" t="str">
        <f ca="1">VLOOKUP(tbBets[[#This Row],[Game title]],tbResults[],(MATCH(OFFSET(tbBets[#Headers],0,1),tbResults[#Headers],0)),0)</f>
        <v>DaHanG</v>
      </c>
    </row>
    <row r="85" spans="2:20" ht="30" customHeight="1" x14ac:dyDescent="0.3">
      <c r="B85" s="14" t="s">
        <v>337</v>
      </c>
      <c r="C85" s="20" t="str">
        <f ca="1">VLOOKUP(tbBets[[#This Row],[Game title]],tbResults[],(MATCH(OFFSET(tbBets[#Headers],0,1),tbResults[#Headers],0)),0)</f>
        <v>2.2.12</v>
      </c>
      <c r="D85" s="11" t="str">
        <f ca="1">VLOOKUP(tbBets[[#This Row],[Game title]],tbResults[],(MATCH(OFFSET(tbBets[#Headers],0,1),tbResults[#Headers],0)),0)</f>
        <v>Vengeurr</v>
      </c>
      <c r="E85" s="11" t="str">
        <f ca="1">VLOOKUP(tbBets[[#This Row],[Game title]],tbResults[],(MATCH(OFFSET(tbBets[#Headers],0,1),tbResults[#Headers],0)),0)</f>
        <v>cnz</v>
      </c>
      <c r="F85" s="11" t="str">
        <f ca="1">VLOOKUP(tbBets[[#This Row],[Game title]],tbResults[],(MATCH(OFFSET(tbBets[#Headers],0,1),tbResults[#Headers],0)),0)</f>
        <v>Ruins of Sarnath</v>
      </c>
      <c r="G85" s="11" t="str">
        <f ca="1">VLOOKUP(tbBets[[#This Row],[Game title]],tbResults[],(MATCH(OFFSET(tbBets[#Headers],0,1),tbResults[#Headers],0)),0)</f>
        <v>Sorlag</v>
      </c>
      <c r="H85" s="11" t="str">
        <f ca="1">VLOOKUP(tbBets[[#This Row],[Game title]],tbResults[],(MATCH(OFFSET(tbBets[#Headers],0,1),tbResults[#Headers],0)),0)</f>
        <v>Eisen</v>
      </c>
      <c r="I85" s="5">
        <v>242700</v>
      </c>
      <c r="J85" s="13">
        <f>tbBets[[#This Row],[Opening Balance]]*(1/25)</f>
        <v>9708</v>
      </c>
      <c r="K85" s="13">
        <f>tbBets[[#This Row],[Opening Balance]]*(1/15)</f>
        <v>16180</v>
      </c>
      <c r="L85" s="89" t="s">
        <v>54</v>
      </c>
      <c r="M85" s="8">
        <v>5000</v>
      </c>
      <c r="N85" s="9">
        <v>0.79</v>
      </c>
      <c r="O85" s="9">
        <v>0.21</v>
      </c>
      <c r="P85" s="12" t="str">
        <f ca="1">IF(tbBets[[#This Row],[Winner]]=tbBets[[#This Row],[My pick]],"Yes","No")</f>
        <v>No</v>
      </c>
      <c r="Q85" s="5">
        <v>0</v>
      </c>
      <c r="R85" s="13">
        <f ca="1">SUMIF(tbBets[Week Title],tbBets[[#This Row],[Week Title]],tbBets[Payout])-SUMIF(tbBets[Week Title],tbBets[[#This Row],[Week Title]],tbBets[My bet])</f>
        <v>6463</v>
      </c>
      <c r="S85" s="11" t="str">
        <f ca="1">VLOOKUP(tbBets[[#This Row],[Game title]],tbResults[],(MATCH(OFFSET(tbBets[#Headers],0,1),tbResults[#Headers],0)),0)</f>
        <v>Vengeurr</v>
      </c>
      <c r="T85" s="11" t="str">
        <f ca="1">VLOOKUP(tbBets[[#This Row],[Game title]],tbResults[],(MATCH(OFFSET(tbBets[#Headers],0,1),tbResults[#Headers],0)),0)</f>
        <v>cnz</v>
      </c>
    </row>
    <row r="86" spans="2:20" ht="30" customHeight="1" x14ac:dyDescent="0.3">
      <c r="B86" s="14" t="s">
        <v>338</v>
      </c>
      <c r="C86" s="20" t="str">
        <f ca="1">VLOOKUP(tbBets[[#This Row],[Game title]],tbResults[],(MATCH(OFFSET(tbBets[#Headers],0,1),tbResults[#Headers],0)),0)</f>
        <v>2.2.12</v>
      </c>
      <c r="D86" s="11" t="str">
        <f ca="1">VLOOKUP(tbBets[[#This Row],[Game title]],tbResults[],(MATCH(OFFSET(tbBets[#Headers],0,1),tbResults[#Headers],0)),0)</f>
        <v>dramis</v>
      </c>
      <c r="E86" s="11" t="str">
        <f ca="1">VLOOKUP(tbBets[[#This Row],[Game title]],tbResults[],(MATCH(OFFSET(tbBets[#Headers],0,1),tbResults[#Headers],0)),0)</f>
        <v>dooi</v>
      </c>
      <c r="F86" s="11" t="str">
        <f ca="1">VLOOKUP(tbBets[[#This Row],[Game title]],tbResults[],(MATCH(OFFSET(tbBets[#Headers],0,1),tbResults[#Headers],0)),0)</f>
        <v>Ruins of Sarnath</v>
      </c>
      <c r="G86" s="11" t="str">
        <f ca="1">VLOOKUP(tbBets[[#This Row],[Game title]],tbResults[],(MATCH(OFFSET(tbBets[#Headers],0,1),tbResults[#Headers],0)),0)</f>
        <v>Strogg</v>
      </c>
      <c r="H86" s="11" t="str">
        <f ca="1">VLOOKUP(tbBets[[#This Row],[Game title]],tbResults[],(MATCH(OFFSET(tbBets[#Headers],0,1),tbResults[#Headers],0)),0)</f>
        <v>Sorlag</v>
      </c>
      <c r="I86" s="5">
        <f>237600+5000</f>
        <v>242600</v>
      </c>
      <c r="J86" s="13">
        <f>tbBets[[#This Row],[Opening Balance]]*(1/25)</f>
        <v>9704</v>
      </c>
      <c r="K86" s="13">
        <f>tbBets[[#This Row],[Opening Balance]]*(1/15)</f>
        <v>16173.333333333334</v>
      </c>
      <c r="L86" s="89" t="s">
        <v>5</v>
      </c>
      <c r="M86" s="8">
        <v>5000</v>
      </c>
      <c r="N86" s="9">
        <v>0.26</v>
      </c>
      <c r="O86" s="9">
        <v>0.74</v>
      </c>
      <c r="P86" s="12" t="str">
        <f ca="1">IF(tbBets[[#This Row],[Winner]]=tbBets[[#This Row],[My pick]],"Yes","No")</f>
        <v>No</v>
      </c>
      <c r="Q86" s="5">
        <v>0</v>
      </c>
      <c r="R86" s="13">
        <f ca="1">SUMIF(tbBets[Week Title],tbBets[[#This Row],[Week Title]],tbBets[Payout])-SUMIF(tbBets[Week Title],tbBets[[#This Row],[Week Title]],tbBets[My bet])</f>
        <v>6463</v>
      </c>
      <c r="S86" s="11" t="str">
        <f ca="1">VLOOKUP(tbBets[[#This Row],[Game title]],tbResults[],(MATCH(OFFSET(tbBets[#Headers],0,1),tbResults[#Headers],0)),0)</f>
        <v>dramis</v>
      </c>
      <c r="T86" s="11" t="str">
        <f ca="1">VLOOKUP(tbBets[[#This Row],[Game title]],tbResults[],(MATCH(OFFSET(tbBets[#Headers],0,1),tbResults[#Headers],0)),0)</f>
        <v>dooi</v>
      </c>
    </row>
    <row r="87" spans="2:20" ht="30" customHeight="1" x14ac:dyDescent="0.3">
      <c r="B87" s="14" t="s">
        <v>339</v>
      </c>
      <c r="C87" s="20" t="str">
        <f ca="1">VLOOKUP(tbBets[[#This Row],[Game title]],tbResults[],(MATCH(OFFSET(tbBets[#Headers],0,1),tbResults[#Headers],0)),0)</f>
        <v>2.2.12</v>
      </c>
      <c r="D87" s="11" t="str">
        <f ca="1">VLOOKUP(tbBets[[#This Row],[Game title]],tbResults[],(MATCH(OFFSET(tbBets[#Headers],0,1),tbResults[#Headers],0)),0)</f>
        <v>dramis</v>
      </c>
      <c r="E87" s="11" t="str">
        <f ca="1">VLOOKUP(tbBets[[#This Row],[Game title]],tbResults[],(MATCH(OFFSET(tbBets[#Headers],0,1),tbResults[#Headers],0)),0)</f>
        <v>dooi</v>
      </c>
      <c r="F87" s="11" t="str">
        <f ca="1">VLOOKUP(tbBets[[#This Row],[Game title]],tbResults[],(MATCH(OFFSET(tbBets[#Headers],0,1),tbResults[#Headers],0)),0)</f>
        <v>Deep Embrace</v>
      </c>
      <c r="G87" s="11" t="str">
        <f ca="1">VLOOKUP(tbBets[[#This Row],[Game title]],tbResults[],(MATCH(OFFSET(tbBets[#Headers],0,1),tbResults[#Headers],0)),0)</f>
        <v>Athena</v>
      </c>
      <c r="H87" s="11" t="str">
        <f ca="1">VLOOKUP(tbBets[[#This Row],[Game title]],tbResults[],(MATCH(OFFSET(tbBets[#Headers],0,1),tbResults[#Headers],0)),0)</f>
        <v>Ranger</v>
      </c>
      <c r="I87" s="5">
        <f>227700+10000</f>
        <v>237700</v>
      </c>
      <c r="J87" s="13">
        <f>tbBets[[#This Row],[Opening Balance]]*(1/25)</f>
        <v>9508</v>
      </c>
      <c r="K87" s="13">
        <f>tbBets[[#This Row],[Opening Balance]]*(1/15)</f>
        <v>15846.666666666666</v>
      </c>
      <c r="L87" s="89" t="s">
        <v>12</v>
      </c>
      <c r="M87" s="8">
        <v>10000</v>
      </c>
      <c r="N87" s="9">
        <v>0.15</v>
      </c>
      <c r="O87" s="9">
        <v>0.85</v>
      </c>
      <c r="P87" s="12" t="str">
        <f ca="1">IF(tbBets[[#This Row],[Winner]]=tbBets[[#This Row],[My pick]],"Yes","No")</f>
        <v>Yes</v>
      </c>
      <c r="Q87" s="5">
        <v>11807</v>
      </c>
      <c r="R87" s="13">
        <f ca="1">SUMIF(tbBets[Week Title],tbBets[[#This Row],[Week Title]],tbBets[Payout])-SUMIF(tbBets[Week Title],tbBets[[#This Row],[Week Title]],tbBets[My bet])</f>
        <v>6463</v>
      </c>
      <c r="S87" s="11" t="str">
        <f ca="1">VLOOKUP(tbBets[[#This Row],[Game title]],tbResults[],(MATCH(OFFSET(tbBets[#Headers],0,1),tbResults[#Headers],0)),0)</f>
        <v>dramis</v>
      </c>
      <c r="T87" s="11" t="str">
        <f ca="1">VLOOKUP(tbBets[[#This Row],[Game title]],tbResults[],(MATCH(OFFSET(tbBets[#Headers],0,1),tbResults[#Headers],0)),0)</f>
        <v>dooi</v>
      </c>
    </row>
    <row r="88" spans="2:20" ht="30" customHeight="1" x14ac:dyDescent="0.3">
      <c r="B88" s="14" t="s">
        <v>340</v>
      </c>
      <c r="C88" s="20" t="str">
        <f ca="1">VLOOKUP(tbBets[[#This Row],[Game title]],tbResults[],(MATCH(OFFSET(tbBets[#Headers],0,1),tbResults[#Headers],0)),0)</f>
        <v>2.2.12</v>
      </c>
      <c r="D88" s="11" t="str">
        <f ca="1">VLOOKUP(tbBets[[#This Row],[Game title]],tbResults[],(MATCH(OFFSET(tbBets[#Headers],0,1),tbResults[#Headers],0)),0)</f>
        <v>Garpy</v>
      </c>
      <c r="E88" s="11" t="str">
        <f ca="1">VLOOKUP(tbBets[[#This Row],[Game title]],tbResults[],(MATCH(OFFSET(tbBets[#Headers],0,1),tbResults[#Headers],0)),0)</f>
        <v>spart1e</v>
      </c>
      <c r="F88" s="11" t="str">
        <f ca="1">VLOOKUP(tbBets[[#This Row],[Game title]],tbResults[],(MATCH(OFFSET(tbBets[#Headers],0,1),tbResults[#Headers],0)),0)</f>
        <v>Deep Embrace</v>
      </c>
      <c r="G88" s="11" t="str">
        <f ca="1">VLOOKUP(tbBets[[#This Row],[Game title]],tbResults[],(MATCH(OFFSET(tbBets[#Headers],0,1),tbResults[#Headers],0)),0)</f>
        <v>Keel</v>
      </c>
      <c r="H88" s="11" t="str">
        <f ca="1">VLOOKUP(tbBets[[#This Row],[Game title]],tbResults[],(MATCH(OFFSET(tbBets[#Headers],0,1),tbResults[#Headers],0)),0)</f>
        <v>Strogg</v>
      </c>
      <c r="I88" s="5">
        <f>209700+30000</f>
        <v>239700</v>
      </c>
      <c r="J88" s="13">
        <f>tbBets[[#This Row],[Opening Balance]]*(1/25)</f>
        <v>9588</v>
      </c>
      <c r="K88" s="13">
        <f>tbBets[[#This Row],[Opening Balance]]*(1/15)</f>
        <v>15980</v>
      </c>
      <c r="L88" s="89" t="s">
        <v>50</v>
      </c>
      <c r="M88" s="8">
        <v>30000</v>
      </c>
      <c r="N88" s="9">
        <v>0.21</v>
      </c>
      <c r="O88" s="9">
        <v>0.79</v>
      </c>
      <c r="P88" s="12" t="str">
        <f ca="1">IF(tbBets[[#This Row],[Winner]]=tbBets[[#This Row],[My pick]],"Yes","No")</f>
        <v>No</v>
      </c>
      <c r="Q88" s="5">
        <v>0</v>
      </c>
      <c r="R88" s="13">
        <f ca="1">SUMIF(tbBets[Week Title],tbBets[[#This Row],[Week Title]],tbBets[Payout])-SUMIF(tbBets[Week Title],tbBets[[#This Row],[Week Title]],tbBets[My bet])</f>
        <v>6463</v>
      </c>
      <c r="S88" s="11" t="str">
        <f ca="1">VLOOKUP(tbBets[[#This Row],[Game title]],tbResults[],(MATCH(OFFSET(tbBets[#Headers],0,1),tbResults[#Headers],0)),0)</f>
        <v>Garpy</v>
      </c>
      <c r="T88" s="11" t="str">
        <f ca="1">VLOOKUP(tbBets[[#This Row],[Game title]],tbResults[],(MATCH(OFFSET(tbBets[#Headers],0,1),tbResults[#Headers],0)),0)</f>
        <v>spart1e</v>
      </c>
    </row>
    <row r="89" spans="2:20" ht="30" customHeight="1" x14ac:dyDescent="0.3">
      <c r="B89" s="14" t="s">
        <v>341</v>
      </c>
      <c r="C89" s="20" t="str">
        <f ca="1">VLOOKUP(tbBets[[#This Row],[Game title]],tbResults[],(MATCH(OFFSET(tbBets[#Headers],0,1),tbResults[#Headers],0)),0)</f>
        <v>2.2.12</v>
      </c>
      <c r="D89" s="11" t="str">
        <f ca="1">VLOOKUP(tbBets[[#This Row],[Game title]],tbResults[],(MATCH(OFFSET(tbBets[#Headers],0,1),tbResults[#Headers],0)),0)</f>
        <v>Garpy</v>
      </c>
      <c r="E89" s="11" t="str">
        <f ca="1">VLOOKUP(tbBets[[#This Row],[Game title]],tbResults[],(MATCH(OFFSET(tbBets[#Headers],0,1),tbResults[#Headers],0)),0)</f>
        <v>spart1e</v>
      </c>
      <c r="F89" s="11" t="str">
        <f ca="1">VLOOKUP(tbBets[[#This Row],[Game title]],tbResults[],(MATCH(OFFSET(tbBets[#Headers],0,1),tbResults[#Headers],0)),0)</f>
        <v>Ruins of Sarnath</v>
      </c>
      <c r="G89" s="11" t="str">
        <f ca="1">VLOOKUP(tbBets[[#This Row],[Game title]],tbResults[],(MATCH(OFFSET(tbBets[#Headers],0,1),tbResults[#Headers],0)),0)</f>
        <v>Ranger</v>
      </c>
      <c r="H89" s="11" t="str">
        <f ca="1">VLOOKUP(tbBets[[#This Row],[Game title]],tbResults[],(MATCH(OFFSET(tbBets[#Headers],0,1),tbResults[#Headers],0)),0)</f>
        <v>Visor</v>
      </c>
      <c r="I89" s="5">
        <f>159700+30000</f>
        <v>189700</v>
      </c>
      <c r="J89" s="13">
        <f>tbBets[[#This Row],[Opening Balance]]*(1/25)</f>
        <v>7588</v>
      </c>
      <c r="K89" s="13">
        <f>tbBets[[#This Row],[Opening Balance]]*(1/15)</f>
        <v>12646.666666666666</v>
      </c>
      <c r="L89" s="89" t="s">
        <v>50</v>
      </c>
      <c r="M89" s="8">
        <v>50000</v>
      </c>
      <c r="N89" s="9">
        <v>0.45</v>
      </c>
      <c r="O89" s="9">
        <v>0.55000000000000004</v>
      </c>
      <c r="P89" s="12" t="str">
        <f ca="1">IF(tbBets[[#This Row],[Winner]]=tbBets[[#This Row],[My pick]],"Yes","No")</f>
        <v>Yes</v>
      </c>
      <c r="Q89" s="5">
        <v>95700</v>
      </c>
      <c r="R89" s="13">
        <f ca="1">SUMIF(tbBets[Week Title],tbBets[[#This Row],[Week Title]],tbBets[Payout])-SUMIF(tbBets[Week Title],tbBets[[#This Row],[Week Title]],tbBets[My bet])</f>
        <v>6463</v>
      </c>
      <c r="S89" s="11" t="str">
        <f ca="1">VLOOKUP(tbBets[[#This Row],[Game title]],tbResults[],(MATCH(OFFSET(tbBets[#Headers],0,1),tbResults[#Headers],0)),0)</f>
        <v>spart1e</v>
      </c>
      <c r="T89" s="11" t="str">
        <f ca="1">VLOOKUP(tbBets[[#This Row],[Game title]],tbResults[],(MATCH(OFFSET(tbBets[#Headers],0,1),tbResults[#Headers],0)),0)</f>
        <v>Garpy</v>
      </c>
    </row>
    <row r="90" spans="2:20" ht="30" customHeight="1" x14ac:dyDescent="0.3">
      <c r="B90" s="14" t="s">
        <v>342</v>
      </c>
      <c r="C90" s="20" t="str">
        <f ca="1">VLOOKUP(tbBets[[#This Row],[Game title]],tbResults[],(MATCH(OFFSET(tbBets[#Headers],0,1),tbResults[#Headers],0)),0)</f>
        <v>2.2.12</v>
      </c>
      <c r="D90" s="11" t="str">
        <f ca="1">VLOOKUP(tbBets[[#This Row],[Game title]],tbResults[],(MATCH(OFFSET(tbBets[#Headers],0,1),tbResults[#Headers],0)),0)</f>
        <v>Garpy</v>
      </c>
      <c r="E90" s="11" t="str">
        <f ca="1">VLOOKUP(tbBets[[#This Row],[Game title]],tbResults[],(MATCH(OFFSET(tbBets[#Headers],0,1),tbResults[#Headers],0)),0)</f>
        <v>spart1e</v>
      </c>
      <c r="F90" s="11" t="str">
        <f ca="1">VLOOKUP(tbBets[[#This Row],[Game title]],tbResults[],(MATCH(OFFSET(tbBets[#Headers],0,1),tbResults[#Headers],0)),0)</f>
        <v>Vale of P'nath</v>
      </c>
      <c r="G90" s="11" t="str">
        <f ca="1">VLOOKUP(tbBets[[#This Row],[Game title]],tbResults[],(MATCH(OFFSET(tbBets[#Headers],0,1),tbResults[#Headers],0)),0)</f>
        <v>Scalebearer</v>
      </c>
      <c r="H90" s="11" t="str">
        <f ca="1">VLOOKUP(tbBets[[#This Row],[Game title]],tbResults[],(MATCH(OFFSET(tbBets[#Headers],0,1),tbResults[#Headers],0)),0)</f>
        <v>Sorlag</v>
      </c>
      <c r="I90" s="5">
        <f>185400+50000</f>
        <v>235400</v>
      </c>
      <c r="J90" s="13">
        <f>tbBets[[#This Row],[Opening Balance]]*(1/25)</f>
        <v>9416</v>
      </c>
      <c r="K90" s="13">
        <f>tbBets[[#This Row],[Opening Balance]]*(1/15)</f>
        <v>15693.333333333334</v>
      </c>
      <c r="L90" s="89" t="s">
        <v>50</v>
      </c>
      <c r="M90" s="8">
        <v>50000</v>
      </c>
      <c r="N90" s="9">
        <v>0.23</v>
      </c>
      <c r="O90" s="9">
        <v>0.77</v>
      </c>
      <c r="P90" s="12" t="str">
        <f ca="1">IF(tbBets[[#This Row],[Winner]]=tbBets[[#This Row],[My pick]],"Yes","No")</f>
        <v>Yes</v>
      </c>
      <c r="Q90" s="5">
        <v>80316</v>
      </c>
      <c r="R90" s="13">
        <f ca="1">SUMIF(tbBets[Week Title],tbBets[[#This Row],[Week Title]],tbBets[Payout])-SUMIF(tbBets[Week Title],tbBets[[#This Row],[Week Title]],tbBets[My bet])</f>
        <v>6463</v>
      </c>
      <c r="S90" s="11" t="str">
        <f ca="1">VLOOKUP(tbBets[[#This Row],[Game title]],tbResults[],(MATCH(OFFSET(tbBets[#Headers],0,1),tbResults[#Headers],0)),0)</f>
        <v>spart1e</v>
      </c>
      <c r="T90" s="11" t="str">
        <f ca="1">VLOOKUP(tbBets[[#This Row],[Game title]],tbResults[],(MATCH(OFFSET(tbBets[#Headers],0,1),tbResults[#Headers],0)),0)</f>
        <v>Garpy</v>
      </c>
    </row>
    <row r="91" spans="2:20" ht="30" customHeight="1" x14ac:dyDescent="0.3">
      <c r="B91" s="14" t="s">
        <v>343</v>
      </c>
      <c r="C91" s="20" t="str">
        <f ca="1">VLOOKUP(tbBets[[#This Row],[Game title]],tbResults[],(MATCH(OFFSET(tbBets[#Headers],0,1),tbResults[#Headers],0)),0)</f>
        <v>2.2.12</v>
      </c>
      <c r="D91" s="11" t="str">
        <f ca="1">VLOOKUP(tbBets[[#This Row],[Game title]],tbResults[],(MATCH(OFFSET(tbBets[#Headers],0,1),tbResults[#Headers],0)),0)</f>
        <v>Psygib</v>
      </c>
      <c r="E91" s="11" t="str">
        <f ca="1">VLOOKUP(tbBets[[#This Row],[Game title]],tbResults[],(MATCH(OFFSET(tbBets[#Headers],0,1),tbResults[#Headers],0)),0)</f>
        <v>Effortless</v>
      </c>
      <c r="F91" s="11" t="str">
        <f ca="1">VLOOKUP(tbBets[[#This Row],[Game title]],tbResults[],(MATCH(OFFSET(tbBets[#Headers],0,1),tbResults[#Headers],0)),0)</f>
        <v>Vale of P'nath</v>
      </c>
      <c r="G91" s="11" t="str">
        <f ca="1">VLOOKUP(tbBets[[#This Row],[Game title]],tbResults[],(MATCH(OFFSET(tbBets[#Headers],0,1),tbResults[#Headers],0)),0)</f>
        <v>Sorlag</v>
      </c>
      <c r="H91" s="11" t="str">
        <f ca="1">VLOOKUP(tbBets[[#This Row],[Game title]],tbResults[],(MATCH(OFFSET(tbBets[#Headers],0,1),tbResults[#Headers],0)),0)</f>
        <v>Eisen</v>
      </c>
      <c r="I91" s="5">
        <v>265800</v>
      </c>
      <c r="J91" s="13">
        <f>tbBets[[#This Row],[Opening Balance]]*(1/25)</f>
        <v>10632</v>
      </c>
      <c r="K91" s="13">
        <f>tbBets[[#This Row],[Opening Balance]]*(1/15)</f>
        <v>17720</v>
      </c>
      <c r="L91" s="89" t="s">
        <v>6</v>
      </c>
      <c r="M91" s="8">
        <v>50000</v>
      </c>
      <c r="N91" s="9">
        <v>0.54</v>
      </c>
      <c r="O91" s="9">
        <v>0.46</v>
      </c>
      <c r="P91" s="12" t="str">
        <f ca="1">IF(tbBets[[#This Row],[Winner]]=tbBets[[#This Row],[My pick]],"Yes","No")</f>
        <v>No</v>
      </c>
      <c r="Q91" s="5">
        <v>0</v>
      </c>
      <c r="R91" s="13">
        <f ca="1">SUMIF(tbBets[Week Title],tbBets[[#This Row],[Week Title]],tbBets[Payout])-SUMIF(tbBets[Week Title],tbBets[[#This Row],[Week Title]],tbBets[My bet])</f>
        <v>6463</v>
      </c>
      <c r="S91" s="11" t="str">
        <f ca="1">VLOOKUP(tbBets[[#This Row],[Game title]],tbResults[],(MATCH(OFFSET(tbBets[#Headers],0,1),tbResults[#Headers],0)),0)</f>
        <v>Psygib</v>
      </c>
      <c r="T91" s="11" t="str">
        <f ca="1">VLOOKUP(tbBets[[#This Row],[Game title]],tbResults[],(MATCH(OFFSET(tbBets[#Headers],0,1),tbResults[#Headers],0)),0)</f>
        <v>Effortless</v>
      </c>
    </row>
    <row r="92" spans="2:20" ht="30" customHeight="1" x14ac:dyDescent="0.3">
      <c r="B92" s="14" t="s">
        <v>344</v>
      </c>
      <c r="C92" s="20" t="str">
        <f ca="1">VLOOKUP(tbBets[[#This Row],[Game title]],tbResults[],(MATCH(OFFSET(tbBets[#Headers],0,1),tbResults[#Headers],0)),0)</f>
        <v>2.2.12</v>
      </c>
      <c r="D92" s="11" t="str">
        <f ca="1">VLOOKUP(tbBets[[#This Row],[Game title]],tbResults[],(MATCH(OFFSET(tbBets[#Headers],0,1),tbResults[#Headers],0)),0)</f>
        <v>Psygib</v>
      </c>
      <c r="E92" s="11" t="str">
        <f ca="1">VLOOKUP(tbBets[[#This Row],[Game title]],tbResults[],(MATCH(OFFSET(tbBets[#Headers],0,1),tbResults[#Headers],0)),0)</f>
        <v>Effortless</v>
      </c>
      <c r="F92" s="11" t="str">
        <f ca="1">VLOOKUP(tbBets[[#This Row],[Game title]],tbResults[],(MATCH(OFFSET(tbBets[#Headers],0,1),tbResults[#Headers],0)),0)</f>
        <v>Corrupted Keep</v>
      </c>
      <c r="G92" s="11" t="str">
        <f ca="1">VLOOKUP(tbBets[[#This Row],[Game title]],tbResults[],(MATCH(OFFSET(tbBets[#Headers],0,1),tbResults[#Headers],0)),0)</f>
        <v>Keel</v>
      </c>
      <c r="H92" s="11" t="str">
        <f ca="1">VLOOKUP(tbBets[[#This Row],[Game title]],tbResults[],(MATCH(OFFSET(tbBets[#Headers],0,1),tbResults[#Headers],0)),0)</f>
        <v>BJ Blazkowicz</v>
      </c>
      <c r="I92" s="5"/>
      <c r="J92" s="13">
        <f>tbBets[[#This Row],[Opening Balance]]*(1/25)</f>
        <v>0</v>
      </c>
      <c r="K92" s="13">
        <f>tbBets[[#This Row],[Opening Balance]]*(1/15)</f>
        <v>0</v>
      </c>
      <c r="L92" s="89" t="s">
        <v>6</v>
      </c>
      <c r="M92" s="8">
        <v>50000</v>
      </c>
      <c r="N92" s="9"/>
      <c r="O92" s="9"/>
      <c r="P92" s="12" t="str">
        <f ca="1">IF(tbBets[[#This Row],[Winner]]=tbBets[[#This Row],[My pick]],"Yes","No")</f>
        <v>No</v>
      </c>
      <c r="Q92" s="5">
        <v>0</v>
      </c>
      <c r="R92" s="13">
        <f ca="1">SUMIF(tbBets[Week Title],tbBets[[#This Row],[Week Title]],tbBets[Payout])-SUMIF(tbBets[Week Title],tbBets[[#This Row],[Week Title]],tbBets[My bet])</f>
        <v>6463</v>
      </c>
      <c r="S92" s="11" t="str">
        <f ca="1">VLOOKUP(tbBets[[#This Row],[Game title]],tbResults[],(MATCH(OFFSET(tbBets[#Headers],0,1),tbResults[#Headers],0)),0)</f>
        <v>Psygib</v>
      </c>
      <c r="T92" s="11" t="str">
        <f ca="1">VLOOKUP(tbBets[[#This Row],[Game title]],tbResults[],(MATCH(OFFSET(tbBets[#Headers],0,1),tbResults[#Headers],0)),0)</f>
        <v>Effortless</v>
      </c>
    </row>
    <row r="93" spans="2:20" ht="30" customHeight="1" x14ac:dyDescent="0.3">
      <c r="B93" s="14" t="s">
        <v>345</v>
      </c>
      <c r="C93" s="20" t="str">
        <f ca="1">VLOOKUP(tbBets[[#This Row],[Game title]],tbResults[],(MATCH(OFFSET(tbBets[#Headers],0,1),tbResults[#Headers],0)),0)</f>
        <v>2.2.12</v>
      </c>
      <c r="D93" s="11" t="str">
        <f ca="1">VLOOKUP(tbBets[[#This Row],[Game title]],tbResults[],(MATCH(OFFSET(tbBets[#Headers],0,1),tbResults[#Headers],0)),0)</f>
        <v>Psygib</v>
      </c>
      <c r="E93" s="11" t="str">
        <f ca="1">VLOOKUP(tbBets[[#This Row],[Game title]],tbResults[],(MATCH(OFFSET(tbBets[#Headers],0,1),tbResults[#Headers],0)),0)</f>
        <v>Effortless</v>
      </c>
      <c r="F93" s="11" t="str">
        <f ca="1">VLOOKUP(tbBets[[#This Row],[Game title]],tbResults[],(MATCH(OFFSET(tbBets[#Headers],0,1),tbResults[#Headers],0)),0)</f>
        <v>Awoken</v>
      </c>
      <c r="G93" s="11" t="str">
        <f ca="1">VLOOKUP(tbBets[[#This Row],[Game title]],tbResults[],(MATCH(OFFSET(tbBets[#Headers],0,1),tbResults[#Headers],0)),0)</f>
        <v>Doom</v>
      </c>
      <c r="H93" s="11" t="str">
        <f ca="1">VLOOKUP(tbBets[[#This Row],[Game title]],tbResults[],(MATCH(OFFSET(tbBets[#Headers],0,1),tbResults[#Headers],0)),0)</f>
        <v>Ranger</v>
      </c>
      <c r="I93" s="8">
        <v>165900</v>
      </c>
      <c r="J93" s="13">
        <f>tbBets[[#This Row],[Opening Balance]]*(1/25)</f>
        <v>6636</v>
      </c>
      <c r="K93" s="13">
        <f>tbBets[[#This Row],[Opening Balance]]*(1/15)</f>
        <v>11060</v>
      </c>
      <c r="L93" s="89" t="s">
        <v>6</v>
      </c>
      <c r="M93" s="8">
        <v>30000</v>
      </c>
      <c r="N93" s="9">
        <v>0.23</v>
      </c>
      <c r="O93" s="9">
        <v>0.77</v>
      </c>
      <c r="P93" s="12" t="str">
        <f ca="1">IF(tbBets[[#This Row],[Winner]]=tbBets[[#This Row],[My pick]],"Yes","No")</f>
        <v>Yes</v>
      </c>
      <c r="Q93" s="5">
        <v>0</v>
      </c>
      <c r="R93" s="13">
        <f ca="1">SUMIF(tbBets[Week Title],tbBets[[#This Row],[Week Title]],tbBets[Payout])-SUMIF(tbBets[Week Title],tbBets[[#This Row],[Week Title]],tbBets[My bet])</f>
        <v>6463</v>
      </c>
      <c r="S93" s="11" t="str">
        <f ca="1">VLOOKUP(tbBets[[#This Row],[Game title]],tbResults[],(MATCH(OFFSET(tbBets[#Headers],0,1),tbResults[#Headers],0)),0)</f>
        <v>Effortless</v>
      </c>
      <c r="T93" s="11" t="str">
        <f ca="1">VLOOKUP(tbBets[[#This Row],[Game title]],tbResults[],(MATCH(OFFSET(tbBets[#Headers],0,1),tbResults[#Headers],0)),0)</f>
        <v>Psygib</v>
      </c>
    </row>
    <row r="94" spans="2:20" ht="30" customHeight="1" x14ac:dyDescent="0.3">
      <c r="B94" s="14" t="s">
        <v>346</v>
      </c>
      <c r="C94" s="20" t="str">
        <f ca="1">VLOOKUP(tbBets[[#This Row],[Game title]],tbResults[],(MATCH(OFFSET(tbBets[#Headers],0,1),tbResults[#Headers],0)),0)</f>
        <v>2.2.12</v>
      </c>
      <c r="D94" s="11" t="str">
        <f ca="1">VLOOKUP(tbBets[[#This Row],[Game title]],tbResults[],(MATCH(OFFSET(tbBets[#Headers],0,1),tbResults[#Headers],0)),0)</f>
        <v>Cypher</v>
      </c>
      <c r="E94" s="11" t="str">
        <f ca="1">VLOOKUP(tbBets[[#This Row],[Game title]],tbResults[],(MATCH(OFFSET(tbBets[#Headers],0,1),tbResults[#Headers],0)),0)</f>
        <v>Base</v>
      </c>
      <c r="F94" s="11" t="str">
        <f ca="1">VLOOKUP(tbBets[[#This Row],[Game title]],tbResults[],(MATCH(OFFSET(tbBets[#Headers],0,1),tbResults[#Headers],0)),0)</f>
        <v>Molten Falls</v>
      </c>
      <c r="G94" s="11" t="str">
        <f ca="1">VLOOKUP(tbBets[[#This Row],[Game title]],tbResults[],(MATCH(OFFSET(tbBets[#Headers],0,1),tbResults[#Headers],0)),0)</f>
        <v>Strogg</v>
      </c>
      <c r="H94" s="11" t="str">
        <f ca="1">VLOOKUP(tbBets[[#This Row],[Game title]],tbResults[],(MATCH(OFFSET(tbBets[#Headers],0,1),tbResults[#Headers],0)),0)</f>
        <v>Sorlag</v>
      </c>
      <c r="I94" s="5">
        <f>161200+50000</f>
        <v>211200</v>
      </c>
      <c r="J94" s="13">
        <f>tbBets[[#This Row],[Opening Balance]]*(1/25)</f>
        <v>8448</v>
      </c>
      <c r="K94" s="13">
        <f>tbBets[[#This Row],[Opening Balance]]*(1/15)</f>
        <v>14080</v>
      </c>
      <c r="L94" s="89" t="s">
        <v>14</v>
      </c>
      <c r="M94" s="8">
        <v>50000</v>
      </c>
      <c r="N94" s="9">
        <v>0.56000000000000005</v>
      </c>
      <c r="O94" s="9">
        <v>0.44</v>
      </c>
      <c r="P94" s="12" t="str">
        <f ca="1">IF(tbBets[[#This Row],[Winner]]=tbBets[[#This Row],[My pick]],"Yes","No")</f>
        <v>Yes</v>
      </c>
      <c r="Q94" s="5">
        <v>90000</v>
      </c>
      <c r="R94" s="13">
        <f ca="1">SUMIF(tbBets[Week Title],tbBets[[#This Row],[Week Title]],tbBets[Payout])-SUMIF(tbBets[Week Title],tbBets[[#This Row],[Week Title]],tbBets[My bet])</f>
        <v>6463</v>
      </c>
      <c r="S94" s="11" t="str">
        <f ca="1">VLOOKUP(tbBets[[#This Row],[Game title]],tbResults[],(MATCH(OFFSET(tbBets[#Headers],0,1),tbResults[#Headers],0)),0)</f>
        <v>Cypher</v>
      </c>
      <c r="T94" s="11" t="str">
        <f ca="1">VLOOKUP(tbBets[[#This Row],[Game title]],tbResults[],(MATCH(OFFSET(tbBets[#Headers],0,1),tbResults[#Headers],0)),0)</f>
        <v>Base</v>
      </c>
    </row>
    <row r="95" spans="2:20" ht="30" customHeight="1" x14ac:dyDescent="0.3">
      <c r="B95" s="14" t="s">
        <v>347</v>
      </c>
      <c r="C95" s="20" t="str">
        <f ca="1">VLOOKUP(tbBets[[#This Row],[Game title]],tbResults[],(MATCH(OFFSET(tbBets[#Headers],0,1),tbResults[#Headers],0)),0)</f>
        <v>2.2.12</v>
      </c>
      <c r="D95" s="11" t="str">
        <f ca="1">VLOOKUP(tbBets[[#This Row],[Game title]],tbResults[],(MATCH(OFFSET(tbBets[#Headers],0,1),tbResults[#Headers],0)),0)</f>
        <v>Cypher</v>
      </c>
      <c r="E95" s="11" t="str">
        <f ca="1">VLOOKUP(tbBets[[#This Row],[Game title]],tbResults[],(MATCH(OFFSET(tbBets[#Headers],0,1),tbResults[#Headers],0)),0)</f>
        <v>Base</v>
      </c>
      <c r="F95" s="11" t="str">
        <f ca="1">VLOOKUP(tbBets[[#This Row],[Game title]],tbResults[],(MATCH(OFFSET(tbBets[#Headers],0,1),tbResults[#Headers],0)),0)</f>
        <v>Awoken</v>
      </c>
      <c r="G95" s="11" t="str">
        <f ca="1">VLOOKUP(tbBets[[#This Row],[Game title]],tbResults[],(MATCH(OFFSET(tbBets[#Headers],0,1),tbResults[#Headers],0)),0)</f>
        <v>Keel</v>
      </c>
      <c r="H95" s="11" t="str">
        <f ca="1">VLOOKUP(tbBets[[#This Row],[Game title]],tbResults[],(MATCH(OFFSET(tbBets[#Headers],0,1),tbResults[#Headers],0)),0)</f>
        <v>Athena</v>
      </c>
      <c r="I95" s="5">
        <f>221200+30000</f>
        <v>251200</v>
      </c>
      <c r="J95" s="13">
        <f>tbBets[[#This Row],[Opening Balance]]*(1/25)</f>
        <v>10048</v>
      </c>
      <c r="K95" s="13">
        <f>tbBets[[#This Row],[Opening Balance]]*(1/15)</f>
        <v>16746.666666666668</v>
      </c>
      <c r="L95" s="89" t="s">
        <v>51</v>
      </c>
      <c r="M95" s="8">
        <v>30000</v>
      </c>
      <c r="N95" s="9">
        <v>0.76</v>
      </c>
      <c r="O95" s="9">
        <v>0.24</v>
      </c>
      <c r="P95" s="12" t="str">
        <f ca="1">IF(tbBets[[#This Row],[Winner]]=tbBets[[#This Row],[My pick]],"Yes","No")</f>
        <v>Yes</v>
      </c>
      <c r="Q95" s="5">
        <v>122654</v>
      </c>
      <c r="R95" s="13">
        <f ca="1">SUMIF(tbBets[Week Title],tbBets[[#This Row],[Week Title]],tbBets[Payout])-SUMIF(tbBets[Week Title],tbBets[[#This Row],[Week Title]],tbBets[My bet])</f>
        <v>6463</v>
      </c>
      <c r="S95" s="11" t="str">
        <f ca="1">VLOOKUP(tbBets[[#This Row],[Game title]],tbResults[],(MATCH(OFFSET(tbBets[#Headers],0,1),tbResults[#Headers],0)),0)</f>
        <v>Base</v>
      </c>
      <c r="T95" s="11" t="str">
        <f ca="1">VLOOKUP(tbBets[[#This Row],[Game title]],tbResults[],(MATCH(OFFSET(tbBets[#Headers],0,1),tbResults[#Headers],0)),0)</f>
        <v>Cypher</v>
      </c>
    </row>
    <row r="96" spans="2:20" ht="30" customHeight="1" x14ac:dyDescent="0.3">
      <c r="B96" s="14" t="s">
        <v>348</v>
      </c>
      <c r="C96" s="20" t="str">
        <f ca="1">VLOOKUP(tbBets[[#This Row],[Game title]],tbResults[],(MATCH(OFFSET(tbBets[#Headers],0,1),tbResults[#Headers],0)),0)</f>
        <v>2.2.12</v>
      </c>
      <c r="D96" s="11" t="str">
        <f ca="1">VLOOKUP(tbBets[[#This Row],[Game title]],tbResults[],(MATCH(OFFSET(tbBets[#Headers],0,1),tbResults[#Headers],0)),0)</f>
        <v>k1llsen</v>
      </c>
      <c r="E96" s="11" t="str">
        <f ca="1">VLOOKUP(tbBets[[#This Row],[Game title]],tbResults[],(MATCH(OFFSET(tbBets[#Headers],0,1),tbResults[#Headers],0)),0)</f>
        <v>Av3k</v>
      </c>
      <c r="F96" s="11" t="str">
        <f ca="1">VLOOKUP(tbBets[[#This Row],[Game title]],tbResults[],(MATCH(OFFSET(tbBets[#Headers],0,1),tbResults[#Headers],0)),0)</f>
        <v>Corrupted Keep</v>
      </c>
      <c r="G96" s="11" t="str">
        <f ca="1">VLOOKUP(tbBets[[#This Row],[Game title]],tbResults[],(MATCH(OFFSET(tbBets[#Headers],0,1),tbResults[#Headers],0)),0)</f>
        <v>BJ Blazkowicz</v>
      </c>
      <c r="H96" s="11" t="str">
        <f ca="1">VLOOKUP(tbBets[[#This Row],[Game title]],tbResults[],(MATCH(OFFSET(tbBets[#Headers],0,1),tbResults[#Headers],0)),0)</f>
        <v>Eisen</v>
      </c>
      <c r="I96" s="5">
        <v>344000</v>
      </c>
      <c r="J96" s="13">
        <f>tbBets[[#This Row],[Opening Balance]]*(1/25)</f>
        <v>13760</v>
      </c>
      <c r="K96" s="13">
        <f>tbBets[[#This Row],[Opening Balance]]*(1/15)</f>
        <v>22933.333333333332</v>
      </c>
      <c r="L96" s="89" t="s">
        <v>52</v>
      </c>
      <c r="M96" s="8">
        <v>50000</v>
      </c>
      <c r="N96" s="9">
        <v>0.56999999999999995</v>
      </c>
      <c r="O96" s="9">
        <v>0.43</v>
      </c>
      <c r="P96" s="12" t="str">
        <f ca="1">IF(tbBets[[#This Row],[Winner]]=tbBets[[#This Row],[My pick]],"Yes","No")</f>
        <v>Yes</v>
      </c>
      <c r="Q96" s="5">
        <v>88500</v>
      </c>
      <c r="R96" s="13">
        <f ca="1">SUMIF(tbBets[Week Title],tbBets[[#This Row],[Week Title]],tbBets[Payout])-SUMIF(tbBets[Week Title],tbBets[[#This Row],[Week Title]],tbBets[My bet])</f>
        <v>6463</v>
      </c>
      <c r="S96" s="11" t="str">
        <f ca="1">VLOOKUP(tbBets[[#This Row],[Game title]],tbResults[],(MATCH(OFFSET(tbBets[#Headers],0,1),tbResults[#Headers],0)),0)</f>
        <v>Av3k</v>
      </c>
      <c r="T96" s="11" t="str">
        <f ca="1">VLOOKUP(tbBets[[#This Row],[Game title]],tbResults[],(MATCH(OFFSET(tbBets[#Headers],0,1),tbResults[#Headers],0)),0)</f>
        <v>k1llsen</v>
      </c>
    </row>
    <row r="97" spans="2:20" ht="30" customHeight="1" x14ac:dyDescent="0.3">
      <c r="B97" s="14" t="s">
        <v>349</v>
      </c>
      <c r="C97" s="20" t="str">
        <f ca="1">VLOOKUP(tbBets[[#This Row],[Game title]],tbResults[],(MATCH(OFFSET(tbBets[#Headers],0,1),tbResults[#Headers],0)),0)</f>
        <v>2.2.12</v>
      </c>
      <c r="D97" s="11" t="str">
        <f ca="1">VLOOKUP(tbBets[[#This Row],[Game title]],tbResults[],(MATCH(OFFSET(tbBets[#Headers],0,1),tbResults[#Headers],0)),0)</f>
        <v>k1llsen</v>
      </c>
      <c r="E97" s="11" t="str">
        <f ca="1">VLOOKUP(tbBets[[#This Row],[Game title]],tbResults[],(MATCH(OFFSET(tbBets[#Headers],0,1),tbResults[#Headers],0)),0)</f>
        <v>Av3k</v>
      </c>
      <c r="F97" s="11" t="str">
        <f ca="1">VLOOKUP(tbBets[[#This Row],[Game title]],tbResults[],(MATCH(OFFSET(tbBets[#Headers],0,1),tbResults[#Headers],0)),0)</f>
        <v>Awoken</v>
      </c>
      <c r="G97" s="11" t="str">
        <f ca="1">VLOOKUP(tbBets[[#This Row],[Game title]],tbResults[],(MATCH(OFFSET(tbBets[#Headers],0,1),tbResults[#Headers],0)),0)</f>
        <v>Nyx</v>
      </c>
      <c r="H97" s="11" t="str">
        <f ca="1">VLOOKUP(tbBets[[#This Row],[Game title]],tbResults[],(MATCH(OFFSET(tbBets[#Headers],0,1),tbResults[#Headers],0)),0)</f>
        <v>Ranger</v>
      </c>
      <c r="I97" s="5">
        <v>382500</v>
      </c>
      <c r="J97" s="13">
        <f>tbBets[[#This Row],[Opening Balance]]*(1/25)</f>
        <v>15300</v>
      </c>
      <c r="K97" s="13">
        <f>tbBets[[#This Row],[Opening Balance]]*(1/15)</f>
        <v>25500</v>
      </c>
      <c r="L97" s="89" t="s">
        <v>52</v>
      </c>
      <c r="M97" s="8">
        <v>50000</v>
      </c>
      <c r="N97" s="9">
        <v>0.36</v>
      </c>
      <c r="O97" s="9">
        <v>0.64</v>
      </c>
      <c r="P97" s="12" t="str">
        <f ca="1">IF(tbBets[[#This Row],[Winner]]=tbBets[[#This Row],[My pick]],"Yes","No")</f>
        <v>No</v>
      </c>
      <c r="Q97" s="5">
        <v>0</v>
      </c>
      <c r="R97" s="13">
        <f ca="1">SUMIF(tbBets[Week Title],tbBets[[#This Row],[Week Title]],tbBets[Payout])-SUMIF(tbBets[Week Title],tbBets[[#This Row],[Week Title]],tbBets[My bet])</f>
        <v>6463</v>
      </c>
      <c r="S97" s="11" t="str">
        <f ca="1">VLOOKUP(tbBets[[#This Row],[Game title]],tbResults[],(MATCH(OFFSET(tbBets[#Headers],0,1),tbResults[#Headers],0)),0)</f>
        <v>k1llsen</v>
      </c>
      <c r="T97" s="11" t="str">
        <f ca="1">VLOOKUP(tbBets[[#This Row],[Game title]],tbResults[],(MATCH(OFFSET(tbBets[#Headers],0,1),tbResults[#Headers],0)),0)</f>
        <v>Av3k</v>
      </c>
    </row>
    <row r="98" spans="2:20" ht="30" customHeight="1" x14ac:dyDescent="0.3">
      <c r="B98" s="14" t="s">
        <v>350</v>
      </c>
      <c r="C98" s="20" t="str">
        <f ca="1">VLOOKUP(tbBets[[#This Row],[Game title]],tbResults[],(MATCH(OFFSET(tbBets[#Headers],0,1),tbResults[#Headers],0)),0)</f>
        <v>2.2.12</v>
      </c>
      <c r="D98" s="11" t="str">
        <f ca="1">VLOOKUP(tbBets[[#This Row],[Game title]],tbResults[],(MATCH(OFFSET(tbBets[#Headers],0,1),tbResults[#Headers],0)),0)</f>
        <v>k1llsen</v>
      </c>
      <c r="E98" s="11" t="str">
        <f ca="1">VLOOKUP(tbBets[[#This Row],[Game title]],tbResults[],(MATCH(OFFSET(tbBets[#Headers],0,1),tbResults[#Headers],0)),0)</f>
        <v>Av3k</v>
      </c>
      <c r="F98" s="11" t="str">
        <f ca="1">VLOOKUP(tbBets[[#This Row],[Game title]],tbResults[],(MATCH(OFFSET(tbBets[#Headers],0,1),tbResults[#Headers],0)),0)</f>
        <v>Molten Falls</v>
      </c>
      <c r="G98" s="11" t="str">
        <f ca="1">VLOOKUP(tbBets[[#This Row],[Game title]],tbResults[],(MATCH(OFFSET(tbBets[#Headers],0,1),tbResults[#Headers],0)),0)</f>
        <v>Scalebearer</v>
      </c>
      <c r="H98" s="11" t="str">
        <f ca="1">VLOOKUP(tbBets[[#This Row],[Game title]],tbResults[],(MATCH(OFFSET(tbBets[#Headers],0,1),tbResults[#Headers],0)),0)</f>
        <v>Anarki</v>
      </c>
      <c r="I98" s="5">
        <v>332600</v>
      </c>
      <c r="J98" s="13">
        <f>tbBets[[#This Row],[Opening Balance]]*(1/25)</f>
        <v>13304</v>
      </c>
      <c r="K98" s="13">
        <f>tbBets[[#This Row],[Opening Balance]]*(1/15)</f>
        <v>22173.333333333332</v>
      </c>
      <c r="L98" s="89" t="s">
        <v>52</v>
      </c>
      <c r="M98" s="8">
        <v>100000</v>
      </c>
      <c r="N98" s="9">
        <v>0.45</v>
      </c>
      <c r="O98" s="9">
        <v>0.55000000000000004</v>
      </c>
      <c r="P98" s="12" t="str">
        <f ca="1">IF(tbBets[[#This Row],[Winner]]=tbBets[[#This Row],[My pick]],"Yes","No")</f>
        <v>No</v>
      </c>
      <c r="Q98" s="5">
        <v>0</v>
      </c>
      <c r="R98" s="13">
        <f ca="1">SUMIF(tbBets[Week Title],tbBets[[#This Row],[Week Title]],tbBets[Payout])-SUMIF(tbBets[Week Title],tbBets[[#This Row],[Week Title]],tbBets[My bet])</f>
        <v>6463</v>
      </c>
      <c r="S98" s="11" t="str">
        <f ca="1">VLOOKUP(tbBets[[#This Row],[Game title]],tbResults[],(MATCH(OFFSET(tbBets[#Headers],0,1),tbResults[#Headers],0)),0)</f>
        <v>k1llsen</v>
      </c>
      <c r="T98" s="11" t="str">
        <f ca="1">VLOOKUP(tbBets[[#This Row],[Game title]],tbResults[],(MATCH(OFFSET(tbBets[#Headers],0,1),tbResults[#Headers],0)),0)</f>
        <v>Av3k</v>
      </c>
    </row>
    <row r="99" spans="2:20" ht="30" customHeight="1" x14ac:dyDescent="0.3">
      <c r="B99" s="14" t="s">
        <v>351</v>
      </c>
      <c r="C99" s="20" t="str">
        <f ca="1">VLOOKUP(tbBets[[#This Row],[Game title]],tbResults[],(MATCH(OFFSET(tbBets[#Headers],0,1),tbResults[#Headers],0)),0)</f>
        <v>2.2.12</v>
      </c>
      <c r="D99" s="11" t="str">
        <f ca="1">VLOOKUP(tbBets[[#This Row],[Game title]],tbResults[],(MATCH(OFFSET(tbBets[#Headers],0,1),tbResults[#Headers],0)),0)</f>
        <v>DaHanG</v>
      </c>
      <c r="E99" s="11" t="str">
        <f ca="1">VLOOKUP(tbBets[[#This Row],[Game title]],tbResults[],(MATCH(OFFSET(tbBets[#Headers],0,1),tbResults[#Headers],0)),0)</f>
        <v>Zenaku</v>
      </c>
      <c r="F99" s="11" t="str">
        <f ca="1">VLOOKUP(tbBets[[#This Row],[Game title]],tbResults[],(MATCH(OFFSET(tbBets[#Headers],0,1),tbResults[#Headers],0)),0)</f>
        <v>Ruins of Sarnath</v>
      </c>
      <c r="G99" s="11" t="str">
        <f ca="1">VLOOKUP(tbBets[[#This Row],[Game title]],tbResults[],(MATCH(OFFSET(tbBets[#Headers],0,1),tbResults[#Headers],0)),0)</f>
        <v>Strogg</v>
      </c>
      <c r="H99" s="11" t="str">
        <f ca="1">VLOOKUP(tbBets[[#This Row],[Game title]],tbResults[],(MATCH(OFFSET(tbBets[#Headers],0,1),tbResults[#Headers],0)),0)</f>
        <v>Sorlag</v>
      </c>
      <c r="I99" s="5">
        <f>202700+30000</f>
        <v>232700</v>
      </c>
      <c r="J99" s="13">
        <f>tbBets[[#This Row],[Opening Balance]]*(1/25)</f>
        <v>9308</v>
      </c>
      <c r="K99" s="13">
        <f>tbBets[[#This Row],[Opening Balance]]*(1/15)</f>
        <v>15513.333333333334</v>
      </c>
      <c r="L99" s="89" t="s">
        <v>42</v>
      </c>
      <c r="M99" s="8">
        <v>50000</v>
      </c>
      <c r="N99" s="9">
        <v>0.28000000000000003</v>
      </c>
      <c r="O99" s="9">
        <v>0.72</v>
      </c>
      <c r="P99" s="12" t="str">
        <f ca="1">IF(tbBets[[#This Row],[Winner]]=tbBets[[#This Row],[My pick]],"Yes","No")</f>
        <v>Yes</v>
      </c>
      <c r="Q99" s="5">
        <f>I100-tbBets[[#This Row],[Opening Balance]]</f>
        <v>20000</v>
      </c>
      <c r="R99" s="13">
        <f ca="1">SUMIF(tbBets[Week Title],tbBets[[#This Row],[Week Title]],tbBets[Payout])-SUMIF(tbBets[Week Title],tbBets[[#This Row],[Week Title]],tbBets[My bet])</f>
        <v>6463</v>
      </c>
      <c r="S99" s="11" t="str">
        <f ca="1">VLOOKUP(tbBets[[#This Row],[Game title]],tbResults[],(MATCH(OFFSET(tbBets[#Headers],0,1),tbResults[#Headers],0)),0)</f>
        <v>DaHanG</v>
      </c>
      <c r="T99" s="11" t="str">
        <f ca="1">VLOOKUP(tbBets[[#This Row],[Game title]],tbResults[],(MATCH(OFFSET(tbBets[#Headers],0,1),tbResults[#Headers],0)),0)</f>
        <v>Zenaku</v>
      </c>
    </row>
    <row r="100" spans="2:20" ht="30" customHeight="1" x14ac:dyDescent="0.3">
      <c r="B100" s="14" t="s">
        <v>352</v>
      </c>
      <c r="C100" s="20" t="str">
        <f ca="1">VLOOKUP(tbBets[[#This Row],[Game title]],tbResults[],(MATCH(OFFSET(tbBets[#Headers],0,1),tbResults[#Headers],0)),0)</f>
        <v>2.2.12</v>
      </c>
      <c r="D100" s="11" t="str">
        <f ca="1">VLOOKUP(tbBets[[#This Row],[Game title]],tbResults[],(MATCH(OFFSET(tbBets[#Headers],0,1),tbResults[#Headers],0)),0)</f>
        <v>DaHanG</v>
      </c>
      <c r="E100" s="11" t="str">
        <f ca="1">VLOOKUP(tbBets[[#This Row],[Game title]],tbResults[],(MATCH(OFFSET(tbBets[#Headers],0,1),tbResults[#Headers],0)),0)</f>
        <v>Zenaku</v>
      </c>
      <c r="F100" s="11" t="str">
        <f ca="1">VLOOKUP(tbBets[[#This Row],[Game title]],tbResults[],(MATCH(OFFSET(tbBets[#Headers],0,1),tbResults[#Headers],0)),0)</f>
        <v>Exile</v>
      </c>
      <c r="G100" s="11" t="str">
        <f ca="1">VLOOKUP(tbBets[[#This Row],[Game title]],tbResults[],(MATCH(OFFSET(tbBets[#Headers],0,1),tbResults[#Headers],0)),0)</f>
        <v>Doom</v>
      </c>
      <c r="H100" s="11" t="str">
        <f ca="1">VLOOKUP(tbBets[[#This Row],[Game title]],tbResults[],(MATCH(OFFSET(tbBets[#Headers],0,1),tbResults[#Headers],0)),0)</f>
        <v>Ranger</v>
      </c>
      <c r="I100" s="5">
        <f>247700+5000</f>
        <v>252700</v>
      </c>
      <c r="J100" s="13">
        <f>tbBets[[#This Row],[Opening Balance]]*(1/25)</f>
        <v>10108</v>
      </c>
      <c r="K100" s="13">
        <f>tbBets[[#This Row],[Opening Balance]]*(1/15)</f>
        <v>16846.666666666668</v>
      </c>
      <c r="L100" s="89" t="s">
        <v>29</v>
      </c>
      <c r="M100" s="8">
        <v>5000</v>
      </c>
      <c r="N100" s="9">
        <v>0.14000000000000001</v>
      </c>
      <c r="O100" s="9">
        <v>0.86</v>
      </c>
      <c r="P100" s="12" t="str">
        <f ca="1">IF(tbBets[[#This Row],[Winner]]=tbBets[[#This Row],[My pick]],"Yes","No")</f>
        <v>No</v>
      </c>
      <c r="Q100" s="5">
        <v>0</v>
      </c>
      <c r="R100" s="13">
        <f ca="1">SUMIF(tbBets[Week Title],tbBets[[#This Row],[Week Title]],tbBets[Payout])-SUMIF(tbBets[Week Title],tbBets[[#This Row],[Week Title]],tbBets[My bet])</f>
        <v>6463</v>
      </c>
      <c r="S100" s="11" t="str">
        <f ca="1">VLOOKUP(tbBets[[#This Row],[Game title]],tbResults[],(MATCH(OFFSET(tbBets[#Headers],0,1),tbResults[#Headers],0)),0)</f>
        <v>DaHanG</v>
      </c>
      <c r="T100" s="11" t="str">
        <f ca="1">VLOOKUP(tbBets[[#This Row],[Game title]],tbResults[],(MATCH(OFFSET(tbBets[#Headers],0,1),tbResults[#Headers],0)),0)</f>
        <v>Zenaku</v>
      </c>
    </row>
    <row r="101" spans="2:20" ht="30" customHeight="1" x14ac:dyDescent="0.3">
      <c r="B101" s="14" t="s">
        <v>353</v>
      </c>
      <c r="C101" s="20" t="str">
        <f ca="1">VLOOKUP(tbBets[[#This Row],[Game title]],tbResults[],(MATCH(OFFSET(tbBets[#Headers],0,1),tbResults[#Headers],0)),0)</f>
        <v>2.2.12</v>
      </c>
      <c r="D101" s="11" t="str">
        <f ca="1">VLOOKUP(tbBets[[#This Row],[Game title]],tbResults[],(MATCH(OFFSET(tbBets[#Headers],0,1),tbResults[#Headers],0)),0)</f>
        <v>DaHanG</v>
      </c>
      <c r="E101" s="11" t="str">
        <f ca="1">VLOOKUP(tbBets[[#This Row],[Game title]],tbResults[],(MATCH(OFFSET(tbBets[#Headers],0,1),tbResults[#Headers],0)),0)</f>
        <v>Zenaku</v>
      </c>
      <c r="F101" s="11" t="str">
        <f ca="1">VLOOKUP(tbBets[[#This Row],[Game title]],tbResults[],(MATCH(OFFSET(tbBets[#Headers],0,1),tbResults[#Headers],0)),0)</f>
        <v>Deep Embrace</v>
      </c>
      <c r="G101" s="11" t="str">
        <f ca="1">VLOOKUP(tbBets[[#This Row],[Game title]],tbResults[],(MATCH(OFFSET(tbBets[#Headers],0,1),tbResults[#Headers],0)),0)</f>
        <v>Visor</v>
      </c>
      <c r="H101" s="11" t="str">
        <f ca="1">VLOOKUP(tbBets[[#This Row],[Game title]],tbResults[],(MATCH(OFFSET(tbBets[#Headers],0,1),tbResults[#Headers],0)),0)</f>
        <v>BJ Blazkowicz</v>
      </c>
      <c r="I101" s="5">
        <v>247800</v>
      </c>
      <c r="J101" s="13">
        <f>tbBets[[#This Row],[Opening Balance]]*(1/25)</f>
        <v>9912</v>
      </c>
      <c r="K101" s="13">
        <f>tbBets[[#This Row],[Opening Balance]]*(1/15)</f>
        <v>16520</v>
      </c>
      <c r="L101" s="89" t="s">
        <v>42</v>
      </c>
      <c r="M101" s="8">
        <v>240000</v>
      </c>
      <c r="N101" s="9">
        <v>0.32</v>
      </c>
      <c r="O101" s="9">
        <v>0.68</v>
      </c>
      <c r="P101" s="12" t="str">
        <f ca="1">IF(tbBets[[#This Row],[Winner]]=tbBets[[#This Row],[My pick]],"Yes","No")</f>
        <v>Yes</v>
      </c>
      <c r="Q101" s="5">
        <v>352486</v>
      </c>
      <c r="R101" s="13">
        <f ca="1">SUMIF(tbBets[Week Title],tbBets[[#This Row],[Week Title]],tbBets[Payout])-SUMIF(tbBets[Week Title],tbBets[[#This Row],[Week Title]],tbBets[My bet])</f>
        <v>6463</v>
      </c>
      <c r="S101" s="11" t="str">
        <f ca="1">VLOOKUP(tbBets[[#This Row],[Game title]],tbResults[],(MATCH(OFFSET(tbBets[#Headers],0,1),tbResults[#Headers],0)),0)</f>
        <v>DaHanG</v>
      </c>
      <c r="T101" s="11" t="str">
        <f ca="1">VLOOKUP(tbBets[[#This Row],[Game title]],tbResults[],(MATCH(OFFSET(tbBets[#Headers],0,1),tbResults[#Headers],0)),0)</f>
        <v>Zenaku</v>
      </c>
    </row>
    <row r="102" spans="2:20" ht="30" customHeight="1" x14ac:dyDescent="0.3">
      <c r="B102" s="14" t="s">
        <v>354</v>
      </c>
      <c r="C102" s="20" t="str">
        <f ca="1">VLOOKUP(tbBets[[#This Row],[Game title]],tbResults[],(MATCH(OFFSET(tbBets[#Headers],0,1),tbResults[#Headers],0)),0)</f>
        <v>2.2.13</v>
      </c>
      <c r="D102" s="11" t="str">
        <f ca="1">VLOOKUP(tbBets[[#This Row],[Game title]],tbResults[],(MATCH(OFFSET(tbBets[#Headers],0,1),tbResults[#Headers],0)),0)</f>
        <v>Vengeurr</v>
      </c>
      <c r="E102" s="11" t="str">
        <f ca="1">VLOOKUP(tbBets[[#This Row],[Game title]],tbResults[],(MATCH(OFFSET(tbBets[#Headers],0,1),tbResults[#Headers],0)),0)</f>
        <v>Garpy</v>
      </c>
      <c r="F102" s="11" t="str">
        <f ca="1">VLOOKUP(tbBets[[#This Row],[Game title]],tbResults[],(MATCH(OFFSET(tbBets[#Headers],0,1),tbResults[#Headers],0)),0)</f>
        <v>Corrupted Keep</v>
      </c>
      <c r="G102" s="11" t="str">
        <f ca="1">VLOOKUP(tbBets[[#This Row],[Game title]],tbResults[],(MATCH(OFFSET(tbBets[#Headers],0,1),tbResults[#Headers],0)),0)</f>
        <v>Death Knight</v>
      </c>
      <c r="H102" s="11" t="str">
        <f ca="1">VLOOKUP(tbBets[[#This Row],[Game title]],tbResults[],(MATCH(OFFSET(tbBets[#Headers],0,1),tbResults[#Headers],0)),0)</f>
        <v>Strogg</v>
      </c>
      <c r="I102" s="5">
        <f>355900+5000</f>
        <v>360900</v>
      </c>
      <c r="J102" s="13">
        <f>tbBets[[#This Row],[Opening Balance]]*(1/25)</f>
        <v>14436</v>
      </c>
      <c r="K102" s="13">
        <f>tbBets[[#This Row],[Opening Balance]]*(1/15)</f>
        <v>24060</v>
      </c>
      <c r="L102" s="101" t="s">
        <v>101</v>
      </c>
      <c r="M102" s="8">
        <v>5000</v>
      </c>
      <c r="N102" s="9">
        <v>0.92</v>
      </c>
      <c r="O102" s="9">
        <v>0.08</v>
      </c>
      <c r="P102" s="12" t="str">
        <f ca="1">IF(tbBets[[#This Row],[Winner]]=tbBets[[#This Row],[My pick]],"Yes","No")</f>
        <v>No</v>
      </c>
      <c r="Q102" s="5">
        <v>0</v>
      </c>
      <c r="R102" s="13">
        <f ca="1">SUMIF(tbBets[Week Title],tbBets[[#This Row],[Week Title]],tbBets[Payout])-SUMIF(tbBets[Week Title],tbBets[[#This Row],[Week Title]],tbBets[My bet])</f>
        <v>-52481</v>
      </c>
      <c r="S102" s="11" t="str">
        <f ca="1">VLOOKUP(tbBets[[#This Row],[Game title]],tbResults[],(MATCH(OFFSET(tbBets[#Headers],0,1),tbResults[#Headers],0)),0)</f>
        <v>Vengeurr</v>
      </c>
      <c r="T102" s="11" t="str">
        <f ca="1">VLOOKUP(tbBets[[#This Row],[Game title]],tbResults[],(MATCH(OFFSET(tbBets[#Headers],0,1),tbResults[#Headers],0)),0)</f>
        <v>Garpy</v>
      </c>
    </row>
    <row r="103" spans="2:20" ht="30" customHeight="1" x14ac:dyDescent="0.3">
      <c r="B103" s="14" t="s">
        <v>355</v>
      </c>
      <c r="C103" s="20" t="str">
        <f ca="1">VLOOKUP(tbBets[[#This Row],[Game title]],tbResults[],(MATCH(OFFSET(tbBets[#Headers],0,1),tbResults[#Headers],0)),0)</f>
        <v>2.2.13</v>
      </c>
      <c r="D103" s="11" t="str">
        <f ca="1">VLOOKUP(tbBets[[#This Row],[Game title]],tbResults[],(MATCH(OFFSET(tbBets[#Headers],0,1),tbResults[#Headers],0)),0)</f>
        <v>Vengeurr</v>
      </c>
      <c r="E103" s="11" t="str">
        <f ca="1">VLOOKUP(tbBets[[#This Row],[Game title]],tbResults[],(MATCH(OFFSET(tbBets[#Headers],0,1),tbResults[#Headers],0)),0)</f>
        <v>Garpy</v>
      </c>
      <c r="F103" s="11" t="str">
        <f ca="1">VLOOKUP(tbBets[[#This Row],[Game title]],tbResults[],(MATCH(OFFSET(tbBets[#Headers],0,1),tbResults[#Headers],0)),0)</f>
        <v>Molten Falls</v>
      </c>
      <c r="G103" s="11" t="str">
        <f ca="1">VLOOKUP(tbBets[[#This Row],[Game title]],tbResults[],(MATCH(OFFSET(tbBets[#Headers],0,1),tbResults[#Headers],0)),0)</f>
        <v>Anarki</v>
      </c>
      <c r="H103" s="11" t="str">
        <f ca="1">VLOOKUP(tbBets[[#This Row],[Game title]],tbResults[],(MATCH(OFFSET(tbBets[#Headers],0,1),tbResults[#Headers],0)),0)</f>
        <v>Galena</v>
      </c>
      <c r="I103" s="5">
        <f>350900+5000</f>
        <v>355900</v>
      </c>
      <c r="J103" s="13">
        <f>tbBets[[#This Row],[Opening Balance]]*(1/25)</f>
        <v>14236</v>
      </c>
      <c r="K103" s="13">
        <f>tbBets[[#This Row],[Opening Balance]]*(1/15)</f>
        <v>23726.666666666668</v>
      </c>
      <c r="L103" s="101" t="s">
        <v>101</v>
      </c>
      <c r="M103" s="8">
        <v>5000</v>
      </c>
      <c r="N103" s="9">
        <v>0.1</v>
      </c>
      <c r="O103" s="9">
        <v>0.9</v>
      </c>
      <c r="P103" s="12" t="str">
        <f ca="1">IF(tbBets[[#This Row],[Winner]]=tbBets[[#This Row],[My pick]],"Yes","No")</f>
        <v>No</v>
      </c>
      <c r="Q103" s="5">
        <v>0</v>
      </c>
      <c r="R103" s="13">
        <f ca="1">SUMIF(tbBets[Week Title],tbBets[[#This Row],[Week Title]],tbBets[Payout])-SUMIF(tbBets[Week Title],tbBets[[#This Row],[Week Title]],tbBets[My bet])</f>
        <v>-52481</v>
      </c>
      <c r="S103" s="11" t="str">
        <f ca="1">VLOOKUP(tbBets[[#This Row],[Game title]],tbResults[],(MATCH(OFFSET(tbBets[#Headers],0,1),tbResults[#Headers],0)),0)</f>
        <v>Vengeurr</v>
      </c>
      <c r="T103" s="11" t="str">
        <f ca="1">VLOOKUP(tbBets[[#This Row],[Game title]],tbResults[],(MATCH(OFFSET(tbBets[#Headers],0,1),tbResults[#Headers],0)),0)</f>
        <v>Garpy</v>
      </c>
    </row>
    <row r="104" spans="2:20" ht="30" customHeight="1" x14ac:dyDescent="0.3">
      <c r="B104" s="14" t="s">
        <v>356</v>
      </c>
      <c r="C104" s="20" t="str">
        <f ca="1">VLOOKUP(tbBets[[#This Row],[Game title]],tbResults[],(MATCH(OFFSET(tbBets[#Headers],0,1),tbResults[#Headers],0)),0)</f>
        <v>2.2.13</v>
      </c>
      <c r="D104" s="11" t="str">
        <f ca="1">VLOOKUP(tbBets[[#This Row],[Game title]],tbResults[],(MATCH(OFFSET(tbBets[#Headers],0,1),tbResults[#Headers],0)),0)</f>
        <v>Vengeurr</v>
      </c>
      <c r="E104" s="11" t="str">
        <f ca="1">VLOOKUP(tbBets[[#This Row],[Game title]],tbResults[],(MATCH(OFFSET(tbBets[#Headers],0,1),tbResults[#Headers],0)),0)</f>
        <v>Garpy</v>
      </c>
      <c r="F104" s="11" t="str">
        <f ca="1">VLOOKUP(tbBets[[#This Row],[Game title]],tbResults[],(MATCH(OFFSET(tbBets[#Headers],0,1),tbResults[#Headers],0)),0)</f>
        <v>Ruins of Sarnath</v>
      </c>
      <c r="G104" s="11" t="str">
        <f ca="1">VLOOKUP(tbBets[[#This Row],[Game title]],tbResults[],(MATCH(OFFSET(tbBets[#Headers],0,1),tbResults[#Headers],0)),0)</f>
        <v>Sorlag</v>
      </c>
      <c r="H104" s="11" t="str">
        <f ca="1">VLOOKUP(tbBets[[#This Row],[Game title]],tbResults[],(MATCH(OFFSET(tbBets[#Headers],0,1),tbResults[#Headers],0)),0)</f>
        <v>Scalebearer</v>
      </c>
      <c r="I104" s="5">
        <f>250000+101000</f>
        <v>351000</v>
      </c>
      <c r="J104" s="13">
        <f>tbBets[[#This Row],[Opening Balance]]*(1/25)</f>
        <v>14040</v>
      </c>
      <c r="K104" s="13">
        <f>tbBets[[#This Row],[Opening Balance]]*(1/15)</f>
        <v>23400</v>
      </c>
      <c r="L104" s="101" t="s">
        <v>13</v>
      </c>
      <c r="M104" s="8">
        <v>250000</v>
      </c>
      <c r="N104" s="9">
        <v>0.12</v>
      </c>
      <c r="O104" s="9">
        <v>0.88</v>
      </c>
      <c r="P104" s="12" t="str">
        <f ca="1">IF(tbBets[[#This Row],[Winner]]=tbBets[[#This Row],[My pick]],"Yes","No")</f>
        <v>Yes</v>
      </c>
      <c r="Q104" s="5">
        <v>283826</v>
      </c>
      <c r="R104" s="13">
        <f ca="1">SUMIF(tbBets[Week Title],tbBets[[#This Row],[Week Title]],tbBets[Payout])-SUMIF(tbBets[Week Title],tbBets[[#This Row],[Week Title]],tbBets[My bet])</f>
        <v>-52481</v>
      </c>
      <c r="S104" s="11" t="str">
        <f ca="1">VLOOKUP(tbBets[[#This Row],[Game title]],tbResults[],(MATCH(OFFSET(tbBets[#Headers],0,1),tbResults[#Headers],0)),0)</f>
        <v>Vengeurr</v>
      </c>
      <c r="T104" s="11" t="str">
        <f ca="1">VLOOKUP(tbBets[[#This Row],[Game title]],tbResults[],(MATCH(OFFSET(tbBets[#Headers],0,1),tbResults[#Headers],0)),0)</f>
        <v>Garpy</v>
      </c>
    </row>
    <row r="105" spans="2:20" ht="30" customHeight="1" x14ac:dyDescent="0.3">
      <c r="B105" s="14" t="s">
        <v>357</v>
      </c>
      <c r="C105" s="20" t="str">
        <f ca="1">VLOOKUP(tbBets[[#This Row],[Game title]],tbResults[],(MATCH(OFFSET(tbBets[#Headers],0,1),tbResults[#Headers],0)),0)</f>
        <v>2.2.13</v>
      </c>
      <c r="D105" s="11" t="str">
        <f ca="1">VLOOKUP(tbBets[[#This Row],[Game title]],tbResults[],(MATCH(OFFSET(tbBets[#Headers],0,1),tbResults[#Headers],0)),0)</f>
        <v>Effortless</v>
      </c>
      <c r="E105" s="11" t="str">
        <f ca="1">VLOOKUP(tbBets[[#This Row],[Game title]],tbResults[],(MATCH(OFFSET(tbBets[#Headers],0,1),tbResults[#Headers],0)),0)</f>
        <v>Nosfa</v>
      </c>
      <c r="F105" s="11" t="str">
        <f ca="1">VLOOKUP(tbBets[[#This Row],[Game title]],tbResults[],(MATCH(OFFSET(tbBets[#Headers],0,1),tbResults[#Headers],0)),0)</f>
        <v>Ruins of Sarnath</v>
      </c>
      <c r="G105" s="11" t="str">
        <f ca="1">VLOOKUP(tbBets[[#This Row],[Game title]],tbResults[],(MATCH(OFFSET(tbBets[#Headers],0,1),tbResults[#Headers],0)),0)</f>
        <v>Galena</v>
      </c>
      <c r="H105" s="11" t="str">
        <f ca="1">VLOOKUP(tbBets[[#This Row],[Game title]],tbResults[],(MATCH(OFFSET(tbBets[#Headers],0,1),tbResults[#Headers],0)),0)</f>
        <v>Strogg</v>
      </c>
      <c r="I105" s="5">
        <v>384900</v>
      </c>
      <c r="J105" s="13">
        <f>tbBets[[#This Row],[Opening Balance]]*(1/25)</f>
        <v>15396</v>
      </c>
      <c r="K105" s="13">
        <f>tbBets[[#This Row],[Opening Balance]]*(1/15)</f>
        <v>25660</v>
      </c>
      <c r="L105" s="101" t="s">
        <v>11</v>
      </c>
      <c r="M105" s="8">
        <v>100000</v>
      </c>
      <c r="N105" s="9">
        <v>0.3</v>
      </c>
      <c r="O105" s="9">
        <v>0.7</v>
      </c>
      <c r="P105" s="12" t="str">
        <f ca="1">IF(tbBets[[#This Row],[Winner]]=tbBets[[#This Row],[My pick]],"Yes","No")</f>
        <v>Yes</v>
      </c>
      <c r="Q105" s="5">
        <v>147048</v>
      </c>
      <c r="R105" s="13">
        <f ca="1">SUMIF(tbBets[Week Title],tbBets[[#This Row],[Week Title]],tbBets[Payout])-SUMIF(tbBets[Week Title],tbBets[[#This Row],[Week Title]],tbBets[My bet])</f>
        <v>-52481</v>
      </c>
      <c r="S105" s="11" t="str">
        <f ca="1">VLOOKUP(tbBets[[#This Row],[Game title]],tbResults[],(MATCH(OFFSET(tbBets[#Headers],0,1),tbResults[#Headers],0)),0)</f>
        <v>Nosfa</v>
      </c>
      <c r="T105" s="11" t="str">
        <f ca="1">VLOOKUP(tbBets[[#This Row],[Game title]],tbResults[],(MATCH(OFFSET(tbBets[#Headers],0,1),tbResults[#Headers],0)),0)</f>
        <v>Effortless</v>
      </c>
    </row>
    <row r="106" spans="2:20" ht="30" customHeight="1" x14ac:dyDescent="0.3">
      <c r="B106" s="14" t="s">
        <v>358</v>
      </c>
      <c r="C106" s="20" t="str">
        <f ca="1">VLOOKUP(tbBets[[#This Row],[Game title]],tbResults[],(MATCH(OFFSET(tbBets[#Headers],0,1),tbResults[#Headers],0)),0)</f>
        <v>2.2.13</v>
      </c>
      <c r="D106" s="11" t="str">
        <f ca="1">VLOOKUP(tbBets[[#This Row],[Game title]],tbResults[],(MATCH(OFFSET(tbBets[#Headers],0,1),tbResults[#Headers],0)),0)</f>
        <v>Effortless</v>
      </c>
      <c r="E106" s="11" t="str">
        <f ca="1">VLOOKUP(tbBets[[#This Row],[Game title]],tbResults[],(MATCH(OFFSET(tbBets[#Headers],0,1),tbResults[#Headers],0)),0)</f>
        <v>Nosfa</v>
      </c>
      <c r="F106" s="11" t="str">
        <f ca="1">VLOOKUP(tbBets[[#This Row],[Game title]],tbResults[],(MATCH(OFFSET(tbBets[#Headers],0,1),tbResults[#Headers],0)),0)</f>
        <v>Awoken</v>
      </c>
      <c r="G106" s="11" t="str">
        <f ca="1">VLOOKUP(tbBets[[#This Row],[Game title]],tbResults[],(MATCH(OFFSET(tbBets[#Headers],0,1),tbResults[#Headers],0)),0)</f>
        <v>Doom</v>
      </c>
      <c r="H106" s="11" t="str">
        <f ca="1">VLOOKUP(tbBets[[#This Row],[Game title]],tbResults[],(MATCH(OFFSET(tbBets[#Headers],0,1),tbResults[#Headers],0)),0)</f>
        <v>Athena</v>
      </c>
      <c r="I106" s="5">
        <v>432100</v>
      </c>
      <c r="J106" s="13">
        <f>tbBets[[#This Row],[Opening Balance]]*(1/25)</f>
        <v>17284</v>
      </c>
      <c r="K106" s="13">
        <f>tbBets[[#This Row],[Opening Balance]]*(1/15)</f>
        <v>28806.666666666668</v>
      </c>
      <c r="L106" s="101" t="s">
        <v>11</v>
      </c>
      <c r="M106" s="8">
        <v>100000</v>
      </c>
      <c r="N106" s="9">
        <v>0.35</v>
      </c>
      <c r="O106" s="9">
        <v>0.65</v>
      </c>
      <c r="P106" s="12" t="str">
        <f ca="1">IF(tbBets[[#This Row],[Winner]]=tbBets[[#This Row],[My pick]],"Yes","No")</f>
        <v>No</v>
      </c>
      <c r="Q106" s="5">
        <v>0</v>
      </c>
      <c r="R106" s="13">
        <f ca="1">SUMIF(tbBets[Week Title],tbBets[[#This Row],[Week Title]],tbBets[Payout])-SUMIF(tbBets[Week Title],tbBets[[#This Row],[Week Title]],tbBets[My bet])</f>
        <v>-52481</v>
      </c>
      <c r="S106" s="11" t="str">
        <f ca="1">VLOOKUP(tbBets[[#This Row],[Game title]],tbResults[],(MATCH(OFFSET(tbBets[#Headers],0,1),tbResults[#Headers],0)),0)</f>
        <v>Effortless</v>
      </c>
      <c r="T106" s="11" t="str">
        <f ca="1">VLOOKUP(tbBets[[#This Row],[Game title]],tbResults[],(MATCH(OFFSET(tbBets[#Headers],0,1),tbResults[#Headers],0)),0)</f>
        <v>Nosfa</v>
      </c>
    </row>
    <row r="107" spans="2:20" ht="30" customHeight="1" x14ac:dyDescent="0.3">
      <c r="B107" s="14" t="s">
        <v>359</v>
      </c>
      <c r="C107" s="20" t="str">
        <f ca="1">VLOOKUP(tbBets[[#This Row],[Game title]],tbResults[],(MATCH(OFFSET(tbBets[#Headers],0,1),tbResults[#Headers],0)),0)</f>
        <v>2.2.13</v>
      </c>
      <c r="D107" s="11" t="str">
        <f ca="1">VLOOKUP(tbBets[[#This Row],[Game title]],tbResults[],(MATCH(OFFSET(tbBets[#Headers],0,1),tbResults[#Headers],0)),0)</f>
        <v>maxter</v>
      </c>
      <c r="E107" s="11" t="str">
        <f ca="1">VLOOKUP(tbBets[[#This Row],[Game title]],tbResults[],(MATCH(OFFSET(tbBets[#Headers],0,1),tbResults[#Headers],0)),0)</f>
        <v>Psygib</v>
      </c>
      <c r="F107" s="11" t="str">
        <f ca="1">VLOOKUP(tbBets[[#This Row],[Game title]],tbResults[],(MATCH(OFFSET(tbBets[#Headers],0,1),tbResults[#Headers],0)),0)</f>
        <v>Corrupted Keep</v>
      </c>
      <c r="G107" s="11" t="str">
        <f ca="1">VLOOKUP(tbBets[[#This Row],[Game title]],tbResults[],(MATCH(OFFSET(tbBets[#Headers],0,1),tbResults[#Headers],0)),0)</f>
        <v>Scalebearer</v>
      </c>
      <c r="H107" s="11" t="str">
        <f ca="1">VLOOKUP(tbBets[[#This Row],[Game title]],tbResults[],(MATCH(OFFSET(tbBets[#Headers],0,1),tbResults[#Headers],0)),0)</f>
        <v>Eisen</v>
      </c>
      <c r="I107" s="5">
        <v>332200</v>
      </c>
      <c r="J107" s="13">
        <f>tbBets[[#This Row],[Opening Balance]]*(1/25)</f>
        <v>13288</v>
      </c>
      <c r="K107" s="13">
        <f>tbBets[[#This Row],[Opening Balance]]*(1/15)</f>
        <v>22146.666666666668</v>
      </c>
      <c r="L107" s="101" t="s">
        <v>86</v>
      </c>
      <c r="M107" s="8">
        <v>100000</v>
      </c>
      <c r="N107" s="9">
        <v>0.87</v>
      </c>
      <c r="O107" s="9">
        <v>0.13</v>
      </c>
      <c r="P107" s="12" t="str">
        <f ca="1">IF(tbBets[[#This Row],[Winner]]=tbBets[[#This Row],[My pick]],"Yes","No")</f>
        <v>Yes</v>
      </c>
      <c r="Q107" s="5">
        <v>124858</v>
      </c>
      <c r="R107" s="13">
        <f ca="1">SUMIF(tbBets[Week Title],tbBets[[#This Row],[Week Title]],tbBets[Payout])-SUMIF(tbBets[Week Title],tbBets[[#This Row],[Week Title]],tbBets[My bet])</f>
        <v>-52481</v>
      </c>
      <c r="S107" s="11" t="str">
        <f ca="1">VLOOKUP(tbBets[[#This Row],[Game title]],tbResults[],(MATCH(OFFSET(tbBets[#Headers],0,1),tbResults[#Headers],0)),0)</f>
        <v>maxter</v>
      </c>
      <c r="T107" s="11" t="str">
        <f ca="1">VLOOKUP(tbBets[[#This Row],[Game title]],tbResults[],(MATCH(OFFSET(tbBets[#Headers],0,1),tbResults[#Headers],0)),0)</f>
        <v>Psygib</v>
      </c>
    </row>
    <row r="108" spans="2:20" ht="30" customHeight="1" x14ac:dyDescent="0.3">
      <c r="B108" s="14" t="s">
        <v>360</v>
      </c>
      <c r="C108" s="20" t="str">
        <f ca="1">VLOOKUP(tbBets[[#This Row],[Game title]],tbResults[],(MATCH(OFFSET(tbBets[#Headers],0,1),tbResults[#Headers],0)),0)</f>
        <v>2.2.13</v>
      </c>
      <c r="D108" s="11" t="str">
        <f ca="1">VLOOKUP(tbBets[[#This Row],[Game title]],tbResults[],(MATCH(OFFSET(tbBets[#Headers],0,1),tbResults[#Headers],0)),0)</f>
        <v>maxter</v>
      </c>
      <c r="E108" s="11" t="str">
        <f ca="1">VLOOKUP(tbBets[[#This Row],[Game title]],tbResults[],(MATCH(OFFSET(tbBets[#Headers],0,1),tbResults[#Headers],0)),0)</f>
        <v>Psygib</v>
      </c>
      <c r="F108" s="11" t="str">
        <f ca="1">VLOOKUP(tbBets[[#This Row],[Game title]],tbResults[],(MATCH(OFFSET(tbBets[#Headers],0,1),tbResults[#Headers],0)),0)</f>
        <v>Vale of P'nath</v>
      </c>
      <c r="G108" s="11" t="str">
        <f ca="1">VLOOKUP(tbBets[[#This Row],[Game title]],tbResults[],(MATCH(OFFSET(tbBets[#Headers],0,1),tbResults[#Headers],0)),0)</f>
        <v>Death Knight</v>
      </c>
      <c r="H108" s="11" t="str">
        <f ca="1">VLOOKUP(tbBets[[#This Row],[Game title]],tbResults[],(MATCH(OFFSET(tbBets[#Headers],0,1),tbResults[#Headers],0)),0)</f>
        <v>BJ Blazkowicz</v>
      </c>
      <c r="I108" s="5">
        <v>357200</v>
      </c>
      <c r="J108" s="13">
        <f>tbBets[[#This Row],[Opening Balance]]*(1/25)</f>
        <v>14288</v>
      </c>
      <c r="K108" s="13">
        <f>tbBets[[#This Row],[Opening Balance]]*(1/15)</f>
        <v>23813.333333333332</v>
      </c>
      <c r="L108" s="101" t="s">
        <v>30</v>
      </c>
      <c r="M108" s="8">
        <v>20000</v>
      </c>
      <c r="N108" s="9"/>
      <c r="O108" s="9"/>
      <c r="P108" s="12" t="str">
        <f ca="1">IF(tbBets[[#This Row],[Winner]]=tbBets[[#This Row],[My pick]],"Yes","No")</f>
        <v>No</v>
      </c>
      <c r="Q108" s="5">
        <v>0</v>
      </c>
      <c r="R108" s="13">
        <f ca="1">SUMIF(tbBets[Week Title],tbBets[[#This Row],[Week Title]],tbBets[Payout])-SUMIF(tbBets[Week Title],tbBets[[#This Row],[Week Title]],tbBets[My bet])</f>
        <v>-52481</v>
      </c>
      <c r="S108" s="11" t="str">
        <f ca="1">VLOOKUP(tbBets[[#This Row],[Game title]],tbResults[],(MATCH(OFFSET(tbBets[#Headers],0,1),tbResults[#Headers],0)),0)</f>
        <v>maxter</v>
      </c>
      <c r="T108" s="11" t="str">
        <f ca="1">VLOOKUP(tbBets[[#This Row],[Game title]],tbResults[],(MATCH(OFFSET(tbBets[#Headers],0,1),tbResults[#Headers],0)),0)</f>
        <v>Psygib</v>
      </c>
    </row>
    <row r="109" spans="2:20" ht="30" customHeight="1" x14ac:dyDescent="0.3">
      <c r="B109" s="14" t="s">
        <v>361</v>
      </c>
      <c r="C109" s="20" t="str">
        <f ca="1">VLOOKUP(tbBets[[#This Row],[Game title]],tbResults[],(MATCH(OFFSET(tbBets[#Headers],0,1),tbResults[#Headers],0)),0)</f>
        <v>2.2.13</v>
      </c>
      <c r="D109" s="11" t="str">
        <f ca="1">VLOOKUP(tbBets[[#This Row],[Game title]],tbResults[],(MATCH(OFFSET(tbBets[#Headers],0,1),tbResults[#Headers],0)),0)</f>
        <v>Base</v>
      </c>
      <c r="E109" s="11" t="str">
        <f ca="1">VLOOKUP(tbBets[[#This Row],[Game title]],tbResults[],(MATCH(OFFSET(tbBets[#Headers],0,1),tbResults[#Headers],0)),0)</f>
        <v>Av3k</v>
      </c>
      <c r="F109" s="11" t="str">
        <f ca="1">VLOOKUP(tbBets[[#This Row],[Game title]],tbResults[],(MATCH(OFFSET(tbBets[#Headers],0,1),tbResults[#Headers],0)),0)</f>
        <v>Awoken</v>
      </c>
      <c r="G109" s="11" t="str">
        <f ca="1">VLOOKUP(tbBets[[#This Row],[Game title]],tbResults[],(MATCH(OFFSET(tbBets[#Headers],0,1),tbResults[#Headers],0)),0)</f>
        <v>Strogg</v>
      </c>
      <c r="H109" s="11" t="str">
        <f ca="1">VLOOKUP(tbBets[[#This Row],[Game title]],tbResults[],(MATCH(OFFSET(tbBets[#Headers],0,1),tbResults[#Headers],0)),0)</f>
        <v>Doom</v>
      </c>
      <c r="I109" s="5">
        <f>237300+100000</f>
        <v>337300</v>
      </c>
      <c r="J109" s="13">
        <f>tbBets[[#This Row],[Opening Balance]]*(1/25)</f>
        <v>13492</v>
      </c>
      <c r="K109" s="13">
        <f>tbBets[[#This Row],[Opening Balance]]*(1/15)</f>
        <v>22486.666666666668</v>
      </c>
      <c r="L109" s="101" t="s">
        <v>52</v>
      </c>
      <c r="M109" s="8">
        <v>100000</v>
      </c>
      <c r="N109" s="9">
        <v>0.26</v>
      </c>
      <c r="O109" s="9">
        <v>0.74</v>
      </c>
      <c r="P109" s="12" t="str">
        <f ca="1">IF(tbBets[[#This Row],[Winner]]=tbBets[[#This Row],[My pick]],"Yes","No")</f>
        <v>No</v>
      </c>
      <c r="Q109" s="5">
        <v>0</v>
      </c>
      <c r="R109" s="13">
        <f ca="1">SUMIF(tbBets[Week Title],tbBets[[#This Row],[Week Title]],tbBets[Payout])-SUMIF(tbBets[Week Title],tbBets[[#This Row],[Week Title]],tbBets[My bet])</f>
        <v>-52481</v>
      </c>
      <c r="S109" s="11" t="str">
        <f ca="1">VLOOKUP(tbBets[[#This Row],[Game title]],tbResults[],(MATCH(OFFSET(tbBets[#Headers],0,1),tbResults[#Headers],0)),0)</f>
        <v>Base</v>
      </c>
      <c r="T109" s="11" t="str">
        <f ca="1">VLOOKUP(tbBets[[#This Row],[Game title]],tbResults[],(MATCH(OFFSET(tbBets[#Headers],0,1),tbResults[#Headers],0)),0)</f>
        <v>Av3k</v>
      </c>
    </row>
    <row r="110" spans="2:20" ht="30" customHeight="1" x14ac:dyDescent="0.3">
      <c r="B110" s="14" t="s">
        <v>362</v>
      </c>
      <c r="C110" s="20" t="str">
        <f ca="1">VLOOKUP(tbBets[[#This Row],[Game title]],tbResults[],(MATCH(OFFSET(tbBets[#Headers],0,1),tbResults[#Headers],0)),0)</f>
        <v>2.2.13</v>
      </c>
      <c r="D110" s="11" t="str">
        <f ca="1">VLOOKUP(tbBets[[#This Row],[Game title]],tbResults[],(MATCH(OFFSET(tbBets[#Headers],0,1),tbResults[#Headers],0)),0)</f>
        <v>Base</v>
      </c>
      <c r="E110" s="11" t="str">
        <f ca="1">VLOOKUP(tbBets[[#This Row],[Game title]],tbResults[],(MATCH(OFFSET(tbBets[#Headers],0,1),tbResults[#Headers],0)),0)</f>
        <v>Av3k</v>
      </c>
      <c r="F110" s="11" t="str">
        <f ca="1">VLOOKUP(tbBets[[#This Row],[Game title]],tbResults[],(MATCH(OFFSET(tbBets[#Headers],0,1),tbResults[#Headers],0)),0)</f>
        <v>Deep Embrace</v>
      </c>
      <c r="G110" s="11" t="str">
        <f ca="1">VLOOKUP(tbBets[[#This Row],[Game title]],tbResults[],(MATCH(OFFSET(tbBets[#Headers],0,1),tbResults[#Headers],0)),0)</f>
        <v>Nyx</v>
      </c>
      <c r="H110" s="11" t="str">
        <f ca="1">VLOOKUP(tbBets[[#This Row],[Game title]],tbResults[],(MATCH(OFFSET(tbBets[#Headers],0,1),tbResults[#Headers],0)),0)</f>
        <v>Keel</v>
      </c>
      <c r="I110" s="5">
        <v>237400</v>
      </c>
      <c r="J110" s="13">
        <f>tbBets[[#This Row],[Opening Balance]]*(1/25)</f>
        <v>9496</v>
      </c>
      <c r="K110" s="13">
        <f>tbBets[[#This Row],[Opening Balance]]*(1/15)</f>
        <v>15826.666666666666</v>
      </c>
      <c r="L110" s="101" t="s">
        <v>52</v>
      </c>
      <c r="M110" s="8">
        <v>230000</v>
      </c>
      <c r="N110" s="9"/>
      <c r="O110" s="9"/>
      <c r="P110" s="12" t="str">
        <f ca="1">IF(tbBets[[#This Row],[Winner]]=tbBets[[#This Row],[My pick]],"Yes","No")</f>
        <v>Yes</v>
      </c>
      <c r="Q110" s="5">
        <v>291600</v>
      </c>
      <c r="R110" s="13">
        <f ca="1">SUMIF(tbBets[Week Title],tbBets[[#This Row],[Week Title]],tbBets[Payout])-SUMIF(tbBets[Week Title],tbBets[[#This Row],[Week Title]],tbBets[My bet])</f>
        <v>-52481</v>
      </c>
      <c r="S110" s="11" t="str">
        <f ca="1">VLOOKUP(tbBets[[#This Row],[Game title]],tbResults[],(MATCH(OFFSET(tbBets[#Headers],0,1),tbResults[#Headers],0)),0)</f>
        <v>Av3k</v>
      </c>
      <c r="T110" s="11" t="str">
        <f ca="1">VLOOKUP(tbBets[[#This Row],[Game title]],tbResults[],(MATCH(OFFSET(tbBets[#Headers],0,1),tbResults[#Headers],0)),0)</f>
        <v>Base</v>
      </c>
    </row>
    <row r="111" spans="2:20" ht="30" customHeight="1" x14ac:dyDescent="0.3">
      <c r="B111" s="14" t="s">
        <v>363</v>
      </c>
      <c r="C111" s="20" t="str">
        <f ca="1">VLOOKUP(tbBets[[#This Row],[Game title]],tbResults[],(MATCH(OFFSET(tbBets[#Headers],0,1),tbResults[#Headers],0)),0)</f>
        <v>2.2.13</v>
      </c>
      <c r="D111" s="11" t="str">
        <f ca="1">VLOOKUP(tbBets[[#This Row],[Game title]],tbResults[],(MATCH(OFFSET(tbBets[#Headers],0,1),tbResults[#Headers],0)),0)</f>
        <v>Raisy</v>
      </c>
      <c r="E111" s="11" t="str">
        <f ca="1">VLOOKUP(tbBets[[#This Row],[Game title]],tbResults[],(MATCH(OFFSET(tbBets[#Headers],0,1),tbResults[#Headers],0)),0)</f>
        <v>coollerz</v>
      </c>
      <c r="F111" s="11" t="str">
        <f ca="1">VLOOKUP(tbBets[[#This Row],[Game title]],tbResults[],(MATCH(OFFSET(tbBets[#Headers],0,1),tbResults[#Headers],0)),0)</f>
        <v>Awoken</v>
      </c>
      <c r="G111" s="11" t="str">
        <f ca="1">VLOOKUP(tbBets[[#This Row],[Game title]],tbResults[],(MATCH(OFFSET(tbBets[#Headers],0,1),tbResults[#Headers],0)),0)</f>
        <v>Strogg</v>
      </c>
      <c r="H111" s="11" t="str">
        <f ca="1">VLOOKUP(tbBets[[#This Row],[Game title]],tbResults[],(MATCH(OFFSET(tbBets[#Headers],0,1),tbResults[#Headers],0)),0)</f>
        <v>Sorlag</v>
      </c>
      <c r="I111" s="5">
        <f>288700+10000</f>
        <v>298700</v>
      </c>
      <c r="J111" s="13">
        <f>tbBets[[#This Row],[Opening Balance]]*(1/25)</f>
        <v>11948</v>
      </c>
      <c r="K111" s="13">
        <f>tbBets[[#This Row],[Opening Balance]]*(1/15)</f>
        <v>19913.333333333332</v>
      </c>
      <c r="L111" s="101" t="s">
        <v>48</v>
      </c>
      <c r="M111" s="8">
        <v>10000</v>
      </c>
      <c r="N111" s="9">
        <v>0.26</v>
      </c>
      <c r="O111" s="9">
        <v>0.74</v>
      </c>
      <c r="P111" s="12" t="str">
        <f ca="1">IF(tbBets[[#This Row],[Winner]]=tbBets[[#This Row],[My pick]],"Yes","No")</f>
        <v>No</v>
      </c>
      <c r="Q111" s="5">
        <v>0</v>
      </c>
      <c r="R111" s="13">
        <f ca="1">SUMIF(tbBets[Week Title],tbBets[[#This Row],[Week Title]],tbBets[Payout])-SUMIF(tbBets[Week Title],tbBets[[#This Row],[Week Title]],tbBets[My bet])</f>
        <v>-52481</v>
      </c>
      <c r="S111" s="11" t="str">
        <f ca="1">VLOOKUP(tbBets[[#This Row],[Game title]],tbResults[],(MATCH(OFFSET(tbBets[#Headers],0,1),tbResults[#Headers],0)),0)</f>
        <v>Raisy</v>
      </c>
      <c r="T111" s="11" t="str">
        <f ca="1">VLOOKUP(tbBets[[#This Row],[Game title]],tbResults[],(MATCH(OFFSET(tbBets[#Headers],0,1),tbResults[#Headers],0)),0)</f>
        <v>coollerz</v>
      </c>
    </row>
    <row r="112" spans="2:20" ht="30" customHeight="1" x14ac:dyDescent="0.3">
      <c r="B112" s="14" t="s">
        <v>364</v>
      </c>
      <c r="C112" s="20" t="str">
        <f ca="1">VLOOKUP(tbBets[[#This Row],[Game title]],tbResults[],(MATCH(OFFSET(tbBets[#Headers],0,1),tbResults[#Headers],0)),0)</f>
        <v>2.2.13</v>
      </c>
      <c r="D112" s="11" t="str">
        <f ca="1">VLOOKUP(tbBets[[#This Row],[Game title]],tbResults[],(MATCH(OFFSET(tbBets[#Headers],0,1),tbResults[#Headers],0)),0)</f>
        <v>Raisy</v>
      </c>
      <c r="E112" s="11" t="str">
        <f ca="1">VLOOKUP(tbBets[[#This Row],[Game title]],tbResults[],(MATCH(OFFSET(tbBets[#Headers],0,1),tbResults[#Headers],0)),0)</f>
        <v>coollerz</v>
      </c>
      <c r="F112" s="11" t="str">
        <f ca="1">VLOOKUP(tbBets[[#This Row],[Game title]],tbResults[],(MATCH(OFFSET(tbBets[#Headers],0,1),tbResults[#Headers],0)),0)</f>
        <v>Corrupted Keep</v>
      </c>
      <c r="G112" s="11" t="str">
        <f ca="1">VLOOKUP(tbBets[[#This Row],[Game title]],tbResults[],(MATCH(OFFSET(tbBets[#Headers],0,1),tbResults[#Headers],0)),0)</f>
        <v>BJ Blazkowicz</v>
      </c>
      <c r="H112" s="11" t="str">
        <f ca="1">VLOOKUP(tbBets[[#This Row],[Game title]],tbResults[],(MATCH(OFFSET(tbBets[#Headers],0,1),tbResults[#Headers],0)),0)</f>
        <v>Anarki</v>
      </c>
      <c r="I112" s="5"/>
      <c r="J112" s="13">
        <f>tbBets[[#This Row],[Opening Balance]]*(1/25)</f>
        <v>0</v>
      </c>
      <c r="K112" s="13">
        <f>tbBets[[#This Row],[Opening Balance]]*(1/15)</f>
        <v>0</v>
      </c>
      <c r="L112" s="101" t="s">
        <v>48</v>
      </c>
      <c r="M112" s="8">
        <v>5000</v>
      </c>
      <c r="N112" s="9"/>
      <c r="O112" s="9"/>
      <c r="P112" s="12" t="str">
        <f ca="1">IF(tbBets[[#This Row],[Winner]]=tbBets[[#This Row],[My pick]],"Yes","No")</f>
        <v>No</v>
      </c>
      <c r="Q112" s="5">
        <v>0</v>
      </c>
      <c r="R112" s="13">
        <f ca="1">SUMIF(tbBets[Week Title],tbBets[[#This Row],[Week Title]],tbBets[Payout])-SUMIF(tbBets[Week Title],tbBets[[#This Row],[Week Title]],tbBets[My bet])</f>
        <v>-52481</v>
      </c>
      <c r="S112" s="11" t="str">
        <f ca="1">VLOOKUP(tbBets[[#This Row],[Game title]],tbResults[],(MATCH(OFFSET(tbBets[#Headers],0,1),tbResults[#Headers],0)),0)</f>
        <v>Raisy</v>
      </c>
      <c r="T112" s="11" t="str">
        <f ca="1">VLOOKUP(tbBets[[#This Row],[Game title]],tbResults[],(MATCH(OFFSET(tbBets[#Headers],0,1),tbResults[#Headers],0)),0)</f>
        <v>coollerz</v>
      </c>
    </row>
    <row r="113" spans="2:20" ht="30" customHeight="1" x14ac:dyDescent="0.3">
      <c r="B113" s="14" t="s">
        <v>365</v>
      </c>
      <c r="C113" s="20" t="str">
        <f ca="1">VLOOKUP(tbBets[[#This Row],[Game title]],tbResults[],(MATCH(OFFSET(tbBets[#Headers],0,1),tbResults[#Headers],0)),0)</f>
        <v>2.2.13</v>
      </c>
      <c r="D113" s="11" t="str">
        <f ca="1">VLOOKUP(tbBets[[#This Row],[Game title]],tbResults[],(MATCH(OFFSET(tbBets[#Headers],0,1),tbResults[#Headers],0)),0)</f>
        <v>Raisy</v>
      </c>
      <c r="E113" s="11" t="str">
        <f ca="1">VLOOKUP(tbBets[[#This Row],[Game title]],tbResults[],(MATCH(OFFSET(tbBets[#Headers],0,1),tbResults[#Headers],0)),0)</f>
        <v>coollerz</v>
      </c>
      <c r="F113" s="11" t="str">
        <f ca="1">VLOOKUP(tbBets[[#This Row],[Game title]],tbResults[],(MATCH(OFFSET(tbBets[#Headers],0,1),tbResults[#Headers],0)),0)</f>
        <v>Vale of P'nath</v>
      </c>
      <c r="G113" s="11" t="str">
        <f ca="1">VLOOKUP(tbBets[[#This Row],[Game title]],tbResults[],(MATCH(OFFSET(tbBets[#Headers],0,1),tbResults[#Headers],0)),0)</f>
        <v>Keel</v>
      </c>
      <c r="H113" s="11" t="str">
        <f ca="1">VLOOKUP(tbBets[[#This Row],[Game title]],tbResults[],(MATCH(OFFSET(tbBets[#Headers],0,1),tbResults[#Headers],0)),0)</f>
        <v>Ranger</v>
      </c>
      <c r="I113" s="5"/>
      <c r="J113" s="13">
        <f>tbBets[[#This Row],[Opening Balance]]*(1/25)</f>
        <v>0</v>
      </c>
      <c r="K113" s="13">
        <f>tbBets[[#This Row],[Opening Balance]]*(1/15)</f>
        <v>0</v>
      </c>
      <c r="L113" s="101" t="s">
        <v>49</v>
      </c>
      <c r="M113" s="8">
        <v>250000</v>
      </c>
      <c r="N113" s="9">
        <v>0.91</v>
      </c>
      <c r="O113" s="9">
        <v>0.09</v>
      </c>
      <c r="P113" s="12" t="str">
        <f ca="1">IF(tbBets[[#This Row],[Winner]]=tbBets[[#This Row],[My pick]],"Yes","No")</f>
        <v>Yes</v>
      </c>
      <c r="Q113" s="5">
        <v>275187</v>
      </c>
      <c r="R113" s="13">
        <f ca="1">SUMIF(tbBets[Week Title],tbBets[[#This Row],[Week Title]],tbBets[Payout])-SUMIF(tbBets[Week Title],tbBets[[#This Row],[Week Title]],tbBets[My bet])</f>
        <v>-52481</v>
      </c>
      <c r="S113" s="11" t="str">
        <f ca="1">VLOOKUP(tbBets[[#This Row],[Game title]],tbResults[],(MATCH(OFFSET(tbBets[#Headers],0,1),tbResults[#Headers],0)),0)</f>
        <v>Raisy</v>
      </c>
      <c r="T113" s="11" t="str">
        <f ca="1">VLOOKUP(tbBets[[#This Row],[Game title]],tbResults[],(MATCH(OFFSET(tbBets[#Headers],0,1),tbResults[#Headers],0)),0)</f>
        <v>coollerz</v>
      </c>
    </row>
    <row r="114" spans="2:20" ht="30" customHeight="1" x14ac:dyDescent="0.3">
      <c r="B114" s="14" t="s">
        <v>366</v>
      </c>
      <c r="C114" s="20" t="str">
        <f ca="1">VLOOKUP(tbBets[[#This Row],[Game title]],tbResults[],(MATCH(OFFSET(tbBets[#Headers],0,1),tbResults[#Headers],0)),0)</f>
        <v>2.2.13</v>
      </c>
      <c r="D114" s="11" t="str">
        <f ca="1">VLOOKUP(tbBets[[#This Row],[Game title]],tbResults[],(MATCH(OFFSET(tbBets[#Headers],0,1),tbResults[#Headers],0)),0)</f>
        <v>cha1n</v>
      </c>
      <c r="E114" s="11" t="str">
        <f ca="1">VLOOKUP(tbBets[[#This Row],[Game title]],tbResults[],(MATCH(OFFSET(tbBets[#Headers],0,1),tbResults[#Headers],0)),0)</f>
        <v>Rapha</v>
      </c>
      <c r="F114" s="11" t="str">
        <f ca="1">VLOOKUP(tbBets[[#This Row],[Game title]],tbResults[],(MATCH(OFFSET(tbBets[#Headers],0,1),tbResults[#Headers],0)),0)</f>
        <v>Molten Falls</v>
      </c>
      <c r="G114" s="11" t="str">
        <f ca="1">VLOOKUP(tbBets[[#This Row],[Game title]],tbResults[],(MATCH(OFFSET(tbBets[#Headers],0,1),tbResults[#Headers],0)),0)</f>
        <v>Athena</v>
      </c>
      <c r="H114" s="11" t="str">
        <f ca="1">VLOOKUP(tbBets[[#This Row],[Game title]],tbResults[],(MATCH(OFFSET(tbBets[#Headers],0,1),tbResults[#Headers],0)),0)</f>
        <v>Scalebearer</v>
      </c>
      <c r="I114" s="5"/>
      <c r="J114" s="13">
        <f>tbBets[[#This Row],[Opening Balance]]*(1/25)</f>
        <v>0</v>
      </c>
      <c r="K114" s="13">
        <f>tbBets[[#This Row],[Opening Balance]]*(1/15)</f>
        <v>0</v>
      </c>
      <c r="L114" s="7"/>
      <c r="M114" s="8"/>
      <c r="N114" s="9"/>
      <c r="O114" s="9"/>
      <c r="P114" s="12" t="str">
        <f ca="1">IF(tbBets[[#This Row],[Winner]]=tbBets[[#This Row],[My pick]],"Yes","No")</f>
        <v>No</v>
      </c>
      <c r="Q114" s="5"/>
      <c r="R114" s="13">
        <f ca="1">SUMIF(tbBets[Week Title],tbBets[[#This Row],[Week Title]],tbBets[Payout])-SUMIF(tbBets[Week Title],tbBets[[#This Row],[Week Title]],tbBets[My bet])</f>
        <v>-52481</v>
      </c>
      <c r="S114" s="11" t="str">
        <f ca="1">VLOOKUP(tbBets[[#This Row],[Game title]],tbResults[],(MATCH(OFFSET(tbBets[#Headers],0,1),tbResults[#Headers],0)),0)</f>
        <v>Rapha</v>
      </c>
      <c r="T114" s="11" t="str">
        <f ca="1">VLOOKUP(tbBets[[#This Row],[Game title]],tbResults[],(MATCH(OFFSET(tbBets[#Headers],0,1),tbResults[#Headers],0)),0)</f>
        <v>cha1n</v>
      </c>
    </row>
    <row r="115" spans="2:20" ht="30" customHeight="1" x14ac:dyDescent="0.3">
      <c r="B115" s="14" t="s">
        <v>367</v>
      </c>
      <c r="C115" s="20" t="str">
        <f ca="1">VLOOKUP(tbBets[[#This Row],[Game title]],tbResults[],(MATCH(OFFSET(tbBets[#Headers],0,1),tbResults[#Headers],0)),0)</f>
        <v>2.2.13</v>
      </c>
      <c r="D115" s="11" t="str">
        <f ca="1">VLOOKUP(tbBets[[#This Row],[Game title]],tbResults[],(MATCH(OFFSET(tbBets[#Headers],0,1),tbResults[#Headers],0)),0)</f>
        <v>cha1n</v>
      </c>
      <c r="E115" s="11" t="str">
        <f ca="1">VLOOKUP(tbBets[[#This Row],[Game title]],tbResults[],(MATCH(OFFSET(tbBets[#Headers],0,1),tbResults[#Headers],0)),0)</f>
        <v>Rapha</v>
      </c>
      <c r="F115" s="11" t="str">
        <f ca="1">VLOOKUP(tbBets[[#This Row],[Game title]],tbResults[],(MATCH(OFFSET(tbBets[#Headers],0,1),tbResults[#Headers],0)),0)</f>
        <v>Deep Embrace</v>
      </c>
      <c r="G115" s="11" t="str">
        <f ca="1">VLOOKUP(tbBets[[#This Row],[Game title]],tbResults[],(MATCH(OFFSET(tbBets[#Headers],0,1),tbResults[#Headers],0)),0)</f>
        <v>Keel</v>
      </c>
      <c r="H115" s="11" t="str">
        <f ca="1">VLOOKUP(tbBets[[#This Row],[Game title]],tbResults[],(MATCH(OFFSET(tbBets[#Headers],0,1),tbResults[#Headers],0)),0)</f>
        <v>Ranger</v>
      </c>
      <c r="I115" s="5"/>
      <c r="J115" s="13">
        <f>tbBets[[#This Row],[Opening Balance]]*(1/25)</f>
        <v>0</v>
      </c>
      <c r="K115" s="13">
        <f>tbBets[[#This Row],[Opening Balance]]*(1/15)</f>
        <v>0</v>
      </c>
      <c r="L115" s="7"/>
      <c r="M115" s="8"/>
      <c r="N115" s="9"/>
      <c r="O115" s="9"/>
      <c r="P115" s="12" t="str">
        <f ca="1">IF(tbBets[[#This Row],[Winner]]=tbBets[[#This Row],[My pick]],"Yes","No")</f>
        <v>No</v>
      </c>
      <c r="Q115" s="5"/>
      <c r="R115" s="13">
        <f ca="1">SUMIF(tbBets[Week Title],tbBets[[#This Row],[Week Title]],tbBets[Payout])-SUMIF(tbBets[Week Title],tbBets[[#This Row],[Week Title]],tbBets[My bet])</f>
        <v>-52481</v>
      </c>
      <c r="S115" s="11" t="str">
        <f ca="1">VLOOKUP(tbBets[[#This Row],[Game title]],tbResults[],(MATCH(OFFSET(tbBets[#Headers],0,1),tbResults[#Headers],0)),0)</f>
        <v>Rapha</v>
      </c>
      <c r="T115" s="11" t="str">
        <f ca="1">VLOOKUP(tbBets[[#This Row],[Game title]],tbResults[],(MATCH(OFFSET(tbBets[#Headers],0,1),tbResults[#Headers],0)),0)</f>
        <v>cha1n</v>
      </c>
    </row>
    <row r="116" spans="2:20" ht="30" customHeight="1" x14ac:dyDescent="0.3">
      <c r="B116" s="14" t="s">
        <v>368</v>
      </c>
      <c r="C116" s="20" t="str">
        <f ca="1">VLOOKUP(tbBets[[#This Row],[Game title]],tbResults[],(MATCH(OFFSET(tbBets[#Headers],0,1),tbResults[#Headers],0)),0)</f>
        <v>2.2.13</v>
      </c>
      <c r="D116" s="11" t="str">
        <f ca="1">VLOOKUP(tbBets[[#This Row],[Game title]],tbResults[],(MATCH(OFFSET(tbBets[#Headers],0,1),tbResults[#Headers],0)),0)</f>
        <v>cha1n</v>
      </c>
      <c r="E116" s="11" t="str">
        <f ca="1">VLOOKUP(tbBets[[#This Row],[Game title]],tbResults[],(MATCH(OFFSET(tbBets[#Headers],0,1),tbResults[#Headers],0)),0)</f>
        <v>Rapha</v>
      </c>
      <c r="F116" s="11" t="str">
        <f ca="1">VLOOKUP(tbBets[[#This Row],[Game title]],tbResults[],(MATCH(OFFSET(tbBets[#Headers],0,1),tbResults[#Headers],0)),0)</f>
        <v>Vale of P'nath</v>
      </c>
      <c r="G116" s="11" t="str">
        <f ca="1">VLOOKUP(tbBets[[#This Row],[Game title]],tbResults[],(MATCH(OFFSET(tbBets[#Headers],0,1),tbResults[#Headers],0)),0)</f>
        <v>Galena</v>
      </c>
      <c r="H116" s="11" t="str">
        <f ca="1">VLOOKUP(tbBets[[#This Row],[Game title]],tbResults[],(MATCH(OFFSET(tbBets[#Headers],0,1),tbResults[#Headers],0)),0)</f>
        <v>Death Knight</v>
      </c>
      <c r="I116" s="5"/>
      <c r="J116" s="13">
        <f>tbBets[[#This Row],[Opening Balance]]*(1/25)</f>
        <v>0</v>
      </c>
      <c r="K116" s="13">
        <f>tbBets[[#This Row],[Opening Balance]]*(1/15)</f>
        <v>0</v>
      </c>
      <c r="L116" s="7"/>
      <c r="M116" s="8"/>
      <c r="N116" s="9"/>
      <c r="O116" s="9"/>
      <c r="P116" s="12" t="str">
        <f ca="1">IF(tbBets[[#This Row],[Winner]]=tbBets[[#This Row],[My pick]],"Yes","No")</f>
        <v>No</v>
      </c>
      <c r="Q116" s="5"/>
      <c r="R116" s="13">
        <f ca="1">SUMIF(tbBets[Week Title],tbBets[[#This Row],[Week Title]],tbBets[Payout])-SUMIF(tbBets[Week Title],tbBets[[#This Row],[Week Title]],tbBets[My bet])</f>
        <v>-52481</v>
      </c>
      <c r="S116" s="11" t="str">
        <f ca="1">VLOOKUP(tbBets[[#This Row],[Game title]],tbResults[],(MATCH(OFFSET(tbBets[#Headers],0,1),tbResults[#Headers],0)),0)</f>
        <v>Rapha</v>
      </c>
      <c r="T116" s="11" t="str">
        <f ca="1">VLOOKUP(tbBets[[#This Row],[Game title]],tbResults[],(MATCH(OFFSET(tbBets[#Headers],0,1),tbResults[#Headers],0)),0)</f>
        <v>cha1n</v>
      </c>
    </row>
    <row r="117" spans="2:20" ht="30" customHeight="1" x14ac:dyDescent="0.3">
      <c r="B117" s="14"/>
      <c r="C117" s="20" t="e">
        <f ca="1">VLOOKUP(tbBets[[#This Row],[Game title]],tbResults[],(MATCH(OFFSET(tbBets[#Headers],0,1),tbResults[#Headers],0)),0)</f>
        <v>#N/A</v>
      </c>
      <c r="D117" s="11" t="e">
        <f ca="1">VLOOKUP(tbBets[[#This Row],[Game title]],tbResults[],(MATCH(OFFSET(tbBets[#Headers],0,1),tbResults[#Headers],0)),0)</f>
        <v>#N/A</v>
      </c>
      <c r="E117" s="11" t="e">
        <f ca="1">VLOOKUP(tbBets[[#This Row],[Game title]],tbResults[],(MATCH(OFFSET(tbBets[#Headers],0,1),tbResults[#Headers],0)),0)</f>
        <v>#N/A</v>
      </c>
      <c r="F117" s="11" t="e">
        <f ca="1">VLOOKUP(tbBets[[#This Row],[Game title]],tbResults[],(MATCH(OFFSET(tbBets[#Headers],0,1),tbResults[#Headers],0)),0)</f>
        <v>#N/A</v>
      </c>
      <c r="G117" s="11" t="e">
        <f ca="1">VLOOKUP(tbBets[[#This Row],[Game title]],tbResults[],(MATCH(OFFSET(tbBets[#Headers],0,1),tbResults[#Headers],0)),0)</f>
        <v>#N/A</v>
      </c>
      <c r="H117" s="11" t="e">
        <f ca="1">VLOOKUP(tbBets[[#This Row],[Game title]],tbResults[],(MATCH(OFFSET(tbBets[#Headers],0,1),tbResults[#Headers],0)),0)</f>
        <v>#N/A</v>
      </c>
      <c r="I117" s="5"/>
      <c r="J117" s="13">
        <f>tbBets[[#This Row],[Opening Balance]]*(1/25)</f>
        <v>0</v>
      </c>
      <c r="K117" s="13">
        <f>tbBets[[#This Row],[Opening Balance]]*(1/15)</f>
        <v>0</v>
      </c>
      <c r="L117" s="7"/>
      <c r="M117" s="8"/>
      <c r="N117" s="9"/>
      <c r="O117" s="9"/>
      <c r="P117" s="12" t="e">
        <f ca="1">IF(tbBets[[#This Row],[Winner]]=tbBets[[#This Row],[My pick]],"Yes","No")</f>
        <v>#N/A</v>
      </c>
      <c r="Q117" s="5"/>
      <c r="R117" s="13">
        <f ca="1">SUMIF(tbBets[Week Title],tbBets[[#This Row],[Week Title]],tbBets[Payout])-SUMIF(tbBets[Week Title],tbBets[[#This Row],[Week Title]],tbBets[My bet])</f>
        <v>0</v>
      </c>
      <c r="S117" s="11" t="e">
        <f ca="1">VLOOKUP(tbBets[[#This Row],[Game title]],tbResults[],(MATCH(OFFSET(tbBets[#Headers],0,1),tbResults[#Headers],0)),0)</f>
        <v>#N/A</v>
      </c>
      <c r="T117" s="11" t="e">
        <f ca="1">VLOOKUP(tbBets[[#This Row],[Game title]],tbResults[],(MATCH(OFFSET(tbBets[#Headers],0,1),tbResults[#Headers],0)),0)</f>
        <v>#N/A</v>
      </c>
    </row>
    <row r="118" spans="2:20" ht="30" customHeight="1" x14ac:dyDescent="0.3">
      <c r="B118" s="14"/>
      <c r="C118" s="20" t="e">
        <f ca="1">VLOOKUP(tbBets[[#This Row],[Game title]],tbResults[],(MATCH(OFFSET(tbBets[#Headers],0,1),tbResults[#Headers],0)),0)</f>
        <v>#N/A</v>
      </c>
      <c r="D118" s="11" t="e">
        <f ca="1">VLOOKUP(tbBets[[#This Row],[Game title]],tbResults[],(MATCH(OFFSET(tbBets[#Headers],0,1),tbResults[#Headers],0)),0)</f>
        <v>#N/A</v>
      </c>
      <c r="E118" s="11" t="e">
        <f ca="1">VLOOKUP(tbBets[[#This Row],[Game title]],tbResults[],(MATCH(OFFSET(tbBets[#Headers],0,1),tbResults[#Headers],0)),0)</f>
        <v>#N/A</v>
      </c>
      <c r="F118" s="11" t="e">
        <f ca="1">VLOOKUP(tbBets[[#This Row],[Game title]],tbResults[],(MATCH(OFFSET(tbBets[#Headers],0,1),tbResults[#Headers],0)),0)</f>
        <v>#N/A</v>
      </c>
      <c r="G118" s="11" t="e">
        <f ca="1">VLOOKUP(tbBets[[#This Row],[Game title]],tbResults[],(MATCH(OFFSET(tbBets[#Headers],0,1),tbResults[#Headers],0)),0)</f>
        <v>#N/A</v>
      </c>
      <c r="H118" s="11" t="e">
        <f ca="1">VLOOKUP(tbBets[[#This Row],[Game title]],tbResults[],(MATCH(OFFSET(tbBets[#Headers],0,1),tbResults[#Headers],0)),0)</f>
        <v>#N/A</v>
      </c>
      <c r="I118" s="5"/>
      <c r="J118" s="13">
        <f>tbBets[[#This Row],[Opening Balance]]*(1/25)</f>
        <v>0</v>
      </c>
      <c r="K118" s="13">
        <f>tbBets[[#This Row],[Opening Balance]]*(1/15)</f>
        <v>0</v>
      </c>
      <c r="L118" s="7"/>
      <c r="M118" s="8"/>
      <c r="N118" s="9"/>
      <c r="O118" s="9"/>
      <c r="P118" s="12" t="e">
        <f ca="1">IF(tbBets[[#This Row],[Winner]]=tbBets[[#This Row],[My pick]],"Yes","No")</f>
        <v>#N/A</v>
      </c>
      <c r="Q118" s="5"/>
      <c r="R118" s="13">
        <f ca="1">SUMIF(tbBets[Week Title],tbBets[[#This Row],[Week Title]],tbBets[Payout])-SUMIF(tbBets[Week Title],tbBets[[#This Row],[Week Title]],tbBets[My bet])</f>
        <v>0</v>
      </c>
      <c r="S118" s="11" t="e">
        <f ca="1">VLOOKUP(tbBets[[#This Row],[Game title]],tbResults[],(MATCH(OFFSET(tbBets[#Headers],0,1),tbResults[#Headers],0)),0)</f>
        <v>#N/A</v>
      </c>
      <c r="T118" s="11" t="e">
        <f ca="1">VLOOKUP(tbBets[[#This Row],[Game title]],tbResults[],(MATCH(OFFSET(tbBets[#Headers],0,1),tbResults[#Headers],0)),0)</f>
        <v>#N/A</v>
      </c>
    </row>
    <row r="119" spans="2:20" ht="30" customHeight="1" x14ac:dyDescent="0.3">
      <c r="B119" s="14"/>
      <c r="C119" s="20" t="e">
        <f ca="1">VLOOKUP(tbBets[[#This Row],[Game title]],tbResults[],(MATCH(OFFSET(tbBets[#Headers],0,1),tbResults[#Headers],0)),0)</f>
        <v>#N/A</v>
      </c>
      <c r="D119" s="11" t="e">
        <f ca="1">VLOOKUP(tbBets[[#This Row],[Game title]],tbResults[],(MATCH(OFFSET(tbBets[#Headers],0,1),tbResults[#Headers],0)),0)</f>
        <v>#N/A</v>
      </c>
      <c r="E119" s="11" t="e">
        <f ca="1">VLOOKUP(tbBets[[#This Row],[Game title]],tbResults[],(MATCH(OFFSET(tbBets[#Headers],0,1),tbResults[#Headers],0)),0)</f>
        <v>#N/A</v>
      </c>
      <c r="F119" s="11" t="e">
        <f ca="1">VLOOKUP(tbBets[[#This Row],[Game title]],tbResults[],(MATCH(OFFSET(tbBets[#Headers],0,1),tbResults[#Headers],0)),0)</f>
        <v>#N/A</v>
      </c>
      <c r="G119" s="11" t="e">
        <f ca="1">VLOOKUP(tbBets[[#This Row],[Game title]],tbResults[],(MATCH(OFFSET(tbBets[#Headers],0,1),tbResults[#Headers],0)),0)</f>
        <v>#N/A</v>
      </c>
      <c r="H119" s="11" t="e">
        <f ca="1">VLOOKUP(tbBets[[#This Row],[Game title]],tbResults[],(MATCH(OFFSET(tbBets[#Headers],0,1),tbResults[#Headers],0)),0)</f>
        <v>#N/A</v>
      </c>
      <c r="I119" s="5"/>
      <c r="J119" s="13">
        <f>tbBets[[#This Row],[Opening Balance]]*(1/25)</f>
        <v>0</v>
      </c>
      <c r="K119" s="13">
        <f>tbBets[[#This Row],[Opening Balance]]*(1/15)</f>
        <v>0</v>
      </c>
      <c r="L119" s="7"/>
      <c r="M119" s="8"/>
      <c r="N119" s="9"/>
      <c r="O119" s="9"/>
      <c r="P119" s="12" t="e">
        <f ca="1">IF(tbBets[[#This Row],[Winner]]=tbBets[[#This Row],[My pick]],"Yes","No")</f>
        <v>#N/A</v>
      </c>
      <c r="Q119" s="5"/>
      <c r="R119" s="13">
        <f ca="1">SUMIF(tbBets[Week Title],tbBets[[#This Row],[Week Title]],tbBets[Payout])-SUMIF(tbBets[Week Title],tbBets[[#This Row],[Week Title]],tbBets[My bet])</f>
        <v>0</v>
      </c>
      <c r="S119" s="11" t="e">
        <f ca="1">VLOOKUP(tbBets[[#This Row],[Game title]],tbResults[],(MATCH(OFFSET(tbBets[#Headers],0,1),tbResults[#Headers],0)),0)</f>
        <v>#N/A</v>
      </c>
      <c r="T119" s="11" t="e">
        <f ca="1">VLOOKUP(tbBets[[#This Row],[Game title]],tbResults[],(MATCH(OFFSET(tbBets[#Headers],0,1),tbResults[#Headers],0)),0)</f>
        <v>#N/A</v>
      </c>
    </row>
    <row r="120" spans="2:20" ht="30" customHeight="1" x14ac:dyDescent="0.3">
      <c r="B120" s="14"/>
      <c r="C120" s="20" t="e">
        <f ca="1">VLOOKUP(tbBets[[#This Row],[Game title]],tbResults[],(MATCH(OFFSET(tbBets[#Headers],0,1),tbResults[#Headers],0)),0)</f>
        <v>#N/A</v>
      </c>
      <c r="D120" s="11" t="e">
        <f ca="1">VLOOKUP(tbBets[[#This Row],[Game title]],tbResults[],(MATCH(OFFSET(tbBets[#Headers],0,1),tbResults[#Headers],0)),0)</f>
        <v>#N/A</v>
      </c>
      <c r="E120" s="11" t="e">
        <f ca="1">VLOOKUP(tbBets[[#This Row],[Game title]],tbResults[],(MATCH(OFFSET(tbBets[#Headers],0,1),tbResults[#Headers],0)),0)</f>
        <v>#N/A</v>
      </c>
      <c r="F120" s="11" t="e">
        <f ca="1">VLOOKUP(tbBets[[#This Row],[Game title]],tbResults[],(MATCH(OFFSET(tbBets[#Headers],0,1),tbResults[#Headers],0)),0)</f>
        <v>#N/A</v>
      </c>
      <c r="G120" s="11" t="e">
        <f ca="1">VLOOKUP(tbBets[[#This Row],[Game title]],tbResults[],(MATCH(OFFSET(tbBets[#Headers],0,1),tbResults[#Headers],0)),0)</f>
        <v>#N/A</v>
      </c>
      <c r="H120" s="11" t="e">
        <f ca="1">VLOOKUP(tbBets[[#This Row],[Game title]],tbResults[],(MATCH(OFFSET(tbBets[#Headers],0,1),tbResults[#Headers],0)),0)</f>
        <v>#N/A</v>
      </c>
      <c r="I120" s="5"/>
      <c r="J120" s="13">
        <f>tbBets[[#This Row],[Opening Balance]]*(1/25)</f>
        <v>0</v>
      </c>
      <c r="K120" s="13">
        <f>tbBets[[#This Row],[Opening Balance]]*(1/15)</f>
        <v>0</v>
      </c>
      <c r="L120" s="7"/>
      <c r="M120" s="8"/>
      <c r="N120" s="9"/>
      <c r="O120" s="9"/>
      <c r="P120" s="12" t="e">
        <f ca="1">IF(tbBets[[#This Row],[Winner]]=tbBets[[#This Row],[My pick]],"Yes","No")</f>
        <v>#N/A</v>
      </c>
      <c r="Q120" s="5"/>
      <c r="R120" s="13">
        <f ca="1">SUMIF(tbBets[Week Title],tbBets[[#This Row],[Week Title]],tbBets[Payout])-SUMIF(tbBets[Week Title],tbBets[[#This Row],[Week Title]],tbBets[My bet])</f>
        <v>0</v>
      </c>
      <c r="S120" s="11" t="e">
        <f ca="1">VLOOKUP(tbBets[[#This Row],[Game title]],tbResults[],(MATCH(OFFSET(tbBets[#Headers],0,1),tbResults[#Headers],0)),0)</f>
        <v>#N/A</v>
      </c>
      <c r="T120" s="11" t="e">
        <f ca="1">VLOOKUP(tbBets[[#This Row],[Game title]],tbResults[],(MATCH(OFFSET(tbBets[#Headers],0,1),tbResults[#Headers],0)),0)</f>
        <v>#N/A</v>
      </c>
    </row>
    <row r="121" spans="2:20" ht="30" customHeight="1" x14ac:dyDescent="0.3">
      <c r="B121" s="14"/>
      <c r="C121" s="20" t="e">
        <f ca="1">VLOOKUP(tbBets[[#This Row],[Game title]],tbResults[],(MATCH(OFFSET(tbBets[#Headers],0,1),tbResults[#Headers],0)),0)</f>
        <v>#N/A</v>
      </c>
      <c r="D121" s="11" t="e">
        <f ca="1">VLOOKUP(tbBets[[#This Row],[Game title]],tbResults[],(MATCH(OFFSET(tbBets[#Headers],0,1),tbResults[#Headers],0)),0)</f>
        <v>#N/A</v>
      </c>
      <c r="E121" s="11" t="e">
        <f ca="1">VLOOKUP(tbBets[[#This Row],[Game title]],tbResults[],(MATCH(OFFSET(tbBets[#Headers],0,1),tbResults[#Headers],0)),0)</f>
        <v>#N/A</v>
      </c>
      <c r="F121" s="11" t="e">
        <f ca="1">VLOOKUP(tbBets[[#This Row],[Game title]],tbResults[],(MATCH(OFFSET(tbBets[#Headers],0,1),tbResults[#Headers],0)),0)</f>
        <v>#N/A</v>
      </c>
      <c r="G121" s="11" t="e">
        <f ca="1">VLOOKUP(tbBets[[#This Row],[Game title]],tbResults[],(MATCH(OFFSET(tbBets[#Headers],0,1),tbResults[#Headers],0)),0)</f>
        <v>#N/A</v>
      </c>
      <c r="H121" s="11" t="e">
        <f ca="1">VLOOKUP(tbBets[[#This Row],[Game title]],tbResults[],(MATCH(OFFSET(tbBets[#Headers],0,1),tbResults[#Headers],0)),0)</f>
        <v>#N/A</v>
      </c>
      <c r="I121" s="5"/>
      <c r="J121" s="13">
        <f>tbBets[[#This Row],[Opening Balance]]*(1/25)</f>
        <v>0</v>
      </c>
      <c r="K121" s="13">
        <f>tbBets[[#This Row],[Opening Balance]]*(1/15)</f>
        <v>0</v>
      </c>
      <c r="L121" s="7"/>
      <c r="M121" s="8"/>
      <c r="N121" s="9"/>
      <c r="O121" s="9"/>
      <c r="P121" s="12" t="e">
        <f ca="1">IF(tbBets[[#This Row],[Winner]]=tbBets[[#This Row],[My pick]],"Yes","No")</f>
        <v>#N/A</v>
      </c>
      <c r="Q121" s="5"/>
      <c r="R121" s="13">
        <f ca="1">SUMIF(tbBets[Week Title],tbBets[[#This Row],[Week Title]],tbBets[Payout])-SUMIF(tbBets[Week Title],tbBets[[#This Row],[Week Title]],tbBets[My bet])</f>
        <v>0</v>
      </c>
      <c r="S121" s="11" t="e">
        <f ca="1">VLOOKUP(tbBets[[#This Row],[Game title]],tbResults[],(MATCH(OFFSET(tbBets[#Headers],0,1),tbResults[#Headers],0)),0)</f>
        <v>#N/A</v>
      </c>
      <c r="T121" s="11" t="e">
        <f ca="1">VLOOKUP(tbBets[[#This Row],[Game title]],tbResults[],(MATCH(OFFSET(tbBets[#Headers],0,1),tbResults[#Headers],0)),0)</f>
        <v>#N/A</v>
      </c>
    </row>
    <row r="122" spans="2:20" ht="30" customHeight="1" x14ac:dyDescent="0.3">
      <c r="B122" s="14"/>
      <c r="C122" s="20" t="e">
        <f ca="1">VLOOKUP(tbBets[[#This Row],[Game title]],tbResults[],(MATCH(OFFSET(tbBets[#Headers],0,1),tbResults[#Headers],0)),0)</f>
        <v>#N/A</v>
      </c>
      <c r="D122" s="11" t="e">
        <f ca="1">VLOOKUP(tbBets[[#This Row],[Game title]],tbResults[],(MATCH(OFFSET(tbBets[#Headers],0,1),tbResults[#Headers],0)),0)</f>
        <v>#N/A</v>
      </c>
      <c r="E122" s="11" t="e">
        <f ca="1">VLOOKUP(tbBets[[#This Row],[Game title]],tbResults[],(MATCH(OFFSET(tbBets[#Headers],0,1),tbResults[#Headers],0)),0)</f>
        <v>#N/A</v>
      </c>
      <c r="F122" s="11" t="e">
        <f ca="1">VLOOKUP(tbBets[[#This Row],[Game title]],tbResults[],(MATCH(OFFSET(tbBets[#Headers],0,1),tbResults[#Headers],0)),0)</f>
        <v>#N/A</v>
      </c>
      <c r="G122" s="11" t="e">
        <f ca="1">VLOOKUP(tbBets[[#This Row],[Game title]],tbResults[],(MATCH(OFFSET(tbBets[#Headers],0,1),tbResults[#Headers],0)),0)</f>
        <v>#N/A</v>
      </c>
      <c r="H122" s="11" t="e">
        <f ca="1">VLOOKUP(tbBets[[#This Row],[Game title]],tbResults[],(MATCH(OFFSET(tbBets[#Headers],0,1),tbResults[#Headers],0)),0)</f>
        <v>#N/A</v>
      </c>
      <c r="I122" s="5"/>
      <c r="J122" s="13">
        <f>tbBets[[#This Row],[Opening Balance]]*(1/25)</f>
        <v>0</v>
      </c>
      <c r="K122" s="13">
        <f>tbBets[[#This Row],[Opening Balance]]*(1/15)</f>
        <v>0</v>
      </c>
      <c r="L122" s="7"/>
      <c r="M122" s="8"/>
      <c r="N122" s="9"/>
      <c r="O122" s="9"/>
      <c r="P122" s="12" t="e">
        <f ca="1">IF(tbBets[[#This Row],[Winner]]=tbBets[[#This Row],[My pick]],"Yes","No")</f>
        <v>#N/A</v>
      </c>
      <c r="Q122" s="5"/>
      <c r="R122" s="13">
        <f ca="1">SUMIF(tbBets[Week Title],tbBets[[#This Row],[Week Title]],tbBets[Payout])-SUMIF(tbBets[Week Title],tbBets[[#This Row],[Week Title]],tbBets[My bet])</f>
        <v>0</v>
      </c>
      <c r="S122" s="11" t="e">
        <f ca="1">VLOOKUP(tbBets[[#This Row],[Game title]],tbResults[],(MATCH(OFFSET(tbBets[#Headers],0,1),tbResults[#Headers],0)),0)</f>
        <v>#N/A</v>
      </c>
      <c r="T122" s="11" t="e">
        <f ca="1">VLOOKUP(tbBets[[#This Row],[Game title]],tbResults[],(MATCH(OFFSET(tbBets[#Headers],0,1),tbResults[#Headers],0)),0)</f>
        <v>#N/A</v>
      </c>
    </row>
    <row r="123" spans="2:20" ht="30" customHeight="1" x14ac:dyDescent="0.3">
      <c r="B123" s="14"/>
      <c r="C123" s="20" t="e">
        <f ca="1">VLOOKUP(tbBets[[#This Row],[Game title]],tbResults[],(MATCH(OFFSET(tbBets[#Headers],0,1),tbResults[#Headers],0)),0)</f>
        <v>#N/A</v>
      </c>
      <c r="D123" s="11" t="e">
        <f ca="1">VLOOKUP(tbBets[[#This Row],[Game title]],tbResults[],(MATCH(OFFSET(tbBets[#Headers],0,1),tbResults[#Headers],0)),0)</f>
        <v>#N/A</v>
      </c>
      <c r="E123" s="11" t="e">
        <f ca="1">VLOOKUP(tbBets[[#This Row],[Game title]],tbResults[],(MATCH(OFFSET(tbBets[#Headers],0,1),tbResults[#Headers],0)),0)</f>
        <v>#N/A</v>
      </c>
      <c r="F123" s="11" t="e">
        <f ca="1">VLOOKUP(tbBets[[#This Row],[Game title]],tbResults[],(MATCH(OFFSET(tbBets[#Headers],0,1),tbResults[#Headers],0)),0)</f>
        <v>#N/A</v>
      </c>
      <c r="G123" s="11" t="e">
        <f ca="1">VLOOKUP(tbBets[[#This Row],[Game title]],tbResults[],(MATCH(OFFSET(tbBets[#Headers],0,1),tbResults[#Headers],0)),0)</f>
        <v>#N/A</v>
      </c>
      <c r="H123" s="11" t="e">
        <f ca="1">VLOOKUP(tbBets[[#This Row],[Game title]],tbResults[],(MATCH(OFFSET(tbBets[#Headers],0,1),tbResults[#Headers],0)),0)</f>
        <v>#N/A</v>
      </c>
      <c r="I123" s="5"/>
      <c r="J123" s="13">
        <f>tbBets[[#This Row],[Opening Balance]]*(1/25)</f>
        <v>0</v>
      </c>
      <c r="K123" s="13">
        <f>tbBets[[#This Row],[Opening Balance]]*(1/15)</f>
        <v>0</v>
      </c>
      <c r="L123" s="7"/>
      <c r="M123" s="8"/>
      <c r="N123" s="9"/>
      <c r="O123" s="9"/>
      <c r="P123" s="12" t="e">
        <f ca="1">IF(tbBets[[#This Row],[Winner]]=tbBets[[#This Row],[My pick]],"Yes","No")</f>
        <v>#N/A</v>
      </c>
      <c r="Q123" s="5"/>
      <c r="R123" s="13">
        <f ca="1">SUMIF(tbBets[Week Title],tbBets[[#This Row],[Week Title]],tbBets[Payout])-SUMIF(tbBets[Week Title],tbBets[[#This Row],[Week Title]],tbBets[My bet])</f>
        <v>0</v>
      </c>
      <c r="S123" s="11" t="e">
        <f ca="1">VLOOKUP(tbBets[[#This Row],[Game title]],tbResults[],(MATCH(OFFSET(tbBets[#Headers],0,1),tbResults[#Headers],0)),0)</f>
        <v>#N/A</v>
      </c>
      <c r="T123" s="11" t="e">
        <f ca="1">VLOOKUP(tbBets[[#This Row],[Game title]],tbResults[],(MATCH(OFFSET(tbBets[#Headers],0,1),tbResults[#Headers],0)),0)</f>
        <v>#N/A</v>
      </c>
    </row>
    <row r="124" spans="2:20" ht="30" customHeight="1" x14ac:dyDescent="0.3">
      <c r="B124" s="14"/>
      <c r="C124" s="20" t="e">
        <f ca="1">VLOOKUP(tbBets[[#This Row],[Game title]],tbResults[],(MATCH(OFFSET(tbBets[#Headers],0,1),tbResults[#Headers],0)),0)</f>
        <v>#N/A</v>
      </c>
      <c r="D124" s="11" t="e">
        <f ca="1">VLOOKUP(tbBets[[#This Row],[Game title]],tbResults[],(MATCH(OFFSET(tbBets[#Headers],0,1),tbResults[#Headers],0)),0)</f>
        <v>#N/A</v>
      </c>
      <c r="E124" s="11" t="e">
        <f ca="1">VLOOKUP(tbBets[[#This Row],[Game title]],tbResults[],(MATCH(OFFSET(tbBets[#Headers],0,1),tbResults[#Headers],0)),0)</f>
        <v>#N/A</v>
      </c>
      <c r="F124" s="11" t="e">
        <f ca="1">VLOOKUP(tbBets[[#This Row],[Game title]],tbResults[],(MATCH(OFFSET(tbBets[#Headers],0,1),tbResults[#Headers],0)),0)</f>
        <v>#N/A</v>
      </c>
      <c r="G124" s="11" t="e">
        <f ca="1">VLOOKUP(tbBets[[#This Row],[Game title]],tbResults[],(MATCH(OFFSET(tbBets[#Headers],0,1),tbResults[#Headers],0)),0)</f>
        <v>#N/A</v>
      </c>
      <c r="H124" s="11" t="e">
        <f ca="1">VLOOKUP(tbBets[[#This Row],[Game title]],tbResults[],(MATCH(OFFSET(tbBets[#Headers],0,1),tbResults[#Headers],0)),0)</f>
        <v>#N/A</v>
      </c>
      <c r="I124" s="5"/>
      <c r="J124" s="13">
        <f>tbBets[[#This Row],[Opening Balance]]*(1/25)</f>
        <v>0</v>
      </c>
      <c r="K124" s="13">
        <f>tbBets[[#This Row],[Opening Balance]]*(1/15)</f>
        <v>0</v>
      </c>
      <c r="L124" s="7"/>
      <c r="M124" s="8"/>
      <c r="N124" s="9"/>
      <c r="O124" s="9"/>
      <c r="P124" s="12" t="e">
        <f ca="1">IF(tbBets[[#This Row],[Winner]]=tbBets[[#This Row],[My pick]],"Yes","No")</f>
        <v>#N/A</v>
      </c>
      <c r="Q124" s="5"/>
      <c r="R124" s="13">
        <f ca="1">SUMIF(tbBets[Week Title],tbBets[[#This Row],[Week Title]],tbBets[Payout])-SUMIF(tbBets[Week Title],tbBets[[#This Row],[Week Title]],tbBets[My bet])</f>
        <v>0</v>
      </c>
      <c r="S124" s="11" t="e">
        <f ca="1">VLOOKUP(tbBets[[#This Row],[Game title]],tbResults[],(MATCH(OFFSET(tbBets[#Headers],0,1),tbResults[#Headers],0)),0)</f>
        <v>#N/A</v>
      </c>
      <c r="T124" s="11" t="e">
        <f ca="1">VLOOKUP(tbBets[[#This Row],[Game title]],tbResults[],(MATCH(OFFSET(tbBets[#Headers],0,1),tbResults[#Headers],0)),0)</f>
        <v>#N/A</v>
      </c>
    </row>
    <row r="125" spans="2:20" ht="30" customHeight="1" x14ac:dyDescent="0.3">
      <c r="B125" s="14"/>
      <c r="C125" s="20" t="e">
        <f ca="1">VLOOKUP(tbBets[[#This Row],[Game title]],tbResults[],(MATCH(OFFSET(tbBets[#Headers],0,1),tbResults[#Headers],0)),0)</f>
        <v>#N/A</v>
      </c>
      <c r="D125" s="11" t="e">
        <f ca="1">VLOOKUP(tbBets[[#This Row],[Game title]],tbResults[],(MATCH(OFFSET(tbBets[#Headers],0,1),tbResults[#Headers],0)),0)</f>
        <v>#N/A</v>
      </c>
      <c r="E125" s="11" t="e">
        <f ca="1">VLOOKUP(tbBets[[#This Row],[Game title]],tbResults[],(MATCH(OFFSET(tbBets[#Headers],0,1),tbResults[#Headers],0)),0)</f>
        <v>#N/A</v>
      </c>
      <c r="F125" s="11" t="e">
        <f ca="1">VLOOKUP(tbBets[[#This Row],[Game title]],tbResults[],(MATCH(OFFSET(tbBets[#Headers],0,1),tbResults[#Headers],0)),0)</f>
        <v>#N/A</v>
      </c>
      <c r="G125" s="11" t="e">
        <f ca="1">VLOOKUP(tbBets[[#This Row],[Game title]],tbResults[],(MATCH(OFFSET(tbBets[#Headers],0,1),tbResults[#Headers],0)),0)</f>
        <v>#N/A</v>
      </c>
      <c r="H125" s="11" t="e">
        <f ca="1">VLOOKUP(tbBets[[#This Row],[Game title]],tbResults[],(MATCH(OFFSET(tbBets[#Headers],0,1),tbResults[#Headers],0)),0)</f>
        <v>#N/A</v>
      </c>
      <c r="I125" s="5"/>
      <c r="J125" s="13">
        <f>tbBets[[#This Row],[Opening Balance]]*(1/25)</f>
        <v>0</v>
      </c>
      <c r="K125" s="13">
        <f>tbBets[[#This Row],[Opening Balance]]*(1/15)</f>
        <v>0</v>
      </c>
      <c r="L125" s="7"/>
      <c r="M125" s="8"/>
      <c r="N125" s="9"/>
      <c r="O125" s="9"/>
      <c r="P125" s="12" t="e">
        <f ca="1">IF(tbBets[[#This Row],[Winner]]=tbBets[[#This Row],[My pick]],"Yes","No")</f>
        <v>#N/A</v>
      </c>
      <c r="Q125" s="5"/>
      <c r="R125" s="13">
        <f ca="1">SUMIF(tbBets[Week Title],tbBets[[#This Row],[Week Title]],tbBets[Payout])-SUMIF(tbBets[Week Title],tbBets[[#This Row],[Week Title]],tbBets[My bet])</f>
        <v>0</v>
      </c>
      <c r="S125" s="11" t="e">
        <f ca="1">VLOOKUP(tbBets[[#This Row],[Game title]],tbResults[],(MATCH(OFFSET(tbBets[#Headers],0,1),tbResults[#Headers],0)),0)</f>
        <v>#N/A</v>
      </c>
      <c r="T125" s="11" t="e">
        <f ca="1">VLOOKUP(tbBets[[#This Row],[Game title]],tbResults[],(MATCH(OFFSET(tbBets[#Headers],0,1),tbResults[#Headers],0)),0)</f>
        <v>#N/A</v>
      </c>
    </row>
    <row r="126" spans="2:20" ht="30" customHeight="1" x14ac:dyDescent="0.3">
      <c r="B126" s="14"/>
      <c r="C126" s="20" t="e">
        <f ca="1">VLOOKUP(tbBets[[#This Row],[Game title]],tbResults[],(MATCH(OFFSET(tbBets[#Headers],0,1),tbResults[#Headers],0)),0)</f>
        <v>#N/A</v>
      </c>
      <c r="D126" s="11" t="e">
        <f ca="1">VLOOKUP(tbBets[[#This Row],[Game title]],tbResults[],(MATCH(OFFSET(tbBets[#Headers],0,1),tbResults[#Headers],0)),0)</f>
        <v>#N/A</v>
      </c>
      <c r="E126" s="11" t="e">
        <f ca="1">VLOOKUP(tbBets[[#This Row],[Game title]],tbResults[],(MATCH(OFFSET(tbBets[#Headers],0,1),tbResults[#Headers],0)),0)</f>
        <v>#N/A</v>
      </c>
      <c r="F126" s="11" t="e">
        <f ca="1">VLOOKUP(tbBets[[#This Row],[Game title]],tbResults[],(MATCH(OFFSET(tbBets[#Headers],0,1),tbResults[#Headers],0)),0)</f>
        <v>#N/A</v>
      </c>
      <c r="G126" s="11" t="e">
        <f ca="1">VLOOKUP(tbBets[[#This Row],[Game title]],tbResults[],(MATCH(OFFSET(tbBets[#Headers],0,1),tbResults[#Headers],0)),0)</f>
        <v>#N/A</v>
      </c>
      <c r="H126" s="11" t="e">
        <f ca="1">VLOOKUP(tbBets[[#This Row],[Game title]],tbResults[],(MATCH(OFFSET(tbBets[#Headers],0,1),tbResults[#Headers],0)),0)</f>
        <v>#N/A</v>
      </c>
      <c r="I126" s="5"/>
      <c r="J126" s="13">
        <f>tbBets[[#This Row],[Opening Balance]]*(1/25)</f>
        <v>0</v>
      </c>
      <c r="K126" s="13">
        <f>tbBets[[#This Row],[Opening Balance]]*(1/15)</f>
        <v>0</v>
      </c>
      <c r="L126" s="7"/>
      <c r="M126" s="8"/>
      <c r="N126" s="9"/>
      <c r="O126" s="9"/>
      <c r="P126" s="12" t="e">
        <f ca="1">IF(tbBets[[#This Row],[Winner]]=tbBets[[#This Row],[My pick]],"Yes","No")</f>
        <v>#N/A</v>
      </c>
      <c r="Q126" s="5"/>
      <c r="R126" s="13">
        <f ca="1">SUMIF(tbBets[Week Title],tbBets[[#This Row],[Week Title]],tbBets[Payout])-SUMIF(tbBets[Week Title],tbBets[[#This Row],[Week Title]],tbBets[My bet])</f>
        <v>0</v>
      </c>
      <c r="S126" s="11" t="e">
        <f ca="1">VLOOKUP(tbBets[[#This Row],[Game title]],tbResults[],(MATCH(OFFSET(tbBets[#Headers],0,1),tbResults[#Headers],0)),0)</f>
        <v>#N/A</v>
      </c>
      <c r="T126" s="11" t="e">
        <f ca="1">VLOOKUP(tbBets[[#This Row],[Game title]],tbResults[],(MATCH(OFFSET(tbBets[#Headers],0,1),tbResults[#Headers],0)),0)</f>
        <v>#N/A</v>
      </c>
    </row>
    <row r="127" spans="2:20" ht="30" customHeight="1" x14ac:dyDescent="0.3">
      <c r="B127" s="14"/>
      <c r="C127" s="20" t="e">
        <f ca="1">VLOOKUP(tbBets[[#This Row],[Game title]],tbResults[],(MATCH(OFFSET(tbBets[#Headers],0,1),tbResults[#Headers],0)),0)</f>
        <v>#N/A</v>
      </c>
      <c r="D127" s="11" t="e">
        <f ca="1">VLOOKUP(tbBets[[#This Row],[Game title]],tbResults[],(MATCH(OFFSET(tbBets[#Headers],0,1),tbResults[#Headers],0)),0)</f>
        <v>#N/A</v>
      </c>
      <c r="E127" s="11" t="e">
        <f ca="1">VLOOKUP(tbBets[[#This Row],[Game title]],tbResults[],(MATCH(OFFSET(tbBets[#Headers],0,1),tbResults[#Headers],0)),0)</f>
        <v>#N/A</v>
      </c>
      <c r="F127" s="11" t="e">
        <f ca="1">VLOOKUP(tbBets[[#This Row],[Game title]],tbResults[],(MATCH(OFFSET(tbBets[#Headers],0,1),tbResults[#Headers],0)),0)</f>
        <v>#N/A</v>
      </c>
      <c r="G127" s="11" t="e">
        <f ca="1">VLOOKUP(tbBets[[#This Row],[Game title]],tbResults[],(MATCH(OFFSET(tbBets[#Headers],0,1),tbResults[#Headers],0)),0)</f>
        <v>#N/A</v>
      </c>
      <c r="H127" s="11" t="e">
        <f ca="1">VLOOKUP(tbBets[[#This Row],[Game title]],tbResults[],(MATCH(OFFSET(tbBets[#Headers],0,1),tbResults[#Headers],0)),0)</f>
        <v>#N/A</v>
      </c>
      <c r="I127" s="5"/>
      <c r="J127" s="13">
        <f>tbBets[[#This Row],[Opening Balance]]*(1/25)</f>
        <v>0</v>
      </c>
      <c r="K127" s="13">
        <f>tbBets[[#This Row],[Opening Balance]]*(1/15)</f>
        <v>0</v>
      </c>
      <c r="L127" s="7"/>
      <c r="M127" s="8"/>
      <c r="N127" s="9"/>
      <c r="O127" s="9"/>
      <c r="P127" s="12" t="e">
        <f ca="1">IF(tbBets[[#This Row],[Winner]]=tbBets[[#This Row],[My pick]],"Yes","No")</f>
        <v>#N/A</v>
      </c>
      <c r="Q127" s="5"/>
      <c r="R127" s="13">
        <f ca="1">SUMIF(tbBets[Week Title],tbBets[[#This Row],[Week Title]],tbBets[Payout])-SUMIF(tbBets[Week Title],tbBets[[#This Row],[Week Title]],tbBets[My bet])</f>
        <v>0</v>
      </c>
      <c r="S127" s="11" t="e">
        <f ca="1">VLOOKUP(tbBets[[#This Row],[Game title]],tbResults[],(MATCH(OFFSET(tbBets[#Headers],0,1),tbResults[#Headers],0)),0)</f>
        <v>#N/A</v>
      </c>
      <c r="T127" s="11" t="e">
        <f ca="1">VLOOKUP(tbBets[[#This Row],[Game title]],tbResults[],(MATCH(OFFSET(tbBets[#Headers],0,1),tbResults[#Headers],0)),0)</f>
        <v>#N/A</v>
      </c>
    </row>
    <row r="128" spans="2:20" ht="30" customHeight="1" x14ac:dyDescent="0.3">
      <c r="B128" s="14"/>
      <c r="C128" s="20" t="e">
        <f ca="1">VLOOKUP(tbBets[[#This Row],[Game title]],tbResults[],(MATCH(OFFSET(tbBets[#Headers],0,1),tbResults[#Headers],0)),0)</f>
        <v>#N/A</v>
      </c>
      <c r="D128" s="11" t="e">
        <f ca="1">VLOOKUP(tbBets[[#This Row],[Game title]],tbResults[],(MATCH(OFFSET(tbBets[#Headers],0,1),tbResults[#Headers],0)),0)</f>
        <v>#N/A</v>
      </c>
      <c r="E128" s="11" t="e">
        <f ca="1">VLOOKUP(tbBets[[#This Row],[Game title]],tbResults[],(MATCH(OFFSET(tbBets[#Headers],0,1),tbResults[#Headers],0)),0)</f>
        <v>#N/A</v>
      </c>
      <c r="F128" s="11" t="e">
        <f ca="1">VLOOKUP(tbBets[[#This Row],[Game title]],tbResults[],(MATCH(OFFSET(tbBets[#Headers],0,1),tbResults[#Headers],0)),0)</f>
        <v>#N/A</v>
      </c>
      <c r="G128" s="11" t="e">
        <f ca="1">VLOOKUP(tbBets[[#This Row],[Game title]],tbResults[],(MATCH(OFFSET(tbBets[#Headers],0,1),tbResults[#Headers],0)),0)</f>
        <v>#N/A</v>
      </c>
      <c r="H128" s="11" t="e">
        <f ca="1">VLOOKUP(tbBets[[#This Row],[Game title]],tbResults[],(MATCH(OFFSET(tbBets[#Headers],0,1),tbResults[#Headers],0)),0)</f>
        <v>#N/A</v>
      </c>
      <c r="I128" s="5"/>
      <c r="J128" s="13">
        <f>tbBets[[#This Row],[Opening Balance]]*(1/25)</f>
        <v>0</v>
      </c>
      <c r="K128" s="13">
        <f>tbBets[[#This Row],[Opening Balance]]*(1/15)</f>
        <v>0</v>
      </c>
      <c r="L128" s="7"/>
      <c r="M128" s="8"/>
      <c r="N128" s="9"/>
      <c r="O128" s="9"/>
      <c r="P128" s="12" t="e">
        <f ca="1">IF(tbBets[[#This Row],[Winner]]=tbBets[[#This Row],[My pick]],"Yes","No")</f>
        <v>#N/A</v>
      </c>
      <c r="Q128" s="5"/>
      <c r="R128" s="13">
        <f ca="1">SUMIF(tbBets[Week Title],tbBets[[#This Row],[Week Title]],tbBets[Payout])-SUMIF(tbBets[Week Title],tbBets[[#This Row],[Week Title]],tbBets[My bet])</f>
        <v>0</v>
      </c>
      <c r="S128" s="11" t="e">
        <f ca="1">VLOOKUP(tbBets[[#This Row],[Game title]],tbResults[],(MATCH(OFFSET(tbBets[#Headers],0,1),tbResults[#Headers],0)),0)</f>
        <v>#N/A</v>
      </c>
      <c r="T128" s="11" t="e">
        <f ca="1">VLOOKUP(tbBets[[#This Row],[Game title]],tbResults[],(MATCH(OFFSET(tbBets[#Headers],0,1),tbResults[#Headers],0)),0)</f>
        <v>#N/A</v>
      </c>
    </row>
    <row r="129" spans="2:20" ht="30" customHeight="1" x14ac:dyDescent="0.3">
      <c r="B129" s="14"/>
      <c r="C129" s="20" t="e">
        <f ca="1">VLOOKUP(tbBets[[#This Row],[Game title]],tbResults[],(MATCH(OFFSET(tbBets[#Headers],0,1),tbResults[#Headers],0)),0)</f>
        <v>#N/A</v>
      </c>
      <c r="D129" s="11" t="e">
        <f ca="1">VLOOKUP(tbBets[[#This Row],[Game title]],tbResults[],(MATCH(OFFSET(tbBets[#Headers],0,1),tbResults[#Headers],0)),0)</f>
        <v>#N/A</v>
      </c>
      <c r="E129" s="11" t="e">
        <f ca="1">VLOOKUP(tbBets[[#This Row],[Game title]],tbResults[],(MATCH(OFFSET(tbBets[#Headers],0,1),tbResults[#Headers],0)),0)</f>
        <v>#N/A</v>
      </c>
      <c r="F129" s="11" t="e">
        <f ca="1">VLOOKUP(tbBets[[#This Row],[Game title]],tbResults[],(MATCH(OFFSET(tbBets[#Headers],0,1),tbResults[#Headers],0)),0)</f>
        <v>#N/A</v>
      </c>
      <c r="G129" s="11" t="e">
        <f ca="1">VLOOKUP(tbBets[[#This Row],[Game title]],tbResults[],(MATCH(OFFSET(tbBets[#Headers],0,1),tbResults[#Headers],0)),0)</f>
        <v>#N/A</v>
      </c>
      <c r="H129" s="11" t="e">
        <f ca="1">VLOOKUP(tbBets[[#This Row],[Game title]],tbResults[],(MATCH(OFFSET(tbBets[#Headers],0,1),tbResults[#Headers],0)),0)</f>
        <v>#N/A</v>
      </c>
      <c r="I129" s="5"/>
      <c r="J129" s="13">
        <f>tbBets[[#This Row],[Opening Balance]]*(1/25)</f>
        <v>0</v>
      </c>
      <c r="K129" s="13">
        <f>tbBets[[#This Row],[Opening Balance]]*(1/15)</f>
        <v>0</v>
      </c>
      <c r="L129" s="7"/>
      <c r="M129" s="8"/>
      <c r="N129" s="9"/>
      <c r="O129" s="9"/>
      <c r="P129" s="12" t="e">
        <f ca="1">IF(tbBets[[#This Row],[Winner]]=tbBets[[#This Row],[My pick]],"Yes","No")</f>
        <v>#N/A</v>
      </c>
      <c r="Q129" s="5"/>
      <c r="R129" s="13">
        <f ca="1">SUMIF(tbBets[Week Title],tbBets[[#This Row],[Week Title]],tbBets[Payout])-SUMIF(tbBets[Week Title],tbBets[[#This Row],[Week Title]],tbBets[My bet])</f>
        <v>0</v>
      </c>
      <c r="S129" s="11" t="e">
        <f ca="1">VLOOKUP(tbBets[[#This Row],[Game title]],tbResults[],(MATCH(OFFSET(tbBets[#Headers],0,1),tbResults[#Headers],0)),0)</f>
        <v>#N/A</v>
      </c>
      <c r="T129" s="11" t="e">
        <f ca="1">VLOOKUP(tbBets[[#This Row],[Game title]],tbResults[],(MATCH(OFFSET(tbBets[#Headers],0,1),tbResults[#Headers],0)),0)</f>
        <v>#N/A</v>
      </c>
    </row>
    <row r="130" spans="2:20" ht="30" customHeight="1" x14ac:dyDescent="0.3">
      <c r="B130" s="14"/>
      <c r="C130" s="20" t="e">
        <f ca="1">VLOOKUP(tbBets[[#This Row],[Game title]],tbResults[],(MATCH(OFFSET(tbBets[#Headers],0,1),tbResults[#Headers],0)),0)</f>
        <v>#N/A</v>
      </c>
      <c r="D130" s="11" t="e">
        <f ca="1">VLOOKUP(tbBets[[#This Row],[Game title]],tbResults[],(MATCH(OFFSET(tbBets[#Headers],0,1),tbResults[#Headers],0)),0)</f>
        <v>#N/A</v>
      </c>
      <c r="E130" s="11" t="e">
        <f ca="1">VLOOKUP(tbBets[[#This Row],[Game title]],tbResults[],(MATCH(OFFSET(tbBets[#Headers],0,1),tbResults[#Headers],0)),0)</f>
        <v>#N/A</v>
      </c>
      <c r="F130" s="11" t="e">
        <f ca="1">VLOOKUP(tbBets[[#This Row],[Game title]],tbResults[],(MATCH(OFFSET(tbBets[#Headers],0,1),tbResults[#Headers],0)),0)</f>
        <v>#N/A</v>
      </c>
      <c r="G130" s="11" t="e">
        <f ca="1">VLOOKUP(tbBets[[#This Row],[Game title]],tbResults[],(MATCH(OFFSET(tbBets[#Headers],0,1),tbResults[#Headers],0)),0)</f>
        <v>#N/A</v>
      </c>
      <c r="H130" s="11" t="e">
        <f ca="1">VLOOKUP(tbBets[[#This Row],[Game title]],tbResults[],(MATCH(OFFSET(tbBets[#Headers],0,1),tbResults[#Headers],0)),0)</f>
        <v>#N/A</v>
      </c>
      <c r="I130" s="5"/>
      <c r="J130" s="13">
        <f>tbBets[[#This Row],[Opening Balance]]*(1/25)</f>
        <v>0</v>
      </c>
      <c r="K130" s="13">
        <f>tbBets[[#This Row],[Opening Balance]]*(1/15)</f>
        <v>0</v>
      </c>
      <c r="L130" s="7"/>
      <c r="M130" s="8"/>
      <c r="N130" s="9"/>
      <c r="O130" s="9"/>
      <c r="P130" s="12" t="e">
        <f ca="1">IF(tbBets[[#This Row],[Winner]]=tbBets[[#This Row],[My pick]],"Yes","No")</f>
        <v>#N/A</v>
      </c>
      <c r="Q130" s="5"/>
      <c r="R130" s="13">
        <f ca="1">SUMIF(tbBets[Week Title],tbBets[[#This Row],[Week Title]],tbBets[Payout])-SUMIF(tbBets[Week Title],tbBets[[#This Row],[Week Title]],tbBets[My bet])</f>
        <v>0</v>
      </c>
      <c r="S130" s="11" t="e">
        <f ca="1">VLOOKUP(tbBets[[#This Row],[Game title]],tbResults[],(MATCH(OFFSET(tbBets[#Headers],0,1),tbResults[#Headers],0)),0)</f>
        <v>#N/A</v>
      </c>
      <c r="T130" s="11" t="e">
        <f ca="1">VLOOKUP(tbBets[[#This Row],[Game title]],tbResults[],(MATCH(OFFSET(tbBets[#Headers],0,1),tbResults[#Headers],0)),0)</f>
        <v>#N/A</v>
      </c>
    </row>
    <row r="131" spans="2:20" ht="30" customHeight="1" x14ac:dyDescent="0.3">
      <c r="B131" s="14"/>
      <c r="C131" s="20" t="e">
        <f ca="1">VLOOKUP(tbBets[[#This Row],[Game title]],tbResults[],(MATCH(OFFSET(tbBets[#Headers],0,1),tbResults[#Headers],0)),0)</f>
        <v>#N/A</v>
      </c>
      <c r="D131" s="11" t="e">
        <f ca="1">VLOOKUP(tbBets[[#This Row],[Game title]],tbResults[],(MATCH(OFFSET(tbBets[#Headers],0,1),tbResults[#Headers],0)),0)</f>
        <v>#N/A</v>
      </c>
      <c r="E131" s="11" t="e">
        <f ca="1">VLOOKUP(tbBets[[#This Row],[Game title]],tbResults[],(MATCH(OFFSET(tbBets[#Headers],0,1),tbResults[#Headers],0)),0)</f>
        <v>#N/A</v>
      </c>
      <c r="F131" s="11" t="e">
        <f ca="1">VLOOKUP(tbBets[[#This Row],[Game title]],tbResults[],(MATCH(OFFSET(tbBets[#Headers],0,1),tbResults[#Headers],0)),0)</f>
        <v>#N/A</v>
      </c>
      <c r="G131" s="11" t="e">
        <f ca="1">VLOOKUP(tbBets[[#This Row],[Game title]],tbResults[],(MATCH(OFFSET(tbBets[#Headers],0,1),tbResults[#Headers],0)),0)</f>
        <v>#N/A</v>
      </c>
      <c r="H131" s="11" t="e">
        <f ca="1">VLOOKUP(tbBets[[#This Row],[Game title]],tbResults[],(MATCH(OFFSET(tbBets[#Headers],0,1),tbResults[#Headers],0)),0)</f>
        <v>#N/A</v>
      </c>
      <c r="I131" s="5"/>
      <c r="J131" s="13">
        <f>tbBets[[#This Row],[Opening Balance]]*(1/25)</f>
        <v>0</v>
      </c>
      <c r="K131" s="13">
        <f>tbBets[[#This Row],[Opening Balance]]*(1/15)</f>
        <v>0</v>
      </c>
      <c r="L131" s="7"/>
      <c r="M131" s="8"/>
      <c r="N131" s="9"/>
      <c r="O131" s="9"/>
      <c r="P131" s="12" t="e">
        <f ca="1">IF(tbBets[[#This Row],[Winner]]=tbBets[[#This Row],[My pick]],"Yes","No")</f>
        <v>#N/A</v>
      </c>
      <c r="Q131" s="5"/>
      <c r="R131" s="13">
        <f ca="1">SUMIF(tbBets[Week Title],tbBets[[#This Row],[Week Title]],tbBets[Payout])-SUMIF(tbBets[Week Title],tbBets[[#This Row],[Week Title]],tbBets[My bet])</f>
        <v>0</v>
      </c>
      <c r="S131" s="11" t="e">
        <f ca="1">VLOOKUP(tbBets[[#This Row],[Game title]],tbResults[],(MATCH(OFFSET(tbBets[#Headers],0,1),tbResults[#Headers],0)),0)</f>
        <v>#N/A</v>
      </c>
      <c r="T131" s="11" t="e">
        <f ca="1">VLOOKUP(tbBets[[#This Row],[Game title]],tbResults[],(MATCH(OFFSET(tbBets[#Headers],0,1),tbResults[#Headers],0)),0)</f>
        <v>#N/A</v>
      </c>
    </row>
    <row r="132" spans="2:20" ht="30" customHeight="1" x14ac:dyDescent="0.3">
      <c r="B132" s="14"/>
      <c r="C132" s="20" t="e">
        <f ca="1">VLOOKUP(tbBets[[#This Row],[Game title]],tbResults[],(MATCH(OFFSET(tbBets[#Headers],0,1),tbResults[#Headers],0)),0)</f>
        <v>#N/A</v>
      </c>
      <c r="D132" s="11" t="e">
        <f ca="1">VLOOKUP(tbBets[[#This Row],[Game title]],tbResults[],(MATCH(OFFSET(tbBets[#Headers],0,1),tbResults[#Headers],0)),0)</f>
        <v>#N/A</v>
      </c>
      <c r="E132" s="11" t="e">
        <f ca="1">VLOOKUP(tbBets[[#This Row],[Game title]],tbResults[],(MATCH(OFFSET(tbBets[#Headers],0,1),tbResults[#Headers],0)),0)</f>
        <v>#N/A</v>
      </c>
      <c r="F132" s="11" t="e">
        <f ca="1">VLOOKUP(tbBets[[#This Row],[Game title]],tbResults[],(MATCH(OFFSET(tbBets[#Headers],0,1),tbResults[#Headers],0)),0)</f>
        <v>#N/A</v>
      </c>
      <c r="G132" s="11" t="e">
        <f ca="1">VLOOKUP(tbBets[[#This Row],[Game title]],tbResults[],(MATCH(OFFSET(tbBets[#Headers],0,1),tbResults[#Headers],0)),0)</f>
        <v>#N/A</v>
      </c>
      <c r="H132" s="11" t="e">
        <f ca="1">VLOOKUP(tbBets[[#This Row],[Game title]],tbResults[],(MATCH(OFFSET(tbBets[#Headers],0,1),tbResults[#Headers],0)),0)</f>
        <v>#N/A</v>
      </c>
      <c r="I132" s="5"/>
      <c r="J132" s="13">
        <f>tbBets[[#This Row],[Opening Balance]]*(1/25)</f>
        <v>0</v>
      </c>
      <c r="K132" s="13">
        <f>tbBets[[#This Row],[Opening Balance]]*(1/15)</f>
        <v>0</v>
      </c>
      <c r="L132" s="7"/>
      <c r="M132" s="8"/>
      <c r="N132" s="9"/>
      <c r="O132" s="9"/>
      <c r="P132" s="12" t="e">
        <f ca="1">IF(tbBets[[#This Row],[Winner]]=tbBets[[#This Row],[My pick]],"Yes","No")</f>
        <v>#N/A</v>
      </c>
      <c r="Q132" s="5"/>
      <c r="R132" s="13">
        <f ca="1">SUMIF(tbBets[Week Title],tbBets[[#This Row],[Week Title]],tbBets[Payout])-SUMIF(tbBets[Week Title],tbBets[[#This Row],[Week Title]],tbBets[My bet])</f>
        <v>0</v>
      </c>
      <c r="S132" s="11" t="e">
        <f ca="1">VLOOKUP(tbBets[[#This Row],[Game title]],tbResults[],(MATCH(OFFSET(tbBets[#Headers],0,1),tbResults[#Headers],0)),0)</f>
        <v>#N/A</v>
      </c>
      <c r="T132" s="11" t="e">
        <f ca="1">VLOOKUP(tbBets[[#This Row],[Game title]],tbResults[],(MATCH(OFFSET(tbBets[#Headers],0,1),tbResults[#Headers],0)),0)</f>
        <v>#N/A</v>
      </c>
    </row>
    <row r="133" spans="2:20" ht="30" customHeight="1" x14ac:dyDescent="0.3">
      <c r="B133" s="14"/>
      <c r="C133" s="20" t="e">
        <f ca="1">VLOOKUP(tbBets[[#This Row],[Game title]],tbResults[],(MATCH(OFFSET(tbBets[#Headers],0,1),tbResults[#Headers],0)),0)</f>
        <v>#N/A</v>
      </c>
      <c r="D133" s="11" t="e">
        <f ca="1">VLOOKUP(tbBets[[#This Row],[Game title]],tbResults[],(MATCH(OFFSET(tbBets[#Headers],0,1),tbResults[#Headers],0)),0)</f>
        <v>#N/A</v>
      </c>
      <c r="E133" s="11" t="e">
        <f ca="1">VLOOKUP(tbBets[[#This Row],[Game title]],tbResults[],(MATCH(OFFSET(tbBets[#Headers],0,1),tbResults[#Headers],0)),0)</f>
        <v>#N/A</v>
      </c>
      <c r="F133" s="11" t="e">
        <f ca="1">VLOOKUP(tbBets[[#This Row],[Game title]],tbResults[],(MATCH(OFFSET(tbBets[#Headers],0,1),tbResults[#Headers],0)),0)</f>
        <v>#N/A</v>
      </c>
      <c r="G133" s="11" t="e">
        <f ca="1">VLOOKUP(tbBets[[#This Row],[Game title]],tbResults[],(MATCH(OFFSET(tbBets[#Headers],0,1),tbResults[#Headers],0)),0)</f>
        <v>#N/A</v>
      </c>
      <c r="H133" s="11" t="e">
        <f ca="1">VLOOKUP(tbBets[[#This Row],[Game title]],tbResults[],(MATCH(OFFSET(tbBets[#Headers],0,1),tbResults[#Headers],0)),0)</f>
        <v>#N/A</v>
      </c>
      <c r="I133" s="5"/>
      <c r="J133" s="13">
        <f>tbBets[[#This Row],[Opening Balance]]*(1/25)</f>
        <v>0</v>
      </c>
      <c r="K133" s="13">
        <f>tbBets[[#This Row],[Opening Balance]]*(1/15)</f>
        <v>0</v>
      </c>
      <c r="L133" s="7"/>
      <c r="M133" s="8"/>
      <c r="N133" s="9"/>
      <c r="O133" s="9"/>
      <c r="P133" s="12" t="e">
        <f ca="1">IF(tbBets[[#This Row],[Winner]]=tbBets[[#This Row],[My pick]],"Yes","No")</f>
        <v>#N/A</v>
      </c>
      <c r="Q133" s="5"/>
      <c r="R133" s="13">
        <f ca="1">SUMIF(tbBets[Week Title],tbBets[[#This Row],[Week Title]],tbBets[Payout])-SUMIF(tbBets[Week Title],tbBets[[#This Row],[Week Title]],tbBets[My bet])</f>
        <v>0</v>
      </c>
      <c r="S133" s="11" t="e">
        <f ca="1">VLOOKUP(tbBets[[#This Row],[Game title]],tbResults[],(MATCH(OFFSET(tbBets[#Headers],0,1),tbResults[#Headers],0)),0)</f>
        <v>#N/A</v>
      </c>
      <c r="T133" s="11" t="e">
        <f ca="1">VLOOKUP(tbBets[[#This Row],[Game title]],tbResults[],(MATCH(OFFSET(tbBets[#Headers],0,1),tbResults[#Headers],0)),0)</f>
        <v>#N/A</v>
      </c>
    </row>
    <row r="134" spans="2:20" ht="30" customHeight="1" x14ac:dyDescent="0.3">
      <c r="B134" s="14"/>
      <c r="C134" s="20" t="e">
        <f ca="1">VLOOKUP(tbBets[[#This Row],[Game title]],tbResults[],(MATCH(OFFSET(tbBets[#Headers],0,1),tbResults[#Headers],0)),0)</f>
        <v>#N/A</v>
      </c>
      <c r="D134" s="11" t="e">
        <f ca="1">VLOOKUP(tbBets[[#This Row],[Game title]],tbResults[],(MATCH(OFFSET(tbBets[#Headers],0,1),tbResults[#Headers],0)),0)</f>
        <v>#N/A</v>
      </c>
      <c r="E134" s="11" t="e">
        <f ca="1">VLOOKUP(tbBets[[#This Row],[Game title]],tbResults[],(MATCH(OFFSET(tbBets[#Headers],0,1),tbResults[#Headers],0)),0)</f>
        <v>#N/A</v>
      </c>
      <c r="F134" s="11" t="e">
        <f ca="1">VLOOKUP(tbBets[[#This Row],[Game title]],tbResults[],(MATCH(OFFSET(tbBets[#Headers],0,1),tbResults[#Headers],0)),0)</f>
        <v>#N/A</v>
      </c>
      <c r="G134" s="11" t="e">
        <f ca="1">VLOOKUP(tbBets[[#This Row],[Game title]],tbResults[],(MATCH(OFFSET(tbBets[#Headers],0,1),tbResults[#Headers],0)),0)</f>
        <v>#N/A</v>
      </c>
      <c r="H134" s="11" t="e">
        <f ca="1">VLOOKUP(tbBets[[#This Row],[Game title]],tbResults[],(MATCH(OFFSET(tbBets[#Headers],0,1),tbResults[#Headers],0)),0)</f>
        <v>#N/A</v>
      </c>
      <c r="I134" s="5"/>
      <c r="J134" s="13">
        <f>tbBets[[#This Row],[Opening Balance]]*(1/25)</f>
        <v>0</v>
      </c>
      <c r="K134" s="13">
        <f>tbBets[[#This Row],[Opening Balance]]*(1/15)</f>
        <v>0</v>
      </c>
      <c r="L134" s="7"/>
      <c r="M134" s="8"/>
      <c r="N134" s="9"/>
      <c r="O134" s="9"/>
      <c r="P134" s="12" t="e">
        <f ca="1">IF(tbBets[[#This Row],[Winner]]=tbBets[[#This Row],[My pick]],"Yes","No")</f>
        <v>#N/A</v>
      </c>
      <c r="Q134" s="5"/>
      <c r="R134" s="13">
        <f ca="1">SUMIF(tbBets[Week Title],tbBets[[#This Row],[Week Title]],tbBets[Payout])-SUMIF(tbBets[Week Title],tbBets[[#This Row],[Week Title]],tbBets[My bet])</f>
        <v>0</v>
      </c>
      <c r="S134" s="11" t="e">
        <f ca="1">VLOOKUP(tbBets[[#This Row],[Game title]],tbResults[],(MATCH(OFFSET(tbBets[#Headers],0,1),tbResults[#Headers],0)),0)</f>
        <v>#N/A</v>
      </c>
      <c r="T134" s="11" t="e">
        <f ca="1">VLOOKUP(tbBets[[#This Row],[Game title]],tbResults[],(MATCH(OFFSET(tbBets[#Headers],0,1),tbResults[#Headers],0)),0)</f>
        <v>#N/A</v>
      </c>
    </row>
    <row r="135" spans="2:20" ht="30" customHeight="1" x14ac:dyDescent="0.3">
      <c r="B135" s="14"/>
      <c r="C135" s="20" t="e">
        <f ca="1">VLOOKUP(tbBets[[#This Row],[Game title]],tbResults[],(MATCH(OFFSET(tbBets[#Headers],0,1),tbResults[#Headers],0)),0)</f>
        <v>#N/A</v>
      </c>
      <c r="D135" s="11" t="e">
        <f ca="1">VLOOKUP(tbBets[[#This Row],[Game title]],tbResults[],(MATCH(OFFSET(tbBets[#Headers],0,1),tbResults[#Headers],0)),0)</f>
        <v>#N/A</v>
      </c>
      <c r="E135" s="11" t="e">
        <f ca="1">VLOOKUP(tbBets[[#This Row],[Game title]],tbResults[],(MATCH(OFFSET(tbBets[#Headers],0,1),tbResults[#Headers],0)),0)</f>
        <v>#N/A</v>
      </c>
      <c r="F135" s="11" t="e">
        <f ca="1">VLOOKUP(tbBets[[#This Row],[Game title]],tbResults[],(MATCH(OFFSET(tbBets[#Headers],0,1),tbResults[#Headers],0)),0)</f>
        <v>#N/A</v>
      </c>
      <c r="G135" s="11" t="e">
        <f ca="1">VLOOKUP(tbBets[[#This Row],[Game title]],tbResults[],(MATCH(OFFSET(tbBets[#Headers],0,1),tbResults[#Headers],0)),0)</f>
        <v>#N/A</v>
      </c>
      <c r="H135" s="11" t="e">
        <f ca="1">VLOOKUP(tbBets[[#This Row],[Game title]],tbResults[],(MATCH(OFFSET(tbBets[#Headers],0,1),tbResults[#Headers],0)),0)</f>
        <v>#N/A</v>
      </c>
      <c r="I135" s="5"/>
      <c r="J135" s="13">
        <f>tbBets[[#This Row],[Opening Balance]]*(1/25)</f>
        <v>0</v>
      </c>
      <c r="K135" s="13">
        <f>tbBets[[#This Row],[Opening Balance]]*(1/15)</f>
        <v>0</v>
      </c>
      <c r="L135" s="7"/>
      <c r="M135" s="8"/>
      <c r="N135" s="9"/>
      <c r="O135" s="9"/>
      <c r="P135" s="12" t="e">
        <f ca="1">IF(tbBets[[#This Row],[Winner]]=tbBets[[#This Row],[My pick]],"Yes","No")</f>
        <v>#N/A</v>
      </c>
      <c r="Q135" s="5"/>
      <c r="R135" s="13">
        <f ca="1">SUMIF(tbBets[Week Title],tbBets[[#This Row],[Week Title]],tbBets[Payout])-SUMIF(tbBets[Week Title],tbBets[[#This Row],[Week Title]],tbBets[My bet])</f>
        <v>0</v>
      </c>
      <c r="S135" s="11" t="e">
        <f ca="1">VLOOKUP(tbBets[[#This Row],[Game title]],tbResults[],(MATCH(OFFSET(tbBets[#Headers],0,1),tbResults[#Headers],0)),0)</f>
        <v>#N/A</v>
      </c>
      <c r="T135" s="11" t="e">
        <f ca="1">VLOOKUP(tbBets[[#This Row],[Game title]],tbResults[],(MATCH(OFFSET(tbBets[#Headers],0,1),tbResults[#Headers],0)),0)</f>
        <v>#N/A</v>
      </c>
    </row>
    <row r="136" spans="2:20" ht="30" customHeight="1" x14ac:dyDescent="0.3">
      <c r="B136" s="14"/>
      <c r="C136" s="20" t="e">
        <f ca="1">VLOOKUP(tbBets[[#This Row],[Game title]],tbResults[],(MATCH(OFFSET(tbBets[#Headers],0,1),tbResults[#Headers],0)),0)</f>
        <v>#N/A</v>
      </c>
      <c r="D136" s="11" t="e">
        <f ca="1">VLOOKUP(tbBets[[#This Row],[Game title]],tbResults[],(MATCH(OFFSET(tbBets[#Headers],0,1),tbResults[#Headers],0)),0)</f>
        <v>#N/A</v>
      </c>
      <c r="E136" s="11" t="e">
        <f ca="1">VLOOKUP(tbBets[[#This Row],[Game title]],tbResults[],(MATCH(OFFSET(tbBets[#Headers],0,1),tbResults[#Headers],0)),0)</f>
        <v>#N/A</v>
      </c>
      <c r="F136" s="11" t="e">
        <f ca="1">VLOOKUP(tbBets[[#This Row],[Game title]],tbResults[],(MATCH(OFFSET(tbBets[#Headers],0,1),tbResults[#Headers],0)),0)</f>
        <v>#N/A</v>
      </c>
      <c r="G136" s="11" t="e">
        <f ca="1">VLOOKUP(tbBets[[#This Row],[Game title]],tbResults[],(MATCH(OFFSET(tbBets[#Headers],0,1),tbResults[#Headers],0)),0)</f>
        <v>#N/A</v>
      </c>
      <c r="H136" s="11" t="e">
        <f ca="1">VLOOKUP(tbBets[[#This Row],[Game title]],tbResults[],(MATCH(OFFSET(tbBets[#Headers],0,1),tbResults[#Headers],0)),0)</f>
        <v>#N/A</v>
      </c>
      <c r="I136" s="5"/>
      <c r="J136" s="13">
        <f>tbBets[[#This Row],[Opening Balance]]*(1/25)</f>
        <v>0</v>
      </c>
      <c r="K136" s="13">
        <f>tbBets[[#This Row],[Opening Balance]]*(1/15)</f>
        <v>0</v>
      </c>
      <c r="L136" s="7"/>
      <c r="M136" s="8"/>
      <c r="N136" s="9"/>
      <c r="O136" s="9"/>
      <c r="P136" s="12" t="e">
        <f ca="1">IF(tbBets[[#This Row],[Winner]]=tbBets[[#This Row],[My pick]],"Yes","No")</f>
        <v>#N/A</v>
      </c>
      <c r="Q136" s="5"/>
      <c r="R136" s="13">
        <f ca="1">SUMIF(tbBets[Week Title],tbBets[[#This Row],[Week Title]],tbBets[Payout])-SUMIF(tbBets[Week Title],tbBets[[#This Row],[Week Title]],tbBets[My bet])</f>
        <v>0</v>
      </c>
      <c r="S136" s="11" t="e">
        <f ca="1">VLOOKUP(tbBets[[#This Row],[Game title]],tbResults[],(MATCH(OFFSET(tbBets[#Headers],0,1),tbResults[#Headers],0)),0)</f>
        <v>#N/A</v>
      </c>
      <c r="T136" s="11" t="e">
        <f ca="1">VLOOKUP(tbBets[[#This Row],[Game title]],tbResults[],(MATCH(OFFSET(tbBets[#Headers],0,1),tbResults[#Headers],0)),0)</f>
        <v>#N/A</v>
      </c>
    </row>
    <row r="137" spans="2:20" ht="30" customHeight="1" x14ac:dyDescent="0.3">
      <c r="B137" s="14"/>
      <c r="C137" s="20" t="e">
        <f ca="1">VLOOKUP(tbBets[[#This Row],[Game title]],tbResults[],(MATCH(OFFSET(tbBets[#Headers],0,1),tbResults[#Headers],0)),0)</f>
        <v>#N/A</v>
      </c>
      <c r="D137" s="11" t="e">
        <f ca="1">VLOOKUP(tbBets[[#This Row],[Game title]],tbResults[],(MATCH(OFFSET(tbBets[#Headers],0,1),tbResults[#Headers],0)),0)</f>
        <v>#N/A</v>
      </c>
      <c r="E137" s="11" t="e">
        <f ca="1">VLOOKUP(tbBets[[#This Row],[Game title]],tbResults[],(MATCH(OFFSET(tbBets[#Headers],0,1),tbResults[#Headers],0)),0)</f>
        <v>#N/A</v>
      </c>
      <c r="F137" s="11" t="e">
        <f ca="1">VLOOKUP(tbBets[[#This Row],[Game title]],tbResults[],(MATCH(OFFSET(tbBets[#Headers],0,1),tbResults[#Headers],0)),0)</f>
        <v>#N/A</v>
      </c>
      <c r="G137" s="11" t="e">
        <f ca="1">VLOOKUP(tbBets[[#This Row],[Game title]],tbResults[],(MATCH(OFFSET(tbBets[#Headers],0,1),tbResults[#Headers],0)),0)</f>
        <v>#N/A</v>
      </c>
      <c r="H137" s="11" t="e">
        <f ca="1">VLOOKUP(tbBets[[#This Row],[Game title]],tbResults[],(MATCH(OFFSET(tbBets[#Headers],0,1),tbResults[#Headers],0)),0)</f>
        <v>#N/A</v>
      </c>
      <c r="I137" s="5"/>
      <c r="J137" s="13">
        <f>tbBets[[#This Row],[Opening Balance]]*(1/25)</f>
        <v>0</v>
      </c>
      <c r="K137" s="13">
        <f>tbBets[[#This Row],[Opening Balance]]*(1/15)</f>
        <v>0</v>
      </c>
      <c r="L137" s="7"/>
      <c r="M137" s="8"/>
      <c r="N137" s="9"/>
      <c r="O137" s="9"/>
      <c r="P137" s="12" t="e">
        <f ca="1">IF(tbBets[[#This Row],[Winner]]=tbBets[[#This Row],[My pick]],"Yes","No")</f>
        <v>#N/A</v>
      </c>
      <c r="Q137" s="5"/>
      <c r="R137" s="13">
        <f ca="1">SUMIF(tbBets[Week Title],tbBets[[#This Row],[Week Title]],tbBets[Payout])-SUMIF(tbBets[Week Title],tbBets[[#This Row],[Week Title]],tbBets[My bet])</f>
        <v>0</v>
      </c>
      <c r="S137" s="11" t="e">
        <f ca="1">VLOOKUP(tbBets[[#This Row],[Game title]],tbResults[],(MATCH(OFFSET(tbBets[#Headers],0,1),tbResults[#Headers],0)),0)</f>
        <v>#N/A</v>
      </c>
      <c r="T137" s="11" t="e">
        <f ca="1">VLOOKUP(tbBets[[#This Row],[Game title]],tbResults[],(MATCH(OFFSET(tbBets[#Headers],0,1),tbResults[#Headers],0)),0)</f>
        <v>#N/A</v>
      </c>
    </row>
    <row r="138" spans="2:20" ht="30" customHeight="1" x14ac:dyDescent="0.3">
      <c r="B138" s="14"/>
      <c r="C138" s="20" t="e">
        <f ca="1">VLOOKUP(tbBets[[#This Row],[Game title]],tbResults[],(MATCH(OFFSET(tbBets[#Headers],0,1),tbResults[#Headers],0)),0)</f>
        <v>#N/A</v>
      </c>
      <c r="D138" s="11" t="e">
        <f ca="1">VLOOKUP(tbBets[[#This Row],[Game title]],tbResults[],(MATCH(OFFSET(tbBets[#Headers],0,1),tbResults[#Headers],0)),0)</f>
        <v>#N/A</v>
      </c>
      <c r="E138" s="11" t="e">
        <f ca="1">VLOOKUP(tbBets[[#This Row],[Game title]],tbResults[],(MATCH(OFFSET(tbBets[#Headers],0,1),tbResults[#Headers],0)),0)</f>
        <v>#N/A</v>
      </c>
      <c r="F138" s="11" t="e">
        <f ca="1">VLOOKUP(tbBets[[#This Row],[Game title]],tbResults[],(MATCH(OFFSET(tbBets[#Headers],0,1),tbResults[#Headers],0)),0)</f>
        <v>#N/A</v>
      </c>
      <c r="G138" s="11" t="e">
        <f ca="1">VLOOKUP(tbBets[[#This Row],[Game title]],tbResults[],(MATCH(OFFSET(tbBets[#Headers],0,1),tbResults[#Headers],0)),0)</f>
        <v>#N/A</v>
      </c>
      <c r="H138" s="11" t="e">
        <f ca="1">VLOOKUP(tbBets[[#This Row],[Game title]],tbResults[],(MATCH(OFFSET(tbBets[#Headers],0,1),tbResults[#Headers],0)),0)</f>
        <v>#N/A</v>
      </c>
      <c r="I138" s="5"/>
      <c r="J138" s="13">
        <f>tbBets[[#This Row],[Opening Balance]]*(1/25)</f>
        <v>0</v>
      </c>
      <c r="K138" s="13">
        <f>tbBets[[#This Row],[Opening Balance]]*(1/15)</f>
        <v>0</v>
      </c>
      <c r="L138" s="7"/>
      <c r="M138" s="8"/>
      <c r="N138" s="9"/>
      <c r="O138" s="9"/>
      <c r="P138" s="12" t="e">
        <f ca="1">IF(tbBets[[#This Row],[Winner]]=tbBets[[#This Row],[My pick]],"Yes","No")</f>
        <v>#N/A</v>
      </c>
      <c r="Q138" s="5"/>
      <c r="R138" s="13">
        <f ca="1">SUMIF(tbBets[Week Title],tbBets[[#This Row],[Week Title]],tbBets[Payout])-SUMIF(tbBets[Week Title],tbBets[[#This Row],[Week Title]],tbBets[My bet])</f>
        <v>0</v>
      </c>
      <c r="S138" s="11" t="e">
        <f ca="1">VLOOKUP(tbBets[[#This Row],[Game title]],tbResults[],(MATCH(OFFSET(tbBets[#Headers],0,1),tbResults[#Headers],0)),0)</f>
        <v>#N/A</v>
      </c>
      <c r="T138" s="11" t="e">
        <f ca="1">VLOOKUP(tbBets[[#This Row],[Game title]],tbResults[],(MATCH(OFFSET(tbBets[#Headers],0,1),tbResults[#Headers],0)),0)</f>
        <v>#N/A</v>
      </c>
    </row>
    <row r="139" spans="2:20" ht="30" customHeight="1" x14ac:dyDescent="0.3">
      <c r="B139" s="98"/>
      <c r="C139" s="98"/>
      <c r="D139" s="98"/>
      <c r="E139" s="98"/>
      <c r="F139" s="98"/>
      <c r="G139" s="98"/>
      <c r="H139" s="98"/>
      <c r="I139" s="103"/>
      <c r="J139" s="103"/>
      <c r="K139" s="103"/>
      <c r="L139" s="98"/>
      <c r="M139" s="103"/>
      <c r="N139" s="103"/>
      <c r="O139" s="103"/>
      <c r="P139" s="103"/>
      <c r="Q139" s="105">
        <f>SUBTOTAL(101,tbBets[Payout])</f>
        <v>27418.49090909091</v>
      </c>
      <c r="R139" s="105"/>
      <c r="S139" s="103"/>
      <c r="T139" s="10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FA72-A165-4371-A8A8-EAC5EC8680CF}">
  <dimension ref="B1:R38"/>
  <sheetViews>
    <sheetView showGridLines="0" workbookViewId="0">
      <selection activeCell="B2" sqref="B2"/>
    </sheetView>
  </sheetViews>
  <sheetFormatPr defaultColWidth="12.6640625" defaultRowHeight="30" customHeight="1" x14ac:dyDescent="0.3"/>
  <cols>
    <col min="1" max="1" width="1.44140625" style="6" customWidth="1"/>
    <col min="2" max="2" width="26" style="6" customWidth="1"/>
    <col min="3" max="3" width="12.6640625" style="6"/>
    <col min="4" max="4" width="12.6640625" style="10"/>
    <col min="5" max="5" width="13.6640625" style="6" customWidth="1"/>
    <col min="6" max="6" width="12.6640625" style="10"/>
    <col min="7" max="7" width="13.44140625" style="6" customWidth="1"/>
    <col min="8" max="16384" width="12.6640625" style="6"/>
  </cols>
  <sheetData>
    <row r="1" spans="2:18" ht="7.5" customHeight="1" x14ac:dyDescent="0.3"/>
    <row r="2" spans="2:18" s="24" customFormat="1" ht="57.6" customHeight="1" x14ac:dyDescent="0.3">
      <c r="B2" s="108" t="s">
        <v>386</v>
      </c>
      <c r="C2" s="133" t="str">
        <f>_xlfn.CONCAT(sMA_Player1, " (", sMA_Player1Pick, ")")</f>
        <v>DaHanG (BJ Blazkowicz)</v>
      </c>
      <c r="D2" s="107" t="s">
        <v>373</v>
      </c>
      <c r="E2" s="133" t="str">
        <f>_xlfn.CONCAT(sMA_Player2, " (", sMA_Player2Pick, ")")</f>
        <v>Psygib (Sorlag)</v>
      </c>
      <c r="F2" s="107" t="s">
        <v>374</v>
      </c>
      <c r="G2" s="24" t="str">
        <f>sMA_Map</f>
        <v>Corrupted Keep</v>
      </c>
    </row>
    <row r="4" spans="2:18" ht="30" customHeight="1" x14ac:dyDescent="0.3">
      <c r="C4" s="113" t="str">
        <f>sMA_Player1</f>
        <v>DaHanG</v>
      </c>
      <c r="D4" s="113" t="str">
        <f>sMA_Player2</f>
        <v>Psygib</v>
      </c>
      <c r="E4" s="114" t="str">
        <f>_xlfn.CONCAT(sMA_Player1, " +/-")</f>
        <v>DaHanG +/-</v>
      </c>
      <c r="F4" s="114" t="str">
        <f>_xlfn.CONCAT(sMA_Player2, " +/-")</f>
        <v>Psygib +/-</v>
      </c>
      <c r="G4" s="114" t="s">
        <v>377</v>
      </c>
      <c r="H4" s="21"/>
    </row>
    <row r="5" spans="2:18" ht="30" customHeight="1" x14ac:dyDescent="0.3">
      <c r="B5" s="97" t="s">
        <v>370</v>
      </c>
      <c r="C5" s="31">
        <f>C18/(C18+C19)</f>
        <v>0.72093023255813948</v>
      </c>
      <c r="D5" s="31">
        <f>C20/(C20+C21)</f>
        <v>0.35714285714285715</v>
      </c>
      <c r="E5" s="31">
        <f>C5-D5</f>
        <v>0.36378737541528233</v>
      </c>
      <c r="F5" s="31">
        <f>D5-C5</f>
        <v>-0.36378737541528233</v>
      </c>
      <c r="G5" s="6" t="str">
        <f>IF(E5&gt;F5,sMA_Player1,sMA_Player2)</f>
        <v>DaHanG</v>
      </c>
    </row>
    <row r="6" spans="2:18" ht="30" customHeight="1" x14ac:dyDescent="0.3">
      <c r="B6" s="97" t="s">
        <v>369</v>
      </c>
      <c r="C6" s="31">
        <f>C22/(C22+C23)</f>
        <v>0.66666666666666663</v>
      </c>
      <c r="D6" s="31">
        <f>C23/(C23+C22)</f>
        <v>0.33333333333333331</v>
      </c>
      <c r="E6" s="31">
        <f>C6-D6</f>
        <v>0.33333333333333331</v>
      </c>
      <c r="F6" s="31">
        <f>D6-C6</f>
        <v>-0.33333333333333331</v>
      </c>
      <c r="G6" s="6" t="str">
        <f>IF(E6&gt;F6,sMA_Player1,sMA_Player2)</f>
        <v>DaHanG</v>
      </c>
    </row>
    <row r="7" spans="2:18" ht="30" customHeight="1" x14ac:dyDescent="0.3">
      <c r="B7" s="97" t="s">
        <v>378</v>
      </c>
      <c r="C7" s="31">
        <f>C32/(C32+C33)</f>
        <v>0.61538461538461542</v>
      </c>
      <c r="D7" s="31">
        <f>C34/(C34+C35)</f>
        <v>0.375</v>
      </c>
      <c r="E7" s="31">
        <f>C7-D7</f>
        <v>0.24038461538461542</v>
      </c>
      <c r="F7" s="31">
        <f>D7-C7</f>
        <v>-0.24038461538461542</v>
      </c>
      <c r="G7" s="6" t="str">
        <f>IF(E7&gt;F7,sMA_Player1,sMA_Player2)</f>
        <v>DaHanG</v>
      </c>
    </row>
    <row r="8" spans="2:18" ht="30" customHeight="1" x14ac:dyDescent="0.3">
      <c r="B8" s="98" t="s">
        <v>371</v>
      </c>
      <c r="C8" s="31">
        <f>C24/(C24+C25)</f>
        <v>0.6</v>
      </c>
      <c r="D8" s="31">
        <f>C26/(C26+C27)</f>
        <v>0.14285714285714285</v>
      </c>
      <c r="E8" s="31">
        <f>C8-D8</f>
        <v>0.45714285714285713</v>
      </c>
      <c r="F8" s="31">
        <f>D8-C8</f>
        <v>-0.45714285714285713</v>
      </c>
      <c r="G8" s="6" t="str">
        <f>IF(E8&gt;F8,sMA_Player1,sMA_Player2)</f>
        <v>DaHanG</v>
      </c>
    </row>
    <row r="9" spans="2:18" ht="30" customHeight="1" x14ac:dyDescent="0.3">
      <c r="B9" s="98" t="s">
        <v>372</v>
      </c>
      <c r="C9" s="31">
        <f>C28/(C28+C29)</f>
        <v>0.5</v>
      </c>
      <c r="D9" s="31">
        <f>C30/(C30+C31)</f>
        <v>0.66666666666666663</v>
      </c>
      <c r="E9" s="31">
        <f>C9-D9</f>
        <v>-0.16666666666666663</v>
      </c>
      <c r="F9" s="31">
        <f>D9-C9</f>
        <v>0.16666666666666663</v>
      </c>
      <c r="G9" s="6" t="str">
        <f>IF(E9&gt;F9,sMA_Player1,sMA_Player2)</f>
        <v>Psygib</v>
      </c>
    </row>
    <row r="10" spans="2:18" ht="30" customHeight="1" x14ac:dyDescent="0.3">
      <c r="B10" s="109" t="s">
        <v>375</v>
      </c>
      <c r="C10" s="115"/>
      <c r="D10" s="116"/>
      <c r="E10" s="115"/>
      <c r="F10" s="117"/>
      <c r="G10" s="115" t="str">
        <f>IF(SUM(E5:E9)&gt;SUM(F5:F9),sMA_Player1,sMA_Player2)</f>
        <v>DaHanG</v>
      </c>
    </row>
    <row r="11" spans="2:18" ht="30" customHeight="1" x14ac:dyDescent="0.3">
      <c r="B11" s="109" t="s">
        <v>376</v>
      </c>
      <c r="C11" s="109"/>
      <c r="D11" s="110"/>
      <c r="E11" s="111"/>
      <c r="G11" s="112">
        <f>IF(G10=sMA_Player1,SUM(E5:E9),SUM(F5:F9))</f>
        <v>1.2279815146094215</v>
      </c>
    </row>
    <row r="13" spans="2:18" ht="30" customHeight="1" x14ac:dyDescent="0.3">
      <c r="B13" s="98" t="s">
        <v>1</v>
      </c>
      <c r="C13" s="6" t="str">
        <f>VLOOKUP(sMA_Match,tbResults[],MATCH("Player1",tbResults[#Headers],0),0)</f>
        <v>DaHanG</v>
      </c>
    </row>
    <row r="14" spans="2:18" ht="30" customHeight="1" x14ac:dyDescent="0.3">
      <c r="B14" s="98" t="s">
        <v>2</v>
      </c>
      <c r="C14" s="6" t="str">
        <f>VLOOKUP(sMA_Match,tbResults[],MATCH("Player2",tbResults[#Headers],0),0)</f>
        <v>Psygib</v>
      </c>
    </row>
    <row r="15" spans="2:18" s="98" customFormat="1" ht="30" customHeight="1" x14ac:dyDescent="0.3">
      <c r="B15" s="97" t="s">
        <v>8</v>
      </c>
      <c r="C15" s="6" t="str">
        <f>VLOOKUP(sMA_Match,tbResults[],MATCH("Map",tbResults[#Headers],0),0)</f>
        <v>Corrupted Keep</v>
      </c>
      <c r="D15" s="103"/>
      <c r="F15" s="103"/>
    </row>
    <row r="16" spans="2:18" s="98" customFormat="1" ht="30" customHeight="1" x14ac:dyDescent="0.3">
      <c r="B16" s="98" t="str">
        <f>_xlfn.CONCAT(C13," pick")</f>
        <v>DaHanG pick</v>
      </c>
      <c r="C16" s="6" t="str">
        <f>VLOOKUP(sMA_Match,tbResults[],MATCH("Player1 Pick",tbResults[#Headers],0),0)</f>
        <v>BJ Blazkowicz</v>
      </c>
      <c r="D16" s="103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</row>
    <row r="17" spans="2:18" s="98" customFormat="1" ht="30" customHeight="1" x14ac:dyDescent="0.3">
      <c r="B17" s="98" t="str">
        <f>_xlfn.CONCAT(C14," pick")</f>
        <v>Psygib pick</v>
      </c>
      <c r="C17" s="6" t="str">
        <f>VLOOKUP(sMA_Match,tbResults[],MATCH("Player2 Pick",tbResults[#Headers],0),0)</f>
        <v>Sorlag</v>
      </c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</row>
    <row r="18" spans="2:18" s="98" customFormat="1" ht="30" customHeight="1" x14ac:dyDescent="0.3">
      <c r="B18" s="98" t="str">
        <f>_xlfn.CONCAT(sMA_Player1," total wins")</f>
        <v>DaHanG total wins</v>
      </c>
      <c r="C18" s="103">
        <f>COUNTIF( tbResults[Winner],sMA_Player1)</f>
        <v>31</v>
      </c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</row>
    <row r="19" spans="2:18" s="98" customFormat="1" ht="30" customHeight="1" x14ac:dyDescent="0.3">
      <c r="B19" s="98" t="str">
        <f>_xlfn.CONCAT(sMA_Player1," total losses")</f>
        <v>DaHanG total losses</v>
      </c>
      <c r="C19" s="103">
        <f>COUNTIF( tbResults[Loser],sMA_Player1)</f>
        <v>12</v>
      </c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</row>
    <row r="20" spans="2:18" s="98" customFormat="1" ht="30" customHeight="1" x14ac:dyDescent="0.3">
      <c r="B20" s="98" t="str">
        <f>_xlfn.CONCAT(sMA_Player2," total wins")</f>
        <v>Psygib total wins</v>
      </c>
      <c r="C20" s="103">
        <f>COUNTIF( tbResults[Winner],sMA_Player2)</f>
        <v>15</v>
      </c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</row>
    <row r="21" spans="2:18" s="98" customFormat="1" ht="30" customHeight="1" x14ac:dyDescent="0.3">
      <c r="B21" s="98" t="str">
        <f>_xlfn.CONCAT(sMA_Player2," total losses")</f>
        <v>Psygib total losses</v>
      </c>
      <c r="C21" s="103">
        <f>COUNTIF( tbResults[Loser],sMA_Player2)</f>
        <v>27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</row>
    <row r="22" spans="2:18" s="98" customFormat="1" ht="30" customHeight="1" x14ac:dyDescent="0.3">
      <c r="B22" s="98" t="str">
        <f>_xlfn.CONCAT(sMA_Player1," wins vs ", sMA_Player2)</f>
        <v>DaHanG wins vs Psygib</v>
      </c>
      <c r="C22" s="103">
        <f xml:space="preserve"> COUNTIFS(tbResults[Winner],sMA_Player1,tbResults[Loser],sMA_Player2)</f>
        <v>6</v>
      </c>
      <c r="D22" s="103"/>
      <c r="F22" s="103"/>
    </row>
    <row r="23" spans="2:18" s="98" customFormat="1" ht="30" customHeight="1" x14ac:dyDescent="0.3">
      <c r="B23" s="98" t="str">
        <f>_xlfn.CONCAT(sMA_Player2," wins vs ", sMA_Player1)</f>
        <v>Psygib wins vs DaHanG</v>
      </c>
      <c r="C23" s="103">
        <f xml:space="preserve"> COUNTIFS(tbResults[Winner],sMA_Player2,tbResults[Loser],sMA_Player1)</f>
        <v>3</v>
      </c>
      <c r="D23" s="103"/>
      <c r="F23" s="103"/>
    </row>
    <row r="24" spans="2:18" s="98" customFormat="1" ht="30" customHeight="1" x14ac:dyDescent="0.3">
      <c r="B24" s="98" t="str">
        <f>_xlfn.CONCAT(sMA_Player1," wins on ", sMA_Map)</f>
        <v>DaHanG wins on Corrupted Keep</v>
      </c>
      <c r="C24" s="103">
        <f>COUNTIFS(tbResults[Winner],sMA_Player1,tbResults[Map],sMA_Map)</f>
        <v>3</v>
      </c>
      <c r="D24" s="103"/>
      <c r="F24" s="103"/>
    </row>
    <row r="25" spans="2:18" s="98" customFormat="1" ht="30" customHeight="1" x14ac:dyDescent="0.3">
      <c r="B25" s="98" t="str">
        <f>_xlfn.CONCAT(sMA_Player1," losses on ", sMA_Map)</f>
        <v>DaHanG losses on Corrupted Keep</v>
      </c>
      <c r="C25" s="103">
        <f>COUNTIFS(tbResults[Loser],sMA_Player1,tbResults[Map],sMA_Map)</f>
        <v>2</v>
      </c>
      <c r="D25" s="103"/>
      <c r="F25" s="103"/>
    </row>
    <row r="26" spans="2:18" s="98" customFormat="1" ht="30" customHeight="1" x14ac:dyDescent="0.3">
      <c r="B26" s="98" t="str">
        <f>_xlfn.CONCAT(sMA_Player2," wins on ", sMA_Map)</f>
        <v>Psygib wins on Corrupted Keep</v>
      </c>
      <c r="C26" s="103">
        <f>COUNTIFS(tbResults[Winner],sMA_Player2,tbResults[Map],sMA_Map)</f>
        <v>1</v>
      </c>
      <c r="D26" s="103"/>
      <c r="F26" s="103"/>
    </row>
    <row r="27" spans="2:18" s="98" customFormat="1" ht="30" customHeight="1" x14ac:dyDescent="0.3">
      <c r="B27" s="98" t="str">
        <f>_xlfn.CONCAT(sMA_Player2," losses on ", sMA_Map)</f>
        <v>Psygib losses on Corrupted Keep</v>
      </c>
      <c r="C27" s="103">
        <f>COUNTIFS(tbResults[Loser],sMA_Player2,tbResults[Map],sMA_Map)</f>
        <v>6</v>
      </c>
      <c r="D27" s="103"/>
      <c r="F27" s="103"/>
    </row>
    <row r="28" spans="2:18" s="98" customFormat="1" ht="30" customHeight="1" x14ac:dyDescent="0.3">
      <c r="B28" s="98" t="str">
        <f>_xlfn.CONCAT(sMA_Player1," wins with ", sMA_Player1Pick)</f>
        <v>DaHanG wins with BJ Blazkowicz</v>
      </c>
      <c r="C28" s="103">
        <f>COUNTIFS(tbResults[Winner],sMA_Player1,tbResults[Winning Champ],sMA_Player1Pick)</f>
        <v>1</v>
      </c>
      <c r="D28" s="103"/>
      <c r="F28" s="103"/>
    </row>
    <row r="29" spans="2:18" s="98" customFormat="1" ht="30" customHeight="1" x14ac:dyDescent="0.3">
      <c r="B29" s="98" t="str">
        <f>_xlfn.CONCAT(sMA_Player1," losses with ", sMA_Player1Pick)</f>
        <v>DaHanG losses with BJ Blazkowicz</v>
      </c>
      <c r="C29" s="103">
        <f>COUNTIFS(tbResults[Loser],sMA_Player1,tbResults[Losing Champ],sMA_Player1Pick)</f>
        <v>1</v>
      </c>
      <c r="D29" s="103"/>
      <c r="F29" s="103"/>
    </row>
    <row r="30" spans="2:18" ht="30" customHeight="1" x14ac:dyDescent="0.3">
      <c r="B30" s="98" t="str">
        <f>_xlfn.CONCAT(sMA_Player2," wins with ", sMA_Player2Pick)</f>
        <v>Psygib wins with Sorlag</v>
      </c>
      <c r="C30" s="10">
        <f>COUNTIFS(tbResults[Winner],sMA_Player2,tbResults[Winning Champ],sMA_Player2Pick)</f>
        <v>2</v>
      </c>
    </row>
    <row r="31" spans="2:18" ht="30" customHeight="1" x14ac:dyDescent="0.3">
      <c r="B31" s="98" t="str">
        <f>_xlfn.CONCAT(sMA_Player2," losses with ", sMA_Player2Pick)</f>
        <v>Psygib losses with Sorlag</v>
      </c>
      <c r="C31" s="10">
        <f>COUNTIFS(tbResults[Loser],sMA_Player2,tbResults[Losing Champ],sMA_Player2Pick)</f>
        <v>1</v>
      </c>
    </row>
    <row r="32" spans="2:18" ht="30" customHeight="1" x14ac:dyDescent="0.3">
      <c r="B32" s="6" t="str">
        <f>_xlfn.CONCAT(sMA_Player1Pick, " wins on ",sMA_Map )</f>
        <v>BJ Blazkowicz wins on Corrupted Keep</v>
      </c>
      <c r="C32" s="10">
        <f>COUNTIFS(tbResults[Map],sMA_Map,tbResults[Winning Champ],sMA_Player1Pick)</f>
        <v>8</v>
      </c>
    </row>
    <row r="33" spans="2:3" ht="30" customHeight="1" x14ac:dyDescent="0.3">
      <c r="B33" s="6" t="str">
        <f>_xlfn.CONCAT(sMA_Player1Pick, " losses on ",sMA_Map )</f>
        <v>BJ Blazkowicz losses on Corrupted Keep</v>
      </c>
      <c r="C33" s="10">
        <f>COUNTIFS(tbResults[Map],sMA_Map,tbResults[Losing Champ],sMA_Player1Pick)</f>
        <v>5</v>
      </c>
    </row>
    <row r="34" spans="2:3" ht="30" customHeight="1" x14ac:dyDescent="0.3">
      <c r="B34" s="6" t="str">
        <f>_xlfn.CONCAT(sMA_Player2Pick, " wins on ",sMA_Map )</f>
        <v>Sorlag wins on Corrupted Keep</v>
      </c>
      <c r="C34" s="10">
        <f>COUNTIFS(tbResults[Map],sMA_Map,tbResults[Winning Champ],sMA_Player2Pick)</f>
        <v>3</v>
      </c>
    </row>
    <row r="35" spans="2:3" ht="30" customHeight="1" x14ac:dyDescent="0.3">
      <c r="B35" s="6" t="str">
        <f>_xlfn.CONCAT(sMA_Player2Pick, " losses on ",sMA_Map )</f>
        <v>Sorlag losses on Corrupted Keep</v>
      </c>
      <c r="C35" s="10">
        <f>COUNTIFS(tbResults[Map],sMA_Map,tbResults[Losing Champ],sMA_Player2Pick)</f>
        <v>5</v>
      </c>
    </row>
    <row r="36" spans="2:3" ht="30" customHeight="1" x14ac:dyDescent="0.3">
      <c r="C36" s="10"/>
    </row>
    <row r="37" spans="2:3" ht="30" customHeight="1" x14ac:dyDescent="0.3">
      <c r="C37" s="10"/>
    </row>
    <row r="38" spans="2:3" ht="30" customHeight="1" x14ac:dyDescent="0.3">
      <c r="C38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ACD1-2169-47E0-9AFA-6068F25D6ABD}">
  <dimension ref="B1:R78"/>
  <sheetViews>
    <sheetView showGridLines="0" topLeftCell="A46" zoomScaleNormal="100" workbookViewId="0">
      <selection activeCell="L65" sqref="L65"/>
    </sheetView>
  </sheetViews>
  <sheetFormatPr defaultColWidth="8.6640625" defaultRowHeight="30" customHeight="1" x14ac:dyDescent="0.3"/>
  <cols>
    <col min="1" max="1" width="0.88671875" style="6" customWidth="1"/>
    <col min="2" max="2" width="12.6640625" style="6" customWidth="1"/>
    <col min="3" max="4" width="12.6640625" style="10" customWidth="1"/>
    <col min="5" max="5" width="13.6640625" style="10" customWidth="1"/>
    <col min="6" max="6" width="12.6640625" style="10" customWidth="1"/>
    <col min="7" max="7" width="13.44140625" style="10" customWidth="1"/>
    <col min="8" max="13" width="12.6640625" style="10" customWidth="1"/>
    <col min="14" max="29" width="12.6640625" style="6" customWidth="1"/>
    <col min="30" max="16384" width="8.6640625" style="6"/>
  </cols>
  <sheetData>
    <row r="1" spans="2:13" ht="7.5" customHeight="1" x14ac:dyDescent="0.3">
      <c r="B1" s="22"/>
      <c r="C1" s="22"/>
    </row>
    <row r="2" spans="2:13" s="23" customFormat="1" ht="30" customHeight="1" x14ac:dyDescent="0.3">
      <c r="B2" s="29" t="s">
        <v>13</v>
      </c>
      <c r="C2" s="10" t="s">
        <v>126</v>
      </c>
      <c r="D2" s="28" t="s">
        <v>101</v>
      </c>
      <c r="E2" s="6"/>
      <c r="F2" s="6"/>
      <c r="G2" s="6"/>
      <c r="H2" s="6"/>
      <c r="I2" s="6"/>
      <c r="J2" s="6"/>
      <c r="K2" s="6"/>
      <c r="L2" s="6"/>
      <c r="M2" s="6"/>
    </row>
    <row r="3" spans="2:13" ht="30" customHeight="1" x14ac:dyDescent="0.3">
      <c r="B3" s="24"/>
      <c r="C3" s="22"/>
      <c r="D3" s="22"/>
      <c r="E3" s="6"/>
      <c r="F3" s="6"/>
      <c r="G3" s="6"/>
      <c r="H3" s="6"/>
      <c r="I3" s="6"/>
      <c r="J3" s="6"/>
      <c r="K3" s="6"/>
      <c r="L3" s="6"/>
      <c r="M3" s="6"/>
    </row>
    <row r="4" spans="2:13" ht="30" customHeight="1" x14ac:dyDescent="0.3">
      <c r="B4" s="24" t="s">
        <v>127</v>
      </c>
      <c r="C4" s="22"/>
      <c r="D4" s="22"/>
      <c r="E4" s="6"/>
      <c r="H4" s="24" t="s">
        <v>154</v>
      </c>
      <c r="I4" s="6"/>
      <c r="J4" s="6"/>
      <c r="K4" s="6"/>
      <c r="L4" s="6"/>
      <c r="M4" s="6"/>
    </row>
    <row r="5" spans="2:13" ht="30" customHeight="1" x14ac:dyDescent="0.3">
      <c r="B5" s="24"/>
      <c r="C5" s="22"/>
      <c r="D5" s="22"/>
      <c r="E5" s="6"/>
      <c r="F5" s="6"/>
      <c r="G5" s="6"/>
      <c r="H5" s="6"/>
      <c r="I5" s="6"/>
      <c r="J5" s="6"/>
      <c r="K5" s="6"/>
      <c r="L5" s="6"/>
      <c r="M5" s="6"/>
    </row>
    <row r="6" spans="2:13" ht="30" customHeight="1" x14ac:dyDescent="0.3">
      <c r="B6" s="24"/>
      <c r="C6" s="22"/>
      <c r="D6" s="22"/>
      <c r="E6" s="6"/>
      <c r="F6" s="6"/>
      <c r="G6" s="6"/>
      <c r="H6" s="6"/>
      <c r="I6" s="6"/>
      <c r="J6" s="6"/>
      <c r="K6" s="6"/>
      <c r="L6" s="6"/>
      <c r="M6" s="6"/>
    </row>
    <row r="7" spans="2:13" ht="30" customHeight="1" x14ac:dyDescent="0.3">
      <c r="B7" s="24"/>
      <c r="C7" s="22"/>
      <c r="D7" s="22"/>
      <c r="E7" s="6"/>
      <c r="F7" s="6"/>
      <c r="G7" s="6"/>
      <c r="H7" s="6"/>
      <c r="I7" s="6"/>
      <c r="J7" s="6"/>
      <c r="K7" s="6"/>
      <c r="L7" s="6"/>
      <c r="M7" s="6"/>
    </row>
    <row r="8" spans="2:13" ht="30" customHeight="1" x14ac:dyDescent="0.3">
      <c r="B8" s="24"/>
      <c r="C8" s="22"/>
      <c r="D8" s="22"/>
      <c r="E8" s="6"/>
      <c r="F8" s="6"/>
      <c r="G8" s="6"/>
      <c r="H8" s="6"/>
      <c r="I8" s="6"/>
      <c r="J8" s="6"/>
      <c r="K8" s="6"/>
      <c r="L8" s="6"/>
      <c r="M8" s="6"/>
    </row>
    <row r="9" spans="2:13" ht="30" customHeight="1" x14ac:dyDescent="0.3">
      <c r="B9" s="24"/>
      <c r="C9" s="22"/>
      <c r="D9" s="22"/>
      <c r="E9" s="6"/>
      <c r="F9" s="6"/>
      <c r="G9" s="6"/>
      <c r="H9" s="6"/>
      <c r="I9" s="6"/>
      <c r="J9" s="6"/>
      <c r="K9" s="6"/>
      <c r="L9" s="6"/>
      <c r="M9" s="6"/>
    </row>
    <row r="10" spans="2:13" ht="30" customHeight="1" x14ac:dyDescent="0.3">
      <c r="B10" s="24"/>
      <c r="C10" s="22"/>
      <c r="D10" s="22"/>
      <c r="E10" s="6"/>
      <c r="F10" s="6"/>
      <c r="G10" s="6"/>
      <c r="H10" s="6"/>
      <c r="I10" s="6"/>
      <c r="J10" s="6"/>
      <c r="K10" s="6"/>
      <c r="L10" s="6"/>
      <c r="M10" s="6"/>
    </row>
    <row r="11" spans="2:13" ht="30" customHeight="1" x14ac:dyDescent="0.3">
      <c r="B11" s="24"/>
      <c r="C11" s="22"/>
      <c r="D11" s="22"/>
      <c r="E11" s="6"/>
      <c r="F11" s="6"/>
      <c r="G11" s="6"/>
      <c r="H11" s="6"/>
      <c r="I11" s="6"/>
      <c r="J11" s="6"/>
      <c r="K11" s="6"/>
      <c r="L11" s="6"/>
      <c r="M11" s="6"/>
    </row>
    <row r="12" spans="2:13" ht="30" customHeight="1" x14ac:dyDescent="0.3">
      <c r="B12" s="24"/>
      <c r="C12" s="22"/>
      <c r="D12" s="22"/>
      <c r="E12" s="6"/>
      <c r="F12" s="6"/>
      <c r="G12" s="6"/>
      <c r="H12" s="6"/>
      <c r="I12" s="6"/>
      <c r="J12" s="6"/>
      <c r="K12" s="6"/>
      <c r="L12" s="6"/>
      <c r="M12" s="6"/>
    </row>
    <row r="13" spans="2:13" ht="7.5" customHeight="1" x14ac:dyDescent="0.3">
      <c r="B13" s="24"/>
      <c r="C13" s="22"/>
      <c r="D13" s="22"/>
      <c r="E13" s="6"/>
      <c r="F13" s="6"/>
      <c r="G13" s="6"/>
      <c r="H13" s="6"/>
      <c r="I13" s="6"/>
      <c r="J13" s="6"/>
      <c r="K13" s="6"/>
      <c r="L13" s="6"/>
      <c r="M13" s="6"/>
    </row>
    <row r="14" spans="2:13" ht="30" customHeight="1" x14ac:dyDescent="0.3">
      <c r="B14" s="24" t="s">
        <v>330</v>
      </c>
      <c r="C14" s="22"/>
      <c r="D14" s="22"/>
      <c r="H14" s="24"/>
      <c r="I14" s="6"/>
      <c r="J14" s="6"/>
      <c r="K14" s="6"/>
      <c r="L14" s="6"/>
      <c r="M14" s="6"/>
    </row>
    <row r="15" spans="2:13" ht="30" customHeight="1" x14ac:dyDescent="0.3">
      <c r="B15" s="24"/>
      <c r="C15" s="22"/>
      <c r="D15" s="22"/>
      <c r="E15" s="6"/>
      <c r="F15" s="6"/>
      <c r="G15" s="6"/>
      <c r="H15" s="6"/>
      <c r="I15" s="6"/>
      <c r="J15" s="6"/>
      <c r="K15" s="6"/>
      <c r="L15" s="6"/>
      <c r="M15" s="6"/>
    </row>
    <row r="16" spans="2:13" ht="30" customHeight="1" x14ac:dyDescent="0.3">
      <c r="B16" s="24"/>
      <c r="C16" s="22"/>
      <c r="D16" s="22"/>
      <c r="E16" s="6"/>
      <c r="F16" s="6"/>
      <c r="G16" s="6"/>
      <c r="H16" s="6"/>
      <c r="I16" s="6"/>
      <c r="J16" s="6"/>
      <c r="K16" s="6"/>
      <c r="L16" s="6"/>
      <c r="M16" s="6"/>
    </row>
    <row r="17" spans="2:13" ht="30" customHeight="1" x14ac:dyDescent="0.3">
      <c r="B17" s="24"/>
      <c r="C17" s="22"/>
      <c r="D17" s="22"/>
      <c r="E17" s="6"/>
      <c r="F17" s="6"/>
      <c r="G17" s="6"/>
      <c r="H17" s="6"/>
      <c r="I17" s="6"/>
      <c r="J17" s="6"/>
      <c r="K17" s="6"/>
      <c r="L17" s="6"/>
      <c r="M17" s="6"/>
    </row>
    <row r="18" spans="2:13" ht="30" customHeight="1" x14ac:dyDescent="0.3">
      <c r="B18" s="24"/>
      <c r="C18" s="22"/>
      <c r="D18" s="22"/>
      <c r="E18" s="6"/>
      <c r="F18" s="6"/>
      <c r="G18" s="6"/>
      <c r="H18" s="6"/>
      <c r="I18" s="6"/>
      <c r="J18" s="6"/>
      <c r="K18" s="6"/>
      <c r="L18" s="6"/>
      <c r="M18" s="6"/>
    </row>
    <row r="19" spans="2:13" ht="30" customHeight="1" x14ac:dyDescent="0.3">
      <c r="B19" s="24"/>
      <c r="C19" s="22"/>
      <c r="D19" s="22"/>
      <c r="E19" s="6"/>
      <c r="F19" s="6"/>
      <c r="G19" s="6"/>
      <c r="H19" s="6"/>
      <c r="I19" s="6"/>
      <c r="J19" s="6"/>
      <c r="K19" s="6"/>
      <c r="L19" s="6"/>
      <c r="M19" s="6"/>
    </row>
    <row r="20" spans="2:13" ht="30" customHeight="1" x14ac:dyDescent="0.3">
      <c r="B20" s="24"/>
      <c r="C20" s="22"/>
      <c r="D20" s="22"/>
      <c r="E20" s="6"/>
      <c r="F20" s="6"/>
      <c r="G20" s="6"/>
      <c r="H20" s="6"/>
      <c r="I20" s="6"/>
      <c r="J20" s="6"/>
      <c r="K20" s="6"/>
      <c r="L20" s="6"/>
      <c r="M20" s="6"/>
    </row>
    <row r="21" spans="2:13" ht="30" customHeight="1" x14ac:dyDescent="0.3">
      <c r="B21" s="24"/>
      <c r="C21" s="22"/>
      <c r="D21" s="22"/>
      <c r="E21" s="6"/>
      <c r="F21" s="6"/>
      <c r="G21" s="6"/>
      <c r="H21" s="6"/>
      <c r="I21" s="6"/>
      <c r="J21" s="6"/>
      <c r="K21" s="6"/>
      <c r="L21" s="6"/>
      <c r="M21" s="6"/>
    </row>
    <row r="22" spans="2:13" ht="7.5" customHeight="1" x14ac:dyDescent="0.3">
      <c r="B22" s="24"/>
      <c r="C22" s="22"/>
      <c r="D22" s="22"/>
      <c r="E22" s="6"/>
      <c r="F22" s="6"/>
      <c r="G22" s="6"/>
      <c r="H22" s="6"/>
      <c r="I22" s="6"/>
      <c r="J22" s="6"/>
      <c r="K22" s="6"/>
      <c r="L22" s="6"/>
      <c r="M22" s="6"/>
    </row>
    <row r="23" spans="2:13" ht="30" customHeight="1" x14ac:dyDescent="0.3">
      <c r="B23" s="24" t="s">
        <v>159</v>
      </c>
      <c r="C23" s="22"/>
      <c r="D23" s="22"/>
      <c r="H23" s="24" t="s">
        <v>160</v>
      </c>
      <c r="I23" s="6"/>
      <c r="J23" s="6"/>
      <c r="K23" s="6"/>
      <c r="L23" s="6"/>
      <c r="M23" s="6"/>
    </row>
    <row r="24" spans="2:13" ht="30" customHeight="1" x14ac:dyDescent="0.3">
      <c r="B24" s="24"/>
      <c r="C24" s="22"/>
      <c r="D24" s="22"/>
      <c r="E24" s="6"/>
      <c r="F24" s="6"/>
      <c r="G24" s="6"/>
      <c r="H24" s="6"/>
      <c r="I24" s="6"/>
      <c r="J24" s="6"/>
      <c r="K24" s="6"/>
      <c r="L24" s="6"/>
      <c r="M24" s="6"/>
    </row>
    <row r="25" spans="2:13" ht="30" customHeight="1" x14ac:dyDescent="0.3">
      <c r="B25" s="24"/>
      <c r="C25" s="22"/>
      <c r="D25" s="22"/>
      <c r="E25" s="6"/>
      <c r="F25" s="6"/>
      <c r="G25" s="6"/>
      <c r="H25" s="6"/>
      <c r="I25" s="6"/>
      <c r="J25" s="6"/>
      <c r="K25" s="6"/>
      <c r="L25" s="6"/>
      <c r="M25" s="6"/>
    </row>
    <row r="26" spans="2:13" ht="30" customHeight="1" x14ac:dyDescent="0.3">
      <c r="B26" s="24"/>
      <c r="C26" s="22"/>
      <c r="D26" s="22"/>
      <c r="E26" s="6"/>
      <c r="F26" s="6"/>
      <c r="G26" s="6"/>
      <c r="H26" s="6"/>
      <c r="I26" s="6"/>
      <c r="J26" s="6"/>
      <c r="K26" s="6"/>
      <c r="L26" s="6"/>
      <c r="M26" s="6"/>
    </row>
    <row r="27" spans="2:13" ht="30" customHeight="1" x14ac:dyDescent="0.3">
      <c r="B27" s="24"/>
      <c r="C27" s="22"/>
      <c r="D27" s="22"/>
      <c r="E27" s="6"/>
      <c r="F27" s="6"/>
      <c r="G27" s="6"/>
      <c r="H27" s="6"/>
      <c r="I27" s="6"/>
      <c r="J27" s="6"/>
      <c r="K27" s="6"/>
      <c r="L27" s="6"/>
      <c r="M27" s="6"/>
    </row>
    <row r="28" spans="2:13" ht="30" customHeight="1" x14ac:dyDescent="0.3">
      <c r="B28" s="24"/>
      <c r="C28" s="22"/>
      <c r="D28" s="22"/>
      <c r="E28" s="6"/>
      <c r="F28" s="6"/>
      <c r="G28" s="6"/>
      <c r="H28" s="6"/>
      <c r="I28" s="6"/>
      <c r="J28" s="6"/>
      <c r="K28" s="6"/>
      <c r="L28" s="6"/>
      <c r="M28" s="6"/>
    </row>
    <row r="29" spans="2:13" ht="30" customHeight="1" x14ac:dyDescent="0.3">
      <c r="B29" s="24"/>
      <c r="C29" s="22"/>
      <c r="D29" s="22"/>
      <c r="E29" s="6"/>
      <c r="F29" s="6"/>
      <c r="G29" s="6"/>
      <c r="H29" s="6"/>
      <c r="I29" s="6"/>
      <c r="J29" s="6"/>
      <c r="K29" s="6"/>
      <c r="L29" s="6"/>
      <c r="M29" s="6"/>
    </row>
    <row r="30" spans="2:13" ht="30" customHeight="1" x14ac:dyDescent="0.3">
      <c r="B30" s="24"/>
      <c r="C30" s="22"/>
      <c r="D30" s="22"/>
      <c r="E30" s="6"/>
      <c r="F30" s="6"/>
      <c r="G30" s="6"/>
      <c r="H30" s="6"/>
      <c r="I30" s="6"/>
      <c r="J30" s="6"/>
      <c r="K30" s="6"/>
      <c r="L30" s="6"/>
      <c r="M30" s="6"/>
    </row>
    <row r="31" spans="2:13" ht="30" customHeight="1" x14ac:dyDescent="0.3">
      <c r="B31" s="24"/>
      <c r="C31" s="22"/>
      <c r="D31" s="22"/>
      <c r="E31" s="6"/>
      <c r="F31" s="6"/>
      <c r="G31" s="6"/>
      <c r="H31" s="6"/>
      <c r="I31" s="6"/>
      <c r="J31" s="6"/>
      <c r="K31" s="6"/>
      <c r="L31" s="6"/>
      <c r="M31" s="6"/>
    </row>
    <row r="32" spans="2:13" ht="7.5" customHeight="1" x14ac:dyDescent="0.3">
      <c r="B32" s="24"/>
      <c r="C32" s="22"/>
      <c r="D32" s="22"/>
      <c r="E32" s="6"/>
      <c r="F32" s="6"/>
      <c r="G32" s="6"/>
      <c r="H32" s="6"/>
      <c r="I32" s="6"/>
      <c r="J32" s="6"/>
      <c r="K32" s="6"/>
      <c r="L32" s="6"/>
      <c r="M32" s="6"/>
    </row>
    <row r="33" spans="2:13" ht="30" customHeight="1" x14ac:dyDescent="0.3">
      <c r="B33" s="24" t="s">
        <v>161</v>
      </c>
      <c r="C33" s="22"/>
      <c r="D33" s="22"/>
      <c r="E33" s="6"/>
      <c r="F33" s="6"/>
      <c r="G33" s="6"/>
      <c r="H33" s="6"/>
      <c r="I33" s="6"/>
      <c r="J33" s="6"/>
      <c r="K33" s="6"/>
      <c r="L33" s="6"/>
      <c r="M33" s="6"/>
    </row>
    <row r="34" spans="2:13" ht="30" customHeight="1" x14ac:dyDescent="0.3">
      <c r="B34" s="24"/>
      <c r="C34" s="22"/>
      <c r="D34" s="22"/>
      <c r="E34" s="6"/>
      <c r="F34" s="6"/>
      <c r="G34" s="6"/>
      <c r="H34" s="6"/>
      <c r="I34" s="6"/>
      <c r="J34" s="6"/>
      <c r="K34" s="6"/>
      <c r="L34" s="6"/>
      <c r="M34" s="6"/>
    </row>
    <row r="35" spans="2:13" ht="30" customHeight="1" x14ac:dyDescent="0.3">
      <c r="B35" s="24"/>
      <c r="C35" s="22"/>
      <c r="D35" s="22"/>
      <c r="E35" s="6"/>
      <c r="F35" s="6"/>
      <c r="G35" s="6"/>
      <c r="H35" s="6"/>
      <c r="I35" s="6"/>
      <c r="J35" s="6"/>
      <c r="K35" s="6"/>
      <c r="L35" s="6"/>
      <c r="M35" s="6"/>
    </row>
    <row r="36" spans="2:13" ht="30" customHeight="1" x14ac:dyDescent="0.3">
      <c r="B36" s="24"/>
      <c r="C36" s="22"/>
      <c r="D36" s="22"/>
      <c r="E36" s="6"/>
      <c r="F36" s="6"/>
      <c r="G36" s="6"/>
      <c r="H36" s="6"/>
      <c r="I36" s="6"/>
      <c r="J36" s="6"/>
      <c r="K36" s="6"/>
      <c r="L36" s="6"/>
      <c r="M36" s="6"/>
    </row>
    <row r="37" spans="2:13" ht="30" customHeight="1" x14ac:dyDescent="0.3">
      <c r="B37" s="24"/>
      <c r="C37" s="22"/>
      <c r="D37" s="22"/>
      <c r="E37" s="6"/>
      <c r="F37" s="6"/>
      <c r="G37" s="6"/>
      <c r="H37" s="6"/>
      <c r="I37" s="6"/>
      <c r="J37" s="6"/>
      <c r="K37" s="6"/>
      <c r="L37" s="6"/>
      <c r="M37" s="6"/>
    </row>
    <row r="38" spans="2:13" ht="30" customHeight="1" x14ac:dyDescent="0.3">
      <c r="B38" s="24"/>
      <c r="C38" s="22"/>
      <c r="D38" s="22"/>
      <c r="E38" s="6"/>
      <c r="F38" s="6"/>
      <c r="G38" s="6"/>
      <c r="H38" s="6"/>
      <c r="I38" s="6"/>
      <c r="J38" s="6"/>
      <c r="K38" s="6"/>
      <c r="L38" s="6"/>
      <c r="M38" s="6"/>
    </row>
    <row r="39" spans="2:13" ht="30" customHeight="1" x14ac:dyDescent="0.3">
      <c r="B39" s="24"/>
      <c r="C39" s="22"/>
      <c r="D39" s="22"/>
      <c r="E39" s="6"/>
      <c r="F39" s="6"/>
      <c r="G39" s="6"/>
      <c r="H39" s="6"/>
      <c r="I39" s="6"/>
      <c r="J39" s="6"/>
      <c r="K39" s="6"/>
      <c r="L39" s="6"/>
      <c r="M39" s="6"/>
    </row>
    <row r="40" spans="2:13" ht="30" customHeight="1" x14ac:dyDescent="0.3">
      <c r="B40" s="24"/>
      <c r="C40" s="22"/>
      <c r="D40" s="22"/>
      <c r="E40" s="6"/>
      <c r="F40" s="6"/>
      <c r="G40" s="6"/>
      <c r="H40" s="6"/>
      <c r="I40" s="6"/>
      <c r="J40" s="6"/>
      <c r="K40" s="6"/>
      <c r="L40" s="6"/>
      <c r="M40" s="6"/>
    </row>
    <row r="41" spans="2:13" ht="7.5" customHeight="1" x14ac:dyDescent="0.3">
      <c r="B41" s="24"/>
      <c r="C41" s="22"/>
      <c r="D41" s="22"/>
      <c r="E41" s="6"/>
      <c r="F41" s="6"/>
      <c r="G41" s="6"/>
      <c r="H41" s="6"/>
      <c r="I41" s="6"/>
      <c r="J41" s="6"/>
      <c r="K41" s="6"/>
      <c r="L41" s="6"/>
      <c r="M41" s="6"/>
    </row>
    <row r="42" spans="2:13" ht="30" customHeight="1" x14ac:dyDescent="0.3">
      <c r="B42" s="24" t="str">
        <f>B4</f>
        <v>Player vs. Player</v>
      </c>
      <c r="C42" s="22"/>
      <c r="D42" s="22"/>
      <c r="E42" s="6"/>
      <c r="F42" s="6"/>
      <c r="G42" s="6"/>
      <c r="H42" s="6"/>
      <c r="I42" s="6"/>
      <c r="J42" s="6"/>
      <c r="K42" s="6"/>
      <c r="L42" s="6"/>
      <c r="M42" s="6"/>
    </row>
    <row r="43" spans="2:13" ht="30" customHeight="1" x14ac:dyDescent="0.3">
      <c r="B43" s="6" t="s">
        <v>125</v>
      </c>
      <c r="C43" s="10" t="s">
        <v>123</v>
      </c>
      <c r="D43" s="10" t="s">
        <v>124</v>
      </c>
      <c r="H43" s="6"/>
      <c r="I43" s="6"/>
      <c r="J43" s="6"/>
      <c r="K43" s="6"/>
      <c r="L43" s="6"/>
      <c r="M43" s="6"/>
    </row>
    <row r="44" spans="2:13" ht="30" customHeight="1" x14ac:dyDescent="0.3">
      <c r="B44" s="6" t="str">
        <f>sPlayer1</f>
        <v>Vengeurr</v>
      </c>
      <c r="C44" s="10">
        <f xml:space="preserve">
COUNTIFS(tbResults[Player1],sPlayer1,tbResults[Player2],sPlayer2,tbResults[Winner],sPlayer1) +
COUNTIFS(tbResults[Player1],sPlayer2,tbResults[Player2],sPlayer1,tbResults[Winner],sPlayer1)</f>
        <v>6</v>
      </c>
      <c r="D44" s="10">
        <f xml:space="preserve">
COUNTIFS(tbResults[Player1],sPlayer1,tbResults[Player2],sPlayer2,tbResults[Loser],sPlayer1) +
COUNTIFS(tbResults[Player1],sPlayer2,tbResults[Player2],sPlayer1,tbResults[Loser],sPlayer1)</f>
        <v>0</v>
      </c>
      <c r="H44" s="6"/>
      <c r="I44" s="6"/>
      <c r="J44" s="6"/>
      <c r="K44" s="6"/>
      <c r="L44" s="6"/>
      <c r="M44" s="6"/>
    </row>
    <row r="45" spans="2:13" ht="30" customHeight="1" x14ac:dyDescent="0.3">
      <c r="B45" s="6" t="str">
        <f>sPlayer2</f>
        <v>Garpy</v>
      </c>
      <c r="C45" s="10">
        <f xml:space="preserve">
COUNTIFS(tbResults[Player1],sPlayer1,tbResults[Player2],sPlayer2,tbResults[Winner],sPlayer2) +
COUNTIFS(tbResults[Player1],sPlayer2,tbResults[Player2],sPlayer1,tbResults[Winner],sPlayer2)</f>
        <v>0</v>
      </c>
      <c r="D45" s="10">
        <f xml:space="preserve">
COUNTIFS(tbResults[Player1],AT1_Player1,tbResults[Player2],sPlayer2,tbResults[Loser],sPlayer2) +
COUNTIFS(tbResults[Player1],sPlayer2,tbResults[Player2],AT1_Player1,tbResults[Loser],sPlayer2)</f>
        <v>0</v>
      </c>
      <c r="H45" s="6"/>
      <c r="I45" s="6"/>
      <c r="J45" s="6"/>
      <c r="K45" s="6"/>
      <c r="L45" s="6"/>
      <c r="M45" s="6"/>
    </row>
    <row r="46" spans="2:13" ht="30" customHeight="1" x14ac:dyDescent="0.3">
      <c r="B46" s="22"/>
      <c r="C46" s="22"/>
      <c r="D46" s="22"/>
      <c r="E46" s="6"/>
      <c r="F46" s="6"/>
      <c r="G46" s="6"/>
      <c r="H46" s="6"/>
      <c r="I46" s="6"/>
      <c r="J46" s="6"/>
      <c r="K46" s="6"/>
      <c r="L46" s="6"/>
      <c r="M46" s="6"/>
    </row>
    <row r="47" spans="2:13" ht="30" customHeight="1" x14ac:dyDescent="0.3">
      <c r="B47" s="24" t="str">
        <f>H4</f>
        <v>Overall Win %</v>
      </c>
      <c r="C47" s="22"/>
      <c r="D47" s="22"/>
      <c r="E47" s="6"/>
      <c r="F47" s="6"/>
      <c r="G47" s="6"/>
      <c r="H47" s="6"/>
      <c r="I47" s="6"/>
      <c r="J47" s="6"/>
      <c r="K47" s="6"/>
      <c r="L47" s="6"/>
      <c r="M47" s="6"/>
    </row>
    <row r="48" spans="2:13" ht="30" customHeight="1" x14ac:dyDescent="0.3">
      <c r="B48" s="10" t="s">
        <v>125</v>
      </c>
      <c r="C48" s="10" t="s">
        <v>153</v>
      </c>
      <c r="D48" s="10" t="s">
        <v>123</v>
      </c>
      <c r="E48" s="10" t="s">
        <v>124</v>
      </c>
      <c r="F48" s="6"/>
      <c r="G48" s="6"/>
      <c r="H48" s="6"/>
      <c r="I48" s="6"/>
      <c r="J48" s="6"/>
      <c r="K48" s="6"/>
      <c r="L48" s="6"/>
      <c r="M48" s="6"/>
    </row>
    <row r="49" spans="2:18" ht="30" customHeight="1" x14ac:dyDescent="0.3">
      <c r="B49" s="10" t="str">
        <f>sPlayer1</f>
        <v>Vengeurr</v>
      </c>
      <c r="C49" s="31">
        <f>tbWinPct[[#This Row],[Wins]]/(tbWinPct[[#This Row],[Wins]]+tbWinPct[[#This Row],[Losses]])</f>
        <v>0.68888888888888888</v>
      </c>
      <c r="D49" s="10">
        <f>COUNTIF(tbResults[Winner],tbWinPct[[#This Row],[Player]])</f>
        <v>31</v>
      </c>
      <c r="E49" s="10">
        <f>COUNTIF(tbResults[Loser],tbWinPct[[#This Row],[Player]])</f>
        <v>14</v>
      </c>
      <c r="F49" s="6"/>
      <c r="G49" s="6"/>
      <c r="H49" s="6"/>
      <c r="I49" s="6"/>
      <c r="J49" s="6"/>
      <c r="K49" s="6"/>
      <c r="L49" s="6"/>
      <c r="M49" s="6"/>
    </row>
    <row r="50" spans="2:18" ht="30" customHeight="1" x14ac:dyDescent="0.3">
      <c r="B50" s="10" t="str">
        <f>sPlayer2</f>
        <v>Garpy</v>
      </c>
      <c r="C50" s="31">
        <f>tbWinPct[[#This Row],[Wins]]/(tbWinPct[[#This Row],[Wins]]+tbWinPct[[#This Row],[Losses]])</f>
        <v>0.18518518518518517</v>
      </c>
      <c r="D50" s="10">
        <f>COUNTIF(tbResults[Winner],tbWinPct[[#This Row],[Player]])</f>
        <v>5</v>
      </c>
      <c r="E50" s="10">
        <f>COUNTIF(tbResults[Loser],tbWinPct[[#This Row],[Player]])</f>
        <v>22</v>
      </c>
      <c r="F50" s="6"/>
      <c r="G50" s="6"/>
      <c r="H50" s="6"/>
      <c r="I50" s="6"/>
      <c r="J50" s="6"/>
      <c r="K50" s="6"/>
      <c r="L50" s="6"/>
      <c r="M50" s="6"/>
    </row>
    <row r="51" spans="2:18" ht="30" customHeight="1" x14ac:dyDescent="0.3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2:18" ht="30" customHeight="1" x14ac:dyDescent="0.3">
      <c r="B52" s="24" t="str">
        <f>B14</f>
        <v>Win Rate by Map</v>
      </c>
      <c r="C52" s="22"/>
      <c r="D52" s="22"/>
      <c r="E52" s="6"/>
      <c r="F52" s="6"/>
      <c r="G52" s="6"/>
      <c r="H52" s="6"/>
      <c r="I52" s="6"/>
      <c r="J52" s="6"/>
      <c r="K52" s="6"/>
      <c r="L52" s="6"/>
      <c r="M52" s="6"/>
    </row>
    <row r="53" spans="2:18" s="3" customFormat="1" ht="30" customHeight="1" x14ac:dyDescent="0.3">
      <c r="B53" s="25" t="s">
        <v>125</v>
      </c>
      <c r="C53" s="26" t="s">
        <v>19</v>
      </c>
      <c r="D53" s="26" t="s">
        <v>32</v>
      </c>
      <c r="E53" s="26" t="s">
        <v>40</v>
      </c>
      <c r="F53" s="26" t="s">
        <v>33</v>
      </c>
      <c r="G53" s="26" t="s">
        <v>23</v>
      </c>
      <c r="H53" s="26" t="s">
        <v>26</v>
      </c>
      <c r="I53" s="26" t="s">
        <v>43</v>
      </c>
    </row>
    <row r="54" spans="2:18" ht="30" customHeight="1" x14ac:dyDescent="0.3">
      <c r="B54" s="77" t="str">
        <f>_xlfn.CONCAT(sPlayer1," Wins")</f>
        <v>Vengeurr Wins</v>
      </c>
      <c r="C54" s="27">
        <f ca="1">COUNTIFS(tbResults[Winner],sPlayer1,tbResults[Map],OFFSET(tbMostWinningMap[#Headers],0,1))</f>
        <v>5</v>
      </c>
      <c r="D54" s="27">
        <f ca="1">COUNTIFS(tbResults[Winner],sPlayer1,tbResults[Map],OFFSET(tbMostWinningMap[#Headers],0,1))</f>
        <v>6</v>
      </c>
      <c r="E54" s="27">
        <f ca="1">COUNTIFS(tbResults[Winner],sPlayer1,tbResults[Map],OFFSET(tbMostWinningMap[#Headers],0,1))</f>
        <v>3</v>
      </c>
      <c r="F54" s="27">
        <f ca="1">COUNTIFS(tbResults[Winner],sPlayer1,tbResults[Map],OFFSET(tbMostWinningMap[#Headers],0,1))</f>
        <v>1</v>
      </c>
      <c r="G54" s="27">
        <f ca="1">COUNTIFS(tbResults[Winner],sPlayer1,tbResults[Map],OFFSET(tbMostWinningMap[#Headers],0,1))</f>
        <v>3</v>
      </c>
      <c r="H54" s="27">
        <f ca="1">COUNTIFS(tbResults[Winner],sPlayer1,tbResults[Map],OFFSET(tbMostWinningMap[#Headers],0,1))</f>
        <v>9</v>
      </c>
      <c r="I54" s="27">
        <f ca="1">COUNTIFS(tbResults[Winner],sPlayer1,tbResults[Map],OFFSET(tbMostWinningMap[#Headers],0,1))</f>
        <v>1</v>
      </c>
      <c r="M54" s="6"/>
    </row>
    <row r="55" spans="2:18" ht="30" customHeight="1" x14ac:dyDescent="0.3">
      <c r="B55" s="77" t="str">
        <f>_xlfn.CONCAT(sPlayer2," Wins")</f>
        <v>Garpy Wins</v>
      </c>
      <c r="C55" s="27">
        <f ca="1">COUNTIFS(tbResults[Winner],sPlayer2,tbResults[Map],OFFSET(tbMostWinningMap[#Headers],0,1))</f>
        <v>0</v>
      </c>
      <c r="D55" s="27">
        <f ca="1">COUNTIFS(tbResults[Winner],sPlayer2,tbResults[Map],OFFSET(tbMostWinningMap[#Headers],0,1))</f>
        <v>2</v>
      </c>
      <c r="E55" s="27">
        <f ca="1">COUNTIFS(tbResults[Winner],sPlayer2,tbResults[Map],OFFSET(tbMostWinningMap[#Headers],0,1))</f>
        <v>2</v>
      </c>
      <c r="F55" s="27">
        <f ca="1">COUNTIFS(tbResults[Winner],sPlayer2,tbResults[Map],OFFSET(tbMostWinningMap[#Headers],0,1))</f>
        <v>0</v>
      </c>
      <c r="G55" s="27">
        <f ca="1">COUNTIFS(tbResults[Winner],sPlayer2,tbResults[Map],OFFSET(tbMostWinningMap[#Headers],0,1))</f>
        <v>0</v>
      </c>
      <c r="H55" s="27">
        <f ca="1">COUNTIFS(tbResults[Winner],sPlayer2,tbResults[Map],OFFSET(tbMostWinningMap[#Headers],0,1))</f>
        <v>1</v>
      </c>
      <c r="I55" s="27">
        <f ca="1">COUNTIFS(tbResults[Winner],sPlayer2,tbResults[Map],OFFSET(tbMostWinningMap[#Headers],0,1))</f>
        <v>0</v>
      </c>
      <c r="M55" s="6"/>
    </row>
    <row r="56" spans="2:18" ht="30" customHeight="1" x14ac:dyDescent="0.3">
      <c r="B56" s="77" t="str">
        <f>_xlfn.CONCAT(sPlayer1," Losses")</f>
        <v>Vengeurr Losses</v>
      </c>
      <c r="C56" s="78">
        <f ca="1">COUNTIFS(tbResults[Loser],sPlayer1,tbResults[Map],OFFSET(tbMostWinningMap[#Headers],0,1))</f>
        <v>4</v>
      </c>
      <c r="D56" s="78">
        <f ca="1">COUNTIFS(tbResults[Loser],sPlayer1,tbResults[Map],OFFSET(tbMostWinningMap[#Headers],0,1))</f>
        <v>2</v>
      </c>
      <c r="E56" s="78">
        <f ca="1">COUNTIFS(tbResults[Loser],sPlayer1,tbResults[Map],OFFSET(tbMostWinningMap[#Headers],0,1))</f>
        <v>2</v>
      </c>
      <c r="F56" s="78">
        <f ca="1">COUNTIFS(tbResults[Loser],sPlayer1,tbResults[Map],OFFSET(tbMostWinningMap[#Headers],0,1))</f>
        <v>2</v>
      </c>
      <c r="G56" s="78">
        <f ca="1">COUNTIFS(tbResults[Loser],sPlayer1,tbResults[Map],OFFSET(tbMostWinningMap[#Headers],0,1))</f>
        <v>3</v>
      </c>
      <c r="H56" s="78">
        <f ca="1">COUNTIFS(tbResults[Loser],sPlayer1,tbResults[Map],OFFSET(tbMostWinningMap[#Headers],0,1))</f>
        <v>1</v>
      </c>
      <c r="I56" s="78">
        <f ca="1">COUNTIFS(tbResults[Loser],sPlayer1,tbResults[Map],OFFSET(tbMostWinningMap[#Headers],0,1))</f>
        <v>0</v>
      </c>
      <c r="M56" s="6"/>
    </row>
    <row r="57" spans="2:18" ht="30" customHeight="1" x14ac:dyDescent="0.3">
      <c r="B57" s="77" t="str">
        <f>_xlfn.CONCAT(sPlayer2," Losses")</f>
        <v>Garpy Losses</v>
      </c>
      <c r="C57" s="78">
        <f ca="1">COUNTIFS(tbResults[Loser],sPlayer2,tbResults[Map],OFFSET(tbMostWinningMap[#Headers],0,1))</f>
        <v>1</v>
      </c>
      <c r="D57" s="78">
        <f ca="1">COUNTIFS(tbResults[Loser],sPlayer2,tbResults[Map],OFFSET(tbMostWinningMap[#Headers],0,1))</f>
        <v>5</v>
      </c>
      <c r="E57" s="78">
        <f ca="1">COUNTIFS(tbResults[Loser],sPlayer2,tbResults[Map],OFFSET(tbMostWinningMap[#Headers],0,1))</f>
        <v>3</v>
      </c>
      <c r="F57" s="78">
        <f ca="1">COUNTIFS(tbResults[Loser],sPlayer2,tbResults[Map],OFFSET(tbMostWinningMap[#Headers],0,1))</f>
        <v>2</v>
      </c>
      <c r="G57" s="78">
        <f ca="1">COUNTIFS(tbResults[Loser],sPlayer2,tbResults[Map],OFFSET(tbMostWinningMap[#Headers],0,1))</f>
        <v>1</v>
      </c>
      <c r="H57" s="78">
        <f ca="1">COUNTIFS(tbResults[Loser],sPlayer2,tbResults[Map],OFFSET(tbMostWinningMap[#Headers],0,1))</f>
        <v>7</v>
      </c>
      <c r="I57" s="78">
        <f ca="1">COUNTIFS(tbResults[Loser],sPlayer2,tbResults[Map],OFFSET(tbMostWinningMap[#Headers],0,1))</f>
        <v>3</v>
      </c>
      <c r="M57" s="6"/>
    </row>
    <row r="58" spans="2:18" ht="30" customHeight="1" x14ac:dyDescent="0.3">
      <c r="B58" s="77" t="str">
        <f>_xlfn.CONCAT(sPlayer1," Total Games")</f>
        <v>Vengeurr Total Games</v>
      </c>
      <c r="C58" s="78">
        <f t="shared" ref="C58:I59" ca="1" si="0">C54+C56</f>
        <v>9</v>
      </c>
      <c r="D58" s="78">
        <f t="shared" ca="1" si="0"/>
        <v>8</v>
      </c>
      <c r="E58" s="78">
        <f t="shared" ca="1" si="0"/>
        <v>5</v>
      </c>
      <c r="F58" s="78">
        <f t="shared" ca="1" si="0"/>
        <v>3</v>
      </c>
      <c r="G58" s="78">
        <f t="shared" ca="1" si="0"/>
        <v>6</v>
      </c>
      <c r="H58" s="78">
        <f t="shared" ca="1" si="0"/>
        <v>10</v>
      </c>
      <c r="I58" s="78">
        <f t="shared" ca="1" si="0"/>
        <v>1</v>
      </c>
      <c r="M58" s="6"/>
    </row>
    <row r="59" spans="2:18" ht="30" customHeight="1" x14ac:dyDescent="0.3">
      <c r="B59" s="77" t="str">
        <f>_xlfn.CONCAT(sPlayer2," Total Games")</f>
        <v>Garpy Total Games</v>
      </c>
      <c r="C59" s="78">
        <f t="shared" ca="1" si="0"/>
        <v>1</v>
      </c>
      <c r="D59" s="78">
        <f t="shared" ca="1" si="0"/>
        <v>7</v>
      </c>
      <c r="E59" s="78">
        <f t="shared" ca="1" si="0"/>
        <v>5</v>
      </c>
      <c r="F59" s="78">
        <f t="shared" ca="1" si="0"/>
        <v>2</v>
      </c>
      <c r="G59" s="78">
        <f t="shared" ca="1" si="0"/>
        <v>1</v>
      </c>
      <c r="H59" s="78">
        <f t="shared" ca="1" si="0"/>
        <v>8</v>
      </c>
      <c r="I59" s="78">
        <f t="shared" ca="1" si="0"/>
        <v>3</v>
      </c>
      <c r="M59" s="6"/>
    </row>
    <row r="60" spans="2:18" ht="30" customHeight="1" x14ac:dyDescent="0.3">
      <c r="B60" s="77" t="str">
        <f>sPlayer1</f>
        <v>Vengeurr</v>
      </c>
      <c r="C60" s="79">
        <f t="shared" ref="C60:I61" ca="1" si="1">IF(C58&gt;0,C54/C58,0)</f>
        <v>0.55555555555555558</v>
      </c>
      <c r="D60" s="79">
        <f t="shared" ca="1" si="1"/>
        <v>0.75</v>
      </c>
      <c r="E60" s="79">
        <f t="shared" ca="1" si="1"/>
        <v>0.6</v>
      </c>
      <c r="F60" s="79">
        <f t="shared" ca="1" si="1"/>
        <v>0.33333333333333331</v>
      </c>
      <c r="G60" s="79">
        <f t="shared" ca="1" si="1"/>
        <v>0.5</v>
      </c>
      <c r="H60" s="79">
        <f t="shared" ca="1" si="1"/>
        <v>0.9</v>
      </c>
      <c r="I60" s="79">
        <f t="shared" ca="1" si="1"/>
        <v>1</v>
      </c>
      <c r="M60" s="6"/>
    </row>
    <row r="61" spans="2:18" ht="30" customHeight="1" x14ac:dyDescent="0.3">
      <c r="B61" s="77" t="str">
        <f>sPlayer2</f>
        <v>Garpy</v>
      </c>
      <c r="C61" s="79">
        <f t="shared" ca="1" si="1"/>
        <v>0</v>
      </c>
      <c r="D61" s="79">
        <f t="shared" ca="1" si="1"/>
        <v>0.2857142857142857</v>
      </c>
      <c r="E61" s="79">
        <f t="shared" ca="1" si="1"/>
        <v>0.4</v>
      </c>
      <c r="F61" s="79">
        <f t="shared" ca="1" si="1"/>
        <v>0</v>
      </c>
      <c r="G61" s="79">
        <f t="shared" ca="1" si="1"/>
        <v>0</v>
      </c>
      <c r="H61" s="79">
        <f t="shared" ca="1" si="1"/>
        <v>0.125</v>
      </c>
      <c r="I61" s="79">
        <f t="shared" ca="1" si="1"/>
        <v>0</v>
      </c>
      <c r="M61" s="6"/>
    </row>
    <row r="62" spans="2:18" ht="30" customHeight="1" x14ac:dyDescent="0.3">
      <c r="B62" s="22"/>
      <c r="C62" s="22"/>
      <c r="D62" s="22"/>
    </row>
    <row r="63" spans="2:18" ht="30" customHeight="1" x14ac:dyDescent="0.3">
      <c r="B63" s="24" t="str">
        <f>B23</f>
        <v>Player Wins by Champ</v>
      </c>
      <c r="C63" s="22"/>
      <c r="D63" s="22"/>
      <c r="E63" s="6"/>
      <c r="F63" s="6"/>
      <c r="G63" s="6"/>
      <c r="H63" s="6"/>
      <c r="I63" s="6"/>
      <c r="J63" s="6"/>
      <c r="K63" s="6"/>
      <c r="L63" s="6"/>
      <c r="M63" s="6"/>
    </row>
    <row r="64" spans="2:18" ht="30" customHeight="1" x14ac:dyDescent="0.3">
      <c r="B64" s="10" t="s">
        <v>125</v>
      </c>
      <c r="C64" s="27" t="s">
        <v>39</v>
      </c>
      <c r="D64" s="27" t="s">
        <v>55</v>
      </c>
      <c r="E64" s="27" t="s">
        <v>28</v>
      </c>
      <c r="F64" s="27" t="s">
        <v>92</v>
      </c>
      <c r="G64" s="27" t="s">
        <v>152</v>
      </c>
      <c r="H64" s="27" t="s">
        <v>35</v>
      </c>
      <c r="I64" s="27" t="s">
        <v>37</v>
      </c>
      <c r="J64" s="27" t="s">
        <v>34</v>
      </c>
      <c r="K64" s="27" t="s">
        <v>27</v>
      </c>
      <c r="L64" s="27" t="s">
        <v>38</v>
      </c>
      <c r="M64" s="27" t="s">
        <v>21</v>
      </c>
      <c r="N64" s="27" t="s">
        <v>44</v>
      </c>
      <c r="O64" s="27" t="s">
        <v>24</v>
      </c>
      <c r="P64" s="27" t="s">
        <v>25</v>
      </c>
      <c r="Q64" s="27" t="s">
        <v>22</v>
      </c>
      <c r="R64" s="27" t="s">
        <v>36</v>
      </c>
    </row>
    <row r="65" spans="2:18" ht="30" customHeight="1" x14ac:dyDescent="0.3">
      <c r="B65" s="10" t="str">
        <f>sPlayer1</f>
        <v>Vengeurr</v>
      </c>
      <c r="C65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3</v>
      </c>
      <c r="D65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2</v>
      </c>
      <c r="E65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1</v>
      </c>
      <c r="F65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1</v>
      </c>
      <c r="G65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1</v>
      </c>
      <c r="H65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3</v>
      </c>
      <c r="I65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4</v>
      </c>
      <c r="J65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5</v>
      </c>
      <c r="K65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0</v>
      </c>
      <c r="L65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1</v>
      </c>
      <c r="M65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3</v>
      </c>
      <c r="N65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0</v>
      </c>
      <c r="O65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1</v>
      </c>
      <c r="P65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4</v>
      </c>
      <c r="Q65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2</v>
      </c>
      <c r="R65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0</v>
      </c>
    </row>
    <row r="66" spans="2:18" ht="30" customHeight="1" x14ac:dyDescent="0.3">
      <c r="B66" s="10" t="str">
        <f>sPlayer2</f>
        <v>Garpy</v>
      </c>
      <c r="C66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0</v>
      </c>
      <c r="D66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0</v>
      </c>
      <c r="E66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1</v>
      </c>
      <c r="F66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0</v>
      </c>
      <c r="G66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0</v>
      </c>
      <c r="H66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0</v>
      </c>
      <c r="I66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1</v>
      </c>
      <c r="J66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0</v>
      </c>
      <c r="K66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1</v>
      </c>
      <c r="L66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0</v>
      </c>
      <c r="M66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1</v>
      </c>
      <c r="N66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0</v>
      </c>
      <c r="O66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0</v>
      </c>
      <c r="P66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0</v>
      </c>
      <c r="Q66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1</v>
      </c>
      <c r="R66" s="10">
        <f ca="1" xml:space="preserve">
COUNTIFS(tbResults[Winner],tbBestChamp[[#This Row],[Player]],tbResults[Player1],tbBestChamp[[#This Row],[Player]],tbResults[Player1 Pick],OFFSET(tbBestChamp[#Headers],0,1)) +
COUNTIFS(tbResults[Winner],tbBestChamp[[#This Row],[Player]],tbResults[Player2],tbBestChamp[[#This Row],[Player]],tbResults[Player2 Pick],OFFSET(tbBestChamp[#Headers],0,1))</f>
        <v>0</v>
      </c>
    </row>
    <row r="68" spans="2:18" ht="30" customHeight="1" x14ac:dyDescent="0.3">
      <c r="B68" s="24" t="str">
        <f>H23</f>
        <v>Player Losses by Champ</v>
      </c>
      <c r="C68" s="22"/>
      <c r="D68" s="22"/>
      <c r="E68" s="6"/>
      <c r="F68" s="6"/>
      <c r="G68" s="6"/>
      <c r="H68" s="6"/>
      <c r="I68" s="6"/>
      <c r="J68" s="6"/>
      <c r="K68" s="6"/>
      <c r="L68" s="6"/>
      <c r="M68" s="6"/>
    </row>
    <row r="69" spans="2:18" ht="30" customHeight="1" x14ac:dyDescent="0.3">
      <c r="B69" s="10" t="s">
        <v>125</v>
      </c>
      <c r="C69" s="27" t="s">
        <v>39</v>
      </c>
      <c r="D69" s="27" t="s">
        <v>55</v>
      </c>
      <c r="E69" s="27" t="s">
        <v>28</v>
      </c>
      <c r="F69" s="27" t="s">
        <v>92</v>
      </c>
      <c r="G69" s="27" t="s">
        <v>152</v>
      </c>
      <c r="H69" s="27" t="s">
        <v>35</v>
      </c>
      <c r="I69" s="27" t="s">
        <v>37</v>
      </c>
      <c r="J69" s="27" t="s">
        <v>34</v>
      </c>
      <c r="K69" s="27" t="s">
        <v>27</v>
      </c>
      <c r="L69" s="27" t="s">
        <v>38</v>
      </c>
      <c r="M69" s="27" t="s">
        <v>21</v>
      </c>
      <c r="N69" s="27" t="s">
        <v>44</v>
      </c>
      <c r="O69" s="27" t="s">
        <v>24</v>
      </c>
      <c r="P69" s="27" t="s">
        <v>25</v>
      </c>
      <c r="Q69" s="27" t="s">
        <v>22</v>
      </c>
      <c r="R69" s="27" t="s">
        <v>36</v>
      </c>
    </row>
    <row r="70" spans="2:18" ht="30" customHeight="1" x14ac:dyDescent="0.3">
      <c r="B70" s="10" t="str">
        <f>sPlayer1</f>
        <v>Vengeurr</v>
      </c>
      <c r="C70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2</v>
      </c>
      <c r="D70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0</v>
      </c>
      <c r="E70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0</v>
      </c>
      <c r="F70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0</v>
      </c>
      <c r="G70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0</v>
      </c>
      <c r="H70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1</v>
      </c>
      <c r="I70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0</v>
      </c>
      <c r="J70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1</v>
      </c>
      <c r="K70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0</v>
      </c>
      <c r="L70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0</v>
      </c>
      <c r="M70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4</v>
      </c>
      <c r="N70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0</v>
      </c>
      <c r="O70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0</v>
      </c>
      <c r="P70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1</v>
      </c>
      <c r="Q70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3</v>
      </c>
      <c r="R70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1</v>
      </c>
    </row>
    <row r="71" spans="2:18" ht="30" customHeight="1" x14ac:dyDescent="0.3">
      <c r="B71" s="10" t="str">
        <f>sPlayer2</f>
        <v>Garpy</v>
      </c>
      <c r="C71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1</v>
      </c>
      <c r="D71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0</v>
      </c>
      <c r="E71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0</v>
      </c>
      <c r="F71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0</v>
      </c>
      <c r="G71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0</v>
      </c>
      <c r="H71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1</v>
      </c>
      <c r="I71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0</v>
      </c>
      <c r="J71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5</v>
      </c>
      <c r="K71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2</v>
      </c>
      <c r="L71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0</v>
      </c>
      <c r="M71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5</v>
      </c>
      <c r="N71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4</v>
      </c>
      <c r="O71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0</v>
      </c>
      <c r="P71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2</v>
      </c>
      <c r="Q71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2</v>
      </c>
      <c r="R71" s="10">
        <f ca="1" xml:space="preserve">
COUNTIFS(tbResults[Loser],tbWorstChamp[[#This Row],[Player]],tbResults[Player1],tbWorstChamp[[#This Row],[Player]],tbResults[Player1 Pick],OFFSET(tbWorstChamp[#Headers],0,1)) +
COUNTIFS(tbResults[Loser],tbWorstChamp[[#This Row],[Player]],tbResults[Player2],tbWorstChamp[[#This Row],[Player]],tbResults[Player2 Pick],OFFSET(tbWorstChamp[#Headers],0,1))</f>
        <v>0</v>
      </c>
    </row>
    <row r="73" spans="2:18" ht="30" customHeight="1" x14ac:dyDescent="0.3">
      <c r="B73" s="24" t="str">
        <f>B33</f>
        <v>Player Most Picked Champs</v>
      </c>
      <c r="C73" s="22"/>
      <c r="D73" s="22"/>
      <c r="E73" s="6"/>
      <c r="F73" s="6"/>
      <c r="G73" s="6"/>
      <c r="H73" s="6"/>
      <c r="I73" s="6"/>
      <c r="J73" s="6"/>
      <c r="K73" s="6"/>
      <c r="L73" s="6"/>
      <c r="M73" s="6"/>
    </row>
    <row r="74" spans="2:18" ht="30" customHeight="1" x14ac:dyDescent="0.3">
      <c r="B74" s="10" t="s">
        <v>125</v>
      </c>
      <c r="C74" s="10" t="s">
        <v>39</v>
      </c>
      <c r="D74" s="10" t="s">
        <v>55</v>
      </c>
      <c r="E74" s="10" t="s">
        <v>28</v>
      </c>
      <c r="F74" s="10" t="s">
        <v>92</v>
      </c>
      <c r="G74" s="10" t="s">
        <v>152</v>
      </c>
      <c r="H74" s="10" t="s">
        <v>35</v>
      </c>
      <c r="I74" s="10" t="s">
        <v>37</v>
      </c>
      <c r="J74" s="10" t="s">
        <v>34</v>
      </c>
      <c r="K74" s="10" t="s">
        <v>27</v>
      </c>
      <c r="L74" s="10" t="s">
        <v>38</v>
      </c>
      <c r="M74" s="10" t="s">
        <v>21</v>
      </c>
      <c r="N74" s="10" t="s">
        <v>44</v>
      </c>
      <c r="O74" s="10" t="s">
        <v>24</v>
      </c>
      <c r="P74" s="10" t="s">
        <v>25</v>
      </c>
      <c r="Q74" s="10" t="s">
        <v>22</v>
      </c>
      <c r="R74" s="10" t="s">
        <v>36</v>
      </c>
    </row>
    <row r="75" spans="2:18" ht="30" customHeight="1" x14ac:dyDescent="0.3">
      <c r="B75" s="10" t="str">
        <f>sPlayer1</f>
        <v>Vengeurr</v>
      </c>
      <c r="C75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5</v>
      </c>
      <c r="D75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2</v>
      </c>
      <c r="E75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1</v>
      </c>
      <c r="F75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1</v>
      </c>
      <c r="G75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1</v>
      </c>
      <c r="H75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4</v>
      </c>
      <c r="I75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4</v>
      </c>
      <c r="J75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6</v>
      </c>
      <c r="K75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0</v>
      </c>
      <c r="L75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1</v>
      </c>
      <c r="M75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7</v>
      </c>
      <c r="N75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0</v>
      </c>
      <c r="O75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1</v>
      </c>
      <c r="P75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5</v>
      </c>
      <c r="Q75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5</v>
      </c>
      <c r="R75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1</v>
      </c>
    </row>
    <row r="76" spans="2:18" ht="30" customHeight="1" x14ac:dyDescent="0.3">
      <c r="B76" s="10" t="str">
        <f>sPlayer2</f>
        <v>Garpy</v>
      </c>
      <c r="C76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1</v>
      </c>
      <c r="D76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0</v>
      </c>
      <c r="E76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1</v>
      </c>
      <c r="F76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0</v>
      </c>
      <c r="G76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0</v>
      </c>
      <c r="H76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1</v>
      </c>
      <c r="I76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1</v>
      </c>
      <c r="J76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5</v>
      </c>
      <c r="K76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3</v>
      </c>
      <c r="L76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0</v>
      </c>
      <c r="M76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6</v>
      </c>
      <c r="N76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4</v>
      </c>
      <c r="O76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0</v>
      </c>
      <c r="P76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2</v>
      </c>
      <c r="Q76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3</v>
      </c>
      <c r="R76" s="10">
        <f ca="1" xml:space="preserve">
COUNTIFS(tbResults[Player1],tbMostPicked[[#This Row],[Player]],tbResults[Player1 Pick],OFFSET(tbMostPicked[#Headers],0,1)) +
COUNTIFS(tbResults[Player2],tbMostPicked[[#This Row],[Player]],tbResults[Player2 Pick],OFFSET(tbMostPicked[#Headers],0,1))</f>
        <v>0</v>
      </c>
    </row>
    <row r="78" spans="2:18" ht="30" customHeight="1" x14ac:dyDescent="0.3">
      <c r="B78" s="24"/>
    </row>
  </sheetData>
  <dataValidations count="1">
    <dataValidation type="list" allowBlank="1" showInputMessage="1" showErrorMessage="1" sqref="B2 D2" xr:uid="{14778D43-190A-48E6-9BCB-CD57CF0F772A}">
      <formula1>INDIRECT("tbPlayers[Name]")</formula1>
    </dataValidation>
  </dataValidations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F6981-FBC6-4AE7-860D-9ACC391EC32B}">
  <dimension ref="B1:R19"/>
  <sheetViews>
    <sheetView showGridLines="0" workbookViewId="0">
      <selection activeCell="B2" sqref="B2:C2"/>
    </sheetView>
  </sheetViews>
  <sheetFormatPr defaultColWidth="12.6640625" defaultRowHeight="30" customHeight="1" x14ac:dyDescent="0.3"/>
  <cols>
    <col min="1" max="1" width="1.44140625" style="6" customWidth="1"/>
    <col min="2" max="4" width="12.6640625" style="6"/>
    <col min="5" max="5" width="13.6640625" style="6" customWidth="1"/>
    <col min="6" max="6" width="12.6640625" style="6"/>
    <col min="7" max="7" width="13.44140625" style="6" customWidth="1"/>
    <col min="8" max="16384" width="12.6640625" style="6"/>
  </cols>
  <sheetData>
    <row r="1" spans="2:18" ht="7.5" customHeight="1" x14ac:dyDescent="0.3"/>
    <row r="2" spans="2:18" ht="30" customHeight="1" x14ac:dyDescent="0.3">
      <c r="B2" s="123" t="s">
        <v>26</v>
      </c>
      <c r="C2" s="123"/>
    </row>
    <row r="4" spans="2:18" ht="30" customHeight="1" x14ac:dyDescent="0.3">
      <c r="B4" s="21" t="s">
        <v>321</v>
      </c>
      <c r="H4" s="21"/>
    </row>
    <row r="13" spans="2:18" ht="30" customHeight="1" x14ac:dyDescent="0.3">
      <c r="B13" s="21" t="str">
        <f>B4</f>
        <v>Win Rate by Champ</v>
      </c>
    </row>
    <row r="14" spans="2:18" ht="30" customHeight="1" x14ac:dyDescent="0.3">
      <c r="B14" s="6" t="s">
        <v>8</v>
      </c>
      <c r="C14" s="27" t="s">
        <v>39</v>
      </c>
      <c r="D14" s="27" t="s">
        <v>55</v>
      </c>
      <c r="E14" s="27" t="s">
        <v>28</v>
      </c>
      <c r="F14" s="27" t="s">
        <v>92</v>
      </c>
      <c r="G14" s="27" t="s">
        <v>152</v>
      </c>
      <c r="H14" s="27" t="s">
        <v>35</v>
      </c>
      <c r="I14" s="27" t="s">
        <v>37</v>
      </c>
      <c r="J14" s="27" t="s">
        <v>34</v>
      </c>
      <c r="K14" s="27" t="s">
        <v>27</v>
      </c>
      <c r="L14" s="27" t="s">
        <v>38</v>
      </c>
      <c r="M14" s="27" t="s">
        <v>21</v>
      </c>
      <c r="N14" s="27" t="s">
        <v>44</v>
      </c>
      <c r="O14" s="27" t="s">
        <v>24</v>
      </c>
      <c r="P14" s="27" t="s">
        <v>25</v>
      </c>
      <c r="Q14" s="27" t="s">
        <v>22</v>
      </c>
      <c r="R14" s="27" t="s">
        <v>36</v>
      </c>
    </row>
    <row r="15" spans="2:18" ht="30" customHeight="1" x14ac:dyDescent="0.3">
      <c r="B15" s="60" t="s">
        <v>123</v>
      </c>
      <c r="C15" s="10">
        <f ca="1">COUNTIFS(tbResults[Map],sMapName,tbResults[Winning Champ],OFFSET(tbMapWinsbyChamp[#Headers],0,1))</f>
        <v>9</v>
      </c>
      <c r="D15" s="10">
        <f ca="1">COUNTIFS(tbResults[Map],sMapName,tbResults[Winning Champ],OFFSET(tbMapWinsbyChamp[#Headers],0,1))</f>
        <v>0</v>
      </c>
      <c r="E15" s="10">
        <f ca="1">COUNTIFS(tbResults[Map],sMapName,tbResults[Winning Champ],OFFSET(tbMapWinsbyChamp[#Headers],0,1))</f>
        <v>4</v>
      </c>
      <c r="F15" s="10">
        <f ca="1">COUNTIFS(tbResults[Map],sMapName,tbResults[Winning Champ],OFFSET(tbMapWinsbyChamp[#Headers],0,1))</f>
        <v>1</v>
      </c>
      <c r="G15" s="10">
        <f ca="1">COUNTIFS(tbResults[Map],sMapName,tbResults[Winning Champ],OFFSET(tbMapWinsbyChamp[#Headers],0,1))</f>
        <v>0</v>
      </c>
      <c r="H15" s="10">
        <f ca="1">COUNTIFS(tbResults[Map],sMapName,tbResults[Winning Champ],OFFSET(tbMapWinsbyChamp[#Headers],0,1))</f>
        <v>1</v>
      </c>
      <c r="I15" s="10">
        <f ca="1">COUNTIFS(tbResults[Map],sMapName,tbResults[Winning Champ],OFFSET(tbMapWinsbyChamp[#Headers],0,1))</f>
        <v>8</v>
      </c>
      <c r="J15" s="10">
        <f ca="1">COUNTIFS(tbResults[Map],sMapName,tbResults[Winning Champ],OFFSET(tbMapWinsbyChamp[#Headers],0,1))</f>
        <v>4</v>
      </c>
      <c r="K15" s="10">
        <f ca="1">COUNTIFS(tbResults[Map],sMapName,tbResults[Winning Champ],OFFSET(tbMapWinsbyChamp[#Headers],0,1))</f>
        <v>7</v>
      </c>
      <c r="L15" s="10">
        <f ca="1">COUNTIFS(tbResults[Map],sMapName,tbResults[Winning Champ],OFFSET(tbMapWinsbyChamp[#Headers],0,1))</f>
        <v>3</v>
      </c>
      <c r="M15" s="10">
        <f ca="1">COUNTIFS(tbResults[Map],sMapName,tbResults[Winning Champ],OFFSET(tbMapWinsbyChamp[#Headers],0,1))</f>
        <v>6</v>
      </c>
      <c r="N15" s="10">
        <f ca="1">COUNTIFS(tbResults[Map],sMapName,tbResults[Winning Champ],OFFSET(tbMapWinsbyChamp[#Headers],0,1))</f>
        <v>8</v>
      </c>
      <c r="O15" s="10">
        <f ca="1">COUNTIFS(tbResults[Map],sMapName,tbResults[Winning Champ],OFFSET(tbMapWinsbyChamp[#Headers],0,1))</f>
        <v>2</v>
      </c>
      <c r="P15" s="10">
        <f ca="1">COUNTIFS(tbResults[Map],sMapName,tbResults[Winning Champ],OFFSET(tbMapWinsbyChamp[#Headers],0,1))</f>
        <v>10</v>
      </c>
      <c r="Q15" s="10">
        <f ca="1">COUNTIFS(tbResults[Map],sMapName,tbResults[Winning Champ],OFFSET(tbMapWinsbyChamp[#Headers],0,1))</f>
        <v>9</v>
      </c>
      <c r="R15" s="10">
        <f ca="1">COUNTIFS(tbResults[Map],sMapName,tbResults[Winning Champ],OFFSET(tbMapWinsbyChamp[#Headers],0,1))</f>
        <v>4</v>
      </c>
    </row>
    <row r="16" spans="2:18" ht="30" customHeight="1" x14ac:dyDescent="0.3">
      <c r="B16" s="60" t="s">
        <v>124</v>
      </c>
      <c r="C16" s="70">
        <f ca="1">COUNTIFS(tbResults[Map],sMapName,tbResults[Losing Champ],OFFSET(tbMapWinsbyChamp[#Headers],0,1))</f>
        <v>7</v>
      </c>
      <c r="D16" s="70">
        <f ca="1">COUNTIFS(tbResults[Map],sMapName,tbResults[Losing Champ],OFFSET(tbMapWinsbyChamp[#Headers],0,1))</f>
        <v>2</v>
      </c>
      <c r="E16" s="70">
        <f ca="1">COUNTIFS(tbResults[Map],sMapName,tbResults[Losing Champ],OFFSET(tbMapWinsbyChamp[#Headers],0,1))</f>
        <v>1</v>
      </c>
      <c r="F16" s="70">
        <f ca="1">COUNTIFS(tbResults[Map],sMapName,tbResults[Losing Champ],OFFSET(tbMapWinsbyChamp[#Headers],0,1))</f>
        <v>1</v>
      </c>
      <c r="G16" s="70">
        <f ca="1">COUNTIFS(tbResults[Map],sMapName,tbResults[Losing Champ],OFFSET(tbMapWinsbyChamp[#Headers],0,1))</f>
        <v>1</v>
      </c>
      <c r="H16" s="70">
        <f ca="1">COUNTIFS(tbResults[Map],sMapName,tbResults[Losing Champ],OFFSET(tbMapWinsbyChamp[#Headers],0,1))</f>
        <v>0</v>
      </c>
      <c r="I16" s="70">
        <f ca="1">COUNTIFS(tbResults[Map],sMapName,tbResults[Losing Champ],OFFSET(tbMapWinsbyChamp[#Headers],0,1))</f>
        <v>10</v>
      </c>
      <c r="J16" s="70">
        <f ca="1">COUNTIFS(tbResults[Map],sMapName,tbResults[Losing Champ],OFFSET(tbMapWinsbyChamp[#Headers],0,1))</f>
        <v>8</v>
      </c>
      <c r="K16" s="70">
        <f ca="1">COUNTIFS(tbResults[Map],sMapName,tbResults[Losing Champ],OFFSET(tbMapWinsbyChamp[#Headers],0,1))</f>
        <v>6</v>
      </c>
      <c r="L16" s="70">
        <f ca="1">COUNTIFS(tbResults[Map],sMapName,tbResults[Losing Champ],OFFSET(tbMapWinsbyChamp[#Headers],0,1))</f>
        <v>4</v>
      </c>
      <c r="M16" s="70">
        <f ca="1">COUNTIFS(tbResults[Map],sMapName,tbResults[Losing Champ],OFFSET(tbMapWinsbyChamp[#Headers],0,1))</f>
        <v>10</v>
      </c>
      <c r="N16" s="70">
        <f ca="1">COUNTIFS(tbResults[Map],sMapName,tbResults[Losing Champ],OFFSET(tbMapWinsbyChamp[#Headers],0,1))</f>
        <v>6</v>
      </c>
      <c r="O16" s="70">
        <f ca="1">COUNTIFS(tbResults[Map],sMapName,tbResults[Losing Champ],OFFSET(tbMapWinsbyChamp[#Headers],0,1))</f>
        <v>1</v>
      </c>
      <c r="P16" s="70">
        <f ca="1">COUNTIFS(tbResults[Map],sMapName,tbResults[Losing Champ],OFFSET(tbMapWinsbyChamp[#Headers],0,1))</f>
        <v>8</v>
      </c>
      <c r="Q16" s="70">
        <f ca="1">COUNTIFS(tbResults[Map],sMapName,tbResults[Losing Champ],OFFSET(tbMapWinsbyChamp[#Headers],0,1))</f>
        <v>5</v>
      </c>
      <c r="R16" s="70">
        <f ca="1">COUNTIFS(tbResults[Map],sMapName,tbResults[Losing Champ],OFFSET(tbMapWinsbyChamp[#Headers],0,1))</f>
        <v>6</v>
      </c>
    </row>
    <row r="17" spans="2:18" ht="30" customHeight="1" x14ac:dyDescent="0.3">
      <c r="B17" s="60" t="s">
        <v>322</v>
      </c>
      <c r="C17" s="70">
        <f t="shared" ref="C17:R17" ca="1" si="0">SUM(C15:C16)</f>
        <v>16</v>
      </c>
      <c r="D17" s="70">
        <f t="shared" ca="1" si="0"/>
        <v>2</v>
      </c>
      <c r="E17" s="70">
        <f t="shared" ca="1" si="0"/>
        <v>5</v>
      </c>
      <c r="F17" s="70">
        <f t="shared" ca="1" si="0"/>
        <v>2</v>
      </c>
      <c r="G17" s="70">
        <f t="shared" ca="1" si="0"/>
        <v>1</v>
      </c>
      <c r="H17" s="70">
        <f t="shared" ca="1" si="0"/>
        <v>1</v>
      </c>
      <c r="I17" s="70">
        <f t="shared" ca="1" si="0"/>
        <v>18</v>
      </c>
      <c r="J17" s="70">
        <f t="shared" ca="1" si="0"/>
        <v>12</v>
      </c>
      <c r="K17" s="70">
        <f t="shared" ca="1" si="0"/>
        <v>13</v>
      </c>
      <c r="L17" s="70">
        <f t="shared" ca="1" si="0"/>
        <v>7</v>
      </c>
      <c r="M17" s="70">
        <f t="shared" ca="1" si="0"/>
        <v>16</v>
      </c>
      <c r="N17" s="70">
        <f t="shared" ca="1" si="0"/>
        <v>14</v>
      </c>
      <c r="O17" s="70">
        <f t="shared" ca="1" si="0"/>
        <v>3</v>
      </c>
      <c r="P17" s="70">
        <f t="shared" ca="1" si="0"/>
        <v>18</v>
      </c>
      <c r="Q17" s="70">
        <f t="shared" ca="1" si="0"/>
        <v>14</v>
      </c>
      <c r="R17" s="70">
        <f t="shared" ca="1" si="0"/>
        <v>10</v>
      </c>
    </row>
    <row r="18" spans="2:18" ht="30" customHeight="1" x14ac:dyDescent="0.3">
      <c r="B18" s="60" t="s">
        <v>323</v>
      </c>
      <c r="C18" s="70">
        <f t="shared" ref="C18:R18" ca="1" si="1">C17/10</f>
        <v>1.6</v>
      </c>
      <c r="D18" s="70">
        <f t="shared" ca="1" si="1"/>
        <v>0.2</v>
      </c>
      <c r="E18" s="70">
        <f t="shared" ca="1" si="1"/>
        <v>0.5</v>
      </c>
      <c r="F18" s="70">
        <f t="shared" ca="1" si="1"/>
        <v>0.2</v>
      </c>
      <c r="G18" s="70">
        <f t="shared" ca="1" si="1"/>
        <v>0.1</v>
      </c>
      <c r="H18" s="70">
        <f t="shared" ca="1" si="1"/>
        <v>0.1</v>
      </c>
      <c r="I18" s="70">
        <f t="shared" ca="1" si="1"/>
        <v>1.8</v>
      </c>
      <c r="J18" s="70">
        <f t="shared" ca="1" si="1"/>
        <v>1.2</v>
      </c>
      <c r="K18" s="70">
        <f t="shared" ca="1" si="1"/>
        <v>1.3</v>
      </c>
      <c r="L18" s="70">
        <f t="shared" ca="1" si="1"/>
        <v>0.7</v>
      </c>
      <c r="M18" s="70">
        <f t="shared" ca="1" si="1"/>
        <v>1.6</v>
      </c>
      <c r="N18" s="70">
        <f t="shared" ca="1" si="1"/>
        <v>1.4</v>
      </c>
      <c r="O18" s="70">
        <f t="shared" ca="1" si="1"/>
        <v>0.3</v>
      </c>
      <c r="P18" s="70">
        <f t="shared" ca="1" si="1"/>
        <v>1.8</v>
      </c>
      <c r="Q18" s="70">
        <f t="shared" ca="1" si="1"/>
        <v>1.4</v>
      </c>
      <c r="R18" s="70">
        <f t="shared" ca="1" si="1"/>
        <v>1</v>
      </c>
    </row>
    <row r="19" spans="2:18" ht="30" customHeight="1" x14ac:dyDescent="0.3">
      <c r="B19" s="60" t="s">
        <v>320</v>
      </c>
      <c r="C19" s="73">
        <f t="shared" ref="C19:R19" ca="1" si="2">IF(C17&gt;0,C15/C17,0)</f>
        <v>0.5625</v>
      </c>
      <c r="D19" s="73">
        <f t="shared" ca="1" si="2"/>
        <v>0</v>
      </c>
      <c r="E19" s="73">
        <f t="shared" ca="1" si="2"/>
        <v>0.8</v>
      </c>
      <c r="F19" s="73">
        <f t="shared" ca="1" si="2"/>
        <v>0.5</v>
      </c>
      <c r="G19" s="73">
        <f t="shared" ca="1" si="2"/>
        <v>0</v>
      </c>
      <c r="H19" s="73">
        <f t="shared" ca="1" si="2"/>
        <v>1</v>
      </c>
      <c r="I19" s="73">
        <f t="shared" ca="1" si="2"/>
        <v>0.44444444444444442</v>
      </c>
      <c r="J19" s="73">
        <f t="shared" ca="1" si="2"/>
        <v>0.33333333333333331</v>
      </c>
      <c r="K19" s="73">
        <f t="shared" ca="1" si="2"/>
        <v>0.53846153846153844</v>
      </c>
      <c r="L19" s="73">
        <f t="shared" ca="1" si="2"/>
        <v>0.42857142857142855</v>
      </c>
      <c r="M19" s="73">
        <f t="shared" ca="1" si="2"/>
        <v>0.375</v>
      </c>
      <c r="N19" s="73">
        <f t="shared" ca="1" si="2"/>
        <v>0.5714285714285714</v>
      </c>
      <c r="O19" s="73">
        <f t="shared" ca="1" si="2"/>
        <v>0.66666666666666663</v>
      </c>
      <c r="P19" s="73">
        <f t="shared" ca="1" si="2"/>
        <v>0.55555555555555558</v>
      </c>
      <c r="Q19" s="73">
        <f t="shared" ca="1" si="2"/>
        <v>0.6428571428571429</v>
      </c>
      <c r="R19" s="73">
        <f t="shared" ca="1" si="2"/>
        <v>0.4</v>
      </c>
    </row>
  </sheetData>
  <mergeCells count="1">
    <mergeCell ref="B2:C2"/>
  </mergeCells>
  <dataValidations count="1">
    <dataValidation type="list" allowBlank="1" showInputMessage="1" showErrorMessage="1" sqref="B2:C2" xr:uid="{989F346E-F9B9-4F23-9E48-15F6C22B34D6}">
      <formula1>INDIRECT("tbMaps[Name]")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9082-1412-40CD-B28B-C92219585946}">
  <dimension ref="B1:J34"/>
  <sheetViews>
    <sheetView showGridLines="0" workbookViewId="0">
      <selection activeCell="B22" sqref="B22"/>
    </sheetView>
  </sheetViews>
  <sheetFormatPr defaultColWidth="12.6640625" defaultRowHeight="30" customHeight="1" x14ac:dyDescent="0.3"/>
  <cols>
    <col min="1" max="1" width="1.44140625" style="6" customWidth="1"/>
    <col min="2" max="4" width="12.6640625" style="6" customWidth="1"/>
    <col min="5" max="6" width="12.6640625" style="6"/>
    <col min="7" max="10" width="12.6640625" style="6" customWidth="1"/>
    <col min="11" max="16384" width="12.6640625" style="6"/>
  </cols>
  <sheetData>
    <row r="1" spans="2:8" ht="7.5" customHeight="1" x14ac:dyDescent="0.3"/>
    <row r="2" spans="2:8" ht="30" customHeight="1" x14ac:dyDescent="0.3">
      <c r="B2" s="21" t="s">
        <v>163</v>
      </c>
      <c r="H2" s="21" t="s">
        <v>167</v>
      </c>
    </row>
    <row r="11" spans="2:8" ht="30" customHeight="1" x14ac:dyDescent="0.3">
      <c r="B11" s="21" t="s">
        <v>223</v>
      </c>
      <c r="H11" s="21" t="s">
        <v>224</v>
      </c>
    </row>
    <row r="20" spans="2:10" ht="30" customHeight="1" x14ac:dyDescent="0.3">
      <c r="B20" s="21" t="str">
        <f>B2</f>
        <v>Highest Scoring Matches</v>
      </c>
      <c r="H20" s="21" t="str">
        <f>H2</f>
        <v>Highest Score Difference</v>
      </c>
    </row>
    <row r="21" spans="2:10" ht="30" customHeight="1" x14ac:dyDescent="0.3">
      <c r="B21" s="6" t="s">
        <v>162</v>
      </c>
      <c r="C21" s="10" t="s">
        <v>157</v>
      </c>
      <c r="H21" s="6" t="s">
        <v>162</v>
      </c>
      <c r="I21" s="6" t="s">
        <v>158</v>
      </c>
    </row>
    <row r="22" spans="2:10" ht="30" customHeight="1" x14ac:dyDescent="0.3">
      <c r="B22" s="34" t="s">
        <v>164</v>
      </c>
      <c r="C22" s="36">
        <v>41</v>
      </c>
      <c r="H22" s="34" t="s">
        <v>227</v>
      </c>
      <c r="I22" s="35">
        <v>30</v>
      </c>
    </row>
    <row r="23" spans="2:10" ht="30" customHeight="1" x14ac:dyDescent="0.3">
      <c r="B23" s="34" t="s">
        <v>253</v>
      </c>
      <c r="C23" s="36">
        <v>39</v>
      </c>
      <c r="H23" s="34" t="s">
        <v>253</v>
      </c>
      <c r="I23" s="35">
        <v>29</v>
      </c>
    </row>
    <row r="24" spans="2:10" ht="30" customHeight="1" x14ac:dyDescent="0.3">
      <c r="B24" s="34" t="s">
        <v>165</v>
      </c>
      <c r="C24" s="36">
        <v>38</v>
      </c>
      <c r="H24" s="34" t="s">
        <v>168</v>
      </c>
      <c r="I24" s="35">
        <v>26</v>
      </c>
    </row>
    <row r="25" spans="2:10" ht="30" customHeight="1" x14ac:dyDescent="0.3">
      <c r="B25" s="34" t="s">
        <v>197</v>
      </c>
      <c r="C25" s="36">
        <v>37</v>
      </c>
      <c r="H25" s="34" t="s">
        <v>198</v>
      </c>
      <c r="I25" s="35">
        <v>23</v>
      </c>
    </row>
    <row r="26" spans="2:10" ht="30" customHeight="1" x14ac:dyDescent="0.3">
      <c r="B26" s="34" t="s">
        <v>166</v>
      </c>
      <c r="C26" s="36">
        <v>34</v>
      </c>
      <c r="H26" s="34" t="s">
        <v>169</v>
      </c>
      <c r="I26" s="35">
        <v>22</v>
      </c>
    </row>
    <row r="28" spans="2:10" ht="30" customHeight="1" x14ac:dyDescent="0.3">
      <c r="B28" s="21" t="str">
        <f>B11</f>
        <v>Highest Score</v>
      </c>
      <c r="H28" s="21" t="str">
        <f>H11</f>
        <v>Lowest Score</v>
      </c>
    </row>
    <row r="29" spans="2:10" ht="30" customHeight="1" x14ac:dyDescent="0.3">
      <c r="B29" s="6" t="s">
        <v>162</v>
      </c>
      <c r="C29" s="6" t="s">
        <v>45</v>
      </c>
      <c r="D29" s="6" t="s">
        <v>225</v>
      </c>
      <c r="H29" s="6" t="s">
        <v>162</v>
      </c>
      <c r="I29" s="6" t="s">
        <v>46</v>
      </c>
      <c r="J29" s="6" t="s">
        <v>226</v>
      </c>
    </row>
    <row r="30" spans="2:10" ht="30" customHeight="1" x14ac:dyDescent="0.3">
      <c r="B30" s="34" t="s">
        <v>253</v>
      </c>
      <c r="C30" s="34" t="s">
        <v>42</v>
      </c>
      <c r="D30" s="35">
        <v>34</v>
      </c>
      <c r="H30" s="34" t="s">
        <v>228</v>
      </c>
      <c r="I30" s="34" t="s">
        <v>31</v>
      </c>
      <c r="J30" s="35">
        <v>-2</v>
      </c>
    </row>
    <row r="31" spans="2:10" ht="30" customHeight="1" x14ac:dyDescent="0.3">
      <c r="B31" s="34" t="s">
        <v>227</v>
      </c>
      <c r="C31" s="34" t="s">
        <v>101</v>
      </c>
      <c r="D31" s="35">
        <v>31</v>
      </c>
      <c r="H31" s="34" t="s">
        <v>229</v>
      </c>
      <c r="I31" s="34" t="s">
        <v>30</v>
      </c>
      <c r="J31" s="35">
        <v>-1</v>
      </c>
    </row>
    <row r="32" spans="2:10" ht="30" customHeight="1" x14ac:dyDescent="0.3">
      <c r="B32" s="34" t="s">
        <v>197</v>
      </c>
      <c r="C32" s="34" t="s">
        <v>42</v>
      </c>
      <c r="D32" s="35">
        <v>28</v>
      </c>
      <c r="H32" s="34" t="s">
        <v>168</v>
      </c>
      <c r="I32" s="34" t="s">
        <v>5</v>
      </c>
      <c r="J32" s="35">
        <v>0</v>
      </c>
    </row>
    <row r="33" spans="2:10" ht="30" customHeight="1" x14ac:dyDescent="0.3">
      <c r="B33" s="34" t="s">
        <v>198</v>
      </c>
      <c r="C33" s="34" t="s">
        <v>42</v>
      </c>
      <c r="D33" s="35">
        <v>28</v>
      </c>
      <c r="H33" s="34" t="s">
        <v>254</v>
      </c>
      <c r="I33" s="34" t="s">
        <v>49</v>
      </c>
      <c r="J33" s="35">
        <v>0</v>
      </c>
    </row>
    <row r="34" spans="2:10" ht="30" customHeight="1" x14ac:dyDescent="0.3">
      <c r="B34" s="34" t="s">
        <v>164</v>
      </c>
      <c r="C34" s="34" t="s">
        <v>47</v>
      </c>
      <c r="D34" s="35">
        <v>28</v>
      </c>
      <c r="H34" s="34" t="s">
        <v>255</v>
      </c>
      <c r="I34" s="34" t="s">
        <v>49</v>
      </c>
      <c r="J34" s="35">
        <v>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8E9C-E27E-4ADE-87AC-0E5623C99109}">
  <dimension ref="B1:B145"/>
  <sheetViews>
    <sheetView showGridLines="0" workbookViewId="0">
      <selection activeCell="B4" sqref="B4"/>
    </sheetView>
  </sheetViews>
  <sheetFormatPr defaultColWidth="9.109375" defaultRowHeight="30" customHeight="1" x14ac:dyDescent="0.3"/>
  <cols>
    <col min="1" max="1" width="1.5546875" style="6" customWidth="1"/>
    <col min="2" max="2" width="10" style="6" customWidth="1"/>
    <col min="3" max="16384" width="9.109375" style="6"/>
  </cols>
  <sheetData>
    <row r="1" spans="2:2" ht="7.5" customHeight="1" x14ac:dyDescent="0.3"/>
    <row r="2" spans="2:2" ht="30" customHeight="1" x14ac:dyDescent="0.3">
      <c r="B2" s="21" t="s">
        <v>128</v>
      </c>
    </row>
    <row r="3" spans="2:2" ht="30" customHeight="1" x14ac:dyDescent="0.3">
      <c r="B3" s="6" t="s">
        <v>129</v>
      </c>
    </row>
    <row r="4" spans="2:2" ht="30" customHeight="1" x14ac:dyDescent="0.3">
      <c r="B4" s="6" t="s">
        <v>19</v>
      </c>
    </row>
    <row r="5" spans="2:2" ht="30" customHeight="1" x14ac:dyDescent="0.3">
      <c r="B5" s="6" t="s">
        <v>178</v>
      </c>
    </row>
    <row r="6" spans="2:2" ht="30" customHeight="1" x14ac:dyDescent="0.3">
      <c r="B6" s="6" t="s">
        <v>32</v>
      </c>
    </row>
    <row r="7" spans="2:2" ht="30" customHeight="1" x14ac:dyDescent="0.3">
      <c r="B7" s="6" t="s">
        <v>40</v>
      </c>
    </row>
    <row r="8" spans="2:2" ht="30" customHeight="1" x14ac:dyDescent="0.3">
      <c r="B8" s="6" t="s">
        <v>33</v>
      </c>
    </row>
    <row r="9" spans="2:2" ht="30" customHeight="1" x14ac:dyDescent="0.3">
      <c r="B9" s="6" t="s">
        <v>23</v>
      </c>
    </row>
    <row r="10" spans="2:2" ht="30" customHeight="1" x14ac:dyDescent="0.3">
      <c r="B10" s="6" t="s">
        <v>26</v>
      </c>
    </row>
    <row r="11" spans="2:2" ht="30" customHeight="1" x14ac:dyDescent="0.3">
      <c r="B11" s="6" t="s">
        <v>177</v>
      </c>
    </row>
    <row r="12" spans="2:2" ht="30" customHeight="1" x14ac:dyDescent="0.3">
      <c r="B12" s="6" t="s">
        <v>43</v>
      </c>
    </row>
    <row r="14" spans="2:2" ht="30" customHeight="1" x14ac:dyDescent="0.3">
      <c r="B14" s="21" t="s">
        <v>130</v>
      </c>
    </row>
    <row r="15" spans="2:2" ht="30" customHeight="1" x14ac:dyDescent="0.3">
      <c r="B15" s="6" t="s">
        <v>129</v>
      </c>
    </row>
    <row r="16" spans="2:2" ht="30" customHeight="1" x14ac:dyDescent="0.3">
      <c r="B16" s="6" t="s">
        <v>52</v>
      </c>
    </row>
    <row r="17" spans="2:2" ht="30" customHeight="1" x14ac:dyDescent="0.3">
      <c r="B17" s="6" t="s">
        <v>51</v>
      </c>
    </row>
    <row r="18" spans="2:2" ht="30" customHeight="1" x14ac:dyDescent="0.3">
      <c r="B18" s="6" t="s">
        <v>208</v>
      </c>
    </row>
    <row r="19" spans="2:2" ht="30" customHeight="1" x14ac:dyDescent="0.3">
      <c r="B19" s="6" t="s">
        <v>53</v>
      </c>
    </row>
    <row r="20" spans="2:2" ht="30" customHeight="1" x14ac:dyDescent="0.3">
      <c r="B20" s="6" t="s">
        <v>54</v>
      </c>
    </row>
    <row r="21" spans="2:2" ht="30" customHeight="1" x14ac:dyDescent="0.3">
      <c r="B21" s="6" t="s">
        <v>48</v>
      </c>
    </row>
    <row r="22" spans="2:2" ht="30" customHeight="1" x14ac:dyDescent="0.3">
      <c r="B22" s="6" t="s">
        <v>14</v>
      </c>
    </row>
    <row r="23" spans="2:2" ht="30" customHeight="1" x14ac:dyDescent="0.3">
      <c r="B23" s="6" t="s">
        <v>42</v>
      </c>
    </row>
    <row r="24" spans="2:2" ht="30" customHeight="1" x14ac:dyDescent="0.3">
      <c r="B24" s="6" t="s">
        <v>5</v>
      </c>
    </row>
    <row r="25" spans="2:2" ht="30" customHeight="1" x14ac:dyDescent="0.3">
      <c r="B25" s="6" t="s">
        <v>12</v>
      </c>
    </row>
    <row r="26" spans="2:2" ht="30" customHeight="1" x14ac:dyDescent="0.3">
      <c r="B26" s="6" t="s">
        <v>6</v>
      </c>
    </row>
    <row r="27" spans="2:2" ht="30" customHeight="1" x14ac:dyDescent="0.3">
      <c r="B27" s="6" t="s">
        <v>101</v>
      </c>
    </row>
    <row r="28" spans="2:2" ht="30" customHeight="1" x14ac:dyDescent="0.3">
      <c r="B28" s="6" t="s">
        <v>31</v>
      </c>
    </row>
    <row r="29" spans="2:2" ht="30" customHeight="1" x14ac:dyDescent="0.3">
      <c r="B29" s="6" t="s">
        <v>41</v>
      </c>
    </row>
    <row r="30" spans="2:2" ht="30" customHeight="1" x14ac:dyDescent="0.3">
      <c r="B30" s="6" t="s">
        <v>11</v>
      </c>
    </row>
    <row r="31" spans="2:2" ht="30" customHeight="1" x14ac:dyDescent="0.3">
      <c r="B31" s="6" t="s">
        <v>30</v>
      </c>
    </row>
    <row r="32" spans="2:2" ht="30" customHeight="1" x14ac:dyDescent="0.3">
      <c r="B32" s="6" t="s">
        <v>49</v>
      </c>
    </row>
    <row r="33" spans="2:2" ht="30" customHeight="1" x14ac:dyDescent="0.3">
      <c r="B33" s="6" t="s">
        <v>47</v>
      </c>
    </row>
    <row r="34" spans="2:2" ht="30" customHeight="1" x14ac:dyDescent="0.3">
      <c r="B34" s="6" t="s">
        <v>206</v>
      </c>
    </row>
    <row r="35" spans="2:2" ht="30" customHeight="1" x14ac:dyDescent="0.3">
      <c r="B35" s="6" t="s">
        <v>50</v>
      </c>
    </row>
    <row r="36" spans="2:2" ht="30" customHeight="1" x14ac:dyDescent="0.3">
      <c r="B36" s="6" t="s">
        <v>199</v>
      </c>
    </row>
    <row r="37" spans="2:2" ht="30" customHeight="1" x14ac:dyDescent="0.3">
      <c r="B37" s="6" t="s">
        <v>13</v>
      </c>
    </row>
    <row r="38" spans="2:2" ht="30" customHeight="1" x14ac:dyDescent="0.3">
      <c r="B38" s="6" t="s">
        <v>207</v>
      </c>
    </row>
    <row r="39" spans="2:2" ht="30" customHeight="1" x14ac:dyDescent="0.3">
      <c r="B39" s="6" t="s">
        <v>29</v>
      </c>
    </row>
    <row r="41" spans="2:2" ht="30" customHeight="1" x14ac:dyDescent="0.3">
      <c r="B41" s="21" t="s">
        <v>131</v>
      </c>
    </row>
    <row r="42" spans="2:2" ht="30" customHeight="1" x14ac:dyDescent="0.3">
      <c r="B42" s="6" t="s">
        <v>129</v>
      </c>
    </row>
    <row r="43" spans="2:2" ht="30" customHeight="1" x14ac:dyDescent="0.3">
      <c r="B43" s="6" t="s">
        <v>39</v>
      </c>
    </row>
    <row r="44" spans="2:2" ht="30" customHeight="1" x14ac:dyDescent="0.3">
      <c r="B44" s="6" t="s">
        <v>55</v>
      </c>
    </row>
    <row r="45" spans="2:2" ht="30" customHeight="1" x14ac:dyDescent="0.3">
      <c r="B45" s="6" t="s">
        <v>28</v>
      </c>
    </row>
    <row r="46" spans="2:2" ht="30" customHeight="1" x14ac:dyDescent="0.3">
      <c r="B46" s="6" t="s">
        <v>92</v>
      </c>
    </row>
    <row r="47" spans="2:2" ht="30" customHeight="1" x14ac:dyDescent="0.3">
      <c r="B47" s="6" t="s">
        <v>152</v>
      </c>
    </row>
    <row r="48" spans="2:2" ht="30" customHeight="1" x14ac:dyDescent="0.3">
      <c r="B48" s="6" t="s">
        <v>35</v>
      </c>
    </row>
    <row r="49" spans="2:2" ht="30" customHeight="1" x14ac:dyDescent="0.3">
      <c r="B49" s="6" t="s">
        <v>37</v>
      </c>
    </row>
    <row r="50" spans="2:2" ht="30" customHeight="1" x14ac:dyDescent="0.3">
      <c r="B50" s="6" t="s">
        <v>34</v>
      </c>
    </row>
    <row r="51" spans="2:2" ht="30" customHeight="1" x14ac:dyDescent="0.3">
      <c r="B51" s="6" t="s">
        <v>27</v>
      </c>
    </row>
    <row r="52" spans="2:2" ht="30" customHeight="1" x14ac:dyDescent="0.3">
      <c r="B52" s="6" t="s">
        <v>38</v>
      </c>
    </row>
    <row r="53" spans="2:2" ht="30" customHeight="1" x14ac:dyDescent="0.3">
      <c r="B53" s="6" t="s">
        <v>21</v>
      </c>
    </row>
    <row r="54" spans="2:2" ht="30" customHeight="1" x14ac:dyDescent="0.3">
      <c r="B54" s="6" t="s">
        <v>44</v>
      </c>
    </row>
    <row r="55" spans="2:2" ht="30" customHeight="1" x14ac:dyDescent="0.3">
      <c r="B55" s="6" t="s">
        <v>24</v>
      </c>
    </row>
    <row r="56" spans="2:2" ht="30" customHeight="1" x14ac:dyDescent="0.3">
      <c r="B56" s="6" t="s">
        <v>25</v>
      </c>
    </row>
    <row r="57" spans="2:2" ht="30" customHeight="1" x14ac:dyDescent="0.3">
      <c r="B57" s="6" t="s">
        <v>22</v>
      </c>
    </row>
    <row r="58" spans="2:2" ht="30" customHeight="1" x14ac:dyDescent="0.3">
      <c r="B58" s="6" t="s">
        <v>36</v>
      </c>
    </row>
    <row r="59" spans="2:2" ht="30" customHeight="1" x14ac:dyDescent="0.35">
      <c r="B59" s="33"/>
    </row>
    <row r="60" spans="2:2" ht="30" customHeight="1" x14ac:dyDescent="0.35">
      <c r="B60" s="33"/>
    </row>
    <row r="61" spans="2:2" ht="30" customHeight="1" x14ac:dyDescent="0.35">
      <c r="B61" s="33"/>
    </row>
    <row r="62" spans="2:2" ht="30" customHeight="1" x14ac:dyDescent="0.35">
      <c r="B62" s="33"/>
    </row>
    <row r="63" spans="2:2" ht="30" customHeight="1" x14ac:dyDescent="0.35">
      <c r="B63" s="33"/>
    </row>
    <row r="64" spans="2:2" ht="30" customHeight="1" x14ac:dyDescent="0.35">
      <c r="B64" s="33"/>
    </row>
    <row r="65" spans="2:2" ht="30" customHeight="1" x14ac:dyDescent="0.35">
      <c r="B65" s="33"/>
    </row>
    <row r="66" spans="2:2" ht="30" customHeight="1" x14ac:dyDescent="0.35">
      <c r="B66" s="33"/>
    </row>
    <row r="67" spans="2:2" ht="30" customHeight="1" x14ac:dyDescent="0.35">
      <c r="B67" s="33"/>
    </row>
    <row r="68" spans="2:2" ht="30" customHeight="1" x14ac:dyDescent="0.35">
      <c r="B68" s="33"/>
    </row>
    <row r="69" spans="2:2" ht="30" customHeight="1" x14ac:dyDescent="0.35">
      <c r="B69" s="33"/>
    </row>
    <row r="70" spans="2:2" ht="30" customHeight="1" x14ac:dyDescent="0.35">
      <c r="B70" s="33"/>
    </row>
    <row r="71" spans="2:2" ht="30" customHeight="1" x14ac:dyDescent="0.35">
      <c r="B71" s="33"/>
    </row>
    <row r="72" spans="2:2" ht="30" customHeight="1" x14ac:dyDescent="0.35">
      <c r="B72" s="33"/>
    </row>
    <row r="73" spans="2:2" ht="30" customHeight="1" x14ac:dyDescent="0.35">
      <c r="B73" s="33"/>
    </row>
    <row r="74" spans="2:2" ht="30" customHeight="1" x14ac:dyDescent="0.35">
      <c r="B74" s="33"/>
    </row>
    <row r="75" spans="2:2" ht="30" customHeight="1" x14ac:dyDescent="0.35">
      <c r="B75" s="33"/>
    </row>
    <row r="76" spans="2:2" ht="30" customHeight="1" x14ac:dyDescent="0.35">
      <c r="B76" s="33"/>
    </row>
    <row r="77" spans="2:2" ht="30" customHeight="1" x14ac:dyDescent="0.35">
      <c r="B77" s="33"/>
    </row>
    <row r="78" spans="2:2" ht="30" customHeight="1" x14ac:dyDescent="0.35">
      <c r="B78" s="33"/>
    </row>
    <row r="79" spans="2:2" ht="30" customHeight="1" x14ac:dyDescent="0.35">
      <c r="B79" s="33"/>
    </row>
    <row r="80" spans="2:2" ht="30" customHeight="1" x14ac:dyDescent="0.35">
      <c r="B80" s="33"/>
    </row>
    <row r="81" spans="2:2" ht="30" customHeight="1" x14ac:dyDescent="0.35">
      <c r="B81" s="33"/>
    </row>
    <row r="82" spans="2:2" ht="30" customHeight="1" x14ac:dyDescent="0.35">
      <c r="B82" s="33"/>
    </row>
    <row r="83" spans="2:2" ht="30" customHeight="1" x14ac:dyDescent="0.35">
      <c r="B83" s="33"/>
    </row>
    <row r="84" spans="2:2" ht="30" customHeight="1" x14ac:dyDescent="0.35">
      <c r="B84" s="33"/>
    </row>
    <row r="85" spans="2:2" ht="30" customHeight="1" x14ac:dyDescent="0.35">
      <c r="B85" s="33"/>
    </row>
    <row r="86" spans="2:2" ht="30" customHeight="1" x14ac:dyDescent="0.35">
      <c r="B86" s="33"/>
    </row>
    <row r="87" spans="2:2" ht="30" customHeight="1" x14ac:dyDescent="0.35">
      <c r="B87" s="33"/>
    </row>
    <row r="88" spans="2:2" ht="30" customHeight="1" x14ac:dyDescent="0.35">
      <c r="B88" s="33"/>
    </row>
    <row r="89" spans="2:2" ht="30" customHeight="1" x14ac:dyDescent="0.35">
      <c r="B89" s="33"/>
    </row>
    <row r="90" spans="2:2" ht="30" customHeight="1" x14ac:dyDescent="0.35">
      <c r="B90" s="33"/>
    </row>
    <row r="91" spans="2:2" ht="30" customHeight="1" x14ac:dyDescent="0.35">
      <c r="B91" s="33"/>
    </row>
    <row r="92" spans="2:2" ht="30" customHeight="1" x14ac:dyDescent="0.35">
      <c r="B92" s="33"/>
    </row>
    <row r="93" spans="2:2" ht="30" customHeight="1" x14ac:dyDescent="0.35">
      <c r="B93" s="33"/>
    </row>
    <row r="94" spans="2:2" ht="30" customHeight="1" x14ac:dyDescent="0.35">
      <c r="B94" s="33"/>
    </row>
    <row r="95" spans="2:2" ht="30" customHeight="1" x14ac:dyDescent="0.35">
      <c r="B95" s="33"/>
    </row>
    <row r="96" spans="2:2" ht="30" customHeight="1" x14ac:dyDescent="0.35">
      <c r="B96" s="33"/>
    </row>
    <row r="97" spans="2:2" ht="30" customHeight="1" x14ac:dyDescent="0.35">
      <c r="B97" s="33"/>
    </row>
    <row r="98" spans="2:2" ht="30" customHeight="1" x14ac:dyDescent="0.35">
      <c r="B98" s="33"/>
    </row>
    <row r="99" spans="2:2" ht="30" customHeight="1" x14ac:dyDescent="0.35">
      <c r="B99" s="33"/>
    </row>
    <row r="100" spans="2:2" ht="30" customHeight="1" x14ac:dyDescent="0.35">
      <c r="B100" s="33"/>
    </row>
    <row r="101" spans="2:2" ht="30" customHeight="1" x14ac:dyDescent="0.35">
      <c r="B101" s="33"/>
    </row>
    <row r="102" spans="2:2" ht="30" customHeight="1" x14ac:dyDescent="0.35">
      <c r="B102" s="33"/>
    </row>
    <row r="103" spans="2:2" ht="30" customHeight="1" x14ac:dyDescent="0.35">
      <c r="B103" s="33"/>
    </row>
    <row r="104" spans="2:2" ht="30" customHeight="1" x14ac:dyDescent="0.35">
      <c r="B104" s="33"/>
    </row>
    <row r="105" spans="2:2" ht="30" customHeight="1" x14ac:dyDescent="0.35">
      <c r="B105" s="33"/>
    </row>
    <row r="106" spans="2:2" ht="30" customHeight="1" x14ac:dyDescent="0.35">
      <c r="B106" s="33"/>
    </row>
    <row r="107" spans="2:2" ht="30" customHeight="1" x14ac:dyDescent="0.35">
      <c r="B107" s="33"/>
    </row>
    <row r="108" spans="2:2" ht="30" customHeight="1" x14ac:dyDescent="0.35">
      <c r="B108" s="33"/>
    </row>
    <row r="109" spans="2:2" ht="30" customHeight="1" x14ac:dyDescent="0.35">
      <c r="B109" s="33"/>
    </row>
    <row r="110" spans="2:2" ht="30" customHeight="1" x14ac:dyDescent="0.35">
      <c r="B110" s="33"/>
    </row>
    <row r="111" spans="2:2" ht="30" customHeight="1" x14ac:dyDescent="0.35">
      <c r="B111" s="33"/>
    </row>
    <row r="112" spans="2:2" ht="30" customHeight="1" x14ac:dyDescent="0.35">
      <c r="B112" s="33"/>
    </row>
    <row r="113" spans="2:2" ht="30" customHeight="1" x14ac:dyDescent="0.35">
      <c r="B113" s="33"/>
    </row>
    <row r="114" spans="2:2" ht="30" customHeight="1" x14ac:dyDescent="0.35">
      <c r="B114" s="33"/>
    </row>
    <row r="115" spans="2:2" ht="30" customHeight="1" x14ac:dyDescent="0.35">
      <c r="B115" s="33"/>
    </row>
    <row r="116" spans="2:2" ht="30" customHeight="1" x14ac:dyDescent="0.35">
      <c r="B116" s="33"/>
    </row>
    <row r="117" spans="2:2" ht="30" customHeight="1" x14ac:dyDescent="0.35">
      <c r="B117" s="33"/>
    </row>
    <row r="118" spans="2:2" ht="30" customHeight="1" x14ac:dyDescent="0.35">
      <c r="B118" s="33"/>
    </row>
    <row r="119" spans="2:2" ht="30" customHeight="1" x14ac:dyDescent="0.35">
      <c r="B119" s="33"/>
    </row>
    <row r="120" spans="2:2" ht="30" customHeight="1" x14ac:dyDescent="0.35">
      <c r="B120" s="33"/>
    </row>
    <row r="121" spans="2:2" ht="30" customHeight="1" x14ac:dyDescent="0.35">
      <c r="B121" s="33"/>
    </row>
    <row r="122" spans="2:2" ht="30" customHeight="1" x14ac:dyDescent="0.35">
      <c r="B122" s="33"/>
    </row>
    <row r="123" spans="2:2" ht="30" customHeight="1" x14ac:dyDescent="0.35">
      <c r="B123" s="33"/>
    </row>
    <row r="124" spans="2:2" ht="30" customHeight="1" x14ac:dyDescent="0.35">
      <c r="B124" s="33"/>
    </row>
    <row r="125" spans="2:2" ht="30" customHeight="1" x14ac:dyDescent="0.35">
      <c r="B125" s="33"/>
    </row>
    <row r="126" spans="2:2" ht="30" customHeight="1" x14ac:dyDescent="0.35">
      <c r="B126" s="33"/>
    </row>
    <row r="127" spans="2:2" ht="30" customHeight="1" x14ac:dyDescent="0.35">
      <c r="B127" s="33"/>
    </row>
    <row r="128" spans="2:2" ht="30" customHeight="1" x14ac:dyDescent="0.35">
      <c r="B128" s="33"/>
    </row>
    <row r="129" spans="2:2" ht="30" customHeight="1" x14ac:dyDescent="0.35">
      <c r="B129" s="33"/>
    </row>
    <row r="130" spans="2:2" ht="30" customHeight="1" x14ac:dyDescent="0.35">
      <c r="B130" s="33"/>
    </row>
    <row r="131" spans="2:2" ht="30" customHeight="1" x14ac:dyDescent="0.35">
      <c r="B131" s="33"/>
    </row>
    <row r="132" spans="2:2" ht="30" customHeight="1" x14ac:dyDescent="0.35">
      <c r="B132" s="33"/>
    </row>
    <row r="133" spans="2:2" ht="30" customHeight="1" x14ac:dyDescent="0.35">
      <c r="B133" s="33"/>
    </row>
    <row r="134" spans="2:2" ht="30" customHeight="1" x14ac:dyDescent="0.35">
      <c r="B134" s="33"/>
    </row>
    <row r="135" spans="2:2" ht="30" customHeight="1" x14ac:dyDescent="0.35">
      <c r="B135" s="33"/>
    </row>
    <row r="136" spans="2:2" ht="30" customHeight="1" x14ac:dyDescent="0.35">
      <c r="B136" s="33"/>
    </row>
    <row r="137" spans="2:2" ht="30" customHeight="1" x14ac:dyDescent="0.35">
      <c r="B137" s="33"/>
    </row>
    <row r="138" spans="2:2" ht="30" customHeight="1" x14ac:dyDescent="0.35">
      <c r="B138" s="33"/>
    </row>
    <row r="139" spans="2:2" ht="30" customHeight="1" x14ac:dyDescent="0.35">
      <c r="B139" s="33"/>
    </row>
    <row r="140" spans="2:2" ht="30" customHeight="1" x14ac:dyDescent="0.35">
      <c r="B140" s="33"/>
    </row>
    <row r="141" spans="2:2" ht="30" customHeight="1" x14ac:dyDescent="0.35">
      <c r="B141" s="33"/>
    </row>
    <row r="142" spans="2:2" ht="30" customHeight="1" x14ac:dyDescent="0.35">
      <c r="B142" s="33"/>
    </row>
    <row r="143" spans="2:2" ht="30" customHeight="1" x14ac:dyDescent="0.35">
      <c r="B143" s="33"/>
    </row>
    <row r="144" spans="2:2" ht="30" customHeight="1" x14ac:dyDescent="0.35">
      <c r="B144" s="33"/>
    </row>
    <row r="145" spans="2:2" ht="30" customHeight="1" x14ac:dyDescent="0.35">
      <c r="B145" s="33"/>
    </row>
  </sheetData>
  <sortState xmlns:xlrd2="http://schemas.microsoft.com/office/spreadsheetml/2017/richdata2" ref="B43:B145">
    <sortCondition ref="B43:B145"/>
  </sortState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2 f c a a d 1 - 4 8 c d - 4 8 3 1 - 9 5 c 0 - 3 2 5 b 2 2 4 9 0 2 6 8 "   x m l n s = " h t t p : / / s c h e m a s . m i c r o s o f t . c o m / D a t a M a s h u p " > A A A A A C U F A A B Q S w M E F A A C A A g A J n x c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C Z 8 X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f F x S + D H 3 a C E C A A A j E g A A E w A c A E Z v c m 1 1 b G F z L 1 N l Y 3 R p b 2 4 x L m 0 g o h g A K K A U A A A A A A A A A A A A A A A A A A A A A A A A A A A A 7 Z b L a t t A F I b 3 B r / D o G x k E A a H t p s S S u N e a W I H S + B F y G I s n c r C 0 o w y c 9 T E G L 9 7 j 6 T Y l S x N F r n g B u S N 8 f / r 3 I Y z n 6 X B x 0 g K 5 p b f o 4 / 9 X r + n l 1 x B w G 5 / R O E S N L q + V J E I L z n 6 9 J O d s R i w 3 2 P 0 c W W m f C D l 6 7 0 P 8 X C c K Q U C 5 1 K t F l K u 7 M H m e s I T O L N w M Q O d x a i t m + 3 1 W A q k p 2 6 c M s e J N V 5 y E V I 9 b 5 2 C R c k 8 v o h h 6 C k u 9 G + p k r G M s 0 T k p r b L g s 5 m Y 7 n A t R S W w 5 A M x s V 6 6 z B S k Y d A 4 k + B H 9 4 N 8 5 h C n g O s m m o x U F P + T i 0 3 1 S I z 8 y K M Y V d U Z M k C 1 L 5 A 3 Q w 4 P g S C i u j U a i b C P e 5 r G a w L K U I 2 K X u p O 1 c x X 4 M a G f T T h n 7 J U 1 M O d h X 5 K 1 O i x 8 w R y 7 e i 5 Z x 2 s Q Z 7 6 n 0 y Z G T n X A g I G i 5 t R 5 L m Z s O Z R x S g W g 5 O t 6 j 5 w 7 T E r E j X F m M 2 P Y k 8 N g 1 U y M x N F f C g 7 m 4 H + w 2 f Q S L / 0 I Z P c U m D l g u t / 6 2 6 C z F d v w f Z P r g Q T n 0 V a t 1 U S r h S I Y X M 5 F 0 1 M Y m 2 q X x + i + q j T V U A a v g F t A 8 i o P O o j v A L U m T f I q X x o E a h T e x 6 B 8 7 7 Q b 8 X C V N w l T I n l o E z 9 u n A 6 m D T w a a D z f F g U y v 4 b N o c t H 8 U 3 F R h A / 8 J X h 6 5 m H v y t B H i D b G n A 8 y R A b P 7 0 3 o i X 8 r Q 1 B R 4 L h F l 0 u a + E p j 2 p 1 X p 6 g X e h t L j v g v d X s i 7 j k 0 d m z o 2 v W U 2 7 Y 6 l X v n Z d D q Y o w T U 5 9 f n 0 1 9 Q S w E C L Q A U A A I A C A A m f F x S 7 V 5 + K q I A A A D 1 A A A A E g A A A A A A A A A A A A A A A A A A A A A A Q 2 9 u Z m l n L 1 B h Y 2 t h Z 2 U u e G 1 s U E s B A i 0 A F A A C A A g A J n x c U g / K 6 a u k A A A A 6 Q A A A B M A A A A A A A A A A A A A A A A A 7 g A A A F t D b 2 5 0 Z W 5 0 X 1 R 5 c G V z X S 5 4 b W x Q S w E C L Q A U A A I A C A A m f F x S + D H 3 a C E C A A A j E g A A E w A A A A A A A A A A A A A A A A D f A Q A A R m 9 y b X V s Y X M v U 2 V j d G l v b j E u b V B L B Q Y A A A A A A w A D A M I A A A B N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K w A A A A A A A F A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S G l n a G V z d F N j b 3 J p b m d N Y X R j a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d l b m V y Y W w g U 3 R h d H M i I C 8 + P E V u d H J 5 I F R 5 c G U 9 I l J l Y 2 9 2 Z X J 5 V G F y Z 2 V 0 Q 2 9 s d W 1 u I i B W Y W x 1 Z T 0 i b D I i I C 8 + P E V u d H J 5 I F R 5 c G U 9 I l J l Y 2 9 2 Z X J 5 V G F y Z 2 V 0 U m 9 3 I i B W Y W x 1 Z T 0 i b D I x I i A v P j x F b n R y e S B U e X B l P S J G a W x s V G F y Z 2 V 0 I i B W Y W x 1 Z T 0 i c 3 F I a W d o Z X N 0 U 2 N v c m l u Z 0 1 h d G N o Z X M i I C 8 + P E V u d H J 5 I F R 5 c G U 9 I k Z p b G x l Z E N v b X B s Z X R l U m V z d W x 0 V G 9 X b 3 J r c 2 h l Z X Q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h U M j A 6 M z M 6 M T M u N z Q 1 M j Q x N 1 o i I C 8 + P E V u d H J 5 I F R 5 c G U 9 I k Z p b G x D b 2 x 1 b W 5 U e X B l c y I g V m F s d W U 9 I n N C Z 0 0 9 I i A v P j x F b n R y e S B U e X B l P S J G a W x s Q 2 9 s d W 1 u T m F t Z X M i I F Z h b H V l P S J z W y Z x d W 9 0 O 0 x v b m c g T m F t Z S Z x d W 9 0 O y w m c X V v d D t U b 3 R h b C B T Y 2 9 y Z S Z x d W 9 0 O 1 0 i I C 8 + P E V u d H J 5 I F R 5 c G U 9 I k Z p b G x T d G F 0 d X M i I F Z h b H V l P S J z Q 2 9 t c G x l d G U i I C 8 + P E V u d H J 5 I F R 5 c G U 9 I l F 1 Z X J 5 S U Q i I F Z h b H V l P S J z Y z Z i N z c w N 2 Y t N z R h Z S 0 0 O W Q 0 L T l k Z m U t Y z N k N T F k Y z Z i Z j k 5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G l n a G V z d F N j b 3 J p b m d N Y X R j a G V z L 0 N o Y W 5 n Z W Q g V H l w Z S 5 7 T G 9 u Z y B O Y W 1 l L D l 9 J n F 1 b 3 Q 7 L C Z x d W 9 0 O 1 N l Y 3 R p b 2 4 x L 3 F I a W d o Z X N 0 U 2 N v c m l u Z 0 1 h d G N o Z X M v Q 2 h h b m d l Z C B U e X B l L n t U b 3 R h b C B T Y 2 9 y Z S w y N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U h p Z 2 h l c 3 R T Y 2 9 y a W 5 n T W F 0 Y 2 h l c y 9 D a G F u Z 2 V k I F R 5 c G U u e 0 x v b m c g T m F t Z S w 5 f S Z x d W 9 0 O y w m c X V v d D t T Z W N 0 a W 9 u M S 9 x S G l n a G V z d F N j b 3 J p b m d N Y X R j a G V z L 0 N o Y W 5 n Z W Q g V H l w Z S 5 7 V G 9 0 Y W w g U 2 N v c m U s M j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F I a W d o Z X N 0 U 2 N v c m l u Z 0 1 h d G N o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h p Z 2 h l c 3 R T Y 2 9 y a W 5 n T W F 0 Y 2 h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I a W d o Z X N 0 U 2 N v c m l u Z 0 1 h d G N o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I a W d o Z X N 0 U 2 N v c m l u Z 0 1 h d G N o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I a W d o Z X N 0 U 2 N v c m l u Z 0 1 h d G N o Z X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I a W d o Z X N 0 U 2 N v c m l u Z 0 1 h d G N o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2 V u Z X J h b C B T d G F 0 c y I g L z 4 8 R W 5 0 c n k g V H l w Z T 0 i U m V j b 3 Z l c n l U Y X J n Z X R D b 2 x 1 b W 4 i I F Z h b H V l P S J s N y I g L z 4 8 R W 5 0 c n k g V H l w Z T 0 i U m V j b 3 Z l c n l U Y X J n Z X R S b 3 c i I F Z h b H V l P S J s M j E i I C 8 + P E V u d H J 5 I F R 5 c G U 9 I k Z p b G x U Y X J n Z X Q i I F Z h b H V l P S J z c U h p Z 2 h l c 3 R T Y 2 9 y a W 5 n T W F 0 Y 2 h l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O Y W 1 l c y I g V m F s d W U 9 I n N b J n F 1 b 3 Q 7 T G 9 u Z y B O Y W 1 l J n F 1 b 3 Q 7 L C Z x d W 9 0 O 1 N j b 3 J l I F N w c m V h Z C Z x d W 9 0 O 1 0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4 V D I w O j M z O j E z L j c z N j I 0 M T J a I i A v P j x F b n R y e S B U e X B l P S J G a W x s Q 2 9 s d W 1 u V H l w Z X M i I F Z h b H V l P S J z Q m d N P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S U Q i I F Z h b H V l P S J z Z j Q z Z D g 5 M D Q t M m I z Y S 0 0 Z T l h L T l j O D k t M j E z M j h j N j U z M T Z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G l n a G V z d F N j b 3 J p b m d N Y X R j a G V z I C g y K S 9 D a G F u Z 2 V k I F R 5 c G U u e 0 x v b m c g T m F t Z S w 5 f S Z x d W 9 0 O y w m c X V v d D t T Z W N 0 a W 9 u M S 9 x S G l n a G V z d F N j b 3 J p b m d N Y X R j a G V z I C g y K S 9 D a G F u Z 2 V k I F R 5 c G U u e 1 N j b 3 J l I F N w c m V h Z C w y N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U h p Z 2 h l c 3 R T Y 2 9 y a W 5 n T W F 0 Y 2 h l c y A o M i k v Q 2 h h b m d l Z C B U e X B l L n t M b 2 5 n I E 5 h b W U s O X 0 m c X V v d D s s J n F 1 b 3 Q 7 U 2 V j d G l v b j E v c U h p Z 2 h l c 3 R T Y 2 9 y a W 5 n T W F 0 Y 2 h l c y A o M i k v Q 2 h h b m d l Z C B U e X B l L n t T Y 2 9 y Z S B T c H J l Y W Q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G l n a G V z d F N j b 3 J p b m d N Y X R j a G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I a W d o Z X N 0 U 2 N v c m l u Z 0 1 h d G N o Z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G l n a G V z d F N j b 3 J p b m d N Y X R j a G V z J T I w K D I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G l n a G V z d F N j b 3 J p b m d N Y X R j a G V z J T I w K D I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G l n a G V z d F N j b 3 J p b m d N Y X R j a G V z J T I w K D I p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G l n a G V z d F N j b 3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d l b m V y Y W w g U 3 R h d H M i I C 8 + P E V u d H J 5 I F R 5 c G U 9 I l J l Y 2 9 2 Z X J 5 V G F y Z 2 V 0 Q 2 9 s d W 1 u I i B W Y W x 1 Z T 0 i b D I i I C 8 + P E V u d H J 5 I F R 5 c G U 9 I l J l Y 2 9 2 Z X J 5 V G F y Z 2 V 0 U m 9 3 I i B W Y W x 1 Z T 0 i b D I 5 I i A v P j x F b n R y e S B U e X B l P S J G a W x s V G F y Z 2 V 0 I i B W Y W x 1 Z T 0 i c 3 F I a W d o Z X N 0 U 2 N v c m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M b 2 5 n I E 5 h b W U m c X V v d D s s J n F 1 b 3 Q 7 V 2 l u b m V y J n F 1 b 3 Q 7 L C Z x d W 9 0 O 1 R v c C B T Y 2 9 y Z S Z x d W 9 0 O 1 0 i I C 8 + P E V u d H J 5 I F R 5 c G U 9 I k Z p b G x D b 2 x 1 b W 5 U e X B l c y I g V m F s d W U 9 I n N C Z 1 l E I i A v P j x F b n R y e S B U e X B l P S J G a W x s T G F z d F V w Z G F 0 Z W Q i I F Z h b H V l P S J k M j A y M S 0 w M i 0 y O F Q y M D o z M z o x M i 4 2 O D M 3 N z A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l E I i B W Y W x 1 Z T 0 i c z l m Y 2 U 1 Y z E 1 L W J l N j U t N D k 3 O C 1 i O T h k L W Z i M j U w Y j c 1 O W J i N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U h p Z 2 h l c 3 R T Y 2 9 y Z S 9 D a G F u Z 2 V k I F R 5 c G U u e 0 x v b m c g T m F t Z S w 5 f S Z x d W 9 0 O y w m c X V v d D t T Z W N 0 a W 9 u M S 9 x S G l n a G V z d F N j b 3 J l L 0 N o Y W 5 n Z W Q g V H l w Z S 5 7 V 2 l u b m V y L D I w f S Z x d W 9 0 O y w m c X V v d D t T Z W N 0 a W 9 u M S 9 x S G l n a G V z d F N j b 3 J l L 0 N o Y W 5 n Z W Q g V H l w Z S 5 7 V G 9 w I F N j b 3 J l L D I 2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S G l n a G V z d F N j b 3 J l L 0 N o Y W 5 n Z W Q g V H l w Z S 5 7 T G 9 u Z y B O Y W 1 l L D l 9 J n F 1 b 3 Q 7 L C Z x d W 9 0 O 1 N l Y 3 R p b 2 4 x L 3 F I a W d o Z X N 0 U 2 N v c m U v Q 2 h h b m d l Z C B U e X B l L n t X a W 5 u Z X I s M j B 9 J n F 1 b 3 Q 7 L C Z x d W 9 0 O 1 N l Y 3 R p b 2 4 x L 3 F I a W d o Z X N 0 U 2 N v c m U v Q 2 h h b m d l Z C B U e X B l L n t U b 3 A g U 2 N v c m U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G l n a G V z d F N j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I a W d o Z X N 0 U 2 N v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G l n a G V z d F N j b 3 J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G l n a G V z d F N j b 3 J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G l n a G V z d F N j b 3 J l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T G 9 3 Z X N 0 U 2 N v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2 V u Z X J h b C B T d G F 0 c y I g L z 4 8 R W 5 0 c n k g V H l w Z T 0 i U m V j b 3 Z l c n l U Y X J n Z X R D b 2 x 1 b W 4 i I F Z h b H V l P S J s O C I g L z 4 8 R W 5 0 c n k g V H l w Z T 0 i U m V j b 3 Z l c n l U Y X J n Z X R S b 3 c i I F Z h b H V l P S J s M j k i I C 8 + P E V u d H J 5 I F R 5 c G U 9 I k Z p b G x U Y X J n Z X Q i I F Z h b H V l P S J z c U x v d 2 V z d F N j b 3 J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G 9 u Z y B O Y W 1 l J n F 1 b 3 Q 7 L C Z x d W 9 0 O 0 x v c 2 V y J n F 1 b 3 Q 7 L C Z x d W 9 0 O 0 J v d H R v b S B T Y 2 9 y Z S Z x d W 9 0 O 1 0 i I C 8 + P E V u d H J 5 I F R 5 c G U 9 I k Z p b G x D b 2 x 1 b W 5 U e X B l c y I g V m F s d W U 9 I n N C Z 1 l E I i A v P j x F b n R y e S B U e X B l P S J G a W x s T G F z d F V w Z G F 0 Z W Q i I F Z h b H V l P S J k M j A y M S 0 w M i 0 y O F Q y M D o z M z o x M i 4 2 N z M 3 N j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l E I i B W Y W x 1 Z T 0 i c z V k M D A 3 O D Y 3 L T M 0 N G M t N D g 3 Z i 1 h Y j Y w L T B k N G F i O D d k N j E 5 Z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U x v d 2 V z d F N j b 3 J l L 0 N o Y W 5 n Z W Q g V H l w Z S 5 7 T G 9 u Z y B O Y W 1 l L D l 9 J n F 1 b 3 Q 7 L C Z x d W 9 0 O 1 N l Y 3 R p b 2 4 x L 3 F M b 3 d l c 3 R T Y 2 9 y Z S 9 D a G F u Z 2 V k I F R 5 c G U u e 0 x v c 2 V y L D I x f S Z x d W 9 0 O y w m c X V v d D t T Z W N 0 a W 9 u M S 9 x T G 9 3 Z X N 0 U 2 N v c m U v Q 2 h h b m d l Z C B U e X B l L n t C b 3 R 0 b 2 0 g U 2 N v c m U s M j d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F M b 3 d l c 3 R T Y 2 9 y Z S 9 D a G F u Z 2 V k I F R 5 c G U u e 0 x v b m c g T m F t Z S w 5 f S Z x d W 9 0 O y w m c X V v d D t T Z W N 0 a W 9 u M S 9 x T G 9 3 Z X N 0 U 2 N v c m U v Q 2 h h b m d l Z C B U e X B l L n t M b 3 N l c i w y M X 0 m c X V v d D s s J n F 1 b 3 Q 7 U 2 V j d G l v b j E v c U x v d 2 V z d F N j b 3 J l L 0 N o Y W 5 n Z W Q g V H l w Z S 5 7 Q m 9 0 d G 9 t I F N j b 3 J l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U x v d 2 V z d F N j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M b 3 d l c 3 R T Y 2 9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M b 3 d l c 3 R T Y 2 9 y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x v d 2 V z d F N j b 3 J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T G 9 3 Z X N 0 U 2 N v c m U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m a C Y R W 6 u S 6 5 S Q T o F q / q G A A A A A A I A A A A A A B B m A A A A A Q A A I A A A A K g d B 7 p H i P f e d N o Z B X 7 R M K k n k D V Q C / e O p y e 9 A A A p 1 e V d A A A A A A 6 A A A A A A g A A I A A A A B g M i 2 Z R 9 l Y Y y / P 1 y + W V e Z j j A 7 l R 4 o x A C k n 8 E 3 f 6 n g h f U A A A A O L p 6 1 N E n x M F a r b 5 U V 7 P r 1 B m n Z C H b o 9 G 9 3 K i J G b C 8 p F q P U F r e a S m U u 5 m E H U c 6 H A S V j j V f f g 0 n r c Z N E b q Q n s D k 7 l V s L a / H A q P V X M o l H M e F P B h Q A A A A C m x + M Z m I p u k R X s N t S / I g V X 2 I 0 B t V v E m D w o U I + / C Q e D / 6 V x K s Z G J 7 k + v F 0 7 B X E O r f W f P R + O W 8 G a D J C O R E n W e O m E = < / D a t a M a s h u p > 
</file>

<file path=customXml/itemProps1.xml><?xml version="1.0" encoding="utf-8"?>
<ds:datastoreItem xmlns:ds="http://schemas.openxmlformats.org/officeDocument/2006/customXml" ds:itemID="{35BEA5A8-3818-441B-800C-2C69A6D071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Matches</vt:lpstr>
      <vt:lpstr>Map Bans</vt:lpstr>
      <vt:lpstr>Bets</vt:lpstr>
      <vt:lpstr>Match Analysis</vt:lpstr>
      <vt:lpstr>PvP</vt:lpstr>
      <vt:lpstr>Map Stats</vt:lpstr>
      <vt:lpstr>General Stats</vt:lpstr>
      <vt:lpstr>Supporting Data</vt:lpstr>
      <vt:lpstr>sMA_Map</vt:lpstr>
      <vt:lpstr>sMA_Match</vt:lpstr>
      <vt:lpstr>sMA_Player1</vt:lpstr>
      <vt:lpstr>sMA_Player1Pick</vt:lpstr>
      <vt:lpstr>sMA_Player2</vt:lpstr>
      <vt:lpstr>sMA_Player2Pick</vt:lpstr>
      <vt:lpstr>sMapName</vt:lpstr>
      <vt:lpstr>sPlayer1</vt:lpstr>
      <vt:lpstr>sPlayer2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Chase</dc:creator>
  <cp:lastModifiedBy>David Chase</cp:lastModifiedBy>
  <dcterms:created xsi:type="dcterms:W3CDTF">2021-02-07T16:26:33Z</dcterms:created>
  <dcterms:modified xsi:type="dcterms:W3CDTF">2021-05-09T17:14:05Z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2021-02-07T16:26:33Z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adacc8d4-5db2-4ac0-a55f-42131a9f304b</vt:lpwstr>
  </property>
  <property fmtid="{D5CDD505-2E9C-101B-9397-08002B2CF9AE}" pid="8" name="MSIP_Label_f42aa342-8706-4288-bd11-ebb85995028c_ContentBits">
    <vt:lpwstr>0</vt:lpwstr>
  </property>
</Properties>
</file>