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/>
  <mc:AlternateContent xmlns:mc="http://schemas.openxmlformats.org/markup-compatibility/2006">
    <mc:Choice Requires="x15">
      <x15ac:absPath xmlns:x15ac="http://schemas.microsoft.com/office/spreadsheetml/2010/11/ac" url="https://d.docs.live.net/868d7d8de63e4535/Documents/"/>
    </mc:Choice>
  </mc:AlternateContent>
  <xr:revisionPtr revIDLastSave="2124" documentId="13_ncr:1_{03E7EF75-1F58-4408-8A12-A08965EE4E71}" xr6:coauthVersionLast="47" xr6:coauthVersionMax="47" xr10:uidLastSave="{45CEC312-8BA3-4BCB-835A-8368F9756BCE}"/>
  <bookViews>
    <workbookView xWindow="4180" yWindow="4180" windowWidth="28800" windowHeight="15450" firstSheet="2" xr2:uid="{00000000-000D-0000-FFFF-FFFF00000000}"/>
  </bookViews>
  <sheets>
    <sheet name="Log" sheetId="1" r:id="rId1"/>
    <sheet name="Catalog" sheetId="2" r:id="rId2"/>
    <sheet name="Daily Summary" sheetId="4" r:id="rId3"/>
    <sheet name="Scratch" sheetId="10" r:id="rId4"/>
    <sheet name="Density" sheetId="9" r:id="rId5"/>
    <sheet name="Meal Plans" sheetId="8" state="hidden" r:id="rId6"/>
    <sheet name="Scratch pad" sheetId="7" state="hidden" r:id="rId7"/>
  </sheets>
  <definedNames>
    <definedName name="Calories_Grn">'Daily Summary'!$P$4</definedName>
    <definedName name="Calories_Red">'Daily Summary'!$P$3</definedName>
    <definedName name="Carbs_Grn">'Daily Summary'!$P$8</definedName>
    <definedName name="Carbs_Red">'Daily Summary'!$P$7</definedName>
    <definedName name="Chol_Grn">'Daily Summary'!$P$10</definedName>
    <definedName name="Chol_Red">'Daily Summary'!$P$9</definedName>
    <definedName name="Glu_Grn">'Daily Summary'!$P$12</definedName>
    <definedName name="Glu_Red">'Daily Summary'!$P$11</definedName>
    <definedName name="iClothes">#REF!</definedName>
    <definedName name="Sodium_Grn">'Daily Summary'!$P$6</definedName>
    <definedName name="Sodium_Red">'Daily Summary'!$P$5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5" i="2" l="1"/>
  <c r="I304" i="2"/>
  <c r="H305" i="2"/>
  <c r="H304" i="2"/>
  <c r="G305" i="2"/>
  <c r="G304" i="2"/>
  <c r="E305" i="2"/>
  <c r="E304" i="2"/>
  <c r="D305" i="2"/>
  <c r="D304" i="2"/>
  <c r="I59" i="2"/>
  <c r="H59" i="2"/>
  <c r="G59" i="2"/>
  <c r="D59" i="2"/>
  <c r="I60" i="2"/>
  <c r="H60" i="2"/>
  <c r="G60" i="2"/>
  <c r="D60" i="2"/>
  <c r="G245" i="2"/>
  <c r="G244" i="2"/>
  <c r="M36" i="4"/>
  <c r="H202" i="2"/>
  <c r="G202" i="2"/>
  <c r="F202" i="2"/>
  <c r="E202" i="2"/>
  <c r="D202" i="2"/>
  <c r="M35" i="4"/>
  <c r="I259" i="2"/>
  <c r="H259" i="2"/>
  <c r="G259" i="2"/>
  <c r="E259" i="2"/>
  <c r="D259" i="2"/>
  <c r="H303" i="2"/>
  <c r="G303" i="2"/>
  <c r="F303" i="2"/>
  <c r="E303" i="2"/>
  <c r="D303" i="2"/>
  <c r="H71" i="2"/>
  <c r="G71" i="2"/>
  <c r="E71" i="2"/>
  <c r="D71" i="2"/>
  <c r="G143" i="2"/>
  <c r="E143" i="2"/>
  <c r="D143" i="2"/>
  <c r="I62" i="2"/>
  <c r="H62" i="2"/>
  <c r="G62" i="2"/>
  <c r="G35" i="2"/>
  <c r="M32" i="4"/>
  <c r="M31" i="4"/>
  <c r="F26" i="2"/>
  <c r="E26" i="2"/>
  <c r="D26" i="2"/>
  <c r="L30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I30" i="4"/>
  <c r="J30" i="4"/>
  <c r="K30" i="4"/>
  <c r="I29" i="4"/>
  <c r="M29" i="4"/>
  <c r="J29" i="4"/>
  <c r="K29" i="4"/>
  <c r="L29" i="4"/>
  <c r="H161" i="2"/>
  <c r="F161" i="2"/>
  <c r="E161" i="2"/>
  <c r="D161" i="2"/>
  <c r="M28" i="4"/>
  <c r="I28" i="4"/>
  <c r="J28" i="4"/>
  <c r="K28" i="4"/>
  <c r="L28" i="4"/>
  <c r="E130" i="2"/>
  <c r="H130" i="2"/>
  <c r="G130" i="2"/>
  <c r="D130" i="2"/>
  <c r="I263" i="2"/>
  <c r="H263" i="2"/>
  <c r="G263" i="2"/>
  <c r="D263" i="2"/>
  <c r="I27" i="4"/>
  <c r="J27" i="4"/>
  <c r="K27" i="4"/>
  <c r="L27" i="4"/>
  <c r="I26" i="4"/>
  <c r="J26" i="4"/>
  <c r="K26" i="4"/>
  <c r="L26" i="4"/>
  <c r="M25" i="4"/>
  <c r="I25" i="4"/>
  <c r="J25" i="4"/>
  <c r="K25" i="4"/>
  <c r="L25" i="4"/>
  <c r="I252" i="2"/>
  <c r="H252" i="2"/>
  <c r="G252" i="2"/>
  <c r="E252" i="2"/>
  <c r="D252" i="2"/>
  <c r="M24" i="4"/>
  <c r="P14" i="4" s="1"/>
  <c r="H98" i="2"/>
  <c r="G98" i="2"/>
  <c r="F98" i="2"/>
  <c r="E98" i="2"/>
  <c r="D98" i="2"/>
  <c r="I24" i="4"/>
  <c r="J24" i="4"/>
  <c r="K24" i="4"/>
  <c r="L24" i="4"/>
  <c r="I35" i="2"/>
  <c r="H35" i="2"/>
  <c r="D35" i="2"/>
  <c r="L23" i="4"/>
  <c r="K23" i="4"/>
  <c r="J23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H287" i="2"/>
  <c r="G287" i="2"/>
  <c r="E287" i="2"/>
  <c r="D287" i="2"/>
  <c r="H286" i="2"/>
  <c r="G286" i="2"/>
  <c r="E286" i="2"/>
  <c r="D286" i="2"/>
  <c r="H131" i="2"/>
  <c r="G131" i="2"/>
  <c r="E131" i="2"/>
  <c r="D131" i="2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H42" i="2"/>
  <c r="G42" i="2"/>
  <c r="F42" i="2"/>
  <c r="E42" i="2"/>
  <c r="D42" i="2"/>
  <c r="H37" i="2"/>
  <c r="G37" i="2"/>
  <c r="F37" i="2"/>
  <c r="E37" i="2"/>
  <c r="D37" i="2"/>
  <c r="N6" i="10"/>
  <c r="N17" i="10" s="1"/>
  <c r="G61" i="2"/>
  <c r="I61" i="2"/>
  <c r="H61" i="2"/>
  <c r="F61" i="2"/>
  <c r="E61" i="2"/>
  <c r="D61" i="2"/>
  <c r="D193" i="1"/>
  <c r="D192" i="1"/>
  <c r="D191" i="1"/>
  <c r="D190" i="1"/>
  <c r="H90" i="2"/>
  <c r="G90" i="2"/>
  <c r="F90" i="2"/>
  <c r="E90" i="2"/>
  <c r="D90" i="2"/>
  <c r="F39" i="2"/>
  <c r="H39" i="2"/>
  <c r="G39" i="2"/>
  <c r="E39" i="2"/>
  <c r="D39" i="2"/>
  <c r="V34" i="10"/>
  <c r="U34" i="10"/>
  <c r="T34" i="10"/>
  <c r="S34" i="10"/>
  <c r="R34" i="10"/>
  <c r="Q34" i="10"/>
  <c r="P34" i="10"/>
  <c r="O34" i="10"/>
  <c r="K34" i="10"/>
  <c r="J34" i="10"/>
  <c r="I34" i="10"/>
  <c r="H34" i="10"/>
  <c r="G34" i="10"/>
  <c r="F34" i="10"/>
  <c r="E34" i="10"/>
  <c r="D34" i="10"/>
  <c r="V33" i="10"/>
  <c r="U33" i="10"/>
  <c r="T33" i="10"/>
  <c r="S33" i="10"/>
  <c r="R33" i="10"/>
  <c r="Q33" i="10"/>
  <c r="P33" i="10"/>
  <c r="O33" i="10"/>
  <c r="K33" i="10"/>
  <c r="J33" i="10"/>
  <c r="I33" i="10"/>
  <c r="H33" i="10"/>
  <c r="G33" i="10"/>
  <c r="F33" i="10"/>
  <c r="E33" i="10"/>
  <c r="D33" i="10"/>
  <c r="V32" i="10"/>
  <c r="U32" i="10"/>
  <c r="T32" i="10"/>
  <c r="S32" i="10"/>
  <c r="R32" i="10"/>
  <c r="Q32" i="10"/>
  <c r="P32" i="10"/>
  <c r="O32" i="10"/>
  <c r="K32" i="10"/>
  <c r="J32" i="10"/>
  <c r="I32" i="10"/>
  <c r="H32" i="10"/>
  <c r="G32" i="10"/>
  <c r="F32" i="10"/>
  <c r="E32" i="10"/>
  <c r="D32" i="10"/>
  <c r="V31" i="10"/>
  <c r="U31" i="10"/>
  <c r="T31" i="10"/>
  <c r="S31" i="10"/>
  <c r="R31" i="10"/>
  <c r="Q31" i="10"/>
  <c r="P31" i="10"/>
  <c r="O31" i="10"/>
  <c r="K31" i="10"/>
  <c r="J31" i="10"/>
  <c r="I31" i="10"/>
  <c r="H31" i="10"/>
  <c r="G31" i="10"/>
  <c r="F31" i="10"/>
  <c r="E31" i="10"/>
  <c r="D31" i="10"/>
  <c r="V30" i="10"/>
  <c r="U30" i="10"/>
  <c r="T30" i="10"/>
  <c r="S30" i="10"/>
  <c r="R30" i="10"/>
  <c r="Q30" i="10"/>
  <c r="P30" i="10"/>
  <c r="O30" i="10"/>
  <c r="K30" i="10"/>
  <c r="J30" i="10"/>
  <c r="I30" i="10"/>
  <c r="H30" i="10"/>
  <c r="G30" i="10"/>
  <c r="F30" i="10"/>
  <c r="E30" i="10"/>
  <c r="D30" i="10"/>
  <c r="V29" i="10"/>
  <c r="U29" i="10"/>
  <c r="T29" i="10"/>
  <c r="S29" i="10"/>
  <c r="R29" i="10"/>
  <c r="Q29" i="10"/>
  <c r="P29" i="10"/>
  <c r="O29" i="10"/>
  <c r="K29" i="10"/>
  <c r="J29" i="10"/>
  <c r="I29" i="10"/>
  <c r="H29" i="10"/>
  <c r="G29" i="10"/>
  <c r="F29" i="10"/>
  <c r="E29" i="10"/>
  <c r="D29" i="10"/>
  <c r="V28" i="10"/>
  <c r="U28" i="10"/>
  <c r="T28" i="10"/>
  <c r="S28" i="10"/>
  <c r="R28" i="10"/>
  <c r="Q28" i="10"/>
  <c r="P28" i="10"/>
  <c r="O28" i="10"/>
  <c r="K28" i="10"/>
  <c r="J28" i="10"/>
  <c r="I28" i="10"/>
  <c r="H28" i="10"/>
  <c r="G28" i="10"/>
  <c r="F28" i="10"/>
  <c r="E28" i="10"/>
  <c r="D28" i="10"/>
  <c r="V27" i="10"/>
  <c r="U27" i="10"/>
  <c r="T27" i="10"/>
  <c r="S27" i="10"/>
  <c r="R27" i="10"/>
  <c r="Q27" i="10"/>
  <c r="P27" i="10"/>
  <c r="O27" i="10"/>
  <c r="K27" i="10"/>
  <c r="J27" i="10"/>
  <c r="I27" i="10"/>
  <c r="H27" i="10"/>
  <c r="G27" i="10"/>
  <c r="F27" i="10"/>
  <c r="E27" i="10"/>
  <c r="D27" i="10"/>
  <c r="V26" i="10"/>
  <c r="U26" i="10"/>
  <c r="T26" i="10"/>
  <c r="S26" i="10"/>
  <c r="R26" i="10"/>
  <c r="Q26" i="10"/>
  <c r="P26" i="10"/>
  <c r="O26" i="10"/>
  <c r="K26" i="10"/>
  <c r="J26" i="10"/>
  <c r="I26" i="10"/>
  <c r="H26" i="10"/>
  <c r="G26" i="10"/>
  <c r="F26" i="10"/>
  <c r="E26" i="10"/>
  <c r="D26" i="10"/>
  <c r="V25" i="10"/>
  <c r="U25" i="10"/>
  <c r="T25" i="10"/>
  <c r="S25" i="10"/>
  <c r="R25" i="10"/>
  <c r="Q25" i="10"/>
  <c r="P25" i="10"/>
  <c r="O25" i="10"/>
  <c r="K25" i="10"/>
  <c r="J25" i="10"/>
  <c r="I25" i="10"/>
  <c r="H25" i="10"/>
  <c r="G25" i="10"/>
  <c r="F25" i="10"/>
  <c r="E25" i="10"/>
  <c r="D25" i="10"/>
  <c r="V24" i="10"/>
  <c r="U24" i="10"/>
  <c r="T24" i="10"/>
  <c r="S24" i="10"/>
  <c r="R24" i="10"/>
  <c r="Q24" i="10"/>
  <c r="P24" i="10"/>
  <c r="O24" i="10"/>
  <c r="K24" i="10"/>
  <c r="J24" i="10"/>
  <c r="I24" i="10"/>
  <c r="H24" i="10"/>
  <c r="G24" i="10"/>
  <c r="F24" i="10"/>
  <c r="E24" i="10"/>
  <c r="D24" i="10"/>
  <c r="V23" i="10"/>
  <c r="V35" i="10" s="1"/>
  <c r="V36" i="10" s="1"/>
  <c r="U23" i="10"/>
  <c r="U35" i="10" s="1"/>
  <c r="U36" i="10" s="1"/>
  <c r="T23" i="10"/>
  <c r="T35" i="10" s="1"/>
  <c r="T36" i="10" s="1"/>
  <c r="S23" i="10"/>
  <c r="S35" i="10" s="1"/>
  <c r="S36" i="10" s="1"/>
  <c r="R23" i="10"/>
  <c r="R35" i="10" s="1"/>
  <c r="R36" i="10" s="1"/>
  <c r="Q23" i="10"/>
  <c r="Q35" i="10" s="1"/>
  <c r="Q36" i="10" s="1"/>
  <c r="P23" i="10"/>
  <c r="P35" i="10" s="1"/>
  <c r="P36" i="10" s="1"/>
  <c r="O23" i="10"/>
  <c r="K23" i="10"/>
  <c r="K35" i="10" s="1"/>
  <c r="K36" i="10" s="1"/>
  <c r="J23" i="10"/>
  <c r="J35" i="10" s="1"/>
  <c r="J36" i="10" s="1"/>
  <c r="I23" i="10"/>
  <c r="I35" i="10" s="1"/>
  <c r="I36" i="10" s="1"/>
  <c r="H23" i="10"/>
  <c r="H35" i="10" s="1"/>
  <c r="H36" i="10" s="1"/>
  <c r="G23" i="10"/>
  <c r="G35" i="10" s="1"/>
  <c r="G36" i="10" s="1"/>
  <c r="F23" i="10"/>
  <c r="F35" i="10" s="1"/>
  <c r="F36" i="10" s="1"/>
  <c r="E23" i="10"/>
  <c r="E35" i="10" s="1"/>
  <c r="E36" i="10" s="1"/>
  <c r="D23" i="10"/>
  <c r="V16" i="10"/>
  <c r="U16" i="10"/>
  <c r="T16" i="10"/>
  <c r="S16" i="10"/>
  <c r="R16" i="10"/>
  <c r="Q16" i="10"/>
  <c r="P16" i="10"/>
  <c r="O16" i="10"/>
  <c r="V15" i="10"/>
  <c r="U15" i="10"/>
  <c r="T15" i="10"/>
  <c r="S15" i="10"/>
  <c r="R15" i="10"/>
  <c r="Q15" i="10"/>
  <c r="P15" i="10"/>
  <c r="O15" i="10"/>
  <c r="V14" i="10"/>
  <c r="U14" i="10"/>
  <c r="T14" i="10"/>
  <c r="S14" i="10"/>
  <c r="R14" i="10"/>
  <c r="Q14" i="10"/>
  <c r="P14" i="10"/>
  <c r="O14" i="10"/>
  <c r="V13" i="10"/>
  <c r="U13" i="10"/>
  <c r="T13" i="10"/>
  <c r="S13" i="10"/>
  <c r="R13" i="10"/>
  <c r="Q13" i="10"/>
  <c r="P13" i="10"/>
  <c r="O13" i="10"/>
  <c r="V12" i="10"/>
  <c r="U12" i="10"/>
  <c r="T12" i="10"/>
  <c r="S12" i="10"/>
  <c r="R12" i="10"/>
  <c r="Q12" i="10"/>
  <c r="P12" i="10"/>
  <c r="O12" i="10"/>
  <c r="V11" i="10"/>
  <c r="U11" i="10"/>
  <c r="T11" i="10"/>
  <c r="S11" i="10"/>
  <c r="R11" i="10"/>
  <c r="Q11" i="10"/>
  <c r="P11" i="10"/>
  <c r="O11" i="10"/>
  <c r="V10" i="10"/>
  <c r="U10" i="10"/>
  <c r="T10" i="10"/>
  <c r="S10" i="10"/>
  <c r="R10" i="10"/>
  <c r="Q10" i="10"/>
  <c r="P10" i="10"/>
  <c r="O10" i="10"/>
  <c r="V9" i="10"/>
  <c r="U9" i="10"/>
  <c r="T9" i="10"/>
  <c r="S9" i="10"/>
  <c r="R9" i="10"/>
  <c r="Q9" i="10"/>
  <c r="P9" i="10"/>
  <c r="O9" i="10"/>
  <c r="V8" i="10"/>
  <c r="U8" i="10"/>
  <c r="T8" i="10"/>
  <c r="R8" i="10"/>
  <c r="Q8" i="10"/>
  <c r="S8" i="10" s="1"/>
  <c r="P8" i="10"/>
  <c r="O8" i="10"/>
  <c r="V7" i="10"/>
  <c r="U7" i="10"/>
  <c r="T7" i="10"/>
  <c r="R7" i="10"/>
  <c r="Q7" i="10"/>
  <c r="S7" i="10" s="1"/>
  <c r="P7" i="10"/>
  <c r="O7" i="10"/>
  <c r="V6" i="10"/>
  <c r="U6" i="10"/>
  <c r="T6" i="10"/>
  <c r="R6" i="10"/>
  <c r="Q6" i="10"/>
  <c r="S6" i="10" s="1"/>
  <c r="P6" i="10"/>
  <c r="O6" i="10"/>
  <c r="R5" i="10"/>
  <c r="R17" i="10" s="1"/>
  <c r="R18" i="10" s="1"/>
  <c r="O5" i="10"/>
  <c r="K16" i="10"/>
  <c r="J16" i="10"/>
  <c r="I16" i="10"/>
  <c r="G16" i="10"/>
  <c r="F16" i="10"/>
  <c r="H16" i="10" s="1"/>
  <c r="E16" i="10"/>
  <c r="D16" i="10"/>
  <c r="K15" i="10"/>
  <c r="J15" i="10"/>
  <c r="I15" i="10"/>
  <c r="G15" i="10"/>
  <c r="F15" i="10"/>
  <c r="H15" i="10" s="1"/>
  <c r="E15" i="10"/>
  <c r="D15" i="10"/>
  <c r="K14" i="10"/>
  <c r="J14" i="10"/>
  <c r="I14" i="10"/>
  <c r="G14" i="10"/>
  <c r="F14" i="10"/>
  <c r="H14" i="10" s="1"/>
  <c r="E14" i="10"/>
  <c r="D14" i="10"/>
  <c r="K13" i="10"/>
  <c r="J13" i="10"/>
  <c r="I13" i="10"/>
  <c r="G13" i="10"/>
  <c r="F13" i="10"/>
  <c r="H13" i="10" s="1"/>
  <c r="E13" i="10"/>
  <c r="D13" i="10"/>
  <c r="K12" i="10"/>
  <c r="J12" i="10"/>
  <c r="I12" i="10"/>
  <c r="G12" i="10"/>
  <c r="F12" i="10"/>
  <c r="H12" i="10" s="1"/>
  <c r="E12" i="10"/>
  <c r="D12" i="10"/>
  <c r="K11" i="10"/>
  <c r="J11" i="10"/>
  <c r="I11" i="10"/>
  <c r="G11" i="10"/>
  <c r="F11" i="10"/>
  <c r="H11" i="10" s="1"/>
  <c r="E11" i="10"/>
  <c r="D11" i="10"/>
  <c r="K10" i="10"/>
  <c r="J10" i="10"/>
  <c r="I10" i="10"/>
  <c r="G10" i="10"/>
  <c r="F10" i="10"/>
  <c r="H10" i="10" s="1"/>
  <c r="E10" i="10"/>
  <c r="D10" i="10"/>
  <c r="K9" i="10"/>
  <c r="J9" i="10"/>
  <c r="I9" i="10"/>
  <c r="G9" i="10"/>
  <c r="F9" i="10"/>
  <c r="H9" i="10" s="1"/>
  <c r="E9" i="10"/>
  <c r="D9" i="10"/>
  <c r="K8" i="10"/>
  <c r="J8" i="10"/>
  <c r="I8" i="10"/>
  <c r="G8" i="10"/>
  <c r="F8" i="10"/>
  <c r="H8" i="10" s="1"/>
  <c r="E8" i="10"/>
  <c r="D8" i="10"/>
  <c r="K7" i="10"/>
  <c r="E7" i="10"/>
  <c r="D7" i="10"/>
  <c r="G6" i="10"/>
  <c r="F6" i="10"/>
  <c r="H6" i="10" s="1"/>
  <c r="E6" i="10"/>
  <c r="D6" i="10"/>
  <c r="K5" i="10"/>
  <c r="J5" i="10"/>
  <c r="I5" i="10"/>
  <c r="G5" i="10"/>
  <c r="F5" i="10"/>
  <c r="E5" i="10"/>
  <c r="E17" i="10" s="1"/>
  <c r="E18" i="10" s="1"/>
  <c r="D5" i="10"/>
  <c r="D176" i="1"/>
  <c r="D175" i="1"/>
  <c r="D174" i="1"/>
  <c r="D173" i="1"/>
  <c r="H194" i="2"/>
  <c r="G194" i="2"/>
  <c r="F194" i="2"/>
  <c r="E194" i="2"/>
  <c r="D194" i="2"/>
  <c r="D165" i="1"/>
  <c r="D164" i="1"/>
  <c r="D163" i="1"/>
  <c r="D162" i="1"/>
  <c r="D1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9" i="1"/>
  <c r="E240" i="1"/>
  <c r="E241" i="1"/>
  <c r="E242" i="1"/>
  <c r="E238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D138" i="1"/>
  <c r="F130" i="1"/>
  <c r="F131" i="1"/>
  <c r="F132" i="1"/>
  <c r="F133" i="1"/>
  <c r="D78" i="2"/>
  <c r="D243" i="2"/>
  <c r="D24" i="2"/>
  <c r="F3" i="1"/>
  <c r="F4" i="1"/>
  <c r="F5" i="1"/>
  <c r="F6" i="1"/>
  <c r="D8" i="2"/>
  <c r="F7" i="1"/>
  <c r="F8" i="1"/>
  <c r="F9" i="1"/>
  <c r="D228" i="2"/>
  <c r="F10" i="1"/>
  <c r="D265" i="2"/>
  <c r="F11" i="1"/>
  <c r="F12" i="1"/>
  <c r="F13" i="1"/>
  <c r="F14" i="1"/>
  <c r="F15" i="1"/>
  <c r="F16" i="1"/>
  <c r="D137" i="2"/>
  <c r="F17" i="1"/>
  <c r="F18" i="1"/>
  <c r="F19" i="1"/>
  <c r="D45" i="2"/>
  <c r="F20" i="1"/>
  <c r="F21" i="1"/>
  <c r="F22" i="1"/>
  <c r="F23" i="1"/>
  <c r="D226" i="2"/>
  <c r="F24" i="1"/>
  <c r="D22" i="2"/>
  <c r="F25" i="1"/>
  <c r="F26" i="1"/>
  <c r="D262" i="2"/>
  <c r="F27" i="1"/>
  <c r="D264" i="2"/>
  <c r="F28" i="1"/>
  <c r="F29" i="1"/>
  <c r="F30" i="1"/>
  <c r="D293" i="2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D257" i="2"/>
  <c r="F50" i="1"/>
  <c r="F51" i="1"/>
  <c r="F52" i="1"/>
  <c r="F53" i="1"/>
  <c r="D241" i="2"/>
  <c r="F54" i="1"/>
  <c r="F55" i="1"/>
  <c r="F56" i="1"/>
  <c r="F57" i="1"/>
  <c r="F58" i="1"/>
  <c r="F59" i="1"/>
  <c r="F60" i="1"/>
  <c r="F61" i="1"/>
  <c r="D86" i="2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D78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D93" i="1"/>
  <c r="D112" i="2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D160" i="2"/>
  <c r="F110" i="1"/>
  <c r="D285" i="2"/>
  <c r="F166" i="1" s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D134" i="1"/>
  <c r="D271" i="2"/>
  <c r="F134" i="1"/>
  <c r="D135" i="1"/>
  <c r="D185" i="2"/>
  <c r="F135" i="1"/>
  <c r="D136" i="1"/>
  <c r="F136" i="1"/>
  <c r="D137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9" i="1"/>
  <c r="F240" i="1"/>
  <c r="F241" i="1"/>
  <c r="F242" i="1"/>
  <c r="F238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C15" i="4"/>
  <c r="J130" i="1"/>
  <c r="J131" i="1"/>
  <c r="J132" i="1"/>
  <c r="J133" i="1"/>
  <c r="G78" i="2"/>
  <c r="G243" i="2"/>
  <c r="G24" i="2"/>
  <c r="J3" i="1"/>
  <c r="J4" i="1"/>
  <c r="J5" i="1"/>
  <c r="J6" i="1"/>
  <c r="G8" i="2"/>
  <c r="J7" i="1"/>
  <c r="J8" i="1"/>
  <c r="J9" i="1"/>
  <c r="G228" i="2"/>
  <c r="J10" i="1"/>
  <c r="G265" i="2"/>
  <c r="J11" i="1"/>
  <c r="J12" i="1"/>
  <c r="J13" i="1"/>
  <c r="J14" i="1"/>
  <c r="J15" i="1"/>
  <c r="J16" i="1"/>
  <c r="G137" i="2"/>
  <c r="J17" i="1"/>
  <c r="J18" i="1"/>
  <c r="J19" i="1"/>
  <c r="G45" i="2"/>
  <c r="J20" i="1"/>
  <c r="J21" i="1"/>
  <c r="J22" i="1"/>
  <c r="J23" i="1"/>
  <c r="G226" i="2"/>
  <c r="J24" i="1"/>
  <c r="G22" i="2"/>
  <c r="J25" i="1"/>
  <c r="J26" i="1"/>
  <c r="G262" i="2"/>
  <c r="J27" i="1"/>
  <c r="G264" i="2"/>
  <c r="J28" i="1"/>
  <c r="J29" i="1"/>
  <c r="J30" i="1"/>
  <c r="G293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G257" i="2"/>
  <c r="J50" i="1"/>
  <c r="J51" i="1"/>
  <c r="J52" i="1"/>
  <c r="J53" i="1"/>
  <c r="G241" i="2"/>
  <c r="J54" i="1"/>
  <c r="J55" i="1"/>
  <c r="J56" i="1"/>
  <c r="J57" i="1"/>
  <c r="J58" i="1"/>
  <c r="J59" i="1"/>
  <c r="J60" i="1"/>
  <c r="J61" i="1"/>
  <c r="G86" i="2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G112" i="2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G154" i="2"/>
  <c r="I7" i="10" s="1"/>
  <c r="J107" i="1"/>
  <c r="J108" i="1"/>
  <c r="J109" i="1"/>
  <c r="J110" i="1"/>
  <c r="G285" i="2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G271" i="2"/>
  <c r="J134" i="1"/>
  <c r="G185" i="2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9" i="1"/>
  <c r="J240" i="1"/>
  <c r="J241" i="1"/>
  <c r="J242" i="1"/>
  <c r="J238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D15" i="4"/>
  <c r="G130" i="1"/>
  <c r="H130" i="1"/>
  <c r="I130" i="1"/>
  <c r="G131" i="1"/>
  <c r="H131" i="1"/>
  <c r="I131" i="1"/>
  <c r="G132" i="1"/>
  <c r="H132" i="1"/>
  <c r="I132" i="1"/>
  <c r="G133" i="1"/>
  <c r="H133" i="1"/>
  <c r="I133" i="1"/>
  <c r="E78" i="2"/>
  <c r="F78" i="2"/>
  <c r="G3" i="1"/>
  <c r="H3" i="1"/>
  <c r="I3" i="1"/>
  <c r="G4" i="1"/>
  <c r="H4" i="1"/>
  <c r="I4" i="1"/>
  <c r="G5" i="1"/>
  <c r="H5" i="1"/>
  <c r="I5" i="1"/>
  <c r="G6" i="1"/>
  <c r="H6" i="1"/>
  <c r="I6" i="1"/>
  <c r="E8" i="2"/>
  <c r="G7" i="1"/>
  <c r="F8" i="2"/>
  <c r="H7" i="1"/>
  <c r="I7" i="1"/>
  <c r="G8" i="1"/>
  <c r="H8" i="1"/>
  <c r="I8" i="1"/>
  <c r="G9" i="1"/>
  <c r="H9" i="1"/>
  <c r="I9" i="1"/>
  <c r="E228" i="2"/>
  <c r="G10" i="1"/>
  <c r="F228" i="2"/>
  <c r="H10" i="1"/>
  <c r="I10" i="1"/>
  <c r="E265" i="2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E45" i="2"/>
  <c r="G20" i="1"/>
  <c r="F45" i="2"/>
  <c r="H20" i="1"/>
  <c r="I20" i="1"/>
  <c r="G21" i="1"/>
  <c r="H21" i="1"/>
  <c r="I21" i="1"/>
  <c r="G22" i="1"/>
  <c r="H22" i="1"/>
  <c r="I22" i="1"/>
  <c r="G23" i="1"/>
  <c r="H23" i="1"/>
  <c r="I23" i="1"/>
  <c r="E226" i="2"/>
  <c r="G24" i="1"/>
  <c r="F226" i="2"/>
  <c r="H24" i="1"/>
  <c r="I24" i="1"/>
  <c r="G25" i="1"/>
  <c r="H25" i="1"/>
  <c r="I25" i="1"/>
  <c r="G26" i="1"/>
  <c r="H26" i="1"/>
  <c r="I26" i="1"/>
  <c r="G27" i="1"/>
  <c r="H27" i="1"/>
  <c r="I27" i="1"/>
  <c r="E264" i="2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E257" i="2"/>
  <c r="G50" i="1"/>
  <c r="H50" i="1"/>
  <c r="I50" i="1"/>
  <c r="G51" i="1"/>
  <c r="H51" i="1"/>
  <c r="I51" i="1"/>
  <c r="G52" i="1"/>
  <c r="H52" i="1"/>
  <c r="I52" i="1"/>
  <c r="G53" i="1"/>
  <c r="H53" i="1"/>
  <c r="I53" i="1"/>
  <c r="E241" i="2"/>
  <c r="G54" i="1"/>
  <c r="F241" i="2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E112" i="2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54" i="2"/>
  <c r="F7" i="10" s="1"/>
  <c r="G107" i="1"/>
  <c r="F154" i="2"/>
  <c r="G7" i="10" s="1"/>
  <c r="H107" i="1"/>
  <c r="I107" i="1"/>
  <c r="G108" i="1"/>
  <c r="H108" i="1"/>
  <c r="I108" i="1"/>
  <c r="G109" i="1"/>
  <c r="H109" i="1"/>
  <c r="I109" i="1"/>
  <c r="E160" i="2"/>
  <c r="G110" i="1"/>
  <c r="F160" i="2"/>
  <c r="H110" i="1"/>
  <c r="I110" i="1"/>
  <c r="E285" i="2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4" i="1"/>
  <c r="H134" i="1"/>
  <c r="I134" i="1"/>
  <c r="E185" i="2"/>
  <c r="G135" i="1"/>
  <c r="F185" i="2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E15" i="4"/>
  <c r="K130" i="1"/>
  <c r="K131" i="1"/>
  <c r="K132" i="1"/>
  <c r="K133" i="1"/>
  <c r="H78" i="2"/>
  <c r="H243" i="2"/>
  <c r="H24" i="2"/>
  <c r="K3" i="1"/>
  <c r="K4" i="1"/>
  <c r="K5" i="1"/>
  <c r="K6" i="1"/>
  <c r="H8" i="2"/>
  <c r="K7" i="1"/>
  <c r="K8" i="1"/>
  <c r="K9" i="1"/>
  <c r="H228" i="2"/>
  <c r="K10" i="1"/>
  <c r="H265" i="2"/>
  <c r="K11" i="1"/>
  <c r="K12" i="1"/>
  <c r="K13" i="1"/>
  <c r="K14" i="1"/>
  <c r="K15" i="1"/>
  <c r="K16" i="1"/>
  <c r="H137" i="2"/>
  <c r="K17" i="1"/>
  <c r="K18" i="1"/>
  <c r="K19" i="1"/>
  <c r="H45" i="2"/>
  <c r="K20" i="1"/>
  <c r="K21" i="1"/>
  <c r="K22" i="1"/>
  <c r="K23" i="1"/>
  <c r="H226" i="2"/>
  <c r="K24" i="1"/>
  <c r="H22" i="2"/>
  <c r="K25" i="1"/>
  <c r="K26" i="1"/>
  <c r="H262" i="2"/>
  <c r="K27" i="1"/>
  <c r="H264" i="2"/>
  <c r="K28" i="1"/>
  <c r="K29" i="1"/>
  <c r="K30" i="1"/>
  <c r="H293" i="2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H257" i="2"/>
  <c r="K50" i="1"/>
  <c r="K51" i="1"/>
  <c r="K52" i="1"/>
  <c r="K53" i="1"/>
  <c r="H241" i="2"/>
  <c r="K54" i="1"/>
  <c r="K55" i="1"/>
  <c r="K56" i="1"/>
  <c r="K57" i="1"/>
  <c r="K58" i="1"/>
  <c r="K59" i="1"/>
  <c r="K60" i="1"/>
  <c r="K61" i="1"/>
  <c r="H86" i="2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H112" i="2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H154" i="2"/>
  <c r="J7" i="10" s="1"/>
  <c r="K107" i="1"/>
  <c r="K108" i="1"/>
  <c r="K109" i="1"/>
  <c r="H160" i="2"/>
  <c r="K110" i="1"/>
  <c r="H285" i="2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H271" i="2"/>
  <c r="K134" i="1"/>
  <c r="H185" i="2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9" i="1"/>
  <c r="K240" i="1"/>
  <c r="K241" i="1"/>
  <c r="K242" i="1"/>
  <c r="K238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F15" i="4"/>
  <c r="L130" i="1"/>
  <c r="L131" i="1"/>
  <c r="L132" i="1"/>
  <c r="L133" i="1"/>
  <c r="I243" i="2"/>
  <c r="I24" i="2"/>
  <c r="L3" i="1"/>
  <c r="L4" i="1"/>
  <c r="L5" i="1"/>
  <c r="L6" i="1"/>
  <c r="L7" i="1"/>
  <c r="L8" i="1"/>
  <c r="L9" i="1"/>
  <c r="L10" i="1"/>
  <c r="I265" i="2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I226" i="2"/>
  <c r="L24" i="1"/>
  <c r="I22" i="2"/>
  <c r="L25" i="1"/>
  <c r="L26" i="1"/>
  <c r="I262" i="2"/>
  <c r="L27" i="1"/>
  <c r="I264" i="2"/>
  <c r="L28" i="1"/>
  <c r="L29" i="1"/>
  <c r="L30" i="1"/>
  <c r="I293" i="2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257" i="2"/>
  <c r="L50" i="1"/>
  <c r="L51" i="1"/>
  <c r="L52" i="1"/>
  <c r="L53" i="1"/>
  <c r="L54" i="1"/>
  <c r="L55" i="1"/>
  <c r="L56" i="1"/>
  <c r="L57" i="1"/>
  <c r="L58" i="1"/>
  <c r="L59" i="1"/>
  <c r="L60" i="1"/>
  <c r="L61" i="1"/>
  <c r="I86" i="2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I112" i="2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I271" i="2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9" i="1"/>
  <c r="L240" i="1"/>
  <c r="L241" i="1"/>
  <c r="L242" i="1"/>
  <c r="L238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G15" i="4"/>
  <c r="G5" i="2"/>
  <c r="H107" i="2"/>
  <c r="G107" i="2"/>
  <c r="F107" i="2"/>
  <c r="E107" i="2"/>
  <c r="D107" i="2"/>
  <c r="H48" i="2"/>
  <c r="G48" i="2"/>
  <c r="F48" i="2"/>
  <c r="E48" i="2"/>
  <c r="D48" i="2"/>
  <c r="H14" i="2"/>
  <c r="H6" i="2"/>
  <c r="F6" i="2"/>
  <c r="E6" i="2"/>
  <c r="I111" i="2"/>
  <c r="H111" i="2"/>
  <c r="G111" i="2"/>
  <c r="E111" i="2"/>
  <c r="D111" i="2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9" i="1"/>
  <c r="H240" i="1"/>
  <c r="H241" i="1"/>
  <c r="H242" i="1"/>
  <c r="H238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9" i="1"/>
  <c r="I239" i="1" s="1"/>
  <c r="G240" i="1"/>
  <c r="I240" i="1" s="1"/>
  <c r="G241" i="1"/>
  <c r="I241" i="1" s="1"/>
  <c r="G242" i="1"/>
  <c r="I242" i="1" s="1"/>
  <c r="G238" i="1"/>
  <c r="I238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I87" i="2"/>
  <c r="H87" i="2"/>
  <c r="G87" i="2"/>
  <c r="D87" i="2"/>
  <c r="I292" i="2"/>
  <c r="H292" i="2"/>
  <c r="G292" i="2"/>
  <c r="H277" i="2"/>
  <c r="I17" i="9"/>
  <c r="F277" i="2"/>
  <c r="E277" i="2"/>
  <c r="E17" i="9"/>
  <c r="D277" i="2"/>
  <c r="D17" i="9"/>
  <c r="H66" i="2"/>
  <c r="I11" i="9"/>
  <c r="G66" i="2"/>
  <c r="F66" i="2"/>
  <c r="E66" i="2"/>
  <c r="D66" i="2"/>
  <c r="H207" i="2"/>
  <c r="I3" i="9"/>
  <c r="G207" i="2"/>
  <c r="F207" i="2"/>
  <c r="E207" i="2"/>
  <c r="D207" i="2"/>
  <c r="D3" i="9"/>
  <c r="H159" i="2"/>
  <c r="I4" i="9"/>
  <c r="G159" i="2"/>
  <c r="H4" i="9"/>
  <c r="F159" i="2"/>
  <c r="F4" i="9"/>
  <c r="E159" i="2"/>
  <c r="D159" i="2"/>
  <c r="D4" i="9"/>
  <c r="H176" i="2"/>
  <c r="I12" i="9"/>
  <c r="G176" i="2"/>
  <c r="H12" i="9"/>
  <c r="F176" i="2"/>
  <c r="E176" i="2"/>
  <c r="D176" i="2"/>
  <c r="H116" i="2"/>
  <c r="I19" i="9"/>
  <c r="G116" i="2"/>
  <c r="H19" i="9"/>
  <c r="F116" i="2"/>
  <c r="E116" i="2"/>
  <c r="D116" i="2"/>
  <c r="H17" i="2"/>
  <c r="I13" i="9"/>
  <c r="G17" i="2"/>
  <c r="H13" i="9"/>
  <c r="F17" i="2"/>
  <c r="F13" i="9"/>
  <c r="E17" i="2"/>
  <c r="E13" i="9"/>
  <c r="D17" i="2"/>
  <c r="J14" i="9"/>
  <c r="J5" i="9"/>
  <c r="J16" i="9"/>
  <c r="J10" i="9"/>
  <c r="J7" i="9"/>
  <c r="J8" i="9"/>
  <c r="J17" i="9"/>
  <c r="J15" i="9"/>
  <c r="J9" i="9"/>
  <c r="J11" i="9"/>
  <c r="J18" i="9"/>
  <c r="J13" i="9"/>
  <c r="J19" i="9"/>
  <c r="J12" i="9"/>
  <c r="J4" i="9"/>
  <c r="J6" i="9"/>
  <c r="J3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H17" i="9"/>
  <c r="H11" i="9"/>
  <c r="H18" i="9"/>
  <c r="H3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F17" i="9"/>
  <c r="F11" i="9"/>
  <c r="F19" i="9"/>
  <c r="F12" i="9"/>
  <c r="F3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E11" i="9"/>
  <c r="E19" i="9"/>
  <c r="E12" i="9"/>
  <c r="E4" i="9"/>
  <c r="E3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D5" i="9"/>
  <c r="D11" i="9"/>
  <c r="D13" i="9"/>
  <c r="D19" i="9"/>
  <c r="D12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3" i="9"/>
  <c r="C6" i="9"/>
  <c r="C4" i="9"/>
  <c r="C12" i="9"/>
  <c r="C19" i="9"/>
  <c r="C13" i="9"/>
  <c r="C18" i="9"/>
  <c r="C11" i="9"/>
  <c r="C9" i="9"/>
  <c r="C15" i="9"/>
  <c r="C17" i="9"/>
  <c r="C8" i="9"/>
  <c r="C7" i="9"/>
  <c r="C10" i="9"/>
  <c r="C16" i="9"/>
  <c r="C5" i="9"/>
  <c r="C14" i="9"/>
  <c r="H217" i="2"/>
  <c r="I5" i="9"/>
  <c r="G217" i="2"/>
  <c r="H5" i="9"/>
  <c r="F217" i="2"/>
  <c r="F5" i="9"/>
  <c r="E217" i="2"/>
  <c r="E5" i="9"/>
  <c r="H216" i="2"/>
  <c r="I18" i="9"/>
  <c r="F216" i="2"/>
  <c r="F18" i="9"/>
  <c r="E216" i="2"/>
  <c r="E18" i="9"/>
  <c r="D216" i="2"/>
  <c r="D18" i="9"/>
  <c r="H81" i="2"/>
  <c r="I10" i="9"/>
  <c r="G81" i="2"/>
  <c r="H10" i="9"/>
  <c r="F81" i="2"/>
  <c r="F10" i="9"/>
  <c r="E81" i="2"/>
  <c r="E10" i="9"/>
  <c r="D81" i="2"/>
  <c r="D10" i="9"/>
  <c r="H223" i="2"/>
  <c r="I8" i="9"/>
  <c r="G223" i="2"/>
  <c r="H8" i="9"/>
  <c r="F223" i="2"/>
  <c r="F8" i="9"/>
  <c r="E223" i="2"/>
  <c r="E8" i="9"/>
  <c r="D223" i="2"/>
  <c r="D8" i="9"/>
  <c r="H21" i="2"/>
  <c r="I6" i="9"/>
  <c r="G21" i="2"/>
  <c r="H6" i="9"/>
  <c r="F21" i="2"/>
  <c r="F6" i="9"/>
  <c r="E21" i="2"/>
  <c r="E6" i="9"/>
  <c r="D21" i="2"/>
  <c r="D6" i="9"/>
  <c r="H239" i="2"/>
  <c r="I9" i="9"/>
  <c r="G239" i="2"/>
  <c r="H9" i="9"/>
  <c r="F239" i="2"/>
  <c r="F9" i="9"/>
  <c r="E239" i="2"/>
  <c r="E9" i="9"/>
  <c r="D239" i="2"/>
  <c r="D9" i="9"/>
  <c r="H237" i="2"/>
  <c r="I15" i="9"/>
  <c r="G237" i="2"/>
  <c r="H15" i="9"/>
  <c r="F237" i="2"/>
  <c r="F15" i="9"/>
  <c r="E237" i="2"/>
  <c r="E15" i="9"/>
  <c r="D237" i="2"/>
  <c r="D15" i="9"/>
  <c r="C13" i="4"/>
  <c r="E13" i="4"/>
  <c r="D13" i="4"/>
  <c r="F13" i="4"/>
  <c r="G13" i="4"/>
  <c r="G12" i="4"/>
  <c r="G62" i="9"/>
  <c r="G132" i="9"/>
  <c r="G11" i="9"/>
  <c r="G181" i="9"/>
  <c r="G165" i="9"/>
  <c r="G149" i="9"/>
  <c r="G208" i="9"/>
  <c r="G196" i="9"/>
  <c r="G180" i="9"/>
  <c r="G164" i="9"/>
  <c r="G148" i="9"/>
  <c r="G9" i="9"/>
  <c r="G27" i="9"/>
  <c r="G96" i="9"/>
  <c r="G144" i="9"/>
  <c r="G13" i="9"/>
  <c r="G30" i="9"/>
  <c r="G28" i="9"/>
  <c r="G38" i="9"/>
  <c r="G86" i="9"/>
  <c r="G102" i="9"/>
  <c r="G183" i="9"/>
  <c r="G110" i="9"/>
  <c r="G126" i="9"/>
  <c r="G209" i="9"/>
  <c r="G118" i="9"/>
  <c r="G121" i="9"/>
  <c r="G64" i="9"/>
  <c r="G128" i="9"/>
  <c r="G160" i="9"/>
  <c r="G176" i="9"/>
  <c r="G192" i="9"/>
  <c r="G23" i="9"/>
  <c r="G39" i="9"/>
  <c r="G108" i="9"/>
  <c r="G124" i="9"/>
  <c r="G26" i="9"/>
  <c r="G58" i="9"/>
  <c r="G49" i="9"/>
  <c r="G65" i="9"/>
  <c r="G145" i="9"/>
  <c r="G146" i="9"/>
  <c r="G32" i="9"/>
  <c r="G90" i="9"/>
  <c r="G122" i="9"/>
  <c r="G52" i="9"/>
  <c r="G6" i="9"/>
  <c r="G34" i="9"/>
  <c r="G50" i="9"/>
  <c r="G130" i="9"/>
  <c r="G135" i="9"/>
  <c r="G151" i="9"/>
  <c r="G167" i="9"/>
  <c r="G197" i="9"/>
  <c r="G51" i="9"/>
  <c r="G67" i="9"/>
  <c r="G76" i="9"/>
  <c r="G83" i="9"/>
  <c r="G138" i="9"/>
  <c r="G8" i="9"/>
  <c r="G4" i="9"/>
  <c r="G104" i="9"/>
  <c r="G95" i="9"/>
  <c r="G127" i="9"/>
  <c r="G61" i="9"/>
  <c r="G114" i="9"/>
  <c r="G139" i="9"/>
  <c r="G12" i="9"/>
  <c r="G55" i="9"/>
  <c r="G112" i="9"/>
  <c r="G46" i="9"/>
  <c r="G21" i="9"/>
  <c r="G37" i="9"/>
  <c r="G44" i="9"/>
  <c r="G94" i="9"/>
  <c r="G204" i="9"/>
  <c r="G42" i="9"/>
  <c r="G131" i="9"/>
  <c r="G163" i="9"/>
  <c r="G24" i="9"/>
  <c r="G33" i="9"/>
  <c r="G40" i="9"/>
  <c r="G72" i="9"/>
  <c r="G97" i="9"/>
  <c r="G113" i="9"/>
  <c r="G10" i="9"/>
  <c r="G22" i="9"/>
  <c r="G54" i="9"/>
  <c r="G70" i="9"/>
  <c r="G120" i="9"/>
  <c r="G136" i="9"/>
  <c r="G5" i="9"/>
  <c r="G18" i="9"/>
  <c r="G20" i="9"/>
  <c r="G29" i="9"/>
  <c r="G36" i="9"/>
  <c r="G93" i="9"/>
  <c r="G134" i="9"/>
  <c r="G150" i="9"/>
  <c r="G166" i="9"/>
  <c r="G182" i="9"/>
  <c r="G75" i="9"/>
  <c r="G25" i="9"/>
  <c r="G162" i="9"/>
  <c r="G194" i="9"/>
  <c r="G48" i="9"/>
  <c r="G57" i="9"/>
  <c r="G68" i="9"/>
  <c r="G88" i="9"/>
  <c r="G115" i="9"/>
  <c r="G153" i="9"/>
  <c r="G169" i="9"/>
  <c r="G185" i="9"/>
  <c r="G201" i="9"/>
  <c r="G17" i="9"/>
  <c r="G66" i="9"/>
  <c r="G106" i="9"/>
  <c r="G84" i="9"/>
  <c r="G142" i="9"/>
  <c r="G82" i="9"/>
  <c r="G15" i="9"/>
  <c r="G3" i="9"/>
  <c r="G35" i="9"/>
  <c r="G140" i="9"/>
  <c r="G188" i="9"/>
  <c r="G60" i="9"/>
  <c r="G71" i="9"/>
  <c r="G80" i="9"/>
  <c r="G89" i="9"/>
  <c r="G100" i="9"/>
  <c r="G129" i="9"/>
  <c r="G154" i="9"/>
  <c r="G170" i="9"/>
  <c r="G186" i="9"/>
  <c r="G202" i="9"/>
  <c r="G78" i="9"/>
  <c r="G87" i="9"/>
  <c r="G98" i="9"/>
  <c r="G107" i="9"/>
  <c r="G116" i="9"/>
  <c r="G125" i="9"/>
  <c r="G19" i="9"/>
  <c r="G31" i="9"/>
  <c r="G56" i="9"/>
  <c r="G191" i="9"/>
  <c r="G43" i="9"/>
  <c r="G63" i="9"/>
  <c r="G74" i="9"/>
  <c r="G92" i="9"/>
  <c r="G103" i="9"/>
  <c r="G69" i="9"/>
  <c r="G101" i="9"/>
  <c r="G133" i="9"/>
  <c r="G155" i="9"/>
  <c r="G171" i="9"/>
  <c r="G187" i="9"/>
  <c r="G203" i="9"/>
  <c r="G178" i="9"/>
  <c r="G199" i="9"/>
  <c r="G59" i="9"/>
  <c r="G91" i="9"/>
  <c r="G123" i="9"/>
  <c r="G158" i="9"/>
  <c r="G174" i="9"/>
  <c r="G190" i="9"/>
  <c r="G206" i="9"/>
  <c r="G119" i="9"/>
  <c r="G156" i="9"/>
  <c r="G172" i="9"/>
  <c r="G53" i="9"/>
  <c r="G85" i="9"/>
  <c r="G117" i="9"/>
  <c r="G147" i="9"/>
  <c r="G179" i="9"/>
  <c r="G195" i="9"/>
  <c r="G81" i="9"/>
  <c r="G161" i="9"/>
  <c r="G177" i="9"/>
  <c r="G193" i="9"/>
  <c r="G99" i="9"/>
  <c r="G47" i="9"/>
  <c r="G79" i="9"/>
  <c r="G111" i="9"/>
  <c r="G143" i="9"/>
  <c r="G152" i="9"/>
  <c r="G168" i="9"/>
  <c r="G184" i="9"/>
  <c r="G200" i="9"/>
  <c r="G45" i="9"/>
  <c r="G77" i="9"/>
  <c r="G109" i="9"/>
  <c r="G141" i="9"/>
  <c r="G159" i="9"/>
  <c r="G175" i="9"/>
  <c r="G207" i="9"/>
  <c r="G198" i="9"/>
  <c r="G41" i="9"/>
  <c r="G73" i="9"/>
  <c r="G105" i="9"/>
  <c r="G137" i="9"/>
  <c r="G157" i="9"/>
  <c r="G173" i="9"/>
  <c r="G189" i="9"/>
  <c r="G205" i="9"/>
  <c r="H44" i="2"/>
  <c r="I14" i="9"/>
  <c r="G44" i="2"/>
  <c r="H14" i="9"/>
  <c r="F44" i="2"/>
  <c r="F14" i="9"/>
  <c r="E44" i="2"/>
  <c r="E14" i="9"/>
  <c r="D44" i="2"/>
  <c r="D14" i="9"/>
  <c r="H214" i="2"/>
  <c r="G214" i="2"/>
  <c r="F214" i="2"/>
  <c r="E214" i="2"/>
  <c r="D214" i="2"/>
  <c r="I118" i="2"/>
  <c r="H118" i="2"/>
  <c r="G118" i="2"/>
  <c r="F118" i="2"/>
  <c r="E118" i="2"/>
  <c r="D118" i="2"/>
  <c r="H165" i="2"/>
  <c r="G165" i="2"/>
  <c r="F165" i="2"/>
  <c r="E165" i="2"/>
  <c r="D165" i="2"/>
  <c r="D260" i="2"/>
  <c r="I260" i="2"/>
  <c r="H260" i="2"/>
  <c r="G260" i="2"/>
  <c r="F260" i="2"/>
  <c r="E260" i="2"/>
  <c r="C12" i="4"/>
  <c r="D12" i="4"/>
  <c r="F12" i="4"/>
  <c r="G14" i="9"/>
  <c r="H83" i="2"/>
  <c r="G83" i="2"/>
  <c r="E83" i="2"/>
  <c r="D83" i="2"/>
  <c r="E12" i="4"/>
  <c r="I301" i="2"/>
  <c r="V5" i="10" s="1"/>
  <c r="V17" i="10" s="1"/>
  <c r="V18" i="10" s="1"/>
  <c r="H301" i="2"/>
  <c r="U5" i="10" s="1"/>
  <c r="U17" i="10" s="1"/>
  <c r="U18" i="10" s="1"/>
  <c r="G301" i="2"/>
  <c r="T5" i="10" s="1"/>
  <c r="T17" i="10" s="1"/>
  <c r="T18" i="10" s="1"/>
  <c r="E301" i="2"/>
  <c r="Q5" i="10" s="1"/>
  <c r="D301" i="2"/>
  <c r="P5" i="10" s="1"/>
  <c r="P17" i="10" s="1"/>
  <c r="P18" i="10" s="1"/>
  <c r="H119" i="2"/>
  <c r="G119" i="2"/>
  <c r="F119" i="2"/>
  <c r="E119" i="2"/>
  <c r="D119" i="2"/>
  <c r="H63" i="2"/>
  <c r="G63" i="2"/>
  <c r="D63" i="2"/>
  <c r="G11" i="4"/>
  <c r="F11" i="4"/>
  <c r="D11" i="4"/>
  <c r="C11" i="4"/>
  <c r="G10" i="4"/>
  <c r="C10" i="4"/>
  <c r="F10" i="4"/>
  <c r="D10" i="4"/>
  <c r="D8" i="4"/>
  <c r="G4" i="4"/>
  <c r="F8" i="4"/>
  <c r="G8" i="4"/>
  <c r="D9" i="4"/>
  <c r="F9" i="4"/>
  <c r="G6" i="4"/>
  <c r="C8" i="4"/>
  <c r="G9" i="4"/>
  <c r="C9" i="4"/>
  <c r="G7" i="4"/>
  <c r="I23" i="2"/>
  <c r="H23" i="2"/>
  <c r="G23" i="2"/>
  <c r="D23" i="2"/>
  <c r="E11" i="4"/>
  <c r="E10" i="4"/>
  <c r="E8" i="4"/>
  <c r="E5" i="4"/>
  <c r="E9" i="4"/>
  <c r="I82" i="2"/>
  <c r="H82" i="2"/>
  <c r="G82" i="2"/>
  <c r="E82" i="2"/>
  <c r="D82" i="2"/>
  <c r="E181" i="2"/>
  <c r="D181" i="2"/>
  <c r="I53" i="2"/>
  <c r="H53" i="2"/>
  <c r="G53" i="2"/>
  <c r="D53" i="2"/>
  <c r="I220" i="2"/>
  <c r="H220" i="2"/>
  <c r="G220" i="2"/>
  <c r="E220" i="2"/>
  <c r="D220" i="2"/>
  <c r="I218" i="2"/>
  <c r="H218" i="2"/>
  <c r="G218" i="2"/>
  <c r="E218" i="2"/>
  <c r="D218" i="2"/>
  <c r="H269" i="2"/>
  <c r="G269" i="2"/>
  <c r="F269" i="2"/>
  <c r="E269" i="2"/>
  <c r="D269" i="2"/>
  <c r="H152" i="2"/>
  <c r="G152" i="2"/>
  <c r="F152" i="2"/>
  <c r="E152" i="2"/>
  <c r="D152" i="2"/>
  <c r="I300" i="2"/>
  <c r="H300" i="2"/>
  <c r="G300" i="2"/>
  <c r="E300" i="2"/>
  <c r="D300" i="2"/>
  <c r="H51" i="2"/>
  <c r="I51" i="2"/>
  <c r="G51" i="2"/>
  <c r="D51" i="2"/>
  <c r="I221" i="2"/>
  <c r="H221" i="2"/>
  <c r="G221" i="2"/>
  <c r="D221" i="2"/>
  <c r="F25" i="2"/>
  <c r="E25" i="2"/>
  <c r="D25" i="2"/>
  <c r="I249" i="2"/>
  <c r="H249" i="2"/>
  <c r="G249" i="2"/>
  <c r="E249" i="2"/>
  <c r="D249" i="2"/>
  <c r="I156" i="2"/>
  <c r="H156" i="2"/>
  <c r="G156" i="2"/>
  <c r="F156" i="2"/>
  <c r="E156" i="2"/>
  <c r="D156" i="2"/>
  <c r="I57" i="2"/>
  <c r="H57" i="2"/>
  <c r="G57" i="2"/>
  <c r="E57" i="2"/>
  <c r="D57" i="2"/>
  <c r="I174" i="2"/>
  <c r="H174" i="2"/>
  <c r="G174" i="2"/>
  <c r="F174" i="2"/>
  <c r="E174" i="2"/>
  <c r="D174" i="2"/>
  <c r="H219" i="2"/>
  <c r="G219" i="2"/>
  <c r="F219" i="2"/>
  <c r="E219" i="2"/>
  <c r="D219" i="2"/>
  <c r="H279" i="2"/>
  <c r="G279" i="2"/>
  <c r="F279" i="2"/>
  <c r="E279" i="2"/>
  <c r="D279" i="2"/>
  <c r="H168" i="2"/>
  <c r="F168" i="2"/>
  <c r="E168" i="2"/>
  <c r="D168" i="2"/>
  <c r="E93" i="2"/>
  <c r="H295" i="2"/>
  <c r="G295" i="2"/>
  <c r="F295" i="2"/>
  <c r="E295" i="2"/>
  <c r="D295" i="2"/>
  <c r="H88" i="2"/>
  <c r="G88" i="2"/>
  <c r="F88" i="2"/>
  <c r="E88" i="2"/>
  <c r="D88" i="2"/>
  <c r="I3" i="2"/>
  <c r="H3" i="2"/>
  <c r="G3" i="2"/>
  <c r="F3" i="2"/>
  <c r="E3" i="2"/>
  <c r="D3" i="2"/>
  <c r="H203" i="2"/>
  <c r="G203" i="2"/>
  <c r="F203" i="2"/>
  <c r="E203" i="2"/>
  <c r="D203" i="2"/>
  <c r="H204" i="2"/>
  <c r="F204" i="2"/>
  <c r="E204" i="2"/>
  <c r="D204" i="2"/>
  <c r="I136" i="2"/>
  <c r="H136" i="2"/>
  <c r="G136" i="2"/>
  <c r="D136" i="2"/>
  <c r="G84" i="2"/>
  <c r="H18" i="7"/>
  <c r="F84" i="2"/>
  <c r="G18" i="7"/>
  <c r="E84" i="2"/>
  <c r="F18" i="7"/>
  <c r="D84" i="2"/>
  <c r="H120" i="2"/>
  <c r="G120" i="2"/>
  <c r="F120" i="2"/>
  <c r="E120" i="2"/>
  <c r="D120" i="2"/>
  <c r="H272" i="2"/>
  <c r="F272" i="2"/>
  <c r="E272" i="2"/>
  <c r="D272" i="2"/>
  <c r="H47" i="2"/>
  <c r="I16" i="7"/>
  <c r="G47" i="2"/>
  <c r="H16" i="7"/>
  <c r="F47" i="2"/>
  <c r="G16" i="7"/>
  <c r="E47" i="2"/>
  <c r="F16" i="7"/>
  <c r="D47" i="2"/>
  <c r="E16" i="7"/>
  <c r="H158" i="2"/>
  <c r="I15" i="7"/>
  <c r="G158" i="2"/>
  <c r="F158" i="2"/>
  <c r="E158" i="2"/>
  <c r="D158" i="2"/>
  <c r="E15" i="7"/>
  <c r="E72" i="2"/>
  <c r="D72" i="2"/>
  <c r="H16" i="2"/>
  <c r="G16" i="2"/>
  <c r="F16" i="2"/>
  <c r="E16" i="2"/>
  <c r="D16" i="2"/>
  <c r="G15" i="2"/>
  <c r="H133" i="2"/>
  <c r="G133" i="2"/>
  <c r="F133" i="2"/>
  <c r="E133" i="2"/>
  <c r="D133" i="2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J28" i="7"/>
  <c r="I28" i="7"/>
  <c r="H28" i="7"/>
  <c r="G28" i="7"/>
  <c r="F28" i="7"/>
  <c r="E28" i="7"/>
  <c r="J27" i="7"/>
  <c r="I27" i="7"/>
  <c r="H27" i="7"/>
  <c r="G27" i="7"/>
  <c r="F27" i="7"/>
  <c r="E27" i="7"/>
  <c r="J26" i="7"/>
  <c r="I26" i="7"/>
  <c r="H26" i="7"/>
  <c r="G26" i="7"/>
  <c r="F26" i="7"/>
  <c r="E26" i="7"/>
  <c r="J25" i="7"/>
  <c r="I25" i="7"/>
  <c r="H25" i="7"/>
  <c r="G25" i="7"/>
  <c r="F25" i="7"/>
  <c r="E25" i="7"/>
  <c r="J24" i="7"/>
  <c r="I24" i="7"/>
  <c r="H24" i="7"/>
  <c r="G24" i="7"/>
  <c r="F24" i="7"/>
  <c r="E24" i="7"/>
  <c r="J23" i="7"/>
  <c r="I23" i="7"/>
  <c r="H23" i="7"/>
  <c r="G23" i="7"/>
  <c r="F23" i="7"/>
  <c r="E23" i="7"/>
  <c r="J22" i="7"/>
  <c r="I22" i="7"/>
  <c r="H22" i="7"/>
  <c r="G22" i="7"/>
  <c r="F22" i="7"/>
  <c r="E22" i="7"/>
  <c r="J21" i="7"/>
  <c r="I21" i="7"/>
  <c r="H21" i="7"/>
  <c r="G21" i="7"/>
  <c r="F21" i="7"/>
  <c r="E21" i="7"/>
  <c r="J20" i="7"/>
  <c r="J19" i="7"/>
  <c r="I19" i="7"/>
  <c r="H19" i="7"/>
  <c r="G19" i="7"/>
  <c r="F19" i="7"/>
  <c r="E19" i="7"/>
  <c r="J18" i="7"/>
  <c r="I18" i="7"/>
  <c r="E18" i="7"/>
  <c r="J17" i="7"/>
  <c r="I17" i="7"/>
  <c r="E17" i="7"/>
  <c r="J16" i="7"/>
  <c r="J15" i="7"/>
  <c r="J14" i="7"/>
  <c r="I14" i="7"/>
  <c r="H14" i="7"/>
  <c r="G14" i="7"/>
  <c r="E14" i="7"/>
  <c r="J13" i="7"/>
  <c r="I13" i="7"/>
  <c r="G13" i="7"/>
  <c r="E13" i="7"/>
  <c r="J12" i="7"/>
  <c r="I12" i="7"/>
  <c r="E12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H39" i="7"/>
  <c r="J39" i="7"/>
  <c r="I39" i="7"/>
  <c r="J11" i="7"/>
  <c r="I11" i="7"/>
  <c r="H11" i="7"/>
  <c r="G11" i="7"/>
  <c r="F231" i="2"/>
  <c r="H213" i="2"/>
  <c r="H212" i="2"/>
  <c r="G212" i="2"/>
  <c r="G213" i="2"/>
  <c r="F213" i="2"/>
  <c r="E213" i="2"/>
  <c r="D213" i="2"/>
  <c r="E212" i="2"/>
  <c r="H209" i="2"/>
  <c r="H208" i="2"/>
  <c r="F209" i="2"/>
  <c r="E209" i="2"/>
  <c r="E208" i="2"/>
  <c r="D209" i="2"/>
  <c r="D208" i="2"/>
  <c r="F205" i="2"/>
  <c r="F177" i="2"/>
  <c r="F127" i="2"/>
  <c r="H153" i="1" s="1"/>
  <c r="F122" i="2"/>
  <c r="F74" i="2"/>
  <c r="F10" i="2"/>
  <c r="G20" i="7"/>
  <c r="I20" i="7"/>
  <c r="H20" i="7"/>
  <c r="F20" i="7"/>
  <c r="E20" i="7"/>
  <c r="H205" i="2"/>
  <c r="E205" i="2"/>
  <c r="D205" i="2"/>
  <c r="D231" i="2"/>
  <c r="E231" i="2"/>
  <c r="G231" i="2"/>
  <c r="H231" i="2"/>
  <c r="H177" i="2"/>
  <c r="G177" i="2"/>
  <c r="E177" i="2"/>
  <c r="D177" i="2"/>
  <c r="D108" i="2"/>
  <c r="E108" i="2"/>
  <c r="G108" i="2"/>
  <c r="H108" i="2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J56" i="7"/>
  <c r="I56" i="7"/>
  <c r="H56" i="7"/>
  <c r="F56" i="7"/>
  <c r="J55" i="7"/>
  <c r="I55" i="7"/>
  <c r="H55" i="7"/>
  <c r="F55" i="7"/>
  <c r="J54" i="7"/>
  <c r="I54" i="7"/>
  <c r="H54" i="7"/>
  <c r="F54" i="7"/>
  <c r="J53" i="7"/>
  <c r="I53" i="7"/>
  <c r="H53" i="7"/>
  <c r="F53" i="7"/>
  <c r="J52" i="7"/>
  <c r="I52" i="7"/>
  <c r="H52" i="7"/>
  <c r="F52" i="7"/>
  <c r="J51" i="7"/>
  <c r="I51" i="7"/>
  <c r="H51" i="7"/>
  <c r="F51" i="7"/>
  <c r="J50" i="7"/>
  <c r="I50" i="7"/>
  <c r="H50" i="7"/>
  <c r="F50" i="7"/>
  <c r="J49" i="7"/>
  <c r="I49" i="7"/>
  <c r="H49" i="7"/>
  <c r="F49" i="7"/>
  <c r="J48" i="7"/>
  <c r="I48" i="7"/>
  <c r="H48" i="7"/>
  <c r="F48" i="7"/>
  <c r="J47" i="7"/>
  <c r="I47" i="7"/>
  <c r="H47" i="7"/>
  <c r="F47" i="7"/>
  <c r="J46" i="7"/>
  <c r="I46" i="7"/>
  <c r="H46" i="7"/>
  <c r="F46" i="7"/>
  <c r="J45" i="7"/>
  <c r="I45" i="7"/>
  <c r="H45" i="7"/>
  <c r="F45" i="7"/>
  <c r="J44" i="7"/>
  <c r="I44" i="7"/>
  <c r="H44" i="7"/>
  <c r="F44" i="7"/>
  <c r="J43" i="7"/>
  <c r="I43" i="7"/>
  <c r="H43" i="7"/>
  <c r="F43" i="7"/>
  <c r="J42" i="7"/>
  <c r="I42" i="7"/>
  <c r="F42" i="7"/>
  <c r="J41" i="7"/>
  <c r="I41" i="7"/>
  <c r="H41" i="7"/>
  <c r="F41" i="7"/>
  <c r="J40" i="7"/>
  <c r="I40" i="7"/>
  <c r="H40" i="7"/>
  <c r="F40" i="7"/>
  <c r="F39" i="7"/>
  <c r="F11" i="7"/>
  <c r="E11" i="7"/>
  <c r="H122" i="2"/>
  <c r="G122" i="2"/>
  <c r="E122" i="2"/>
  <c r="D10" i="2"/>
  <c r="E10" i="2"/>
  <c r="G10" i="2"/>
  <c r="H10" i="2"/>
  <c r="H74" i="2"/>
  <c r="G74" i="2"/>
  <c r="E74" i="2"/>
  <c r="D74" i="2"/>
  <c r="I19" i="8"/>
  <c r="G19" i="8"/>
  <c r="F19" i="8"/>
  <c r="E19" i="8"/>
  <c r="D19" i="8"/>
  <c r="C19" i="8"/>
  <c r="I10" i="8"/>
  <c r="H10" i="8"/>
  <c r="H22" i="8"/>
  <c r="G10" i="8"/>
  <c r="D10" i="8"/>
  <c r="E20" i="8"/>
  <c r="I20" i="8"/>
  <c r="G20" i="8"/>
  <c r="F20" i="8"/>
  <c r="D20" i="8"/>
  <c r="C20" i="8"/>
  <c r="I4" i="8"/>
  <c r="G4" i="8"/>
  <c r="F4" i="8"/>
  <c r="D4" i="8"/>
  <c r="D9" i="8"/>
  <c r="I9" i="8"/>
  <c r="F9" i="8"/>
  <c r="C9" i="8"/>
  <c r="C4" i="8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C6" i="7"/>
  <c r="H42" i="7"/>
  <c r="H17" i="7"/>
  <c r="H12" i="7"/>
  <c r="F14" i="7"/>
  <c r="F12" i="7"/>
  <c r="G12" i="7"/>
  <c r="F17" i="7"/>
  <c r="G17" i="7"/>
  <c r="F13" i="7"/>
  <c r="H13" i="7"/>
  <c r="F15" i="7"/>
  <c r="G15" i="7"/>
  <c r="H15" i="7"/>
  <c r="F5" i="4"/>
  <c r="D5" i="4"/>
  <c r="C5" i="4"/>
  <c r="C7" i="4"/>
  <c r="C6" i="4"/>
  <c r="D7" i="4"/>
  <c r="D6" i="4"/>
  <c r="F7" i="4"/>
  <c r="F6" i="4"/>
  <c r="G5" i="4"/>
  <c r="G3" i="4"/>
  <c r="D7" i="9"/>
  <c r="E7" i="9"/>
  <c r="F7" i="9"/>
  <c r="H7" i="9"/>
  <c r="I7" i="9"/>
  <c r="C4" i="4"/>
  <c r="D16" i="9"/>
  <c r="E16" i="9"/>
  <c r="F16" i="9"/>
  <c r="D4" i="4"/>
  <c r="H16" i="9"/>
  <c r="F4" i="4"/>
  <c r="I16" i="9"/>
  <c r="I22" i="8"/>
  <c r="E22" i="8"/>
  <c r="G22" i="8"/>
  <c r="F35" i="7"/>
  <c r="F36" i="7"/>
  <c r="D22" i="8"/>
  <c r="E7" i="7"/>
  <c r="E8" i="7"/>
  <c r="F22" i="8"/>
  <c r="J35" i="7"/>
  <c r="J36" i="7"/>
  <c r="C22" i="8"/>
  <c r="I35" i="7"/>
  <c r="I36" i="7"/>
  <c r="E35" i="7"/>
  <c r="E36" i="7"/>
  <c r="J7" i="7"/>
  <c r="J8" i="7"/>
  <c r="H35" i="7"/>
  <c r="H36" i="7"/>
  <c r="G35" i="7"/>
  <c r="G36" i="7"/>
  <c r="H7" i="7"/>
  <c r="H8" i="7"/>
  <c r="I7" i="7"/>
  <c r="I8" i="7"/>
  <c r="G7" i="7"/>
  <c r="G8" i="7"/>
  <c r="F7" i="7"/>
  <c r="F8" i="7"/>
  <c r="C3" i="4"/>
  <c r="F3" i="4"/>
  <c r="D3" i="4"/>
  <c r="E7" i="4"/>
  <c r="E6" i="4"/>
  <c r="E3" i="4"/>
  <c r="E4" i="4"/>
  <c r="G16" i="9"/>
  <c r="G7" i="9"/>
  <c r="C14" i="4"/>
  <c r="E14" i="4"/>
  <c r="D14" i="4"/>
  <c r="F14" i="4"/>
  <c r="G14" i="4"/>
  <c r="E37" i="4" l="1"/>
  <c r="G37" i="4"/>
  <c r="F37" i="4"/>
  <c r="D37" i="4"/>
  <c r="C37" i="4"/>
  <c r="J409" i="1"/>
  <c r="J426" i="1"/>
  <c r="K409" i="1"/>
  <c r="K426" i="1"/>
  <c r="L409" i="1"/>
  <c r="L426" i="1"/>
  <c r="G36" i="4"/>
  <c r="F36" i="4"/>
  <c r="E36" i="4"/>
  <c r="D36" i="4"/>
  <c r="C36" i="4"/>
  <c r="E35" i="4"/>
  <c r="G35" i="4"/>
  <c r="F35" i="4"/>
  <c r="D35" i="4"/>
  <c r="C35" i="4"/>
  <c r="E34" i="4"/>
  <c r="G34" i="4"/>
  <c r="F34" i="4"/>
  <c r="D34" i="4"/>
  <c r="C34" i="4"/>
  <c r="E33" i="4"/>
  <c r="G33" i="4"/>
  <c r="F33" i="4"/>
  <c r="D33" i="4"/>
  <c r="C33" i="4"/>
  <c r="I6" i="10"/>
  <c r="J363" i="1"/>
  <c r="J6" i="10"/>
  <c r="K363" i="1"/>
  <c r="K6" i="10"/>
  <c r="L363" i="1"/>
  <c r="H7" i="10"/>
  <c r="G17" i="10"/>
  <c r="G18" i="10" s="1"/>
  <c r="I17" i="10"/>
  <c r="I18" i="10" s="1"/>
  <c r="J17" i="10"/>
  <c r="J18" i="10" s="1"/>
  <c r="K17" i="10"/>
  <c r="K18" i="10" s="1"/>
  <c r="E32" i="4"/>
  <c r="G32" i="4"/>
  <c r="F32" i="4"/>
  <c r="D32" i="4"/>
  <c r="C32" i="4"/>
  <c r="E31" i="4"/>
  <c r="G31" i="4"/>
  <c r="F31" i="4"/>
  <c r="D31" i="4"/>
  <c r="C31" i="4"/>
  <c r="E30" i="4"/>
  <c r="G30" i="4"/>
  <c r="F30" i="4"/>
  <c r="D30" i="4"/>
  <c r="C30" i="4"/>
  <c r="E29" i="4"/>
  <c r="G29" i="4"/>
  <c r="F29" i="4"/>
  <c r="D29" i="4"/>
  <c r="C29" i="4"/>
  <c r="E28" i="4"/>
  <c r="G28" i="4"/>
  <c r="F28" i="4"/>
  <c r="D28" i="4"/>
  <c r="C28" i="4"/>
  <c r="E27" i="4"/>
  <c r="G27" i="4"/>
  <c r="F27" i="4"/>
  <c r="D27" i="4"/>
  <c r="C27" i="4"/>
  <c r="E26" i="4"/>
  <c r="G26" i="4"/>
  <c r="F26" i="4"/>
  <c r="D26" i="4"/>
  <c r="C26" i="4"/>
  <c r="E25" i="4"/>
  <c r="G25" i="4"/>
  <c r="F25" i="4"/>
  <c r="D25" i="4"/>
  <c r="C25" i="4"/>
  <c r="E24" i="4"/>
  <c r="G24" i="4"/>
  <c r="F24" i="4"/>
  <c r="D24" i="4"/>
  <c r="C24" i="4"/>
  <c r="E23" i="4"/>
  <c r="G23" i="4"/>
  <c r="F23" i="4"/>
  <c r="D23" i="4"/>
  <c r="C23" i="4"/>
  <c r="E22" i="4"/>
  <c r="G22" i="4"/>
  <c r="F22" i="4"/>
  <c r="D22" i="4"/>
  <c r="C22" i="4"/>
  <c r="Q17" i="10"/>
  <c r="Q18" i="10" s="1"/>
  <c r="S5" i="10"/>
  <c r="S17" i="10" s="1"/>
  <c r="S18" i="10" s="1"/>
  <c r="E21" i="4"/>
  <c r="G21" i="4"/>
  <c r="F21" i="4"/>
  <c r="D21" i="4"/>
  <c r="C21" i="4"/>
  <c r="E20" i="4"/>
  <c r="G20" i="4"/>
  <c r="F20" i="4"/>
  <c r="D20" i="4"/>
  <c r="C20" i="4"/>
  <c r="G19" i="4"/>
  <c r="F19" i="4"/>
  <c r="E19" i="4"/>
  <c r="D19" i="4"/>
  <c r="C19" i="4"/>
  <c r="H5" i="10"/>
  <c r="H17" i="10" s="1"/>
  <c r="H18" i="10" s="1"/>
  <c r="F17" i="10"/>
  <c r="F18" i="10" s="1"/>
  <c r="E18" i="4"/>
  <c r="G18" i="4"/>
  <c r="F18" i="4"/>
  <c r="D18" i="4"/>
  <c r="C18" i="4"/>
  <c r="I153" i="1"/>
  <c r="E17" i="4"/>
  <c r="G17" i="4"/>
  <c r="F17" i="4"/>
  <c r="D17" i="4"/>
  <c r="C17" i="4"/>
  <c r="E16" i="4"/>
  <c r="G16" i="4"/>
  <c r="F16" i="4"/>
  <c r="D16" i="4"/>
  <c r="C16" i="4"/>
</calcChain>
</file>

<file path=xl/sharedStrings.xml><?xml version="1.0" encoding="utf-8"?>
<sst xmlns="http://schemas.openxmlformats.org/spreadsheetml/2006/main" count="1410" uniqueCount="475">
  <si>
    <t>Date</t>
  </si>
  <si>
    <t>Item</t>
  </si>
  <si>
    <t>Qty</t>
  </si>
  <si>
    <t>Unit</t>
  </si>
  <si>
    <t>Cal</t>
  </si>
  <si>
    <t>Carbs</t>
  </si>
  <si>
    <t>Fibre</t>
  </si>
  <si>
    <t>Net Carbs</t>
  </si>
  <si>
    <t>Sodium</t>
  </si>
  <si>
    <t>Protein</t>
  </si>
  <si>
    <t>Chol</t>
  </si>
  <si>
    <t>Comments</t>
  </si>
  <si>
    <t>Corn tortillas, Don Pancho</t>
  </si>
  <si>
    <t>Egg</t>
  </si>
  <si>
    <t>Onion</t>
  </si>
  <si>
    <t>Oil, olive (tbsp)</t>
  </si>
  <si>
    <t>Arugula (g)</t>
  </si>
  <si>
    <t>Green beans</t>
  </si>
  <si>
    <t>Salmon, Atlantic (g)</t>
  </si>
  <si>
    <t>Quinoa, cooked (g)</t>
  </si>
  <si>
    <t>Sour cream, 14% (mL)</t>
  </si>
  <si>
    <t>Cauliflower, raw</t>
  </si>
  <si>
    <t>Sugar (g)</t>
  </si>
  <si>
    <t>SunRype fruit bar</t>
  </si>
  <si>
    <t>Ground Beef, Med, Raw</t>
  </si>
  <si>
    <t>Butter</t>
  </si>
  <si>
    <t>Cashew, Planters, lightly salted</t>
  </si>
  <si>
    <t>Quarter chicken, veggies, 1 sauce</t>
  </si>
  <si>
    <t>Beef jerky, zero sugar</t>
  </si>
  <si>
    <t>Nori snacks</t>
  </si>
  <si>
    <t>Smoked trout (g)</t>
  </si>
  <si>
    <t>Sour cream, 14%</t>
  </si>
  <si>
    <t>Capers</t>
  </si>
  <si>
    <t>Cucumber</t>
  </si>
  <si>
    <t>Tuna, light, Unico (g)</t>
  </si>
  <si>
    <t>Mayonnaise</t>
  </si>
  <si>
    <t>Avocado</t>
  </si>
  <si>
    <t>Tomato sauce (cup)</t>
  </si>
  <si>
    <t>Bread, white</t>
  </si>
  <si>
    <t>Cod filet</t>
  </si>
  <si>
    <t>Mr. Tortilla</t>
  </si>
  <si>
    <t>Shrimp (g)</t>
  </si>
  <si>
    <t>Cilantro</t>
  </si>
  <si>
    <t>Pickled onions (gherkins)</t>
  </si>
  <si>
    <t>Ryvita Multigrain</t>
  </si>
  <si>
    <t>Salt (pinch)</t>
  </si>
  <si>
    <t>Cream, 35%</t>
  </si>
  <si>
    <t>Smoked oysters, Clover Leaf</t>
  </si>
  <si>
    <t>Broccoli</t>
  </si>
  <si>
    <t>New York strip steak</t>
  </si>
  <si>
    <t>Pickled beets</t>
  </si>
  <si>
    <t>Red bell pepper</t>
  </si>
  <si>
    <t>Morn insulin</t>
  </si>
  <si>
    <t>Morn meds</t>
  </si>
  <si>
    <t>Eve insulin</t>
  </si>
  <si>
    <t>Eve meds</t>
  </si>
  <si>
    <t>Cream of mushroom, Campbells</t>
  </si>
  <si>
    <t>Evaporated milk (mL)</t>
  </si>
  <si>
    <t>Lemon juice</t>
  </si>
  <si>
    <t>Kimchi</t>
  </si>
  <si>
    <t>Kimchi, Wildbrine</t>
  </si>
  <si>
    <t>Lettuce, Boston</t>
  </si>
  <si>
    <t>Lentils, uncooked, Selection</t>
  </si>
  <si>
    <t>Tofu, Sunrise, extra-firm</t>
  </si>
  <si>
    <t>Okra</t>
  </si>
  <si>
    <t>Sausage, Marc Angelo, Rapini Parma</t>
  </si>
  <si>
    <t>Stewing beef, raw (g)</t>
  </si>
  <si>
    <t>Mushrooms, white (g)</t>
  </si>
  <si>
    <t>Radish</t>
  </si>
  <si>
    <t>Garlic</t>
  </si>
  <si>
    <t>Ranch dressing, Hidden Valley</t>
  </si>
  <si>
    <t>Okra (g)</t>
  </si>
  <si>
    <t>Cucumber (g)</t>
  </si>
  <si>
    <t>Chicken nuggets, Popeye's</t>
  </si>
  <si>
    <t>Honey mustard sauce, Popeye's</t>
  </si>
  <si>
    <t>Almonds, whole</t>
  </si>
  <si>
    <t>Green onion</t>
  </si>
  <si>
    <t>Double Big Mac</t>
  </si>
  <si>
    <t>Sardines, Brunswick, in oil</t>
  </si>
  <si>
    <t>Good Thins rice crackers</t>
  </si>
  <si>
    <t>Quinoa, dry</t>
  </si>
  <si>
    <t>Basil</t>
  </si>
  <si>
    <t>Doritos</t>
  </si>
  <si>
    <t>Scallops, raw (g)</t>
  </si>
  <si>
    <t>Double cheeseburger, McDonalds</t>
  </si>
  <si>
    <t>Tofu, Sunrise, soft</t>
  </si>
  <si>
    <t>Soy sauce</t>
  </si>
  <si>
    <t>Sriracha</t>
  </si>
  <si>
    <t>Sole filet</t>
  </si>
  <si>
    <t>Good Thins multigrain crackers</t>
  </si>
  <si>
    <t>Lentils, uncooked, Selection (g)</t>
  </si>
  <si>
    <t>Paprika</t>
  </si>
  <si>
    <t>Chicken bouillon liquid</t>
  </si>
  <si>
    <t>Kraft cheese slice</t>
  </si>
  <si>
    <t>WLK (Walking)</t>
  </si>
  <si>
    <t>Parsley root</t>
  </si>
  <si>
    <t>Benefiber (g)</t>
  </si>
  <si>
    <t>Misc</t>
  </si>
  <si>
    <t>E-bike</t>
  </si>
  <si>
    <t>Corn, Green Giant</t>
  </si>
  <si>
    <t>Tuna, light, Unico</t>
  </si>
  <si>
    <t>Chicken thigh skinless cooked (g)</t>
  </si>
  <si>
    <t>Hoisin sauce, Lee Kum Kee</t>
  </si>
  <si>
    <t>Sausage 'N Egg McMuffin</t>
  </si>
  <si>
    <t>Coconut milk</t>
  </si>
  <si>
    <t>Yuba (g)</t>
  </si>
  <si>
    <t>EBK (E-Bike)</t>
  </si>
  <si>
    <t>Shrimp, canned, Clover Leaf</t>
  </si>
  <si>
    <t>Parsnips (g)</t>
  </si>
  <si>
    <t>Chicken dark meat, roasted, skin on</t>
  </si>
  <si>
    <t>Cottage cheese, Nordica 2% (g)</t>
  </si>
  <si>
    <t>Name</t>
  </si>
  <si>
    <t>Cals</t>
  </si>
  <si>
    <t>Chol.</t>
  </si>
  <si>
    <t>Source</t>
  </si>
  <si>
    <t>Alfredo sauce, Classico</t>
  </si>
  <si>
    <t>c</t>
  </si>
  <si>
    <t>https://www.fatsecret.com/calories-nutrition/usda/almonds</t>
  </si>
  <si>
    <t>Almonds, whole (g)</t>
  </si>
  <si>
    <t>g</t>
  </si>
  <si>
    <t>https://www.fatsecret.com/calories-nutrition/usda/almonds?portionid=59771&amp;portionamount=100.000</t>
  </si>
  <si>
    <t>Artichokes, cooked (g)</t>
  </si>
  <si>
    <t>https://www.fatsecret.com/calories-nutrition/generic/artichoke-globe-(french)-cooked-from-fresh</t>
  </si>
  <si>
    <t>Arugula (cup)</t>
  </si>
  <si>
    <t>ea</t>
  </si>
  <si>
    <t>Avocado (g)</t>
  </si>
  <si>
    <t>Bacon</t>
  </si>
  <si>
    <t>slice</t>
  </si>
  <si>
    <t>https://www.fatsecret.com/calories-nutrition/generic/bacon-cooked</t>
  </si>
  <si>
    <t>Bacon Deluxe single</t>
  </si>
  <si>
    <t>Bagel, blueberry</t>
  </si>
  <si>
    <t>Baguette</t>
  </si>
  <si>
    <t>https://www.fatsecret.com/calories-nutrition/generic/baguette</t>
  </si>
  <si>
    <t>Banana</t>
  </si>
  <si>
    <t>Banana (g)</t>
  </si>
  <si>
    <t>Barley, cooked (g)</t>
  </si>
  <si>
    <t>https://www.fatsecret.com/calories-nutrition/usda/pearled-barley-(cooked)?portionid=62418&amp;portionamount=100.000</t>
  </si>
  <si>
    <t>https://www.nutritionix.com/food/fresh-basil/1-cup</t>
  </si>
  <si>
    <t>BCR (Stability ball crunch)</t>
  </si>
  <si>
    <t>Beans, baked, Heinz, Tomato</t>
  </si>
  <si>
    <t>can</t>
  </si>
  <si>
    <t>Beans, pinto, cooked (g)</t>
  </si>
  <si>
    <t>Packaging</t>
  </si>
  <si>
    <t>Beef, ground, lean</t>
  </si>
  <si>
    <t>Beef, pot roast</t>
  </si>
  <si>
    <t>Benefiber</t>
  </si>
  <si>
    <t>tbsp</t>
  </si>
  <si>
    <t>BEX (Back extensions)</t>
  </si>
  <si>
    <t>Big Mac</t>
  </si>
  <si>
    <t>Website</t>
  </si>
  <si>
    <t>Bread, whole wheat</t>
  </si>
  <si>
    <t>https://www.fatsecret.com/calories-nutrition/usda/broccoli</t>
  </si>
  <si>
    <t>BSQ (Bosu squats)</t>
  </si>
  <si>
    <t>BUR (Burpees)</t>
  </si>
  <si>
    <t>Butter (g)</t>
  </si>
  <si>
    <t>Cabbage, green</t>
  </si>
  <si>
    <t>https://www.nutritionix.com/food/cabbage</t>
  </si>
  <si>
    <t>Cabbage, green (g)</t>
  </si>
  <si>
    <t>Cabbage, Napa</t>
  </si>
  <si>
    <t>https://www.nutritionix.com/food/napa-cabbage</t>
  </si>
  <si>
    <t>Cabbage, Napa (g)</t>
  </si>
  <si>
    <t>Caffeine</t>
  </si>
  <si>
    <t>mg</t>
  </si>
  <si>
    <t>https://www.fatsecret.com/calories-nutrition/usda/capers</t>
  </si>
  <si>
    <t>Caraway seeds</t>
  </si>
  <si>
    <t>https://www.nutritionix.com/food/caraway-seeds</t>
  </si>
  <si>
    <t>Carrot</t>
  </si>
  <si>
    <t>Cashew (g)</t>
  </si>
  <si>
    <t>Cauliflower, raw (g)</t>
  </si>
  <si>
    <t>Celery</t>
  </si>
  <si>
    <t>https://www.fatsecret.com/calories-nutrition/usda/celery</t>
  </si>
  <si>
    <t>Celery (stalk)</t>
  </si>
  <si>
    <t>stalk</t>
  </si>
  <si>
    <t>Cheese, American</t>
  </si>
  <si>
    <t>https://www.fatsecret.com/calories-nutrition/generic/cheese-american</t>
  </si>
  <si>
    <t>Cheese, Cracker Barrel</t>
  </si>
  <si>
    <t>Cheese, goat, Irresistables, Honey</t>
  </si>
  <si>
    <t>Cheese, Oka</t>
  </si>
  <si>
    <t>Cheese, Parmesan</t>
  </si>
  <si>
    <t>Cheese, Philadelphia</t>
  </si>
  <si>
    <t>Cheeseburger, McDonald's</t>
  </si>
  <si>
    <t>Cheetos puffs</t>
  </si>
  <si>
    <t>bag</t>
  </si>
  <si>
    <t>Chicken white meat, roasted, skin on</t>
  </si>
  <si>
    <t>https://www.fatsecret.ca/calories-nutrition/generic/roasted-broiled-or-baked-chicken-breast-(skin-eaten)?portionid=50325&amp;portionamount=100.000</t>
  </si>
  <si>
    <t>https://www.fatsecret.ca/calories-nutrition/generic/roasted-broiled-or-baked-chicken-leg-(skin-eaten)?portionid=50343&amp;portionamount=100.000</t>
  </si>
  <si>
    <t>https://www.fatsecret.com/calories-nutrition/generic/chicken-thigh-roasted-broiled-or-baked-skin-not-eaten?portionid=50380&amp;portionamount=100.000</t>
  </si>
  <si>
    <t>Chicken, breast (g)</t>
  </si>
  <si>
    <t>Chicken, breast, small</t>
  </si>
  <si>
    <t>Chickpeas</t>
  </si>
  <si>
    <t>https://www.fatsecret.com/calories-nutrition/generic/chickpeas-dry-cooked-fat-not-added-in-cooking</t>
  </si>
  <si>
    <t>Chickpeas, cooked (g)</t>
  </si>
  <si>
    <t>https://www.fatsecret.com/calories-nutrition/generic/chickpeas-dry-cooked-fat-not-added-in-cooking?portionid=51925&amp;portionamount=100.000</t>
  </si>
  <si>
    <t>Chickpeas, unsalted</t>
  </si>
  <si>
    <t>https://www.fatsecret.com/calories-nutrition/generic/cilantro-raw?portionid=24288&amp;portionamount=1.000</t>
  </si>
  <si>
    <t>Clif bar, Choc almond fudge</t>
  </si>
  <si>
    <t>Clif bar, Coconut whey protein</t>
  </si>
  <si>
    <t>https://i.stack.imgur.com/E82kb.jpg</t>
  </si>
  <si>
    <t>Coconut milk, Mili</t>
  </si>
  <si>
    <t>Coconut milk, Silk</t>
  </si>
  <si>
    <t>Coconut, dessicated</t>
  </si>
  <si>
    <t>Coconut, pulp, fresh</t>
  </si>
  <si>
    <t>Coke Classic</t>
  </si>
  <si>
    <t>l</t>
  </si>
  <si>
    <t>Corn, cob</t>
  </si>
  <si>
    <t>https://www.sparkpeople.com/calories-in.asp?food=green+giant+frozen+corn</t>
  </si>
  <si>
    <t>Corn, Green Giant (g)</t>
  </si>
  <si>
    <t>https://greengiant.com/products/detail/green-giant-steamers-niblets-corn-12-oz-bag/</t>
  </si>
  <si>
    <t>Crab meat, fake</t>
  </si>
  <si>
    <t>Crackers, Ritz, low sodium</t>
  </si>
  <si>
    <t>Cranberries, dried</t>
  </si>
  <si>
    <t>Cream, 35% (mL)</t>
  </si>
  <si>
    <t>mL</t>
  </si>
  <si>
    <t>Crispy minis</t>
  </si>
  <si>
    <t>https://www.eatthismuch.com/food/nutrition/cucumber,1971/</t>
  </si>
  <si>
    <t>Cumin seeds</t>
  </si>
  <si>
    <t>tsp</t>
  </si>
  <si>
    <t>CYC (Cycling)</t>
  </si>
  <si>
    <t>kcal</t>
  </si>
  <si>
    <t>Dad's Oatmeal Cookie</t>
  </si>
  <si>
    <t>DBP (Dumbell benchpress)</t>
  </si>
  <si>
    <t>DBR (Dumbell bent row)</t>
  </si>
  <si>
    <t>DCU (Dumbell curl)</t>
  </si>
  <si>
    <t>DMP (Dumbell mil press)</t>
  </si>
  <si>
    <t>10 chip</t>
  </si>
  <si>
    <t>https://www.nutritionix.com/food/nacho-doritos</t>
  </si>
  <si>
    <t>km</t>
  </si>
  <si>
    <t>Egg bite</t>
  </si>
  <si>
    <t>Egg McMuffin</t>
  </si>
  <si>
    <t>Egg McMuffin (no chs)</t>
  </si>
  <si>
    <t>Eggplant (cups)</t>
  </si>
  <si>
    <t>https://www.fatsecret.com/calories-nutrition/usda/eggplant</t>
  </si>
  <si>
    <t>Eggplant (grams)</t>
  </si>
  <si>
    <t>Eggplant, pickled</t>
  </si>
  <si>
    <t>Ensure Plus Calories</t>
  </si>
  <si>
    <t>Evaporated milk</t>
  </si>
  <si>
    <t>https://www.fatsecret.com/calories-nutrition/usda/evaporated-milk</t>
  </si>
  <si>
    <t>Evaporated milk (g)</t>
  </si>
  <si>
    <t>Falafel wrap, Tortilla</t>
  </si>
  <si>
    <t>Farro, cooked (g)</t>
  </si>
  <si>
    <t>https://www.nutritionix.com/food/cooked-farro</t>
  </si>
  <si>
    <t>Fibre 1 Bar</t>
  </si>
  <si>
    <t>Fish stick, Highliner, haddock</t>
  </si>
  <si>
    <t>Flatbread crackers, sesame</t>
  </si>
  <si>
    <t>Flax seed</t>
  </si>
  <si>
    <t>Flour, AP (cup)</t>
  </si>
  <si>
    <t>Flour, AP (tbsp)</t>
  </si>
  <si>
    <t>Fries, Large (McD)</t>
  </si>
  <si>
    <t>Fries, Medium (McD)</t>
  </si>
  <si>
    <t>Froot by the Foot</t>
  </si>
  <si>
    <t>Fruit snack</t>
  </si>
  <si>
    <t>clove</t>
  </si>
  <si>
    <t>Ginger root</t>
  </si>
  <si>
    <t>Glucerna</t>
  </si>
  <si>
    <t>Green beans (g)</t>
  </si>
  <si>
    <t>https://www.nutritionix.com/food/green-onion</t>
  </si>
  <si>
    <t>Green pepper</t>
  </si>
  <si>
    <t>Ground Beef, Lean, Cooked</t>
  </si>
  <si>
    <t>https://www.fitbit.com/foods/Ground+Beef+Raw+80+Lean/8220</t>
  </si>
  <si>
    <t>Haddock, breaded, Janes</t>
  </si>
  <si>
    <t>Hamburger bun</t>
  </si>
  <si>
    <t>Hazelnuts</t>
  </si>
  <si>
    <t>HCR (Hanging crunch)</t>
  </si>
  <si>
    <t>HIK (Hiking)</t>
  </si>
  <si>
    <t>Hot sauce, Louisiana</t>
  </si>
  <si>
    <t>Hummus</t>
  </si>
  <si>
    <t>Iced tea, Nestea</t>
  </si>
  <si>
    <t>Jalapenos, raw</t>
  </si>
  <si>
    <t>JMP (Jumpies)</t>
  </si>
  <si>
    <t>JSQ (Jumping Squats)</t>
  </si>
  <si>
    <t>Kaiser roll (45g)</t>
  </si>
  <si>
    <t>Kale (g)</t>
  </si>
  <si>
    <t>Ketchup</t>
  </si>
  <si>
    <t>https://www.fatsecret.com/calories-nutrition/kraft/american-cheese-slice</t>
  </si>
  <si>
    <t>Kraft Dinner</t>
  </si>
  <si>
    <t>box</t>
  </si>
  <si>
    <t>Lentils, canned, Selection</t>
  </si>
  <si>
    <t>Lentils, cooked (g)</t>
  </si>
  <si>
    <t>https://www.fatsecret.com/calories-nutrition/generic/lentils-dry-cooked?portionid=51933&amp;portionamount=100.000</t>
  </si>
  <si>
    <t>leaf</t>
  </si>
  <si>
    <t>https://www.fatsecret.com/calories-nutrition/generic/lettuce-boston-raw?portionid=24359&amp;portionamount=1.000</t>
  </si>
  <si>
    <t>Lettuce, Boston (c)</t>
  </si>
  <si>
    <t>Lettuce, iceberg</t>
  </si>
  <si>
    <t>Mac &amp; Cheese, Popeye's</t>
  </si>
  <si>
    <t>Mango, fresh</t>
  </si>
  <si>
    <t>Mango, frozen</t>
  </si>
  <si>
    <t>Maple Syrup</t>
  </si>
  <si>
    <t>Margarine, Becel</t>
  </si>
  <si>
    <t>Mashes potatoes &amp; gravy, Popeye's</t>
  </si>
  <si>
    <t>McMuffin, Sausage &amp; Egg</t>
  </si>
  <si>
    <t>Meatballs, Irrisistibles</t>
  </si>
  <si>
    <t>Milk</t>
  </si>
  <si>
    <t>Millet, cooked (g)</t>
  </si>
  <si>
    <t>https://www.fatsecret.com/calories-nutrition/generic/millet-cooked?portionid=53156&amp;portionamount=100.000</t>
  </si>
  <si>
    <t>Mini wheats</t>
  </si>
  <si>
    <t>Mr. Noodles, chicken</t>
  </si>
  <si>
    <t>Muffin, Blueberry (Tims)</t>
  </si>
  <si>
    <t>Mushroom, Portabella cap</t>
  </si>
  <si>
    <t>https://www.nutritionix.com/food/white-mushrooms</t>
  </si>
  <si>
    <t>https://www.fatsecret.com/calories-nutrition/rock-bottom/new-york-strip</t>
  </si>
  <si>
    <t>pkg</t>
  </si>
  <si>
    <t>Oatmeal</t>
  </si>
  <si>
    <t>Oil, olive (tsp)</t>
  </si>
  <si>
    <t>https://www.fatsecret.com/calories-nutrition/usda/olive-oil</t>
  </si>
  <si>
    <t>Oil, veg (tbsp)</t>
  </si>
  <si>
    <t>Oil, veg (tsp)</t>
  </si>
  <si>
    <t>https://www.fatsecret.com/calories-nutrition/usda/okra</t>
  </si>
  <si>
    <t>https://www.fatsecret.com/calories-nutrition/usda/onions</t>
  </si>
  <si>
    <t>Onion rings, Popeye's</t>
  </si>
  <si>
    <t>reg</t>
  </si>
  <si>
    <t>Pancakes, large</t>
  </si>
  <si>
    <t>https://www.fatsecret.com/calories-nutrition/food/pancakes</t>
  </si>
  <si>
    <t>https://www.fatsecret.com/calories-nutrition/usda/paprika</t>
  </si>
  <si>
    <t>Parsley</t>
  </si>
  <si>
    <t>https://www.eatthismuch.com/food/nutrition/parsley-root,139885/</t>
  </si>
  <si>
    <t>Parsnips</t>
  </si>
  <si>
    <t>https://www.fatsecret.com/calories-nutrition/usda/parsnips</t>
  </si>
  <si>
    <t>Pasta, cooked (g)</t>
  </si>
  <si>
    <t>Peaches, raw</t>
  </si>
  <si>
    <t>Peaches, raw (g)</t>
  </si>
  <si>
    <t>Peas, green (c)</t>
  </si>
  <si>
    <t>https://www.fatsecret.com/calories-nutrition/usda/green-peas</t>
  </si>
  <si>
    <t>Peas, green (g)</t>
  </si>
  <si>
    <t>Pepitas (c)</t>
  </si>
  <si>
    <t>Pepitas (g)</t>
  </si>
  <si>
    <t>https://www.nutritionix.com/food/gherkins</t>
  </si>
  <si>
    <t>Pickles, dill</t>
  </si>
  <si>
    <t>Pickles, dill (g)</t>
  </si>
  <si>
    <t>Pierogi, Cheemo, three cheese</t>
  </si>
  <si>
    <t>Pita</t>
  </si>
  <si>
    <t>Plantains, cooked (g)</t>
  </si>
  <si>
    <t>https://www.healthline.com/health/food-nutrition/plantain-nutrition-benefits</t>
  </si>
  <si>
    <t>Polenta, cooked (g)</t>
  </si>
  <si>
    <t>https://www.fatsecret.com/calories-nutrition/generic/polenta-baked-or-boiled?portionid=344369&amp;portionamount=100.000</t>
  </si>
  <si>
    <t>Pollock / crab sticks</t>
  </si>
  <si>
    <t>Popcorn, microwave</t>
  </si>
  <si>
    <t>Pork rinds</t>
  </si>
  <si>
    <t>Pork tenderloin</t>
  </si>
  <si>
    <t>Potato</t>
  </si>
  <si>
    <t>1 lrg</t>
  </si>
  <si>
    <t>Potato (cooked)</t>
  </si>
  <si>
    <t>PU (Push-ups)</t>
  </si>
  <si>
    <t>PUL (Pull-ups)</t>
  </si>
  <si>
    <t>Quinoa, cooked</t>
  </si>
  <si>
    <t>https://www.nutritionix.com/food/radish</t>
  </si>
  <si>
    <t>Raisins (g)</t>
  </si>
  <si>
    <t>Ramen, Instant</t>
  </si>
  <si>
    <t>https://www.nutritionix.com/food/hidden-valley-ranch-dressing</t>
  </si>
  <si>
    <t>https://www.eatthismuch.com/food/nutrition/red-bell-pepper,2440/</t>
  </si>
  <si>
    <t>Red bell pepper (g)</t>
  </si>
  <si>
    <t>2.1/100</t>
  </si>
  <si>
    <t>Rice, white, cooked</t>
  </si>
  <si>
    <t>https://www.nutritionix.com/food/cooked-white-rice</t>
  </si>
  <si>
    <t>Rice, white, cooked (g)</t>
  </si>
  <si>
    <t>Rice, white, uncooked</t>
  </si>
  <si>
    <t>https://www.eatthismuch.com/food/nutrition/white-rice-uncooked,563770/</t>
  </si>
  <si>
    <t>Rice, wild, cooked (g)</t>
  </si>
  <si>
    <t>RUN (Running)</t>
  </si>
  <si>
    <t>Salad dressing, lite Italian</t>
  </si>
  <si>
    <t>Salt (g)</t>
  </si>
  <si>
    <t>https://www.fatsecret.com/calories-nutrition/usda/salt?portionid=56639&amp;portionamount=100.000</t>
  </si>
  <si>
    <t>pinch</t>
  </si>
  <si>
    <t>http://convert-to.com/456/table-salt-amounts-converter.html</t>
  </si>
  <si>
    <t>Salt (tsp)</t>
  </si>
  <si>
    <t>Sausage, Breakfast</t>
  </si>
  <si>
    <t>SBI (Stationary Biking)</t>
  </si>
  <si>
    <t>https://www.nutritionix.com/food/raw-scallop</t>
  </si>
  <si>
    <t>Sesame seeds</t>
  </si>
  <si>
    <t>Shallot</t>
  </si>
  <si>
    <t>https://www.nutritionix.com/food/shallot</t>
  </si>
  <si>
    <t>Shawarma, Chk, Large</t>
  </si>
  <si>
    <t>Shawarma, Chk, Med</t>
  </si>
  <si>
    <t>https://www.fatsecret.com/calories-nutrition/usda/shrimp</t>
  </si>
  <si>
    <t>1 can</t>
  </si>
  <si>
    <t>Smoked meat</t>
  </si>
  <si>
    <t>https://www.cloverleaf.ca/en/products/smoked-oysters/</t>
  </si>
  <si>
    <t>Soy milk, regular</t>
  </si>
  <si>
    <t>Soy milk, unsweetened</t>
  </si>
  <si>
    <t>https://www.nutritionix.com/i/kikkoman/soy-sauce/51c4002297c3e6dfa4df3420</t>
  </si>
  <si>
    <t>Spinach</t>
  </si>
  <si>
    <t>https://www.nutritionix.com/food/sriracha</t>
  </si>
  <si>
    <t>https://www.sparkpeople.com/calories-in.asp?food=stewing+beef</t>
  </si>
  <si>
    <t>Strawberries, frozen</t>
  </si>
  <si>
    <t>https://www.fatsecret.com/calories-nutrition/generic/sugar</t>
  </si>
  <si>
    <t>Sugar (tbsp)</t>
  </si>
  <si>
    <t>Sugar (tsp)</t>
  </si>
  <si>
    <t>Sweet potato, cooked (g)</t>
  </si>
  <si>
    <t>https://www.fatsecret.com/calories-nutrition/generic/sweetpotato-baked-peel-eaten-fat-not-added-in-cooking</t>
  </si>
  <si>
    <t>Syrup, table</t>
  </si>
  <si>
    <t>https://www.fatsecret.com/calories-nutrition/generic/syrup</t>
  </si>
  <si>
    <t>Tater tots</t>
  </si>
  <si>
    <t>Tea, green</t>
  </si>
  <si>
    <t>Teriyaki sauce, Golden Dragon</t>
  </si>
  <si>
    <t>Teriyaki sauce, Kikkoman</t>
  </si>
  <si>
    <t>Teriyaki sauce, low sodium</t>
  </si>
  <si>
    <t>Tilapia filet</t>
  </si>
  <si>
    <t>Tofu, Sunrise, medium</t>
  </si>
  <si>
    <t>https://www.fatsecret.com/calories-nutrition/usda/tomato-sauce</t>
  </si>
  <si>
    <t>Tomato sauce (tbsp)</t>
  </si>
  <si>
    <t>Tomatoes, crushed, Selection</t>
  </si>
  <si>
    <t>Tortilla, Large</t>
  </si>
  <si>
    <t>Turkey, cold cuts</t>
  </si>
  <si>
    <t>Vigo Red Beans and Rice</t>
  </si>
  <si>
    <t>Vigo Rice Primavera</t>
  </si>
  <si>
    <t>Water</t>
  </si>
  <si>
    <t>WOG (Walk/Jog)</t>
  </si>
  <si>
    <t>Yoghurt (Plain Greek)</t>
  </si>
  <si>
    <t>Yoghurt, Low sugar, Siggi's</t>
  </si>
  <si>
    <t>Yoghurt, Oikos</t>
  </si>
  <si>
    <t>https://en.wikipedia.org/wiki/Tofu_skin</t>
  </si>
  <si>
    <t>Cottage cheese, Nordica 2%</t>
  </si>
  <si>
    <t>Glucose</t>
  </si>
  <si>
    <t>Morn Med</t>
  </si>
  <si>
    <t>Morn Ins</t>
  </si>
  <si>
    <t>Eve Ins</t>
  </si>
  <si>
    <t>Even Med</t>
  </si>
  <si>
    <t>Weight</t>
  </si>
  <si>
    <t>My daily limits</t>
  </si>
  <si>
    <t>Calories Red</t>
  </si>
  <si>
    <t>Calories Green</t>
  </si>
  <si>
    <t>Sodium Red</t>
  </si>
  <si>
    <t>Sodium Green</t>
  </si>
  <si>
    <t>Carbs Red</t>
  </si>
  <si>
    <t>Carbs Green</t>
  </si>
  <si>
    <t>Cholesterol Red</t>
  </si>
  <si>
    <t>Cholesterol Green</t>
  </si>
  <si>
    <t>Glucose Red</t>
  </si>
  <si>
    <t>Glucose Green</t>
  </si>
  <si>
    <t>Weight lost</t>
  </si>
  <si>
    <t>Killer lunch salad</t>
  </si>
  <si>
    <t>Total grams:</t>
  </si>
  <si>
    <t>Sauerkraut 15-Sep</t>
  </si>
  <si>
    <t>Total</t>
  </si>
  <si>
    <t>Per gram</t>
  </si>
  <si>
    <t>Dish name</t>
  </si>
  <si>
    <t>Cal / 100g</t>
  </si>
  <si>
    <t>Carb / 100g</t>
  </si>
  <si>
    <t>Fibre / 100g</t>
  </si>
  <si>
    <t>Net Carbs / 100g</t>
  </si>
  <si>
    <t>NaCL / 100g</t>
  </si>
  <si>
    <t>Prot / 100g</t>
  </si>
  <si>
    <t>Chol / 100g</t>
  </si>
  <si>
    <t>Breakfast</t>
  </si>
  <si>
    <t>kC</t>
  </si>
  <si>
    <t>C</t>
  </si>
  <si>
    <t>C(S)</t>
  </si>
  <si>
    <t>C(F)</t>
  </si>
  <si>
    <t>S</t>
  </si>
  <si>
    <t>Ch</t>
  </si>
  <si>
    <t>P</t>
  </si>
  <si>
    <t>1/4c Oatmeal</t>
  </si>
  <si>
    <t>Raisins</t>
  </si>
  <si>
    <t>Lunch</t>
  </si>
  <si>
    <t>Salmon, 120g</t>
  </si>
  <si>
    <t>Dinner</t>
  </si>
  <si>
    <t>Chicken Shawarma wrap</t>
  </si>
  <si>
    <t>Snack</t>
  </si>
  <si>
    <t>Coconut 75g</t>
  </si>
  <si>
    <t>2c Soy Milk</t>
  </si>
  <si>
    <t>Totals</t>
  </si>
  <si>
    <t>Alternatives to Shawarma</t>
  </si>
  <si>
    <t>Felafel</t>
  </si>
  <si>
    <t>Chicken Shawarma</t>
  </si>
  <si>
    <t>Large pita</t>
  </si>
  <si>
    <t>Tomatoes</t>
  </si>
  <si>
    <t>Red onions</t>
  </si>
  <si>
    <t>White bean sauce</t>
  </si>
  <si>
    <t>Pickles</t>
  </si>
  <si>
    <t>Curried cauliflower and lentils</t>
  </si>
  <si>
    <t>Dish weight (g)</t>
  </si>
  <si>
    <t>Finished weight (g)</t>
  </si>
  <si>
    <t>Net weight (g)</t>
  </si>
  <si>
    <t>Totals / g</t>
  </si>
  <si>
    <t>Ingredient</t>
  </si>
  <si>
    <t>Onion 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</si>
</sst>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_);[Red]\(0\)"/>
    <numFmt numFmtId="165" formatCode="[$-409]d/mmm/yy;@"/>
    <numFmt numFmtId="166" formatCode="[$-409]d\-mmm\-yy;@"/>
    <numFmt numFmtId="167" formatCode="0.0"/>
  </numFmts>
  <fonts count="17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Segoe UI Light"/>
      <family val="2"/>
    </font>
    <font>
      <sz val="10"/>
      <name val="Segoe UI Light"/>
      <family val="2"/>
    </font>
    <font>
      <sz val="10"/>
      <color rgb="FFFFC000"/>
      <name val="Segoe UI Light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Segoe UI Light"/>
      <family val="2"/>
    </font>
    <font>
      <sz val="10"/>
      <color theme="0"/>
      <name val="Segoe UI Light"/>
      <family val="2"/>
    </font>
    <font>
      <sz val="10"/>
      <color theme="10"/>
      <name val="Segoe UI Light"/>
      <family val="2"/>
    </font>
    <font>
      <sz val="16"/>
      <color theme="1"/>
      <name val="Segoe UI Light"/>
      <family val="2"/>
    </font>
    <font>
      <sz val="12"/>
      <color theme="1"/>
      <name val="Segoe UI Light"/>
      <family val="2"/>
    </font>
    <font>
      <b/>
      <sz val="10"/>
      <color theme="1"/>
      <name val="Segoe UI Light"/>
      <family val="2"/>
    </font>
    <font>
      <b/>
      <sz val="10"/>
      <name val="Segoe U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EF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1">
    <xf numFmtId="0" fontId="0" fillId="0" borderId="0" xfId="0"/>
    <xf numFmtId="0" fontId="4" fillId="4" borderId="1" xfId="0" applyFont="1" applyFill="1" applyBorder="1"/>
    <xf numFmtId="0" fontId="4" fillId="4" borderId="2" xfId="0" applyFont="1" applyFill="1" applyBorder="1"/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0" borderId="0" xfId="0" applyFont="1"/>
    <xf numFmtId="0" fontId="0" fillId="5" borderId="4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7" borderId="1" xfId="0" applyFill="1" applyBorder="1"/>
    <xf numFmtId="3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5" fillId="0" borderId="4" xfId="0" applyFont="1" applyBorder="1"/>
    <xf numFmtId="0" fontId="0" fillId="7" borderId="4" xfId="0" applyFill="1" applyBorder="1"/>
    <xf numFmtId="3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13" xfId="0" applyFill="1" applyBorder="1"/>
    <xf numFmtId="3" fontId="0" fillId="6" borderId="14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0" fontId="2" fillId="0" borderId="4" xfId="0" applyFont="1" applyBorder="1"/>
    <xf numFmtId="3" fontId="0" fillId="0" borderId="0" xfId="0" applyNumberFormat="1" applyAlignment="1">
      <alignment horizontal="left"/>
    </xf>
    <xf numFmtId="0" fontId="0" fillId="5" borderId="0" xfId="0" applyFill="1"/>
    <xf numFmtId="1" fontId="0" fillId="5" borderId="0" xfId="0" applyNumberFormat="1" applyFill="1"/>
    <xf numFmtId="2" fontId="0" fillId="5" borderId="0" xfId="0" applyNumberFormat="1" applyFill="1"/>
    <xf numFmtId="0" fontId="0" fillId="3" borderId="16" xfId="0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67" fontId="0" fillId="3" borderId="16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5" xfId="0" applyNumberForma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167" fontId="0" fillId="3" borderId="19" xfId="0" applyNumberFormat="1" applyFill="1" applyBorder="1" applyAlignment="1">
      <alignment horizontal="center"/>
    </xf>
    <xf numFmtId="167" fontId="0" fillId="3" borderId="20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1" fontId="8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9" fillId="0" borderId="0" xfId="1" applyNumberFormat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10" fillId="8" borderId="22" xfId="0" applyFont="1" applyFill="1" applyBorder="1" applyAlignment="1">
      <alignment horizontal="left" vertical="center"/>
    </xf>
    <xf numFmtId="0" fontId="11" fillId="8" borderId="23" xfId="0" applyFont="1" applyFill="1" applyBorder="1" applyAlignment="1">
      <alignment horizontal="right" vertical="center" wrapText="1"/>
    </xf>
    <xf numFmtId="165" fontId="1" fillId="0" borderId="28" xfId="0" applyNumberFormat="1" applyFont="1" applyBorder="1" applyAlignment="1">
      <alignment horizontal="left" vertical="center"/>
    </xf>
    <xf numFmtId="167" fontId="1" fillId="0" borderId="0" xfId="0" applyNumberFormat="1" applyFont="1" applyAlignment="1">
      <alignment horizontal="center" vertical="center" wrapText="1"/>
    </xf>
    <xf numFmtId="165" fontId="1" fillId="0" borderId="30" xfId="0" applyNumberFormat="1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6" fontId="1" fillId="0" borderId="32" xfId="0" applyNumberFormat="1" applyFont="1" applyBorder="1" applyAlignment="1">
      <alignment horizontal="center" vertical="center"/>
    </xf>
    <xf numFmtId="49" fontId="1" fillId="0" borderId="31" xfId="0" applyNumberFormat="1" applyFont="1" applyBorder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25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2" fontId="12" fillId="0" borderId="0" xfId="1" applyNumberFormat="1" applyFont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right" vertical="center"/>
    </xf>
    <xf numFmtId="165" fontId="1" fillId="0" borderId="36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vertical="center"/>
    </xf>
    <xf numFmtId="49" fontId="13" fillId="9" borderId="0" xfId="0" applyNumberFormat="1" applyFont="1" applyFill="1" applyAlignment="1">
      <alignment vertical="center"/>
    </xf>
    <xf numFmtId="2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1" fontId="1" fillId="9" borderId="0" xfId="0" applyNumberFormat="1" applyFont="1" applyFill="1" applyAlignment="1">
      <alignment horizontal="center" vertical="center"/>
    </xf>
    <xf numFmtId="164" fontId="14" fillId="9" borderId="0" xfId="0" applyNumberFormat="1" applyFont="1" applyFill="1" applyAlignment="1">
      <alignment horizontal="center" vertical="center"/>
    </xf>
    <xf numFmtId="164" fontId="14" fillId="9" borderId="0" xfId="0" applyNumberFormat="1" applyFont="1" applyFill="1" applyAlignment="1">
      <alignment horizontal="right" vertical="center"/>
    </xf>
    <xf numFmtId="49" fontId="1" fillId="9" borderId="0" xfId="0" applyNumberFormat="1" applyFont="1" applyFill="1" applyAlignment="1">
      <alignment vertical="center"/>
    </xf>
    <xf numFmtId="49" fontId="1" fillId="9" borderId="0" xfId="0" applyNumberFormat="1" applyFont="1" applyFill="1" applyAlignment="1">
      <alignment vertical="center" wrapText="1"/>
    </xf>
    <xf numFmtId="2" fontId="1" fillId="9" borderId="0" xfId="0" applyNumberFormat="1" applyFont="1" applyFill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1" fontId="1" fillId="9" borderId="0" xfId="0" applyNumberFormat="1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vertical="center"/>
    </xf>
    <xf numFmtId="164" fontId="7" fillId="9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0" fontId="15" fillId="9" borderId="35" xfId="0" applyFont="1" applyFill="1" applyBorder="1" applyAlignment="1">
      <alignment vertical="center"/>
    </xf>
    <xf numFmtId="0" fontId="15" fillId="9" borderId="35" xfId="0" applyFont="1" applyFill="1" applyBorder="1" applyAlignment="1">
      <alignment horizontal="center" vertical="center"/>
    </xf>
    <xf numFmtId="0" fontId="16" fillId="9" borderId="35" xfId="0" applyFont="1" applyFill="1" applyBorder="1" applyAlignment="1">
      <alignment horizontal="center" vertical="center"/>
    </xf>
    <xf numFmtId="1" fontId="16" fillId="9" borderId="35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0" fontId="15" fillId="0" borderId="35" xfId="0" applyFont="1" applyBorder="1" applyAlignment="1">
      <alignment vertical="center"/>
    </xf>
    <xf numFmtId="0" fontId="15" fillId="0" borderId="3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1" fontId="16" fillId="0" borderId="35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64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64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64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0_);[Red]\(0\)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30" formatCode="@"/>
      <fill>
        <patternFill patternType="none">
          <fgColor indexed="64"/>
          <bgColor rgb="FFFFF5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border>
        <top style="thin">
          <color rgb="FF000000"/>
        </top>
      </border>
    </dxf>
    <dxf>
      <font>
        <b/>
        <family val="2"/>
      </font>
      <fill>
        <patternFill patternType="none">
          <fgColor indexed="64"/>
          <bgColor rgb="FFFFF5FF"/>
        </patternFill>
      </fill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fill>
        <patternFill patternType="none">
          <fgColor indexed="64"/>
          <bgColor rgb="FFFFF5FF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0_);[Red]\(0\)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30" formatCode="@"/>
      <fill>
        <patternFill patternType="none">
          <fgColor indexed="64"/>
          <bgColor rgb="FFE2EFDA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</border>
    </dxf>
    <dxf>
      <border>
        <top style="thin">
          <color rgb="FF000000"/>
        </top>
      </border>
    </dxf>
    <dxf>
      <font>
        <b/>
        <family val="2"/>
      </font>
      <fill>
        <patternFill patternType="none">
          <fgColor indexed="64"/>
          <bgColor rgb="FFE2EFDA"/>
        </patternFill>
      </fill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fill>
        <patternFill patternType="none">
          <fgColor indexed="64"/>
          <bgColor rgb="FFE2EFDA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DDEB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DDEB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3" formatCode="#,##0"/>
      <fill>
        <patternFill patternType="none">
          <fgColor indexed="64"/>
          <bgColor rgb="FFDDEB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DDEB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DDEB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none">
          <fgColor indexed="64"/>
          <bgColor rgb="FFDDEB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0_);[Red]\(0\)"/>
      <fill>
        <patternFill patternType="none">
          <fgColor indexed="64"/>
          <bgColor rgb="FFDDEB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rgb="FFDDEB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fill>
        <patternFill patternType="none">
          <fgColor indexed="64"/>
          <bgColor rgb="FFDDEB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30" formatCode="@"/>
      <fill>
        <patternFill patternType="none">
          <fgColor indexed="64"/>
          <bgColor rgb="FFDDEBF7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border>
        <top style="thin">
          <color rgb="FF000000"/>
        </top>
      </border>
    </dxf>
    <dxf>
      <font>
        <b/>
        <family val="2"/>
      </font>
      <fill>
        <patternFill patternType="none">
          <fgColor indexed="64"/>
          <bgColor rgb="FFDDEBF7"/>
        </patternFill>
      </fill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fill>
        <patternFill patternType="none">
          <fgColor indexed="64"/>
          <bgColor rgb="FFDDEBF7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fill>
        <patternFill patternType="none">
          <fgColor indexed="64"/>
          <bgColor rgb="FFDDEBF7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0_);[Red]\(0\)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30" formatCode="@"/>
      <fill>
        <patternFill patternType="solid">
          <fgColor indexed="64"/>
          <bgColor rgb="FFFFFEF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border>
        <top style="thin">
          <color rgb="FF000000"/>
        </top>
      </border>
    </dxf>
    <dxf>
      <font>
        <b/>
        <family val="2"/>
      </font>
      <fill>
        <patternFill patternType="solid">
          <fgColor indexed="64"/>
          <bgColor rgb="FFFFFEF5"/>
        </patternFill>
      </fill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fill>
        <patternFill patternType="solid">
          <fgColor indexed="64"/>
          <bgColor rgb="FFFFFEF5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7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7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7" formatCode="0.0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7" formatCode="0.0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7" formatCode="0.0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7" formatCode="0.0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7" formatCode="0.0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color rgb="FFFFC000"/>
        <name val="Segoe UI Light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C000"/>
        <name val="Segoe UI Light"/>
        <family val="2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color rgb="FFFFC000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C000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0"/>
        <color rgb="FFFFC000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C000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5" formatCode="[$-409]d/mmm/yy;@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indent="0" justifyLastLine="0" shrinkToFit="0" readingOrder="0"/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6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  <border>
        <bottom style="thin">
          <color auto="1"/>
        </bottom>
      </border>
    </dxf>
    <dxf>
      <border>
        <horizontal style="thin">
          <color theme="0" tint="-0.1499679555650502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210"/>
      <tableStyleElement type="headerRow" dxfId="209"/>
    </tableStyle>
  </tableStyles>
  <colors>
    <mruColors>
      <color rgb="FFFFF5FF"/>
      <color rgb="FFFFFEF5"/>
      <color rgb="FFFFE1FF"/>
      <color rgb="FFFFCCFF"/>
      <color rgb="FFFFCCCC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og" displayName="Log" ref="B2:M1114" totalsRowShown="0" headerRowDxfId="169" dataDxfId="168">
  <autoFilter ref="B2:M1114" xr:uid="{00000000-0009-0000-0100-000002000000}"/>
  <sortState xmlns:xlrd2="http://schemas.microsoft.com/office/spreadsheetml/2017/richdata2" ref="B3:M1114">
    <sortCondition ref="B2:B1114"/>
  </sortState>
  <tableColumns count="12">
    <tableColumn id="1" xr3:uid="{00000000-0010-0000-0000-000001000000}" name="Date" dataDxfId="167"/>
    <tableColumn id="2" xr3:uid="{00000000-0010-0000-0000-000002000000}" name="Item" dataDxfId="166"/>
    <tableColumn id="4" xr3:uid="{00000000-0010-0000-0000-000004000000}" name="Qty" dataDxfId="165"/>
    <tableColumn id="14" xr3:uid="{3B260F58-1733-4F6E-BE12-3A3C65713DE7}" name="Unit" dataDxfId="164">
      <calculatedColumnFormula>IF(ISBLANK(Log[[#This Row],[Item]]),"",_xlfn.XLOOKUP(Log[[#This Row],[Item]],Calories[Name],Calories[Unit]))</calculatedColumnFormula>
    </tableColumn>
    <tableColumn id="5" xr3:uid="{00000000-0010-0000-0000-000005000000}" name="Cal" dataDxfId="163">
      <calculatedColumnFormula>IF(ISBLANK(Log[[#This Row],[Item]]),"",_xlfn.XLOOKUP(Log[[#This Row],[Item]],Calories[Name],Calories[Cals])*Log[[#This Row],[Qty]])</calculatedColumnFormula>
    </tableColumn>
    <tableColumn id="10" xr3:uid="{00000000-0010-0000-0000-00000A000000}" name="Carbs" dataDxfId="162">
      <calculatedColumnFormula>IF(ISBLANK(Log[[#This Row],[Item]]),"",_xlfn.XLOOKUP(Log[[#This Row],[Item]],Calories[Name],Calories[Carbs])*Log[[#This Row],[Qty]])</calculatedColumnFormula>
    </tableColumn>
    <tableColumn id="12" xr3:uid="{00000000-0010-0000-0000-00000C000000}" name="Fibre" dataDxfId="161">
      <calculatedColumnFormula>IF(ISBLANK(Log[[#This Row],[Item]]),"",_xlfn.XLOOKUP(Log[[#This Row],[Item]],Calories[Name],Calories[Fibre])*Log[[#This Row],[Qty]])</calculatedColumnFormula>
    </tableColumn>
    <tableColumn id="13" xr3:uid="{00000000-0010-0000-0000-00000D000000}" name="Net Carbs" dataDxfId="160">
      <calculatedColumnFormula>IF(ISBLANK(Log[[#This Row],[Item]]),"",(Log[[#This Row],[Carbs]]-Log[[#This Row],[Fibre]]))</calculatedColumnFormula>
    </tableColumn>
    <tableColumn id="9" xr3:uid="{00000000-0010-0000-0000-000009000000}" name="Sodium" dataDxfId="159">
      <calculatedColumnFormula>IF(ISBLANK(Log[[#This Row],[Item]]),"",_xlfn.XLOOKUP(Log[[#This Row],[Item]],Calories[Name],Calories[Sodium])*Log[[#This Row],[Qty]])</calculatedColumnFormula>
    </tableColumn>
    <tableColumn id="8" xr3:uid="{00000000-0010-0000-0000-000008000000}" name="Protein" dataDxfId="158">
      <calculatedColumnFormula>IF(ISBLANK(Log[[#This Row],[Item]]),"",_xlfn.XLOOKUP(Log[[#This Row],[Item]],Calories[Name],Calories[Protein])*Log[[#This Row],[Qty]])</calculatedColumnFormula>
    </tableColumn>
    <tableColumn id="7" xr3:uid="{00000000-0010-0000-0000-000007000000}" name="Chol" dataDxfId="157">
      <calculatedColumnFormula>IF(ISBLANK(Log[[#This Row],[Item]]),"",_xlfn.XLOOKUP(Log[[#This Row],[Item]],Calories[Name],Calories[Chol.])*Log[[#This Row],[Qty]])</calculatedColumnFormula>
    </tableColumn>
    <tableColumn id="6" xr3:uid="{00000000-0010-0000-0000-000006000000}" name="Comments" dataDxfId="156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Calories" displayName="Calories" ref="B2:J305" totalsRowShown="0" headerRowDxfId="155" dataDxfId="154">
  <autoFilter ref="B2:J305" xr:uid="{00000000-0009-0000-0100-000001000000}"/>
  <sortState xmlns:xlrd2="http://schemas.microsoft.com/office/spreadsheetml/2017/richdata2" ref="B3:J303">
    <sortCondition ref="B2:B303"/>
  </sortState>
  <tableColumns count="9">
    <tableColumn id="1" xr3:uid="{00000000-0010-0000-0300-000001000000}" name="Name" dataDxfId="153"/>
    <tableColumn id="2" xr3:uid="{00000000-0010-0000-0300-000002000000}" name="Unit" dataDxfId="152"/>
    <tableColumn id="3" xr3:uid="{00000000-0010-0000-0300-000003000000}" name="Cals" dataDxfId="151"/>
    <tableColumn id="4" xr3:uid="{00000000-0010-0000-0300-000004000000}" name="Carbs" dataDxfId="150"/>
    <tableColumn id="8" xr3:uid="{00000000-0010-0000-0300-000008000000}" name="Fibre" dataDxfId="149"/>
    <tableColumn id="5" xr3:uid="{00000000-0010-0000-0300-000005000000}" name="Sodium" dataDxfId="148"/>
    <tableColumn id="6" xr3:uid="{00000000-0010-0000-0300-000006000000}" name="Protein" dataDxfId="147"/>
    <tableColumn id="7" xr3:uid="{00000000-0010-0000-0300-000007000000}" name="Chol." dataDxfId="146"/>
    <tableColumn id="9" xr3:uid="{B33BF08B-CCCC-4F9E-A674-7331E99F05F6}" name="Source" dataDxfId="14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576D67-1F70-42CB-BE1C-5A598160207D}" name="tbDailyTotals" displayName="tbDailyTotals" ref="B2:M440" headerRowDxfId="134" dataDxfId="133" totalsRowDxfId="132" totalsRowBorderDxfId="131">
  <autoFilter ref="B2:M440" xr:uid="{FA576D67-1F70-42CB-BE1C-5A598160207D}">
    <filterColumn colId="0">
      <filters blank="1">
        <dateGroupItem year="2022" month="9" dateTimeGrouping="month"/>
      </filters>
    </filterColumn>
  </autoFilter>
  <sortState xmlns:xlrd2="http://schemas.microsoft.com/office/spreadsheetml/2017/richdata2" ref="B3:M29">
    <sortCondition ref="B2:B29"/>
  </sortState>
  <tableColumns count="12">
    <tableColumn id="1" xr3:uid="{10A818C2-B845-4CDE-909B-348152C14780}" name="Date" totalsRowLabel="Total" dataDxfId="129" totalsRowDxfId="130"/>
    <tableColumn id="2" xr3:uid="{765DC8CB-6682-4D04-A9AF-000B063FAD7C}" name="Cal" totalsRowFunction="custom" dataDxfId="127" totalsRowDxfId="128">
      <calculatedColumnFormula>SUMIFS(Log[Cal],Log[Date],tbDailyTotals[[#This Row],[Date]])</calculatedColumnFormula>
      <totalsRowFormula>SUBTOTAL(101,C3:C440)</totalsRowFormula>
    </tableColumn>
    <tableColumn id="3" xr3:uid="{38C50340-1EC6-4F36-92F7-C2A9688A994B}" name="Sodium" totalsRowFunction="custom" dataDxfId="125" totalsRowDxfId="126">
      <calculatedColumnFormula>SUMIFS(Log[Sodium],Log[Date],tbDailyTotals[[#This Row],[Date]])</calculatedColumnFormula>
      <totalsRowFormula>SUBTOTAL(101,D3:D440)</totalsRowFormula>
    </tableColumn>
    <tableColumn id="4" xr3:uid="{D063BFA2-D661-4244-8A14-A5FC7310C897}" name="Net Carbs" totalsRowFunction="custom" dataDxfId="123" totalsRowDxfId="124">
      <calculatedColumnFormula>SUMIFS(Log[Net Carbs],Log[Date],tbDailyTotals[[#This Row],[Date]])</calculatedColumnFormula>
      <totalsRowFormula>SUBTOTAL(101,E3:E440)</totalsRowFormula>
    </tableColumn>
    <tableColumn id="6" xr3:uid="{D1017B4C-6EC1-42E3-B51B-91B06F921607}" name="Protein" totalsRowFunction="custom" dataDxfId="121" totalsRowDxfId="122">
      <calculatedColumnFormula>SUMIFS(Log[Protein],Log[Date],tbDailyTotals[[#This Row],[Date]])</calculatedColumnFormula>
      <totalsRowFormula>SUBTOTAL(101,F3:F440)</totalsRowFormula>
    </tableColumn>
    <tableColumn id="7" xr3:uid="{ADBEE912-43C6-4C17-AC43-B03503F89197}" name="Chol" totalsRowFunction="custom" dataDxfId="119" totalsRowDxfId="120">
      <calculatedColumnFormula>SUMIFS(Log[Chol],Log[Date],tbDailyTotals[[#This Row],[Date]])</calculatedColumnFormula>
      <totalsRowFormula>SUBTOTAL(101,G3:G440)</totalsRowFormula>
    </tableColumn>
    <tableColumn id="8" xr3:uid="{12CF3CC0-2242-44CE-A330-A8A1B7934084}" name="Glucose" totalsRowFunction="custom" dataDxfId="117" totalsRowDxfId="118">
      <totalsRowFormula>SUBTOTAL(101,H3:H440)</totalsRowFormula>
    </tableColumn>
    <tableColumn id="12" xr3:uid="{312B82C5-A0C7-4583-B36F-316668740D1B}" name="Morn Med" dataDxfId="115" totalsRowDxfId="116">
      <calculatedColumnFormula>IF(COUNTIFS(Log[Date],tbDailyTotals[[#This Row],[Date]],Log[Item],"Morn meds",Log[Qty],1),"x","")</calculatedColumnFormula>
    </tableColumn>
    <tableColumn id="11" xr3:uid="{8527D13E-CF5E-4AC6-B534-8D77CC05FF9B}" name="Morn Ins" dataDxfId="113" totalsRowDxfId="114">
      <calculatedColumnFormula>IF(COUNTIFS(Log[Date],tbDailyTotals[[#This Row],[Date]],Log[Item],"Morn insulin",Log[Qty],1),"x","")</calculatedColumnFormula>
    </tableColumn>
    <tableColumn id="10" xr3:uid="{C5B3061A-AD13-47E9-81CE-6B6A64DA57F9}" name="Eve Ins" dataDxfId="111" totalsRowDxfId="112">
      <calculatedColumnFormula>IF(COUNTIFS(Log[Date],tbDailyTotals[[#This Row],[Date]],Log[Item],"Eve insulin",Log[Qty],1),"x","")</calculatedColumnFormula>
    </tableColumn>
    <tableColumn id="9" xr3:uid="{F33104E7-D1A6-4AD9-8CD3-B694CDD07713}" name="Even Med" dataDxfId="109" totalsRowDxfId="110">
      <calculatedColumnFormula>IF(COUNTIFS(Log[Date],tbDailyTotals[[#This Row],[Date]],Log[Item],"Eve meds",Log[Qty],1),"x","")</calculatedColumnFormula>
    </tableColumn>
    <tableColumn id="5" xr3:uid="{1C2E2205-1197-427E-B509-BAFEE16FBC4A}" name="Weight" totalsRowFunction="custom" dataDxfId="107" totalsRowDxfId="108">
      <totalsRowFormula>MAX(tbDailyTotals[Weight])-MIN(tbDailyTotals[Weight])</totalsRow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107C70-A4F6-4E05-9656-8E4C74284E9F}" name="tbScratch1" displayName="tbScratch1" ref="B4:K17" totalsRowCount="1" headerRowDxfId="106" dataDxfId="105" totalsRowDxfId="104" totalsRowBorderDxfId="103">
  <autoFilter ref="B4:K16" xr:uid="{00000000-0009-0000-0100-000002000000}"/>
  <tableColumns count="10">
    <tableColumn id="2" xr3:uid="{AE6D3FAF-6DCD-4355-A21F-1299A3A36681}" name="Item" totalsRowLabel="Total" dataDxfId="101" totalsRowDxfId="102"/>
    <tableColumn id="4" xr3:uid="{E09D0013-D9A8-42E8-B361-4668AC42212A}" name="Qty" dataDxfId="99" totalsRowDxfId="100"/>
    <tableColumn id="14" xr3:uid="{BF95C265-E067-4125-B4F5-50E89F8A9B41}" name="Unit" dataDxfId="97" totalsRowDxfId="98">
      <calculatedColumnFormula>IF(ISBLANK(tbScratch1[[#This Row],[Item]]),"",_xlfn.XLOOKUP(tbScratch1[[#This Row],[Item]],Calories[Name],Calories[Unit]))</calculatedColumnFormula>
    </tableColumn>
    <tableColumn id="5" xr3:uid="{345E8EFC-D1A1-4196-AF28-56B9DB7762F2}" name="Cal" totalsRowFunction="custom" dataDxfId="95" totalsRowDxfId="96">
      <calculatedColumnFormula>IF(ISBLANK(tbScratch1[[#This Row],[Item]]),"",_xlfn.XLOOKUP(tbScratch1[[#This Row],[Item]],Calories[Name],Calories[Cals])*tbScratch1[[#This Row],[Qty]])</calculatedColumnFormula>
      <totalsRowFormula>SUBTOTAL(109,E5:E16)</totalsRowFormula>
    </tableColumn>
    <tableColumn id="10" xr3:uid="{F8C31673-FA98-43BF-AB0A-513D79C6C8D8}" name="Carbs" totalsRowFunction="custom" dataDxfId="93" totalsRowDxfId="94">
      <calculatedColumnFormula>IF(ISBLANK(tbScratch1[[#This Row],[Item]]),"",_xlfn.XLOOKUP(tbScratch1[[#This Row],[Item]],Calories[Name],Calories[Carbs])*tbScratch1[[#This Row],[Qty]])</calculatedColumnFormula>
      <totalsRowFormula>SUBTOTAL(109,F5:F16)</totalsRowFormula>
    </tableColumn>
    <tableColumn id="12" xr3:uid="{29380F50-BD3E-4412-8A98-5FE6DF970B12}" name="Fibre" totalsRowFunction="custom" dataDxfId="91" totalsRowDxfId="92">
      <calculatedColumnFormula>IF(ISBLANK(tbScratch1[[#This Row],[Item]]),"",_xlfn.XLOOKUP(tbScratch1[[#This Row],[Item]],Calories[Name],Calories[Fibre])*tbScratch1[[#This Row],[Qty]])</calculatedColumnFormula>
      <totalsRowFormula>SUBTOTAL(109,G5:G16)</totalsRowFormula>
    </tableColumn>
    <tableColumn id="13" xr3:uid="{39E1E542-470E-42B9-B261-62EE6B0CBDD5}" name="Net Carbs" totalsRowFunction="custom" dataDxfId="89" totalsRowDxfId="90">
      <calculatedColumnFormula>IF(ISBLANK(tbScratch1[[#This Row],[Item]]),"",(tbScratch1[[#This Row],[Carbs]]-tbScratch1[[#This Row],[Fibre]]))</calculatedColumnFormula>
      <totalsRowFormula>SUBTOTAL(109,H5:H16)</totalsRowFormula>
    </tableColumn>
    <tableColumn id="9" xr3:uid="{8CFD100B-420F-493F-B637-5308CBB37216}" name="Sodium" totalsRowFunction="custom" dataDxfId="87" totalsRowDxfId="88">
      <calculatedColumnFormula>IF(ISBLANK(tbScratch1[[#This Row],[Item]]),"",_xlfn.XLOOKUP(tbScratch1[[#This Row],[Item]],Calories[Name],Calories[Sodium])*tbScratch1[[#This Row],[Qty]])</calculatedColumnFormula>
      <totalsRowFormula>SUBTOTAL(109,I5:I16)</totalsRowFormula>
    </tableColumn>
    <tableColumn id="8" xr3:uid="{1EF4831A-C1C8-4039-9E7B-FDF850FA9A41}" name="Protein" totalsRowFunction="custom" dataDxfId="85" totalsRowDxfId="86">
      <calculatedColumnFormula>IF(ISBLANK(tbScratch1[[#This Row],[Item]]),"",_xlfn.XLOOKUP(tbScratch1[[#This Row],[Item]],Calories[Name],Calories[Protein])*tbScratch1[[#This Row],[Qty]])</calculatedColumnFormula>
      <totalsRowFormula>SUBTOTAL(109,J5:J16)</totalsRowFormula>
    </tableColumn>
    <tableColumn id="1" xr3:uid="{7682F1B7-C7BE-400D-B0D9-485E3E89AA76}" name="Chol" totalsRowFunction="sum" dataDxfId="83" totalsRowDxfId="84">
      <calculatedColumnFormula>IF(ISBLANK(tbScratch1[[#This Row],[Item]]),"",_xlfn.XLOOKUP(tbScratch1[[#This Row],[Item]],Calories[Name],Calories[Chol.])*tbScratch1[[#This Row],[Qty]])</calculatedColumnFormula>
    </tableColumn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FE626D-BBCF-4D89-A83A-1CA3C88FC8AB}" name="tbScratch2" displayName="tbScratch2" ref="M4:V17" totalsRowCount="1" headerRowDxfId="82" dataDxfId="81" totalsRowDxfId="80" totalsRowBorderDxfId="79">
  <autoFilter ref="M4:V16" xr:uid="{F6FE626D-BBCF-4D89-A83A-1CA3C88FC8AB}"/>
  <tableColumns count="10">
    <tableColumn id="2" xr3:uid="{B9064049-4E64-48F8-B505-27D868AE452B}" name="Item" totalsRowLabel="Total" dataDxfId="77" totalsRowDxfId="78"/>
    <tableColumn id="4" xr3:uid="{80C759D7-DB61-4112-87CF-14BB17A9C010}" name="Qty" totalsRowFunction="custom" dataDxfId="75" totalsRowDxfId="76">
      <totalsRowFormula>SUBTOTAL(109,N5:N16)</totalsRowFormula>
    </tableColumn>
    <tableColumn id="14" xr3:uid="{0E49FD43-6846-4E1A-9BC5-F5F536321134}" name="Unit" dataDxfId="73" totalsRowDxfId="74">
      <calculatedColumnFormula>IF(ISBLANK(tbScratch2[[#This Row],[Item]]),"",_xlfn.XLOOKUP(tbScratch2[[#This Row],[Item]],Calories[Name],Calories[Unit]))</calculatedColumnFormula>
    </tableColumn>
    <tableColumn id="5" xr3:uid="{99B0DA44-3B19-495F-AB39-D3BB9E595965}" name="Cal" totalsRowFunction="custom" dataDxfId="71" totalsRowDxfId="72">
      <calculatedColumnFormula>IF(ISBLANK(tbScratch2[[#This Row],[Item]]),"",_xlfn.XLOOKUP(tbScratch2[[#This Row],[Item]],Calories[Name],Calories[Cals])*tbScratch2[[#This Row],[Qty]])</calculatedColumnFormula>
      <totalsRowFormula>SUBTOTAL(109,P5:P16)</totalsRowFormula>
    </tableColumn>
    <tableColumn id="10" xr3:uid="{1FC76A99-795A-4287-8E23-FBDFB7EF3D9F}" name="Carbs" totalsRowFunction="custom" dataDxfId="69" totalsRowDxfId="70">
      <calculatedColumnFormula>IF(ISBLANK(tbScratch2[[#This Row],[Item]]),"",_xlfn.XLOOKUP(tbScratch2[[#This Row],[Item]],Calories[Name],Calories[Carbs])*tbScratch2[[#This Row],[Qty]])</calculatedColumnFormula>
      <totalsRowFormula>SUBTOTAL(109,Q5:Q16)</totalsRowFormula>
    </tableColumn>
    <tableColumn id="12" xr3:uid="{09D6BC6D-572A-4EC6-B27E-ADAE5D252E38}" name="Fibre" totalsRowFunction="custom" dataDxfId="67" totalsRowDxfId="68">
      <calculatedColumnFormula>IF(ISBLANK(tbScratch2[[#This Row],[Item]]),"",_xlfn.XLOOKUP(tbScratch2[[#This Row],[Item]],Calories[Name],Calories[Fibre])*tbScratch2[[#This Row],[Qty]])</calculatedColumnFormula>
      <totalsRowFormula>SUBTOTAL(109,R5:R16)</totalsRowFormula>
    </tableColumn>
    <tableColumn id="13" xr3:uid="{50B898BF-288F-40A0-AA2F-3CEC6056925B}" name="Net Carbs" totalsRowFunction="custom" dataDxfId="65" totalsRowDxfId="66">
      <calculatedColumnFormula>IF(ISBLANK(tbScratch2[[#This Row],[Item]]),"",(tbScratch2[[#This Row],[Carbs]]-tbScratch2[[#This Row],[Fibre]]))</calculatedColumnFormula>
      <totalsRowFormula>SUBTOTAL(109,S5:S16)</totalsRowFormula>
    </tableColumn>
    <tableColumn id="9" xr3:uid="{B5BCD3C9-A50C-483C-8053-11F7640119D1}" name="Sodium" totalsRowFunction="custom" dataDxfId="63" totalsRowDxfId="64">
      <calculatedColumnFormula>IF(ISBLANK(tbScratch2[[#This Row],[Item]]),"",_xlfn.XLOOKUP(tbScratch2[[#This Row],[Item]],Calories[Name],Calories[Sodium])*tbScratch2[[#This Row],[Qty]])</calculatedColumnFormula>
      <totalsRowFormula>SUBTOTAL(109,T5:T16)</totalsRowFormula>
    </tableColumn>
    <tableColumn id="8" xr3:uid="{FAB14D38-BAE3-48A5-8C8C-A0D2FA256B94}" name="Protein" totalsRowFunction="custom" dataDxfId="61" totalsRowDxfId="62">
      <calculatedColumnFormula>IF(ISBLANK(tbScratch2[[#This Row],[Item]]),"",_xlfn.XLOOKUP(tbScratch2[[#This Row],[Item]],Calories[Name],Calories[Protein])*tbScratch2[[#This Row],[Qty]])</calculatedColumnFormula>
      <totalsRowFormula>SUBTOTAL(109,U5:U16)</totalsRowFormula>
    </tableColumn>
    <tableColumn id="1" xr3:uid="{60E58B70-6DC4-45AA-93B0-BC0472732DD9}" name="Chol" totalsRowFunction="sum" dataDxfId="59" totalsRowDxfId="60">
      <calculatedColumnFormula>IF(ISBLANK(tbScratch2[[#This Row],[Item]]),"",_xlfn.XLOOKUP(tbScratch2[[#This Row],[Item]],Calories[Name],Calories[Chol.])*tbScratch2[[#This Row],[Qty]])</calculatedColumnFormula>
    </tableColumn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C30F98-1A63-47B7-A133-FE9553B6ACC2}" name="tbScratch3" displayName="tbScratch3" ref="B22:K35" totalsRowCount="1" headerRowDxfId="58" dataDxfId="57" totalsRowDxfId="56" totalsRowBorderDxfId="55">
  <autoFilter ref="B22:K34" xr:uid="{22C30F98-1A63-47B7-A133-FE9553B6ACC2}"/>
  <tableColumns count="10">
    <tableColumn id="2" xr3:uid="{19D5A6EE-16EC-462A-B987-0C9366CDE1E3}" name="Item" totalsRowLabel="Total" dataDxfId="53" totalsRowDxfId="54"/>
    <tableColumn id="4" xr3:uid="{71AFF439-C56F-44FE-9B96-923DDE1813E7}" name="Qty" dataDxfId="51" totalsRowDxfId="52"/>
    <tableColumn id="14" xr3:uid="{D387D169-40DB-42C6-B9A5-88C483D8E442}" name="Unit" dataDxfId="49" totalsRowDxfId="50">
      <calculatedColumnFormula>IF(ISBLANK(tbScratch3[[#This Row],[Item]]),"",_xlfn.XLOOKUP(tbScratch3[[#This Row],[Item]],Calories[Name],Calories[Unit]))</calculatedColumnFormula>
    </tableColumn>
    <tableColumn id="5" xr3:uid="{E146E411-6019-4EA0-A62A-1CC577C31A7F}" name="Cal" totalsRowFunction="custom" dataDxfId="47" totalsRowDxfId="48">
      <calculatedColumnFormula>IF(ISBLANK(tbScratch3[[#This Row],[Item]]),"",_xlfn.XLOOKUP(tbScratch3[[#This Row],[Item]],Calories[Name],Calories[Cals])*tbScratch3[[#This Row],[Qty]])</calculatedColumnFormula>
      <totalsRowFormula>SUBTOTAL(109,E23:E34)</totalsRowFormula>
    </tableColumn>
    <tableColumn id="10" xr3:uid="{7AC6DCF1-DF0E-4B78-B957-AA71F7A695E8}" name="Carbs" totalsRowFunction="custom" dataDxfId="45" totalsRowDxfId="46">
      <calculatedColumnFormula>IF(ISBLANK(tbScratch3[[#This Row],[Item]]),"",_xlfn.XLOOKUP(tbScratch3[[#This Row],[Item]],Calories[Name],Calories[Carbs])*tbScratch3[[#This Row],[Qty]])</calculatedColumnFormula>
      <totalsRowFormula>SUBTOTAL(109,F23:F34)</totalsRowFormula>
    </tableColumn>
    <tableColumn id="12" xr3:uid="{01DB2F14-09D1-49B6-BC48-9494C8FC78F7}" name="Fibre" totalsRowFunction="custom" dataDxfId="43" totalsRowDxfId="44">
      <calculatedColumnFormula>IF(ISBLANK(tbScratch3[[#This Row],[Item]]),"",_xlfn.XLOOKUP(tbScratch3[[#This Row],[Item]],Calories[Name],Calories[Fibre])*tbScratch3[[#This Row],[Qty]])</calculatedColumnFormula>
      <totalsRowFormula>SUBTOTAL(109,G23:G34)</totalsRowFormula>
    </tableColumn>
    <tableColumn id="13" xr3:uid="{CEE69C6B-B788-48F2-B9C4-3552ECE8952E}" name="Net Carbs" totalsRowFunction="custom" dataDxfId="41" totalsRowDxfId="42">
      <calculatedColumnFormula>IF(ISBLANK(tbScratch3[[#This Row],[Item]]),"",(tbScratch3[[#This Row],[Carbs]]-tbScratch3[[#This Row],[Fibre]]))</calculatedColumnFormula>
      <totalsRowFormula>SUBTOTAL(109,H23:H34)</totalsRowFormula>
    </tableColumn>
    <tableColumn id="9" xr3:uid="{2F187C2C-8045-4510-A0FE-2DB16FBAF073}" name="Sodium" totalsRowFunction="custom" dataDxfId="39" totalsRowDxfId="40">
      <calculatedColumnFormula>IF(ISBLANK(tbScratch3[[#This Row],[Item]]),"",_xlfn.XLOOKUP(tbScratch3[[#This Row],[Item]],Calories[Name],Calories[Sodium])*tbScratch3[[#This Row],[Qty]])</calculatedColumnFormula>
      <totalsRowFormula>SUBTOTAL(109,I23:I34)</totalsRowFormula>
    </tableColumn>
    <tableColumn id="8" xr3:uid="{D57363C7-8AD3-4E5E-A9D5-833675459A8A}" name="Protein" totalsRowFunction="custom" dataDxfId="37" totalsRowDxfId="38">
      <calculatedColumnFormula>IF(ISBLANK(tbScratch3[[#This Row],[Item]]),"",_xlfn.XLOOKUP(tbScratch3[[#This Row],[Item]],Calories[Name],Calories[Protein])*tbScratch3[[#This Row],[Qty]])</calculatedColumnFormula>
      <totalsRowFormula>SUBTOTAL(109,J23:J34)</totalsRowFormula>
    </tableColumn>
    <tableColumn id="1" xr3:uid="{C0512AFF-DD05-4DE5-A526-A8C6F3156D4D}" name="Chol" totalsRowFunction="sum" dataDxfId="35" totalsRowDxfId="36">
      <calculatedColumnFormula>IF(ISBLANK(tbScratch3[[#This Row],[Item]]),"",_xlfn.XLOOKUP(tbScratch3[[#This Row],[Item]],Calories[Name],Calories[Chol.])*tbScratch3[[#This Row],[Qty]])</calculatedColumnFormula>
    </tableColumn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3B3DF5-ADD8-461B-B1C4-AE82B2607DB1}" name="tbScratch4" displayName="tbScratch4" ref="M22:V35" totalsRowCount="1" headerRowDxfId="34" dataDxfId="33" totalsRowDxfId="32" totalsRowBorderDxfId="31">
  <autoFilter ref="M22:V34" xr:uid="{823B3DF5-ADD8-461B-B1C4-AE82B2607DB1}"/>
  <tableColumns count="10">
    <tableColumn id="2" xr3:uid="{6D7B4017-E615-4B52-ADC4-94EE33B1B695}" name="Item" totalsRowLabel="Total" dataDxfId="29" totalsRowDxfId="30"/>
    <tableColumn id="4" xr3:uid="{D620224A-1337-4F3E-84A5-969AD4E8AC71}" name="Qty" dataDxfId="27" totalsRowDxfId="28"/>
    <tableColumn id="14" xr3:uid="{0786D3AA-EA25-4603-8506-6A73F1FB64BE}" name="Unit" dataDxfId="25" totalsRowDxfId="26">
      <calculatedColumnFormula>IF(ISBLANK(tbScratch4[[#This Row],[Item]]),"",_xlfn.XLOOKUP(tbScratch4[[#This Row],[Item]],Calories[Name],Calories[Unit]))</calculatedColumnFormula>
    </tableColumn>
    <tableColumn id="5" xr3:uid="{040BC2EC-1EF9-4ED9-9CEC-E6CF82AF1972}" name="Cal" totalsRowFunction="custom" dataDxfId="23" totalsRowDxfId="24">
      <calculatedColumnFormula>IF(ISBLANK(tbScratch4[[#This Row],[Item]]),"",_xlfn.XLOOKUP(tbScratch4[[#This Row],[Item]],Calories[Name],Calories[Cals])*tbScratch4[[#This Row],[Qty]])</calculatedColumnFormula>
      <totalsRowFormula>SUBTOTAL(109,P23:P34)</totalsRowFormula>
    </tableColumn>
    <tableColumn id="10" xr3:uid="{CD0DFA04-5358-4BD0-89D1-81996303A01A}" name="Carbs" totalsRowFunction="custom" dataDxfId="21" totalsRowDxfId="22">
      <calculatedColumnFormula>IF(ISBLANK(tbScratch4[[#This Row],[Item]]),"",_xlfn.XLOOKUP(tbScratch4[[#This Row],[Item]],Calories[Name],Calories[Carbs])*tbScratch4[[#This Row],[Qty]])</calculatedColumnFormula>
      <totalsRowFormula>SUBTOTAL(109,Q23:Q34)</totalsRowFormula>
    </tableColumn>
    <tableColumn id="12" xr3:uid="{779A3FC7-5D2D-4A33-95FE-A1F2F48B859C}" name="Fibre" totalsRowFunction="custom" dataDxfId="19" totalsRowDxfId="20">
      <calculatedColumnFormula>IF(ISBLANK(tbScratch4[[#This Row],[Item]]),"",_xlfn.XLOOKUP(tbScratch4[[#This Row],[Item]],Calories[Name],Calories[Fibre])*tbScratch4[[#This Row],[Qty]])</calculatedColumnFormula>
      <totalsRowFormula>SUBTOTAL(109,R23:R34)</totalsRowFormula>
    </tableColumn>
    <tableColumn id="13" xr3:uid="{10FEAC54-8F0C-4D33-8944-5AD16A30136A}" name="Net Carbs" totalsRowFunction="custom" dataDxfId="17" totalsRowDxfId="18">
      <calculatedColumnFormula>IF(ISBLANK(tbScratch4[[#This Row],[Item]]),"",(tbScratch4[[#This Row],[Carbs]]-tbScratch4[[#This Row],[Fibre]]))</calculatedColumnFormula>
      <totalsRowFormula>SUBTOTAL(109,S23:S34)</totalsRowFormula>
    </tableColumn>
    <tableColumn id="9" xr3:uid="{1ED97DA3-976D-40DE-BCCC-0DC616FBA6F4}" name="Sodium" totalsRowFunction="custom" dataDxfId="15" totalsRowDxfId="16">
      <calculatedColumnFormula>IF(ISBLANK(tbScratch4[[#This Row],[Item]]),"",_xlfn.XLOOKUP(tbScratch4[[#This Row],[Item]],Calories[Name],Calories[Sodium])*tbScratch4[[#This Row],[Qty]])</calculatedColumnFormula>
      <totalsRowFormula>SUBTOTAL(109,T23:T34)</totalsRowFormula>
    </tableColumn>
    <tableColumn id="8" xr3:uid="{AD838F33-6DC5-44B1-A829-34F92795C1CB}" name="Protein" totalsRowFunction="custom" dataDxfId="13" totalsRowDxfId="14">
      <calculatedColumnFormula>IF(ISBLANK(tbScratch4[[#This Row],[Item]]),"",_xlfn.XLOOKUP(tbScratch4[[#This Row],[Item]],Calories[Name],Calories[Protein])*tbScratch4[[#This Row],[Qty]])</calculatedColumnFormula>
      <totalsRowFormula>SUBTOTAL(109,U23:U34)</totalsRowFormula>
    </tableColumn>
    <tableColumn id="1" xr3:uid="{DC4E126D-A7A5-42C6-A990-4A3DA213A28B}" name="Chol" totalsRowFunction="sum" dataDxfId="11" totalsRowDxfId="12">
      <calculatedColumnFormula>IF(ISBLANK(tbScratch4[[#This Row],[Item]]),"",_xlfn.XLOOKUP(tbScratch4[[#This Row],[Item]],Calories[Name],Calories[Chol.])*tbScratch4[[#This Row],[Qty]])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FE5CEC-57AF-4445-8430-E767274A80E2}" name="tbDensity" displayName="tbDensity" ref="B2:J209" totalsRowShown="0" headerRowDxfId="10" dataDxfId="9">
  <autoFilter ref="B2:J209" xr:uid="{00000000-0009-0000-0100-000002000000}"/>
  <sortState xmlns:xlrd2="http://schemas.microsoft.com/office/spreadsheetml/2017/richdata2" ref="B3:J209">
    <sortCondition ref="G2:G209"/>
  </sortState>
  <tableColumns count="9">
    <tableColumn id="2" xr3:uid="{1CA54402-9E20-445C-9583-DE63F4D0ED79}" name="Item" dataDxfId="8"/>
    <tableColumn id="3" xr3:uid="{05362466-9DAC-42AC-992A-F3964C2FEF1A}" name="Unit" dataDxfId="7">
      <calculatedColumnFormula>VLOOKUP(tbDensity[[#This Row],[Item]],Calories[],2,FALSE)</calculatedColumnFormula>
    </tableColumn>
    <tableColumn id="5" xr3:uid="{DB8042D2-B557-46C8-A2AE-F6EC896FF598}" name="Cal / 100g" dataDxfId="6">
      <calculatedColumnFormula>_xlfn.XLOOKUP(tbDensity[[#This Row],[Item]],Calories[Name],Calories[Cals])*100</calculatedColumnFormula>
    </tableColumn>
    <tableColumn id="10" xr3:uid="{BFA22099-2565-4876-93FE-250CA92DD09B}" name="Carb / 100g" dataDxfId="5">
      <calculatedColumnFormula>_xlfn.XLOOKUP(tbDensity[[#This Row],[Item]],Calories[Name],Calories[Carbs])*100</calculatedColumnFormula>
    </tableColumn>
    <tableColumn id="12" xr3:uid="{4C719066-ED2C-4D66-8D26-7DB58F6BD484}" name="Fibre / 100g" dataDxfId="4">
      <calculatedColumnFormula>_xlfn.XLOOKUP(tbDensity[[#This Row],[Item]],Calories[Name],Calories[Fibre])*100</calculatedColumnFormula>
    </tableColumn>
    <tableColumn id="13" xr3:uid="{AE24437F-D4BA-426D-9B13-69890F957513}" name="Net Carbs / 100g" dataDxfId="3">
      <calculatedColumnFormula>(tbDensity[[#This Row],[Carb / 100g]]-tbDensity[[#This Row],[Fibre / 100g]])</calculatedColumnFormula>
    </tableColumn>
    <tableColumn id="9" xr3:uid="{5F06724C-C406-4CB5-813A-D493880A4A55}" name="NaCL / 100g" dataDxfId="2">
      <calculatedColumnFormula>_xlfn.XLOOKUP(tbDensity[[#This Row],[Item]],Calories[Name],Calories[Sodium])* 100</calculatedColumnFormula>
    </tableColumn>
    <tableColumn id="8" xr3:uid="{2C274932-D0F5-41D0-AFD0-60B147DF2C9F}" name="Prot / 100g" dataDxfId="1">
      <calculatedColumnFormula>_xlfn.XLOOKUP(tbDensity[[#This Row],[Item]],Calories[Name],Calories[Protein]) * 100</calculatedColumnFormula>
    </tableColumn>
    <tableColumn id="7" xr3:uid="{87E79B4D-D8C4-4B84-8C97-6A822A131334}" name="Chol / 100g" dataDxfId="0">
      <calculatedColumnFormula>_xlfn.XLOOKUP(tbDensity[[#This Row],[Item]],Calories[Name],Calories[Chol.]) * 100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atthismuch.com/food/nutrition/red-bell-pepper,2440/" TargetMode="External"/><Relationship Id="rId21" Type="http://schemas.openxmlformats.org/officeDocument/2006/relationships/hyperlink" Target="https://www.fatsecret.com/calories-nutrition/generic/cilantro-raw?portionid=24288&amp;portionamount=1.000" TargetMode="External"/><Relationship Id="rId42" Type="http://schemas.openxmlformats.org/officeDocument/2006/relationships/hyperlink" Target="https://www.fatsecret.com/calories-nutrition/generic/lettuce-boston-raw?portionid=24359&amp;portionamount=1.000" TargetMode="External"/><Relationship Id="rId47" Type="http://schemas.openxmlformats.org/officeDocument/2006/relationships/hyperlink" Target="https://www.sparkpeople.com/calories-in.asp?food=stewing+beef" TargetMode="External"/><Relationship Id="rId63" Type="http://schemas.openxmlformats.org/officeDocument/2006/relationships/hyperlink" Target="https://www.nutritionix.com/food/shallot" TargetMode="External"/><Relationship Id="rId68" Type="http://schemas.openxmlformats.org/officeDocument/2006/relationships/hyperlink" Target="https://www.eatthismuch.com/food/nutrition/parsley-root,139885/" TargetMode="External"/><Relationship Id="rId16" Type="http://schemas.openxmlformats.org/officeDocument/2006/relationships/hyperlink" Target="https://www.fatsecret.com/calories-nutrition/usda/capers" TargetMode="External"/><Relationship Id="rId11" Type="http://schemas.openxmlformats.org/officeDocument/2006/relationships/hyperlink" Target="https://www.fatsecret.com/calories-nutrition/usda/green-peas" TargetMode="External"/><Relationship Id="rId24" Type="http://schemas.openxmlformats.org/officeDocument/2006/relationships/hyperlink" Target="https://www.fatsecret.com/calories-nutrition/usda/broccoli" TargetMode="External"/><Relationship Id="rId32" Type="http://schemas.openxmlformats.org/officeDocument/2006/relationships/hyperlink" Target="https://www.fatsecret.com/calories-nutrition/generic/bacon-cooked" TargetMode="External"/><Relationship Id="rId37" Type="http://schemas.openxmlformats.org/officeDocument/2006/relationships/hyperlink" Target="https://www.fatsecret.com/calories-nutrition/usda/eggplant" TargetMode="External"/><Relationship Id="rId40" Type="http://schemas.openxmlformats.org/officeDocument/2006/relationships/hyperlink" Target="https://www.fatsecret.com/calories-nutrition/food/pancakes" TargetMode="External"/><Relationship Id="rId45" Type="http://schemas.openxmlformats.org/officeDocument/2006/relationships/hyperlink" Target="https://www.fatsecret.com/calories-nutrition/usda/almonds?portionid=59771&amp;portionamount=100.000" TargetMode="External"/><Relationship Id="rId53" Type="http://schemas.openxmlformats.org/officeDocument/2006/relationships/hyperlink" Target="https://www.fatsecret.com/calories-nutrition/usda/onions" TargetMode="External"/><Relationship Id="rId58" Type="http://schemas.openxmlformats.org/officeDocument/2006/relationships/hyperlink" Target="https://www.nutritionix.com/food/cabbage" TargetMode="External"/><Relationship Id="rId66" Type="http://schemas.openxmlformats.org/officeDocument/2006/relationships/hyperlink" Target="https://www.fatsecret.com/calories-nutrition/usda/paprika" TargetMode="External"/><Relationship Id="rId74" Type="http://schemas.openxmlformats.org/officeDocument/2006/relationships/hyperlink" Target="http://convert-to.com/456/table-salt-amounts-converter.html" TargetMode="External"/><Relationship Id="rId79" Type="http://schemas.openxmlformats.org/officeDocument/2006/relationships/table" Target="../tables/table2.xml"/><Relationship Id="rId5" Type="http://schemas.openxmlformats.org/officeDocument/2006/relationships/hyperlink" Target="https://greengiant.com/products/detail/green-giant-steamers-niblets-corn-12-oz-bag/" TargetMode="External"/><Relationship Id="rId61" Type="http://schemas.openxmlformats.org/officeDocument/2006/relationships/hyperlink" Target="https://www.nutritionix.com/i/kikkoman/soy-sauce/51c4002297c3e6dfa4df3420" TargetMode="External"/><Relationship Id="rId19" Type="http://schemas.openxmlformats.org/officeDocument/2006/relationships/hyperlink" Target="https://www.fatsecret.com/calories-nutrition/usda/tomato-sauce" TargetMode="External"/><Relationship Id="rId14" Type="http://schemas.openxmlformats.org/officeDocument/2006/relationships/hyperlink" Target="https://www.fatsecret.com/calories-nutrition/generic/chickpeas-dry-cooked-fat-not-added-in-cooking?portionid=51925&amp;portionamount=100.000" TargetMode="External"/><Relationship Id="rId22" Type="http://schemas.openxmlformats.org/officeDocument/2006/relationships/hyperlink" Target="https://www.nutritionix.com/food/gherkins" TargetMode="External"/><Relationship Id="rId27" Type="http://schemas.openxmlformats.org/officeDocument/2006/relationships/hyperlink" Target="https://www.eatthismuch.com/food/nutrition/red-bell-pepper,2440/" TargetMode="External"/><Relationship Id="rId30" Type="http://schemas.openxmlformats.org/officeDocument/2006/relationships/hyperlink" Target="https://www.fatsecret.com/calories-nutrition/usda/evaporated-milk" TargetMode="External"/><Relationship Id="rId35" Type="http://schemas.openxmlformats.org/officeDocument/2006/relationships/hyperlink" Target="https://www.fatsecret.com/calories-nutrition/usda/celery" TargetMode="External"/><Relationship Id="rId43" Type="http://schemas.openxmlformats.org/officeDocument/2006/relationships/hyperlink" Target="https://www.fatsecret.com/calories-nutrition/generic/lettuce-boston-raw?portionid=24359&amp;portionamount=1.000" TargetMode="External"/><Relationship Id="rId48" Type="http://schemas.openxmlformats.org/officeDocument/2006/relationships/hyperlink" Target="https://www.nutritionix.com/food/white-mushrooms" TargetMode="External"/><Relationship Id="rId56" Type="http://schemas.openxmlformats.org/officeDocument/2006/relationships/hyperlink" Target="https://www.eatthismuch.com/food/nutrition/cucumber,1971/" TargetMode="External"/><Relationship Id="rId64" Type="http://schemas.openxmlformats.org/officeDocument/2006/relationships/hyperlink" Target="https://www.nutritionix.com/food/nacho-doritos" TargetMode="External"/><Relationship Id="rId69" Type="http://schemas.openxmlformats.org/officeDocument/2006/relationships/hyperlink" Target="https://www.fatsecret.com/calories-nutrition/generic/chicken-thigh-roasted-broiled-or-baked-skin-not-eaten?portionid=50380&amp;portionamount=100.000" TargetMode="External"/><Relationship Id="rId77" Type="http://schemas.openxmlformats.org/officeDocument/2006/relationships/hyperlink" Target="https://www.fatsecret.ca/calories-nutrition/generic/roasted-broiled-or-baked-chicken-breast-(skin-eaten)?portionid=50325&amp;portionamount=100.000" TargetMode="External"/><Relationship Id="rId8" Type="http://schemas.openxmlformats.org/officeDocument/2006/relationships/hyperlink" Target="https://www.nutritionix.com/food/cooked-farro" TargetMode="External"/><Relationship Id="rId51" Type="http://schemas.openxmlformats.org/officeDocument/2006/relationships/hyperlink" Target="https://www.nutritionix.com/food/hidden-valley-ranch-dressing" TargetMode="External"/><Relationship Id="rId72" Type="http://schemas.openxmlformats.org/officeDocument/2006/relationships/hyperlink" Target="https://www.fatsecret.com/calories-nutrition/usda/parsnips" TargetMode="External"/><Relationship Id="rId3" Type="http://schemas.openxmlformats.org/officeDocument/2006/relationships/hyperlink" Target="https://www.nutritionix.com/food/cooked-white-rice" TargetMode="External"/><Relationship Id="rId12" Type="http://schemas.openxmlformats.org/officeDocument/2006/relationships/hyperlink" Target="https://www.fatsecret.com/calories-nutrition/usda/green-peas" TargetMode="External"/><Relationship Id="rId17" Type="http://schemas.openxmlformats.org/officeDocument/2006/relationships/hyperlink" Target="https://www.eatthismuch.com/food/nutrition/cucumber,1971/" TargetMode="External"/><Relationship Id="rId25" Type="http://schemas.openxmlformats.org/officeDocument/2006/relationships/hyperlink" Target="https://www.fatsecret.com/calories-nutrition/rock-bottom/new-york-strip" TargetMode="External"/><Relationship Id="rId33" Type="http://schemas.openxmlformats.org/officeDocument/2006/relationships/hyperlink" Target="https://www.fatsecret.com/calories-nutrition/generic/baguette" TargetMode="External"/><Relationship Id="rId38" Type="http://schemas.openxmlformats.org/officeDocument/2006/relationships/hyperlink" Target="https://www.fatsecret.com/calories-nutrition/usda/eggplant" TargetMode="External"/><Relationship Id="rId46" Type="http://schemas.openxmlformats.org/officeDocument/2006/relationships/hyperlink" Target="https://www.fatsecret.com/calories-nutrition/usda/almonds" TargetMode="External"/><Relationship Id="rId59" Type="http://schemas.openxmlformats.org/officeDocument/2006/relationships/hyperlink" Target="https://www.nutritionix.com/food/cabbage" TargetMode="External"/><Relationship Id="rId67" Type="http://schemas.openxmlformats.org/officeDocument/2006/relationships/hyperlink" Target="https://www.fatsecret.com/calories-nutrition/kraft/american-cheese-slice" TargetMode="External"/><Relationship Id="rId20" Type="http://schemas.openxmlformats.org/officeDocument/2006/relationships/hyperlink" Target="https://www.fatsecret.com/calories-nutrition/usda/shrimp" TargetMode="External"/><Relationship Id="rId41" Type="http://schemas.openxmlformats.org/officeDocument/2006/relationships/hyperlink" Target="https://www.fatsecret.com/calories-nutrition/usda/olive-oil" TargetMode="External"/><Relationship Id="rId54" Type="http://schemas.openxmlformats.org/officeDocument/2006/relationships/hyperlink" Target="https://www.nutritionix.com/food/napa-cabbage" TargetMode="External"/><Relationship Id="rId62" Type="http://schemas.openxmlformats.org/officeDocument/2006/relationships/hyperlink" Target="https://www.nutritionix.com/food/fresh-basil/1-cup" TargetMode="External"/><Relationship Id="rId70" Type="http://schemas.openxmlformats.org/officeDocument/2006/relationships/hyperlink" Target="https://i.stack.imgur.com/E82kb.jpg" TargetMode="External"/><Relationship Id="rId75" Type="http://schemas.openxmlformats.org/officeDocument/2006/relationships/hyperlink" Target="https://www.fatsecret.com/calories-nutrition/usda/salt?portionid=56639&amp;portionamount=100.000" TargetMode="External"/><Relationship Id="rId1" Type="http://schemas.openxmlformats.org/officeDocument/2006/relationships/hyperlink" Target="https://www.eatthismuch.com/food/nutrition/white-rice-uncooked,563770/" TargetMode="External"/><Relationship Id="rId6" Type="http://schemas.openxmlformats.org/officeDocument/2006/relationships/hyperlink" Target="https://www.healthline.com/health/food-nutrition/plantain-nutrition-benefits" TargetMode="External"/><Relationship Id="rId15" Type="http://schemas.openxmlformats.org/officeDocument/2006/relationships/hyperlink" Target="https://www.fatsecret.com/calories-nutrition/generic/sweetpotato-baked-peel-eaten-fat-not-added-in-cooking" TargetMode="External"/><Relationship Id="rId23" Type="http://schemas.openxmlformats.org/officeDocument/2006/relationships/hyperlink" Target="https://www.cloverleaf.ca/en/products/smoked-oysters/" TargetMode="External"/><Relationship Id="rId28" Type="http://schemas.openxmlformats.org/officeDocument/2006/relationships/hyperlink" Target="https://www.fatsecret.com/calories-nutrition/usda/evaporated-milk" TargetMode="External"/><Relationship Id="rId36" Type="http://schemas.openxmlformats.org/officeDocument/2006/relationships/hyperlink" Target="https://www.fatsecret.com/calories-nutrition/generic/cheese-american" TargetMode="External"/><Relationship Id="rId49" Type="http://schemas.openxmlformats.org/officeDocument/2006/relationships/hyperlink" Target="https://www.nutritionix.com/food/radish" TargetMode="External"/><Relationship Id="rId57" Type="http://schemas.openxmlformats.org/officeDocument/2006/relationships/hyperlink" Target="https://www.nutritionix.com/food/green-onion" TargetMode="External"/><Relationship Id="rId10" Type="http://schemas.openxmlformats.org/officeDocument/2006/relationships/hyperlink" Target="https://www.fatsecret.com/calories-nutrition/generic/lentils-dry-cooked?portionid=51933&amp;portionamount=100.000" TargetMode="External"/><Relationship Id="rId31" Type="http://schemas.openxmlformats.org/officeDocument/2006/relationships/hyperlink" Target="https://www.fatsecret.com/calories-nutrition/generic/artichoke-globe-(french)-cooked-from-fresh" TargetMode="External"/><Relationship Id="rId44" Type="http://schemas.openxmlformats.org/officeDocument/2006/relationships/hyperlink" Target="https://www.fatsecret.com/calories-nutrition/usda/okra" TargetMode="External"/><Relationship Id="rId52" Type="http://schemas.openxmlformats.org/officeDocument/2006/relationships/hyperlink" Target="https://www.fatsecret.com/calories-nutrition/usda/okra" TargetMode="External"/><Relationship Id="rId60" Type="http://schemas.openxmlformats.org/officeDocument/2006/relationships/hyperlink" Target="https://www.nutritionix.com/food/caraway-seeds" TargetMode="External"/><Relationship Id="rId65" Type="http://schemas.openxmlformats.org/officeDocument/2006/relationships/hyperlink" Target="https://www.nutritionix.com/food/raw-scallop" TargetMode="External"/><Relationship Id="rId73" Type="http://schemas.openxmlformats.org/officeDocument/2006/relationships/hyperlink" Target="https://www.fatsecret.com/calories-nutrition/usda/parsnips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s://www.sparkpeople.com/calories-in.asp?food=green+giant+frozen+corn" TargetMode="External"/><Relationship Id="rId9" Type="http://schemas.openxmlformats.org/officeDocument/2006/relationships/hyperlink" Target="https://www.fatsecret.com/calories-nutrition/generic/millet-cooked?portionid=53156&amp;portionamount=100.000" TargetMode="External"/><Relationship Id="rId13" Type="http://schemas.openxmlformats.org/officeDocument/2006/relationships/hyperlink" Target="https://www.fatsecret.com/calories-nutrition/generic/chickpeas-dry-cooked-fat-not-added-in-cooking" TargetMode="External"/><Relationship Id="rId18" Type="http://schemas.openxmlformats.org/officeDocument/2006/relationships/hyperlink" Target="https://www.fatsecret.com/calories-nutrition/usda/tomato-sauce" TargetMode="External"/><Relationship Id="rId39" Type="http://schemas.openxmlformats.org/officeDocument/2006/relationships/hyperlink" Target="https://www.fitbit.com/foods/Ground+Beef+Raw+80+Lean/8220" TargetMode="External"/><Relationship Id="rId34" Type="http://schemas.openxmlformats.org/officeDocument/2006/relationships/hyperlink" Target="https://www.fatsecret.com/calories-nutrition/usda/celery" TargetMode="External"/><Relationship Id="rId50" Type="http://schemas.openxmlformats.org/officeDocument/2006/relationships/hyperlink" Target="https://www.nutritionix.com/food/sriracha" TargetMode="External"/><Relationship Id="rId55" Type="http://schemas.openxmlformats.org/officeDocument/2006/relationships/hyperlink" Target="https://www.nutritionix.com/food/napa-cabbage" TargetMode="External"/><Relationship Id="rId76" Type="http://schemas.openxmlformats.org/officeDocument/2006/relationships/hyperlink" Target="https://www.fatsecret.ca/calories-nutrition/generic/roasted-broiled-or-baked-chicken-leg-(skin-eaten)?portionid=50343&amp;portionamount=100.000" TargetMode="External"/><Relationship Id="rId7" Type="http://schemas.openxmlformats.org/officeDocument/2006/relationships/hyperlink" Target="https://www.fatsecret.com/calories-nutrition/usda/pearled-barley-(cooked)?portionid=62418&amp;portionamount=100.000" TargetMode="External"/><Relationship Id="rId71" Type="http://schemas.openxmlformats.org/officeDocument/2006/relationships/hyperlink" Target="https://en.wikipedia.org/wiki/Tofu_skin" TargetMode="External"/><Relationship Id="rId2" Type="http://schemas.openxmlformats.org/officeDocument/2006/relationships/hyperlink" Target="https://www.nutritionix.com/food/cooked-white-rice" TargetMode="External"/><Relationship Id="rId29" Type="http://schemas.openxmlformats.org/officeDocument/2006/relationships/hyperlink" Target="https://www.fatsecret.com/calories-nutrition/usda/evaporated-mil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8"/>
  <sheetViews>
    <sheetView showGridLines="0" tabSelected="1" topLeftCell="A436" workbookViewId="0">
      <selection activeCell="D449" sqref="D449"/>
    </sheetView>
  </sheetViews>
  <sheetFormatPr defaultColWidth="8.5703125" defaultRowHeight="15.95"/>
  <cols>
    <col min="1" max="1" width="1.140625" style="61" customWidth="1"/>
    <col min="2" max="2" width="10.5703125" style="56" customWidth="1"/>
    <col min="3" max="3" width="27" style="57" customWidth="1"/>
    <col min="4" max="4" width="9.42578125" style="116"/>
    <col min="5" max="5" width="6.42578125" style="58" customWidth="1"/>
    <col min="6" max="6" width="6.42578125" style="59" customWidth="1"/>
    <col min="7" max="9" width="6.42578125" style="60" customWidth="1"/>
    <col min="10" max="12" width="6.42578125" style="59" customWidth="1"/>
    <col min="13" max="13" width="40.5703125" style="61" customWidth="1"/>
    <col min="14" max="14" width="1.140625" style="61" customWidth="1"/>
    <col min="15" max="16384" width="8.5703125" style="61"/>
  </cols>
  <sheetData>
    <row r="1" spans="1:15" ht="6" customHeight="1">
      <c r="A1" s="73"/>
      <c r="B1" s="98"/>
      <c r="C1" s="78"/>
      <c r="D1" s="79"/>
      <c r="E1" s="76"/>
      <c r="F1" s="99"/>
      <c r="G1" s="71"/>
      <c r="H1" s="71"/>
      <c r="I1" s="71"/>
      <c r="J1" s="99"/>
      <c r="K1" s="99"/>
      <c r="L1" s="99"/>
      <c r="M1" s="73"/>
      <c r="N1" s="73"/>
      <c r="O1" s="73"/>
    </row>
    <row r="2" spans="1:15" s="63" customFormat="1" ht="25.15" customHeight="1">
      <c r="A2" s="102"/>
      <c r="B2" s="100" t="s">
        <v>0</v>
      </c>
      <c r="C2" s="101" t="s">
        <v>1</v>
      </c>
      <c r="D2" s="115" t="s">
        <v>2</v>
      </c>
      <c r="E2" s="76" t="s">
        <v>3</v>
      </c>
      <c r="F2" s="62" t="s">
        <v>4</v>
      </c>
      <c r="G2" s="72" t="s">
        <v>5</v>
      </c>
      <c r="H2" s="72" t="s">
        <v>6</v>
      </c>
      <c r="I2" s="72" t="s">
        <v>7</v>
      </c>
      <c r="J2" s="70" t="s">
        <v>8</v>
      </c>
      <c r="K2" s="70" t="s">
        <v>9</v>
      </c>
      <c r="L2" s="70" t="s">
        <v>10</v>
      </c>
      <c r="M2" s="102" t="s">
        <v>11</v>
      </c>
      <c r="N2" s="102"/>
      <c r="O2" s="102"/>
    </row>
    <row r="3" spans="1:15" s="66" customFormat="1" ht="25.15" customHeight="1">
      <c r="A3" s="75"/>
      <c r="B3" s="98">
        <v>44801</v>
      </c>
      <c r="C3" s="64" t="s">
        <v>12</v>
      </c>
      <c r="D3" s="79">
        <v>4</v>
      </c>
      <c r="E3" s="76" t="str">
        <f>IF(ISBLANK(Log[[#This Row],[Item]]),"",_xlfn.XLOOKUP(Log[[#This Row],[Item]],Calories[Name],Calories[Unit]))</f>
        <v>ea</v>
      </c>
      <c r="F3" s="65">
        <f>IF(ISBLANK(Log[[#This Row],[Item]]),"",_xlfn.XLOOKUP(Log[[#This Row],[Item]],Calories[Name],Calories[Cals])*Log[[#This Row],[Qty]])</f>
        <v>120</v>
      </c>
      <c r="G3" s="71">
        <f>IF(ISBLANK(Log[[#This Row],[Item]]),"",_xlfn.XLOOKUP(Log[[#This Row],[Item]],Calories[Name],Calories[Carbs])*Log[[#This Row],[Qty]])</f>
        <v>24</v>
      </c>
      <c r="H3" s="71">
        <f>IF(ISBLANK(Log[[#This Row],[Item]]),"",_xlfn.XLOOKUP(Log[[#This Row],[Item]],Calories[Name],Calories[Fibre])*Log[[#This Row],[Qty]])</f>
        <v>2</v>
      </c>
      <c r="I3" s="71">
        <f>IF(ISBLANK(Log[[#This Row],[Item]]),"",(Log[[#This Row],[Carbs]]-Log[[#This Row],[Fibre]]))</f>
        <v>22</v>
      </c>
      <c r="J3" s="103">
        <f>IF(ISBLANK(Log[[#This Row],[Item]]),"",_xlfn.XLOOKUP(Log[[#This Row],[Item]],Calories[Name],Calories[Sodium])*Log[[#This Row],[Qty]])</f>
        <v>55</v>
      </c>
      <c r="K3" s="71">
        <f>IF(ISBLANK(Log[[#This Row],[Item]]),"",_xlfn.XLOOKUP(Log[[#This Row],[Item]],Calories[Name],Calories[Protein])*Log[[#This Row],[Qty]])</f>
        <v>3</v>
      </c>
      <c r="L3" s="71">
        <f>IF(ISBLANK(Log[[#This Row],[Item]]),"",_xlfn.XLOOKUP(Log[[#This Row],[Item]],Calories[Name],Calories[Chol.])*Log[[#This Row],[Qty]])</f>
        <v>0</v>
      </c>
      <c r="M3" s="75"/>
      <c r="N3" s="75"/>
      <c r="O3" s="75"/>
    </row>
    <row r="4" spans="1:15" s="66" customFormat="1" ht="25.15" customHeight="1">
      <c r="A4" s="75"/>
      <c r="B4" s="98">
        <v>44801</v>
      </c>
      <c r="C4" s="78" t="s">
        <v>13</v>
      </c>
      <c r="D4" s="79">
        <v>2</v>
      </c>
      <c r="E4" s="76" t="str">
        <f>IF(ISBLANK(Log[[#This Row],[Item]]),"",_xlfn.XLOOKUP(Log[[#This Row],[Item]],Calories[Name],Calories[Unit]))</f>
        <v>ea</v>
      </c>
      <c r="F4" s="65">
        <f>IF(ISBLANK(Log[[#This Row],[Item]]),"",_xlfn.XLOOKUP(Log[[#This Row],[Item]],Calories[Name],Calories[Cals])*Log[[#This Row],[Qty]])</f>
        <v>144</v>
      </c>
      <c r="G4" s="71">
        <f>IF(ISBLANK(Log[[#This Row],[Item]]),"",_xlfn.XLOOKUP(Log[[#This Row],[Item]],Calories[Name],Calories[Carbs])*Log[[#This Row],[Qty]])</f>
        <v>0</v>
      </c>
      <c r="H4" s="71">
        <f>IF(ISBLANK(Log[[#This Row],[Item]]),"",_xlfn.XLOOKUP(Log[[#This Row],[Item]],Calories[Name],Calories[Fibre])*Log[[#This Row],[Qty]])</f>
        <v>0</v>
      </c>
      <c r="I4" s="71">
        <f>IF(ISBLANK(Log[[#This Row],[Item]]),"",(Log[[#This Row],[Carbs]]-Log[[#This Row],[Fibre]]))</f>
        <v>0</v>
      </c>
      <c r="J4" s="103">
        <f>IF(ISBLANK(Log[[#This Row],[Item]]),"",_xlfn.XLOOKUP(Log[[#This Row],[Item]],Calories[Name],Calories[Sodium])*Log[[#This Row],[Qty]])</f>
        <v>140</v>
      </c>
      <c r="K4" s="71">
        <f>IF(ISBLANK(Log[[#This Row],[Item]]),"",_xlfn.XLOOKUP(Log[[#This Row],[Item]],Calories[Name],Calories[Protein])*Log[[#This Row],[Qty]])</f>
        <v>12</v>
      </c>
      <c r="L4" s="71">
        <f>IF(ISBLANK(Log[[#This Row],[Item]]),"",_xlfn.XLOOKUP(Log[[#This Row],[Item]],Calories[Name],Calories[Chol.])*Log[[#This Row],[Qty]])</f>
        <v>422</v>
      </c>
      <c r="M4" s="75"/>
      <c r="N4" s="75"/>
      <c r="O4" s="75"/>
    </row>
    <row r="5" spans="1:15" s="66" customFormat="1" ht="25.15" customHeight="1">
      <c r="A5" s="75"/>
      <c r="B5" s="98">
        <v>44801</v>
      </c>
      <c r="C5" s="78" t="s">
        <v>14</v>
      </c>
      <c r="D5" s="79">
        <v>0.25</v>
      </c>
      <c r="E5" s="76" t="str">
        <f>IF(ISBLANK(Log[[#This Row],[Item]]),"",_xlfn.XLOOKUP(Log[[#This Row],[Item]],Calories[Name],Calories[Unit]))</f>
        <v>c</v>
      </c>
      <c r="F5" s="65">
        <f>IF(ISBLANK(Log[[#This Row],[Item]]),"",_xlfn.XLOOKUP(Log[[#This Row],[Item]],Calories[Name],Calories[Cals])*Log[[#This Row],[Qty]])</f>
        <v>16.75</v>
      </c>
      <c r="G5" s="71">
        <f>IF(ISBLANK(Log[[#This Row],[Item]]),"",_xlfn.XLOOKUP(Log[[#This Row],[Item]],Calories[Name],Calories[Carbs])*Log[[#This Row],[Qty]])</f>
        <v>4.0449999999999999</v>
      </c>
      <c r="H5" s="71">
        <f>IF(ISBLANK(Log[[#This Row],[Item]]),"",_xlfn.XLOOKUP(Log[[#This Row],[Item]],Calories[Name],Calories[Fibre])*Log[[#This Row],[Qty]])</f>
        <v>0.55000000000000004</v>
      </c>
      <c r="I5" s="71">
        <f>IF(ISBLANK(Log[[#This Row],[Item]]),"",(Log[[#This Row],[Carbs]]-Log[[#This Row],[Fibre]]))</f>
        <v>3.4950000000000001</v>
      </c>
      <c r="J5" s="103">
        <f>IF(ISBLANK(Log[[#This Row],[Item]]),"",_xlfn.XLOOKUP(Log[[#This Row],[Item]],Calories[Name],Calories[Sodium])*Log[[#This Row],[Qty]])</f>
        <v>1.25</v>
      </c>
      <c r="K5" s="71">
        <f>IF(ISBLANK(Log[[#This Row],[Item]]),"",_xlfn.XLOOKUP(Log[[#This Row],[Item]],Calories[Name],Calories[Protein])*Log[[#This Row],[Qty]])</f>
        <v>0.36749999999999999</v>
      </c>
      <c r="L5" s="71">
        <f>IF(ISBLANK(Log[[#This Row],[Item]]),"",_xlfn.XLOOKUP(Log[[#This Row],[Item]],Calories[Name],Calories[Chol.])*Log[[#This Row],[Qty]])</f>
        <v>0</v>
      </c>
      <c r="M5" s="75"/>
      <c r="N5" s="75"/>
      <c r="O5" s="75"/>
    </row>
    <row r="6" spans="1:15" s="66" customFormat="1" ht="25.15" customHeight="1">
      <c r="A6" s="75"/>
      <c r="B6" s="98">
        <v>44801</v>
      </c>
      <c r="C6" s="78" t="s">
        <v>15</v>
      </c>
      <c r="D6" s="79">
        <v>0.25</v>
      </c>
      <c r="E6" s="76" t="str">
        <f>IF(ISBLANK(Log[[#This Row],[Item]]),"",_xlfn.XLOOKUP(Log[[#This Row],[Item]],Calories[Name],Calories[Unit]))</f>
        <v>tbsp</v>
      </c>
      <c r="F6" s="65">
        <f>IF(ISBLANK(Log[[#This Row],[Item]]),"",_xlfn.XLOOKUP(Log[[#This Row],[Item]],Calories[Name],Calories[Cals])*Log[[#This Row],[Qty]])</f>
        <v>30</v>
      </c>
      <c r="G6" s="71">
        <f>IF(ISBLANK(Log[[#This Row],[Item]]),"",_xlfn.XLOOKUP(Log[[#This Row],[Item]],Calories[Name],Calories[Carbs])*Log[[#This Row],[Qty]])</f>
        <v>0</v>
      </c>
      <c r="H6" s="71">
        <f>IF(ISBLANK(Log[[#This Row],[Item]]),"",_xlfn.XLOOKUP(Log[[#This Row],[Item]],Calories[Name],Calories[Fibre])*Log[[#This Row],[Qty]])</f>
        <v>0</v>
      </c>
      <c r="I6" s="71">
        <f>IF(ISBLANK(Log[[#This Row],[Item]]),"",(Log[[#This Row],[Carbs]]-Log[[#This Row],[Fibre]]))</f>
        <v>0</v>
      </c>
      <c r="J6" s="103">
        <f>IF(ISBLANK(Log[[#This Row],[Item]]),"",_xlfn.XLOOKUP(Log[[#This Row],[Item]],Calories[Name],Calories[Sodium])*Log[[#This Row],[Qty]])</f>
        <v>0</v>
      </c>
      <c r="K6" s="71">
        <f>IF(ISBLANK(Log[[#This Row],[Item]]),"",_xlfn.XLOOKUP(Log[[#This Row],[Item]],Calories[Name],Calories[Protein])*Log[[#This Row],[Qty]])</f>
        <v>0</v>
      </c>
      <c r="L6" s="71">
        <f>IF(ISBLANK(Log[[#This Row],[Item]]),"",_xlfn.XLOOKUP(Log[[#This Row],[Item]],Calories[Name],Calories[Chol.])*Log[[#This Row],[Qty]])</f>
        <v>0</v>
      </c>
      <c r="M6" s="75"/>
      <c r="N6" s="75"/>
      <c r="O6" s="75"/>
    </row>
    <row r="7" spans="1:15" s="66" customFormat="1" ht="25.15" customHeight="1">
      <c r="A7" s="75"/>
      <c r="B7" s="98">
        <v>44801</v>
      </c>
      <c r="C7" s="78" t="s">
        <v>16</v>
      </c>
      <c r="D7" s="79">
        <v>75</v>
      </c>
      <c r="E7" s="76" t="str">
        <f>IF(ISBLANK(Log[[#This Row],[Item]]),"",_xlfn.XLOOKUP(Log[[#This Row],[Item]],Calories[Name],Calories[Unit]))</f>
        <v>g</v>
      </c>
      <c r="F7" s="65">
        <f>IF(ISBLANK(Log[[#This Row],[Item]]),"",_xlfn.XLOOKUP(Log[[#This Row],[Item]],Calories[Name],Calories[Cals])*Log[[#This Row],[Qty]])</f>
        <v>18.75</v>
      </c>
      <c r="G7" s="71">
        <f>IF(ISBLANK(Log[[#This Row],[Item]]),"",_xlfn.XLOOKUP(Log[[#This Row],[Item]],Calories[Name],Calories[Carbs])*Log[[#This Row],[Qty]])</f>
        <v>3</v>
      </c>
      <c r="H7" s="71">
        <f>IF(ISBLANK(Log[[#This Row],[Item]]),"",_xlfn.XLOOKUP(Log[[#This Row],[Item]],Calories[Name],Calories[Fibre])*Log[[#This Row],[Qty]])</f>
        <v>1.5</v>
      </c>
      <c r="I7" s="71">
        <f>IF(ISBLANK(Log[[#This Row],[Item]]),"",(Log[[#This Row],[Carbs]]-Log[[#This Row],[Fibre]]))</f>
        <v>1.5</v>
      </c>
      <c r="J7" s="103">
        <f>IF(ISBLANK(Log[[#This Row],[Item]]),"",_xlfn.XLOOKUP(Log[[#This Row],[Item]],Calories[Name],Calories[Sodium])*Log[[#This Row],[Qty]])</f>
        <v>20.25</v>
      </c>
      <c r="K7" s="71">
        <f>IF(ISBLANK(Log[[#This Row],[Item]]),"",_xlfn.XLOOKUP(Log[[#This Row],[Item]],Calories[Name],Calories[Protein])*Log[[#This Row],[Qty]])</f>
        <v>2.25</v>
      </c>
      <c r="L7" s="71">
        <f>IF(ISBLANK(Log[[#This Row],[Item]]),"",_xlfn.XLOOKUP(Log[[#This Row],[Item]],Calories[Name],Calories[Chol.])*Log[[#This Row],[Qty]])</f>
        <v>0</v>
      </c>
      <c r="M7" s="75"/>
      <c r="N7" s="75"/>
      <c r="O7" s="75"/>
    </row>
    <row r="8" spans="1:15" s="66" customFormat="1" ht="25.15" customHeight="1">
      <c r="A8" s="75"/>
      <c r="B8" s="98">
        <v>44801</v>
      </c>
      <c r="C8" s="64" t="s">
        <v>17</v>
      </c>
      <c r="D8" s="79">
        <v>0.75</v>
      </c>
      <c r="E8" s="76" t="str">
        <f>IF(ISBLANK(Log[[#This Row],[Item]]),"",_xlfn.XLOOKUP(Log[[#This Row],[Item]],Calories[Name],Calories[Unit]))</f>
        <v>c</v>
      </c>
      <c r="F8" s="65">
        <f>IF(ISBLANK(Log[[#This Row],[Item]]),"",_xlfn.XLOOKUP(Log[[#This Row],[Item]],Calories[Name],Calories[Cals])*Log[[#This Row],[Qty]])</f>
        <v>25.5</v>
      </c>
      <c r="G8" s="71">
        <f>IF(ISBLANK(Log[[#This Row],[Item]]),"",_xlfn.XLOOKUP(Log[[#This Row],[Item]],Calories[Name],Calories[Carbs])*Log[[#This Row],[Qty]])</f>
        <v>6</v>
      </c>
      <c r="H8" s="71">
        <f>IF(ISBLANK(Log[[#This Row],[Item]]),"",_xlfn.XLOOKUP(Log[[#This Row],[Item]],Calories[Name],Calories[Fibre])*Log[[#This Row],[Qty]])</f>
        <v>3</v>
      </c>
      <c r="I8" s="71">
        <f>IF(ISBLANK(Log[[#This Row],[Item]]),"",(Log[[#This Row],[Carbs]]-Log[[#This Row],[Fibre]]))</f>
        <v>3</v>
      </c>
      <c r="J8" s="103">
        <f>IF(ISBLANK(Log[[#This Row],[Item]]),"",_xlfn.XLOOKUP(Log[[#This Row],[Item]],Calories[Name],Calories[Sodium])*Log[[#This Row],[Qty]])</f>
        <v>5.25</v>
      </c>
      <c r="K8" s="71">
        <f>IF(ISBLANK(Log[[#This Row],[Item]]),"",_xlfn.XLOOKUP(Log[[#This Row],[Item]],Calories[Name],Calories[Protein])*Log[[#This Row],[Qty]])</f>
        <v>1.5</v>
      </c>
      <c r="L8" s="71">
        <f>IF(ISBLANK(Log[[#This Row],[Item]]),"",_xlfn.XLOOKUP(Log[[#This Row],[Item]],Calories[Name],Calories[Chol.])*Log[[#This Row],[Qty]])</f>
        <v>0</v>
      </c>
      <c r="M8" s="75"/>
      <c r="N8" s="75"/>
      <c r="O8" s="75"/>
    </row>
    <row r="9" spans="1:15" s="66" customFormat="1" ht="25.15" customHeight="1">
      <c r="A9" s="75"/>
      <c r="B9" s="98">
        <v>44801</v>
      </c>
      <c r="C9" s="78" t="s">
        <v>18</v>
      </c>
      <c r="D9" s="79">
        <v>138</v>
      </c>
      <c r="E9" s="76" t="str">
        <f>IF(ISBLANK(Log[[#This Row],[Item]]),"",_xlfn.XLOOKUP(Log[[#This Row],[Item]],Calories[Name],Calories[Unit]))</f>
        <v>g</v>
      </c>
      <c r="F9" s="65">
        <f>IF(ISBLANK(Log[[#This Row],[Item]]),"",_xlfn.XLOOKUP(Log[[#This Row],[Item]],Calories[Name],Calories[Cals])*Log[[#This Row],[Qty]])</f>
        <v>284.52808988764048</v>
      </c>
      <c r="G9" s="71">
        <f>IF(ISBLANK(Log[[#This Row],[Item]]),"",_xlfn.XLOOKUP(Log[[#This Row],[Item]],Calories[Name],Calories[Carbs])*Log[[#This Row],[Qty]])</f>
        <v>0</v>
      </c>
      <c r="H9" s="71">
        <f>IF(ISBLANK(Log[[#This Row],[Item]]),"",_xlfn.XLOOKUP(Log[[#This Row],[Item]],Calories[Name],Calories[Fibre])*Log[[#This Row],[Qty]])</f>
        <v>0</v>
      </c>
      <c r="I9" s="71">
        <f>IF(ISBLANK(Log[[#This Row],[Item]]),"",(Log[[#This Row],[Carbs]]-Log[[#This Row],[Fibre]]))</f>
        <v>0</v>
      </c>
      <c r="J9" s="103">
        <f>IF(ISBLANK(Log[[#This Row],[Item]]),"",_xlfn.XLOOKUP(Log[[#This Row],[Item]],Calories[Name],Calories[Sodium])*Log[[#This Row],[Qty]])</f>
        <v>84.505617977528104</v>
      </c>
      <c r="K9" s="71">
        <f>IF(ISBLANK(Log[[#This Row],[Item]]),"",_xlfn.XLOOKUP(Log[[#This Row],[Item]],Calories[Name],Calories[Protein])*Log[[#This Row],[Qty]])</f>
        <v>30.235955056179776</v>
      </c>
      <c r="L9" s="71">
        <f>IF(ISBLANK(Log[[#This Row],[Item]]),"",_xlfn.XLOOKUP(Log[[#This Row],[Item]],Calories[Name],Calories[Chol.])*Log[[#This Row],[Qty]])</f>
        <v>86.831460674157299</v>
      </c>
      <c r="M9" s="75"/>
      <c r="N9" s="75"/>
      <c r="O9" s="75"/>
    </row>
    <row r="10" spans="1:15" s="66" customFormat="1" ht="25.15" customHeight="1">
      <c r="A10" s="75"/>
      <c r="B10" s="98">
        <v>44801</v>
      </c>
      <c r="C10" s="78" t="s">
        <v>19</v>
      </c>
      <c r="D10" s="79">
        <v>160</v>
      </c>
      <c r="E10" s="76" t="str">
        <f>IF(ISBLANK(Log[[#This Row],[Item]]),"",_xlfn.XLOOKUP(Log[[#This Row],[Item]],Calories[Name],Calories[Unit]))</f>
        <v>g</v>
      </c>
      <c r="F10" s="65">
        <f>IF(ISBLANK(Log[[#This Row],[Item]]),"",_xlfn.XLOOKUP(Log[[#This Row],[Item]],Calories[Name],Calories[Cals])*Log[[#This Row],[Qty]])</f>
        <v>192</v>
      </c>
      <c r="G10" s="71">
        <f>IF(ISBLANK(Log[[#This Row],[Item]]),"",_xlfn.XLOOKUP(Log[[#This Row],[Item]],Calories[Name],Calories[Carbs])*Log[[#This Row],[Qty]])</f>
        <v>33.729729729729733</v>
      </c>
      <c r="H10" s="71">
        <f>IF(ISBLANK(Log[[#This Row],[Item]]),"",_xlfn.XLOOKUP(Log[[#This Row],[Item]],Calories[Name],Calories[Fibre])*Log[[#This Row],[Qty]])</f>
        <v>4.3243243243243246</v>
      </c>
      <c r="I10" s="71">
        <f>IF(ISBLANK(Log[[#This Row],[Item]]),"",(Log[[#This Row],[Carbs]]-Log[[#This Row],[Fibre]]))</f>
        <v>29.405405405405411</v>
      </c>
      <c r="J10" s="103">
        <f>IF(ISBLANK(Log[[#This Row],[Item]]),"",_xlfn.XLOOKUP(Log[[#This Row],[Item]],Calories[Name],Calories[Sodium])*Log[[#This Row],[Qty]])</f>
        <v>11.243243243243244</v>
      </c>
      <c r="K10" s="71">
        <f>IF(ISBLANK(Log[[#This Row],[Item]]),"",_xlfn.XLOOKUP(Log[[#This Row],[Item]],Calories[Name],Calories[Protein])*Log[[#This Row],[Qty]])</f>
        <v>6.9189189189189193</v>
      </c>
      <c r="L10" s="71">
        <f>IF(ISBLANK(Log[[#This Row],[Item]]),"",_xlfn.XLOOKUP(Log[[#This Row],[Item]],Calories[Name],Calories[Chol.])*Log[[#This Row],[Qty]])</f>
        <v>0</v>
      </c>
      <c r="M10" s="75"/>
      <c r="N10" s="75"/>
      <c r="O10" s="75"/>
    </row>
    <row r="11" spans="1:15" s="66" customFormat="1" ht="25.15" customHeight="1">
      <c r="A11" s="75"/>
      <c r="B11" s="98">
        <v>44801</v>
      </c>
      <c r="C11" s="78" t="s">
        <v>20</v>
      </c>
      <c r="D11" s="79">
        <v>240</v>
      </c>
      <c r="E11" s="76" t="str">
        <f>IF(ISBLANK(Log[[#This Row],[Item]]),"",_xlfn.XLOOKUP(Log[[#This Row],[Item]],Calories[Name],Calories[Unit]))</f>
        <v>mL</v>
      </c>
      <c r="F11" s="65">
        <f>IF(ISBLANK(Log[[#This Row],[Item]]),"",_xlfn.XLOOKUP(Log[[#This Row],[Item]],Calories[Name],Calories[Cals])*Log[[#This Row],[Qty]])</f>
        <v>400</v>
      </c>
      <c r="G11" s="71">
        <f>IF(ISBLANK(Log[[#This Row],[Item]]),"",_xlfn.XLOOKUP(Log[[#This Row],[Item]],Calories[Name],Calories[Carbs])*Log[[#This Row],[Qty]])</f>
        <v>16</v>
      </c>
      <c r="H11" s="71">
        <f>IF(ISBLANK(Log[[#This Row],[Item]]),"",_xlfn.XLOOKUP(Log[[#This Row],[Item]],Calories[Name],Calories[Fibre])*Log[[#This Row],[Qty]])</f>
        <v>0</v>
      </c>
      <c r="I11" s="71">
        <f>IF(ISBLANK(Log[[#This Row],[Item]]),"",(Log[[#This Row],[Carbs]]-Log[[#This Row],[Fibre]]))</f>
        <v>16</v>
      </c>
      <c r="J11" s="103">
        <f>IF(ISBLANK(Log[[#This Row],[Item]]),"",_xlfn.XLOOKUP(Log[[#This Row],[Item]],Calories[Name],Calories[Sodium])*Log[[#This Row],[Qty]])</f>
        <v>160</v>
      </c>
      <c r="K11" s="71">
        <f>IF(ISBLANK(Log[[#This Row],[Item]]),"",_xlfn.XLOOKUP(Log[[#This Row],[Item]],Calories[Name],Calories[Protein])*Log[[#This Row],[Qty]])</f>
        <v>8</v>
      </c>
      <c r="L11" s="71">
        <f>IF(ISBLANK(Log[[#This Row],[Item]]),"",_xlfn.XLOOKUP(Log[[#This Row],[Item]],Calories[Name],Calories[Chol.])*Log[[#This Row],[Qty]])</f>
        <v>120</v>
      </c>
      <c r="M11" s="75"/>
      <c r="N11" s="75"/>
      <c r="O11" s="75"/>
    </row>
    <row r="12" spans="1:15" s="66" customFormat="1" ht="25.15" customHeight="1">
      <c r="A12" s="75"/>
      <c r="B12" s="98">
        <v>44801</v>
      </c>
      <c r="C12" s="64" t="s">
        <v>21</v>
      </c>
      <c r="D12" s="79">
        <v>3</v>
      </c>
      <c r="E12" s="76" t="str">
        <f>IF(ISBLANK(Log[[#This Row],[Item]]),"",_xlfn.XLOOKUP(Log[[#This Row],[Item]],Calories[Name],Calories[Unit]))</f>
        <v>c</v>
      </c>
      <c r="F12" s="65">
        <f>IF(ISBLANK(Log[[#This Row],[Item]]),"",_xlfn.XLOOKUP(Log[[#This Row],[Item]],Calories[Name],Calories[Cals])*Log[[#This Row],[Qty]])</f>
        <v>75</v>
      </c>
      <c r="G12" s="71">
        <f>IF(ISBLANK(Log[[#This Row],[Item]]),"",_xlfn.XLOOKUP(Log[[#This Row],[Item]],Calories[Name],Calories[Carbs])*Log[[#This Row],[Qty]])</f>
        <v>15</v>
      </c>
      <c r="H12" s="71">
        <f>IF(ISBLANK(Log[[#This Row],[Item]]),"",_xlfn.XLOOKUP(Log[[#This Row],[Item]],Calories[Name],Calories[Fibre])*Log[[#This Row],[Qty]])</f>
        <v>9</v>
      </c>
      <c r="I12" s="71">
        <f>IF(ISBLANK(Log[[#This Row],[Item]]),"",(Log[[#This Row],[Carbs]]-Log[[#This Row],[Fibre]]))</f>
        <v>6</v>
      </c>
      <c r="J12" s="103">
        <f>IF(ISBLANK(Log[[#This Row],[Item]]),"",_xlfn.XLOOKUP(Log[[#This Row],[Item]],Calories[Name],Calories[Sodium])*Log[[#This Row],[Qty]])</f>
        <v>90</v>
      </c>
      <c r="K12" s="71">
        <f>IF(ISBLANK(Log[[#This Row],[Item]]),"",_xlfn.XLOOKUP(Log[[#This Row],[Item]],Calories[Name],Calories[Protein])*Log[[#This Row],[Qty]])</f>
        <v>6</v>
      </c>
      <c r="L12" s="71">
        <f>IF(ISBLANK(Log[[#This Row],[Item]]),"",_xlfn.XLOOKUP(Log[[#This Row],[Item]],Calories[Name],Calories[Chol.])*Log[[#This Row],[Qty]])</f>
        <v>0</v>
      </c>
      <c r="M12" s="75"/>
      <c r="N12" s="75"/>
      <c r="O12" s="75"/>
    </row>
    <row r="13" spans="1:15" s="66" customFormat="1" ht="25.15" customHeight="1">
      <c r="A13" s="75"/>
      <c r="B13" s="98">
        <v>44802</v>
      </c>
      <c r="C13" s="78" t="s">
        <v>13</v>
      </c>
      <c r="D13" s="79">
        <v>3</v>
      </c>
      <c r="E13" s="76" t="str">
        <f>IF(ISBLANK(Log[[#This Row],[Item]]),"",_xlfn.XLOOKUP(Log[[#This Row],[Item]],Calories[Name],Calories[Unit]))</f>
        <v>ea</v>
      </c>
      <c r="F13" s="65">
        <f>IF(ISBLANK(Log[[#This Row],[Item]]),"",_xlfn.XLOOKUP(Log[[#This Row],[Item]],Calories[Name],Calories[Cals])*Log[[#This Row],[Qty]])</f>
        <v>216</v>
      </c>
      <c r="G13" s="71">
        <f>IF(ISBLANK(Log[[#This Row],[Item]]),"",_xlfn.XLOOKUP(Log[[#This Row],[Item]],Calories[Name],Calories[Carbs])*Log[[#This Row],[Qty]])</f>
        <v>0</v>
      </c>
      <c r="H13" s="71">
        <f>IF(ISBLANK(Log[[#This Row],[Item]]),"",_xlfn.XLOOKUP(Log[[#This Row],[Item]],Calories[Name],Calories[Fibre])*Log[[#This Row],[Qty]])</f>
        <v>0</v>
      </c>
      <c r="I13" s="71">
        <f>IF(ISBLANK(Log[[#This Row],[Item]]),"",(Log[[#This Row],[Carbs]]-Log[[#This Row],[Fibre]]))</f>
        <v>0</v>
      </c>
      <c r="J13" s="103">
        <f>IF(ISBLANK(Log[[#This Row],[Item]]),"",_xlfn.XLOOKUP(Log[[#This Row],[Item]],Calories[Name],Calories[Sodium])*Log[[#This Row],[Qty]])</f>
        <v>210</v>
      </c>
      <c r="K13" s="71">
        <f>IF(ISBLANK(Log[[#This Row],[Item]]),"",_xlfn.XLOOKUP(Log[[#This Row],[Item]],Calories[Name],Calories[Protein])*Log[[#This Row],[Qty]])</f>
        <v>18</v>
      </c>
      <c r="L13" s="71">
        <f>IF(ISBLANK(Log[[#This Row],[Item]]),"",_xlfn.XLOOKUP(Log[[#This Row],[Item]],Calories[Name],Calories[Chol.])*Log[[#This Row],[Qty]])</f>
        <v>633</v>
      </c>
      <c r="M13" s="75"/>
      <c r="N13" s="75"/>
      <c r="O13" s="75"/>
    </row>
    <row r="14" spans="1:15" s="66" customFormat="1" ht="25.15" customHeight="1">
      <c r="A14" s="75"/>
      <c r="B14" s="98">
        <v>44802</v>
      </c>
      <c r="C14" s="78" t="s">
        <v>15</v>
      </c>
      <c r="D14" s="79">
        <v>0.5</v>
      </c>
      <c r="E14" s="76" t="str">
        <f>IF(ISBLANK(Log[[#This Row],[Item]]),"",_xlfn.XLOOKUP(Log[[#This Row],[Item]],Calories[Name],Calories[Unit]))</f>
        <v>tbsp</v>
      </c>
      <c r="F14" s="65">
        <f>IF(ISBLANK(Log[[#This Row],[Item]]),"",_xlfn.XLOOKUP(Log[[#This Row],[Item]],Calories[Name],Calories[Cals])*Log[[#This Row],[Qty]])</f>
        <v>60</v>
      </c>
      <c r="G14" s="71">
        <f>IF(ISBLANK(Log[[#This Row],[Item]]),"",_xlfn.XLOOKUP(Log[[#This Row],[Item]],Calories[Name],Calories[Carbs])*Log[[#This Row],[Qty]])</f>
        <v>0</v>
      </c>
      <c r="H14" s="71">
        <f>IF(ISBLANK(Log[[#This Row],[Item]]),"",_xlfn.XLOOKUP(Log[[#This Row],[Item]],Calories[Name],Calories[Fibre])*Log[[#This Row],[Qty]])</f>
        <v>0</v>
      </c>
      <c r="I14" s="71">
        <f>IF(ISBLANK(Log[[#This Row],[Item]]),"",(Log[[#This Row],[Carbs]]-Log[[#This Row],[Fibre]]))</f>
        <v>0</v>
      </c>
      <c r="J14" s="103">
        <f>IF(ISBLANK(Log[[#This Row],[Item]]),"",_xlfn.XLOOKUP(Log[[#This Row],[Item]],Calories[Name],Calories[Sodium])*Log[[#This Row],[Qty]])</f>
        <v>0</v>
      </c>
      <c r="K14" s="71">
        <f>IF(ISBLANK(Log[[#This Row],[Item]]),"",_xlfn.XLOOKUP(Log[[#This Row],[Item]],Calories[Name],Calories[Protein])*Log[[#This Row],[Qty]])</f>
        <v>0</v>
      </c>
      <c r="L14" s="71">
        <f>IF(ISBLANK(Log[[#This Row],[Item]]),"",_xlfn.XLOOKUP(Log[[#This Row],[Item]],Calories[Name],Calories[Chol.])*Log[[#This Row],[Qty]])</f>
        <v>0</v>
      </c>
      <c r="M14" s="75"/>
      <c r="N14" s="75"/>
      <c r="O14" s="75"/>
    </row>
    <row r="15" spans="1:15" s="66" customFormat="1" ht="25.15" customHeight="1">
      <c r="A15" s="75"/>
      <c r="B15" s="98">
        <v>44802</v>
      </c>
      <c r="C15" s="78" t="s">
        <v>22</v>
      </c>
      <c r="D15" s="79">
        <v>3</v>
      </c>
      <c r="E15" s="76" t="str">
        <f>IF(ISBLANK(Log[[#This Row],[Item]]),"",_xlfn.XLOOKUP(Log[[#This Row],[Item]],Calories[Name],Calories[Unit]))</f>
        <v>g</v>
      </c>
      <c r="F15" s="65">
        <f>IF(ISBLANK(Log[[#This Row],[Item]]),"",_xlfn.XLOOKUP(Log[[#This Row],[Item]],Calories[Name],Calories[Cals])*Log[[#This Row],[Qty]])</f>
        <v>11.61</v>
      </c>
      <c r="G15" s="71">
        <f>IF(ISBLANK(Log[[#This Row],[Item]]),"",_xlfn.XLOOKUP(Log[[#This Row],[Item]],Calories[Name],Calories[Carbs])*Log[[#This Row],[Qty]])</f>
        <v>2.9994000000000001</v>
      </c>
      <c r="H15" s="71">
        <f>IF(ISBLANK(Log[[#This Row],[Item]]),"",_xlfn.XLOOKUP(Log[[#This Row],[Item]],Calories[Name],Calories[Fibre])*Log[[#This Row],[Qty]])</f>
        <v>0</v>
      </c>
      <c r="I15" s="71">
        <f>IF(ISBLANK(Log[[#This Row],[Item]]),"",(Log[[#This Row],[Carbs]]-Log[[#This Row],[Fibre]]))</f>
        <v>2.9994000000000001</v>
      </c>
      <c r="J15" s="103">
        <f>IF(ISBLANK(Log[[#This Row],[Item]]),"",_xlfn.XLOOKUP(Log[[#This Row],[Item]],Calories[Name],Calories[Sodium])*Log[[#This Row],[Qty]])</f>
        <v>0</v>
      </c>
      <c r="K15" s="71">
        <f>IF(ISBLANK(Log[[#This Row],[Item]]),"",_xlfn.XLOOKUP(Log[[#This Row],[Item]],Calories[Name],Calories[Protein])*Log[[#This Row],[Qty]])</f>
        <v>0</v>
      </c>
      <c r="L15" s="71">
        <f>IF(ISBLANK(Log[[#This Row],[Item]]),"",_xlfn.XLOOKUP(Log[[#This Row],[Item]],Calories[Name],Calories[Chol.])*Log[[#This Row],[Qty]])</f>
        <v>0</v>
      </c>
      <c r="M15" s="75"/>
      <c r="N15" s="75"/>
      <c r="O15" s="75"/>
    </row>
    <row r="16" spans="1:15" s="66" customFormat="1" ht="25.15" customHeight="1">
      <c r="A16" s="75"/>
      <c r="B16" s="98">
        <v>44802</v>
      </c>
      <c r="C16" s="78" t="s">
        <v>23</v>
      </c>
      <c r="D16" s="79">
        <v>1</v>
      </c>
      <c r="E16" s="76" t="str">
        <f>IF(ISBLANK(Log[[#This Row],[Item]]),"",_xlfn.XLOOKUP(Log[[#This Row],[Item]],Calories[Name],Calories[Unit]))</f>
        <v>ea</v>
      </c>
      <c r="F16" s="65">
        <f>IF(ISBLANK(Log[[#This Row],[Item]]),"",_xlfn.XLOOKUP(Log[[#This Row],[Item]],Calories[Name],Calories[Cals])*Log[[#This Row],[Qty]])</f>
        <v>120</v>
      </c>
      <c r="G16" s="71">
        <f>IF(ISBLANK(Log[[#This Row],[Item]]),"",_xlfn.XLOOKUP(Log[[#This Row],[Item]],Calories[Name],Calories[Carbs])*Log[[#This Row],[Qty]])</f>
        <v>32</v>
      </c>
      <c r="H16" s="71">
        <f>IF(ISBLANK(Log[[#This Row],[Item]]),"",_xlfn.XLOOKUP(Log[[#This Row],[Item]],Calories[Name],Calories[Fibre])*Log[[#This Row],[Qty]])</f>
        <v>2</v>
      </c>
      <c r="I16" s="71">
        <f>IF(ISBLANK(Log[[#This Row],[Item]]),"",(Log[[#This Row],[Carbs]]-Log[[#This Row],[Fibre]]))</f>
        <v>30</v>
      </c>
      <c r="J16" s="103">
        <f>IF(ISBLANK(Log[[#This Row],[Item]]),"",_xlfn.XLOOKUP(Log[[#This Row],[Item]],Calories[Name],Calories[Sodium])*Log[[#This Row],[Qty]])</f>
        <v>10</v>
      </c>
      <c r="K16" s="71">
        <f>IF(ISBLANK(Log[[#This Row],[Item]]),"",_xlfn.XLOOKUP(Log[[#This Row],[Item]],Calories[Name],Calories[Protein])*Log[[#This Row],[Qty]])</f>
        <v>0.4</v>
      </c>
      <c r="L16" s="71">
        <f>IF(ISBLANK(Log[[#This Row],[Item]]),"",_xlfn.XLOOKUP(Log[[#This Row],[Item]],Calories[Name],Calories[Chol.])*Log[[#This Row],[Qty]])</f>
        <v>0</v>
      </c>
      <c r="M16" s="75"/>
      <c r="N16" s="75"/>
      <c r="O16" s="75"/>
    </row>
    <row r="17" spans="1:15" s="66" customFormat="1" ht="25.15" customHeight="1">
      <c r="A17" s="75"/>
      <c r="B17" s="98">
        <v>44802</v>
      </c>
      <c r="C17" s="64" t="s">
        <v>24</v>
      </c>
      <c r="D17" s="79">
        <v>445</v>
      </c>
      <c r="E17" s="76" t="str">
        <f>IF(ISBLANK(Log[[#This Row],[Item]]),"",_xlfn.XLOOKUP(Log[[#This Row],[Item]],Calories[Name],Calories[Unit]))</f>
        <v>g</v>
      </c>
      <c r="F17" s="65">
        <f>IF(ISBLANK(Log[[#This Row],[Item]]),"",_xlfn.XLOOKUP(Log[[#This Row],[Item]],Calories[Name],Calories[Cals])*Log[[#This Row],[Qty]])</f>
        <v>1128.215552112425</v>
      </c>
      <c r="G17" s="71">
        <f>IF(ISBLANK(Log[[#This Row],[Item]]),"",_xlfn.XLOOKUP(Log[[#This Row],[Item]],Calories[Name],Calories[Carbs])*Log[[#This Row],[Qty]])</f>
        <v>0</v>
      </c>
      <c r="H17" s="71">
        <f>IF(ISBLANK(Log[[#This Row],[Item]]),"",_xlfn.XLOOKUP(Log[[#This Row],[Item]],Calories[Name],Calories[Fibre])*Log[[#This Row],[Qty]])</f>
        <v>0</v>
      </c>
      <c r="I17" s="71">
        <f>IF(ISBLANK(Log[[#This Row],[Item]]),"",(Log[[#This Row],[Carbs]]-Log[[#This Row],[Fibre]]))</f>
        <v>0</v>
      </c>
      <c r="J17" s="103">
        <f>IF(ISBLANK(Log[[#This Row],[Item]]),"",_xlfn.XLOOKUP(Log[[#This Row],[Item]],Calories[Name],Calories[Sodium])*Log[[#This Row],[Qty]])</f>
        <v>315.90035459147907</v>
      </c>
      <c r="K17" s="71">
        <f>IF(ISBLANK(Log[[#This Row],[Item]]),"",_xlfn.XLOOKUP(Log[[#This Row],[Item]],Calories[Name],Calories[Protein])*Log[[#This Row],[Qty]])</f>
        <v>76.522446143277534</v>
      </c>
      <c r="L17" s="71">
        <f>IF(ISBLANK(Log[[#This Row],[Item]]),"",_xlfn.XLOOKUP(Log[[#This Row],[Item]],Calories[Name],Calories[Chol.])*Log[[#This Row],[Qty]])</f>
        <v>315.95</v>
      </c>
      <c r="M17" s="75"/>
      <c r="N17" s="75"/>
      <c r="O17" s="75"/>
    </row>
    <row r="18" spans="1:15" s="66" customFormat="1" ht="25.15" customHeight="1">
      <c r="A18" s="75"/>
      <c r="B18" s="98">
        <v>44802</v>
      </c>
      <c r="C18" s="78" t="s">
        <v>25</v>
      </c>
      <c r="D18" s="79">
        <v>1</v>
      </c>
      <c r="E18" s="76" t="str">
        <f>IF(ISBLANK(Log[[#This Row],[Item]]),"",_xlfn.XLOOKUP(Log[[#This Row],[Item]],Calories[Name],Calories[Unit]))</f>
        <v>tbsp</v>
      </c>
      <c r="F18" s="65">
        <f>IF(ISBLANK(Log[[#This Row],[Item]]),"",_xlfn.XLOOKUP(Log[[#This Row],[Item]],Calories[Name],Calories[Cals])*Log[[#This Row],[Qty]])</f>
        <v>102</v>
      </c>
      <c r="G18" s="71">
        <f>IF(ISBLANK(Log[[#This Row],[Item]]),"",_xlfn.XLOOKUP(Log[[#This Row],[Item]],Calories[Name],Calories[Carbs])*Log[[#This Row],[Qty]])</f>
        <v>0</v>
      </c>
      <c r="H18" s="71">
        <f>IF(ISBLANK(Log[[#This Row],[Item]]),"",_xlfn.XLOOKUP(Log[[#This Row],[Item]],Calories[Name],Calories[Fibre])*Log[[#This Row],[Qty]])</f>
        <v>0</v>
      </c>
      <c r="I18" s="71">
        <f>IF(ISBLANK(Log[[#This Row],[Item]]),"",(Log[[#This Row],[Carbs]]-Log[[#This Row],[Fibre]]))</f>
        <v>0</v>
      </c>
      <c r="J18" s="103">
        <f>IF(ISBLANK(Log[[#This Row],[Item]]),"",_xlfn.XLOOKUP(Log[[#This Row],[Item]],Calories[Name],Calories[Sodium])*Log[[#This Row],[Qty]])</f>
        <v>90</v>
      </c>
      <c r="K18" s="71">
        <f>IF(ISBLANK(Log[[#This Row],[Item]]),"",_xlfn.XLOOKUP(Log[[#This Row],[Item]],Calories[Name],Calories[Protein])*Log[[#This Row],[Qty]])</f>
        <v>0.12</v>
      </c>
      <c r="L18" s="71">
        <f>IF(ISBLANK(Log[[#This Row],[Item]]),"",_xlfn.XLOOKUP(Log[[#This Row],[Item]],Calories[Name],Calories[Chol.])*Log[[#This Row],[Qty]])</f>
        <v>31</v>
      </c>
      <c r="M18" s="75"/>
      <c r="N18" s="75"/>
      <c r="O18" s="75"/>
    </row>
    <row r="19" spans="1:15" s="66" customFormat="1" ht="25.15" customHeight="1">
      <c r="A19" s="75"/>
      <c r="B19" s="98">
        <v>44802</v>
      </c>
      <c r="C19" s="78" t="s">
        <v>14</v>
      </c>
      <c r="D19" s="79">
        <v>0.5</v>
      </c>
      <c r="E19" s="76" t="str">
        <f>IF(ISBLANK(Log[[#This Row],[Item]]),"",_xlfn.XLOOKUP(Log[[#This Row],[Item]],Calories[Name],Calories[Unit]))</f>
        <v>c</v>
      </c>
      <c r="F19" s="65">
        <f>IF(ISBLANK(Log[[#This Row],[Item]]),"",_xlfn.XLOOKUP(Log[[#This Row],[Item]],Calories[Name],Calories[Cals])*Log[[#This Row],[Qty]])</f>
        <v>33.5</v>
      </c>
      <c r="G19" s="71">
        <f>IF(ISBLANK(Log[[#This Row],[Item]]),"",_xlfn.XLOOKUP(Log[[#This Row],[Item]],Calories[Name],Calories[Carbs])*Log[[#This Row],[Qty]])</f>
        <v>8.09</v>
      </c>
      <c r="H19" s="71">
        <f>IF(ISBLANK(Log[[#This Row],[Item]]),"",_xlfn.XLOOKUP(Log[[#This Row],[Item]],Calories[Name],Calories[Fibre])*Log[[#This Row],[Qty]])</f>
        <v>1.1000000000000001</v>
      </c>
      <c r="I19" s="71">
        <f>IF(ISBLANK(Log[[#This Row],[Item]]),"",(Log[[#This Row],[Carbs]]-Log[[#This Row],[Fibre]]))</f>
        <v>6.99</v>
      </c>
      <c r="J19" s="103">
        <f>IF(ISBLANK(Log[[#This Row],[Item]]),"",_xlfn.XLOOKUP(Log[[#This Row],[Item]],Calories[Name],Calories[Sodium])*Log[[#This Row],[Qty]])</f>
        <v>2.5</v>
      </c>
      <c r="K19" s="71">
        <f>IF(ISBLANK(Log[[#This Row],[Item]]),"",_xlfn.XLOOKUP(Log[[#This Row],[Item]],Calories[Name],Calories[Protein])*Log[[#This Row],[Qty]])</f>
        <v>0.73499999999999999</v>
      </c>
      <c r="L19" s="71">
        <f>IF(ISBLANK(Log[[#This Row],[Item]]),"",_xlfn.XLOOKUP(Log[[#This Row],[Item]],Calories[Name],Calories[Chol.])*Log[[#This Row],[Qty]])</f>
        <v>0</v>
      </c>
      <c r="M19" s="75"/>
      <c r="N19" s="75"/>
      <c r="O19" s="75"/>
    </row>
    <row r="20" spans="1:15" s="66" customFormat="1" ht="25.15" customHeight="1">
      <c r="A20" s="75"/>
      <c r="B20" s="98">
        <v>44802</v>
      </c>
      <c r="C20" s="78" t="s">
        <v>26</v>
      </c>
      <c r="D20" s="79">
        <v>70</v>
      </c>
      <c r="E20" s="76" t="str">
        <f>IF(ISBLANK(Log[[#This Row],[Item]]),"",_xlfn.XLOOKUP(Log[[#This Row],[Item]],Calories[Name],Calories[Unit]))</f>
        <v>g</v>
      </c>
      <c r="F20" s="65">
        <f>IF(ISBLANK(Log[[#This Row],[Item]]),"",_xlfn.XLOOKUP(Log[[#This Row],[Item]],Calories[Name],Calories[Cals])*Log[[#This Row],[Qty]])</f>
        <v>448</v>
      </c>
      <c r="G20" s="71">
        <f>IF(ISBLANK(Log[[#This Row],[Item]]),"",_xlfn.XLOOKUP(Log[[#This Row],[Item]],Calories[Name],Calories[Carbs])*Log[[#This Row],[Qty]])</f>
        <v>19.600000000000001</v>
      </c>
      <c r="H20" s="71">
        <f>IF(ISBLANK(Log[[#This Row],[Item]]),"",_xlfn.XLOOKUP(Log[[#This Row],[Item]],Calories[Name],Calories[Fibre])*Log[[#This Row],[Qty]])</f>
        <v>4.2</v>
      </c>
      <c r="I20" s="71">
        <f>IF(ISBLANK(Log[[#This Row],[Item]]),"",(Log[[#This Row],[Carbs]]-Log[[#This Row],[Fibre]]))</f>
        <v>15.400000000000002</v>
      </c>
      <c r="J20" s="103">
        <f>IF(ISBLANK(Log[[#This Row],[Item]]),"",_xlfn.XLOOKUP(Log[[#This Row],[Item]],Calories[Name],Calories[Sodium])*Log[[#This Row],[Qty]])</f>
        <v>98</v>
      </c>
      <c r="K20" s="71">
        <f>IF(ISBLANK(Log[[#This Row],[Item]]),"",_xlfn.XLOOKUP(Log[[#This Row],[Item]],Calories[Name],Calories[Protein])*Log[[#This Row],[Qty]])</f>
        <v>12.6</v>
      </c>
      <c r="L20" s="71">
        <f>IF(ISBLANK(Log[[#This Row],[Item]]),"",_xlfn.XLOOKUP(Log[[#This Row],[Item]],Calories[Name],Calories[Chol.])*Log[[#This Row],[Qty]])</f>
        <v>0</v>
      </c>
      <c r="M20" s="75"/>
      <c r="N20" s="75"/>
      <c r="O20" s="75"/>
    </row>
    <row r="21" spans="1:15" s="66" customFormat="1" ht="25.15" customHeight="1">
      <c r="A21" s="75"/>
      <c r="B21" s="98">
        <v>44802</v>
      </c>
      <c r="C21" s="78" t="s">
        <v>26</v>
      </c>
      <c r="D21" s="79">
        <v>30</v>
      </c>
      <c r="E21" s="76" t="str">
        <f>IF(ISBLANK(Log[[#This Row],[Item]]),"",_xlfn.XLOOKUP(Log[[#This Row],[Item]],Calories[Name],Calories[Unit]))</f>
        <v>g</v>
      </c>
      <c r="F21" s="65">
        <f>IF(ISBLANK(Log[[#This Row],[Item]]),"",_xlfn.XLOOKUP(Log[[#This Row],[Item]],Calories[Name],Calories[Cals])*Log[[#This Row],[Qty]])</f>
        <v>192</v>
      </c>
      <c r="G21" s="71">
        <f>IF(ISBLANK(Log[[#This Row],[Item]]),"",_xlfn.XLOOKUP(Log[[#This Row],[Item]],Calories[Name],Calories[Carbs])*Log[[#This Row],[Qty]])</f>
        <v>8.4</v>
      </c>
      <c r="H21" s="71">
        <f>IF(ISBLANK(Log[[#This Row],[Item]]),"",_xlfn.XLOOKUP(Log[[#This Row],[Item]],Calories[Name],Calories[Fibre])*Log[[#This Row],[Qty]])</f>
        <v>1.7999999999999998</v>
      </c>
      <c r="I21" s="71">
        <f>IF(ISBLANK(Log[[#This Row],[Item]]),"",(Log[[#This Row],[Carbs]]-Log[[#This Row],[Fibre]]))</f>
        <v>6.6000000000000005</v>
      </c>
      <c r="J21" s="103">
        <f>IF(ISBLANK(Log[[#This Row],[Item]]),"",_xlfn.XLOOKUP(Log[[#This Row],[Item]],Calories[Name],Calories[Sodium])*Log[[#This Row],[Qty]])</f>
        <v>42</v>
      </c>
      <c r="K21" s="71">
        <f>IF(ISBLANK(Log[[#This Row],[Item]]),"",_xlfn.XLOOKUP(Log[[#This Row],[Item]],Calories[Name],Calories[Protein])*Log[[#This Row],[Qty]])</f>
        <v>5.3999999999999995</v>
      </c>
      <c r="L21" s="71">
        <f>IF(ISBLANK(Log[[#This Row],[Item]]),"",_xlfn.XLOOKUP(Log[[#This Row],[Item]],Calories[Name],Calories[Chol.])*Log[[#This Row],[Qty]])</f>
        <v>0</v>
      </c>
      <c r="M21" s="75"/>
      <c r="N21" s="75"/>
      <c r="O21" s="75"/>
    </row>
    <row r="22" spans="1:15" s="66" customFormat="1" ht="25.15" customHeight="1">
      <c r="A22" s="75"/>
      <c r="B22" s="98">
        <v>44803</v>
      </c>
      <c r="C22" s="78" t="s">
        <v>18</v>
      </c>
      <c r="D22" s="79">
        <v>138</v>
      </c>
      <c r="E22" s="76" t="str">
        <f>IF(ISBLANK(Log[[#This Row],[Item]]),"",_xlfn.XLOOKUP(Log[[#This Row],[Item]],Calories[Name],Calories[Unit]))</f>
        <v>g</v>
      </c>
      <c r="F22" s="65">
        <f>IF(ISBLANK(Log[[#This Row],[Item]]),"",_xlfn.XLOOKUP(Log[[#This Row],[Item]],Calories[Name],Calories[Cals])*Log[[#This Row],[Qty]])</f>
        <v>284.52808988764048</v>
      </c>
      <c r="G22" s="71">
        <f>IF(ISBLANK(Log[[#This Row],[Item]]),"",_xlfn.XLOOKUP(Log[[#This Row],[Item]],Calories[Name],Calories[Carbs])*Log[[#This Row],[Qty]])</f>
        <v>0</v>
      </c>
      <c r="H22" s="71">
        <f>IF(ISBLANK(Log[[#This Row],[Item]]),"",_xlfn.XLOOKUP(Log[[#This Row],[Item]],Calories[Name],Calories[Fibre])*Log[[#This Row],[Qty]])</f>
        <v>0</v>
      </c>
      <c r="I22" s="71">
        <f>IF(ISBLANK(Log[[#This Row],[Item]]),"",(Log[[#This Row],[Carbs]]-Log[[#This Row],[Fibre]]))</f>
        <v>0</v>
      </c>
      <c r="J22" s="103">
        <f>IF(ISBLANK(Log[[#This Row],[Item]]),"",_xlfn.XLOOKUP(Log[[#This Row],[Item]],Calories[Name],Calories[Sodium])*Log[[#This Row],[Qty]])</f>
        <v>84.505617977528104</v>
      </c>
      <c r="K22" s="71">
        <f>IF(ISBLANK(Log[[#This Row],[Item]]),"",_xlfn.XLOOKUP(Log[[#This Row],[Item]],Calories[Name],Calories[Protein])*Log[[#This Row],[Qty]])</f>
        <v>30.235955056179776</v>
      </c>
      <c r="L22" s="71">
        <f>IF(ISBLANK(Log[[#This Row],[Item]]),"",_xlfn.XLOOKUP(Log[[#This Row],[Item]],Calories[Name],Calories[Chol.])*Log[[#This Row],[Qty]])</f>
        <v>86.831460674157299</v>
      </c>
      <c r="M22" s="75"/>
      <c r="N22" s="75"/>
      <c r="O22" s="75"/>
    </row>
    <row r="23" spans="1:15" s="66" customFormat="1" ht="25.15" customHeight="1">
      <c r="A23" s="75"/>
      <c r="B23" s="98">
        <v>44803</v>
      </c>
      <c r="C23" s="78" t="s">
        <v>26</v>
      </c>
      <c r="D23" s="79">
        <v>100</v>
      </c>
      <c r="E23" s="76" t="str">
        <f>IF(ISBLANK(Log[[#This Row],[Item]]),"",_xlfn.XLOOKUP(Log[[#This Row],[Item]],Calories[Name],Calories[Unit]))</f>
        <v>g</v>
      </c>
      <c r="F23" s="65">
        <f>IF(ISBLANK(Log[[#This Row],[Item]]),"",_xlfn.XLOOKUP(Log[[#This Row],[Item]],Calories[Name],Calories[Cals])*Log[[#This Row],[Qty]])</f>
        <v>640</v>
      </c>
      <c r="G23" s="71">
        <f>IF(ISBLANK(Log[[#This Row],[Item]]),"",_xlfn.XLOOKUP(Log[[#This Row],[Item]],Calories[Name],Calories[Carbs])*Log[[#This Row],[Qty]])</f>
        <v>28.000000000000004</v>
      </c>
      <c r="H23" s="71">
        <f>IF(ISBLANK(Log[[#This Row],[Item]]),"",_xlfn.XLOOKUP(Log[[#This Row],[Item]],Calories[Name],Calories[Fibre])*Log[[#This Row],[Qty]])</f>
        <v>6</v>
      </c>
      <c r="I23" s="71">
        <f>IF(ISBLANK(Log[[#This Row],[Item]]),"",(Log[[#This Row],[Carbs]]-Log[[#This Row],[Fibre]]))</f>
        <v>22.000000000000004</v>
      </c>
      <c r="J23" s="103">
        <f>IF(ISBLANK(Log[[#This Row],[Item]]),"",_xlfn.XLOOKUP(Log[[#This Row],[Item]],Calories[Name],Calories[Sodium])*Log[[#This Row],[Qty]])</f>
        <v>140</v>
      </c>
      <c r="K23" s="71">
        <f>IF(ISBLANK(Log[[#This Row],[Item]]),"",_xlfn.XLOOKUP(Log[[#This Row],[Item]],Calories[Name],Calories[Protein])*Log[[#This Row],[Qty]])</f>
        <v>18</v>
      </c>
      <c r="L23" s="71">
        <f>IF(ISBLANK(Log[[#This Row],[Item]]),"",_xlfn.XLOOKUP(Log[[#This Row],[Item]],Calories[Name],Calories[Chol.])*Log[[#This Row],[Qty]])</f>
        <v>0</v>
      </c>
      <c r="M23" s="75"/>
      <c r="N23" s="75"/>
      <c r="O23" s="75"/>
    </row>
    <row r="24" spans="1:15" s="66" customFormat="1" ht="25.15" customHeight="1">
      <c r="A24" s="75"/>
      <c r="B24" s="98">
        <v>44803</v>
      </c>
      <c r="C24" s="78" t="s">
        <v>27</v>
      </c>
      <c r="D24" s="79">
        <v>1</v>
      </c>
      <c r="E24" s="76" t="str">
        <f>IF(ISBLANK(Log[[#This Row],[Item]]),"",_xlfn.XLOOKUP(Log[[#This Row],[Item]],Calories[Name],Calories[Unit]))</f>
        <v>ea</v>
      </c>
      <c r="F24" s="65">
        <f>IF(ISBLANK(Log[[#This Row],[Item]]),"",_xlfn.XLOOKUP(Log[[#This Row],[Item]],Calories[Name],Calories[Cals])*Log[[#This Row],[Qty]])</f>
        <v>470</v>
      </c>
      <c r="G24" s="71">
        <f>IF(ISBLANK(Log[[#This Row],[Item]]),"",_xlfn.XLOOKUP(Log[[#This Row],[Item]],Calories[Name],Calories[Carbs])*Log[[#This Row],[Qty]])</f>
        <v>17</v>
      </c>
      <c r="H24" s="71">
        <f>IF(ISBLANK(Log[[#This Row],[Item]]),"",_xlfn.XLOOKUP(Log[[#This Row],[Item]],Calories[Name],Calories[Fibre])*Log[[#This Row],[Qty]])</f>
        <v>6</v>
      </c>
      <c r="I24" s="71">
        <f>IF(ISBLANK(Log[[#This Row],[Item]]),"",(Log[[#This Row],[Carbs]]-Log[[#This Row],[Fibre]]))</f>
        <v>11</v>
      </c>
      <c r="J24" s="103">
        <f>IF(ISBLANK(Log[[#This Row],[Item]]),"",_xlfn.XLOOKUP(Log[[#This Row],[Item]],Calories[Name],Calories[Sodium])*Log[[#This Row],[Qty]])</f>
        <v>1080</v>
      </c>
      <c r="K24" s="71">
        <f>IF(ISBLANK(Log[[#This Row],[Item]]),"",_xlfn.XLOOKUP(Log[[#This Row],[Item]],Calories[Name],Calories[Protein])*Log[[#This Row],[Qty]])</f>
        <v>64</v>
      </c>
      <c r="L24" s="71">
        <f>IF(ISBLANK(Log[[#This Row],[Item]]),"",_xlfn.XLOOKUP(Log[[#This Row],[Item]],Calories[Name],Calories[Chol.])*Log[[#This Row],[Qty]])</f>
        <v>185</v>
      </c>
      <c r="M24" s="75"/>
      <c r="N24" s="75"/>
      <c r="O24" s="75"/>
    </row>
    <row r="25" spans="1:15" s="66" customFormat="1" ht="25.15" customHeight="1">
      <c r="A25" s="75"/>
      <c r="B25" s="98">
        <v>44803</v>
      </c>
      <c r="C25" s="78" t="s">
        <v>28</v>
      </c>
      <c r="D25" s="79">
        <v>30</v>
      </c>
      <c r="E25" s="76" t="str">
        <f>IF(ISBLANK(Log[[#This Row],[Item]]),"",_xlfn.XLOOKUP(Log[[#This Row],[Item]],Calories[Name],Calories[Unit]))</f>
        <v>g</v>
      </c>
      <c r="F25" s="65">
        <f>IF(ISBLANK(Log[[#This Row],[Item]]),"",_xlfn.XLOOKUP(Log[[#This Row],[Item]],Calories[Name],Calories[Cals])*Log[[#This Row],[Qty]])</f>
        <v>80</v>
      </c>
      <c r="G25" s="71">
        <f>IF(ISBLANK(Log[[#This Row],[Item]]),"",_xlfn.XLOOKUP(Log[[#This Row],[Item]],Calories[Name],Calories[Carbs])*Log[[#This Row],[Qty]])</f>
        <v>0</v>
      </c>
      <c r="H25" s="71">
        <f>IF(ISBLANK(Log[[#This Row],[Item]]),"",_xlfn.XLOOKUP(Log[[#This Row],[Item]],Calories[Name],Calories[Fibre])*Log[[#This Row],[Qty]])</f>
        <v>0</v>
      </c>
      <c r="I25" s="71">
        <f>IF(ISBLANK(Log[[#This Row],[Item]]),"",(Log[[#This Row],[Carbs]]-Log[[#This Row],[Fibre]]))</f>
        <v>0</v>
      </c>
      <c r="J25" s="103">
        <f>IF(ISBLANK(Log[[#This Row],[Item]]),"",_xlfn.XLOOKUP(Log[[#This Row],[Item]],Calories[Name],Calories[Sodium])*Log[[#This Row],[Qty]])</f>
        <v>570</v>
      </c>
      <c r="K25" s="71">
        <f>IF(ISBLANK(Log[[#This Row],[Item]]),"",_xlfn.XLOOKUP(Log[[#This Row],[Item]],Calories[Name],Calories[Protein])*Log[[#This Row],[Qty]])</f>
        <v>16</v>
      </c>
      <c r="L25" s="71">
        <f>IF(ISBLANK(Log[[#This Row],[Item]]),"",_xlfn.XLOOKUP(Log[[#This Row],[Item]],Calories[Name],Calories[Chol.])*Log[[#This Row],[Qty]])</f>
        <v>40</v>
      </c>
      <c r="M25" s="75"/>
      <c r="N25" s="75"/>
      <c r="O25" s="75"/>
    </row>
    <row r="26" spans="1:15" s="66" customFormat="1" ht="25.15" customHeight="1">
      <c r="A26" s="75"/>
      <c r="B26" s="98">
        <v>44803</v>
      </c>
      <c r="C26" s="78" t="s">
        <v>29</v>
      </c>
      <c r="D26" s="79">
        <v>1</v>
      </c>
      <c r="E26" s="76" t="str">
        <f>IF(ISBLANK(Log[[#This Row],[Item]]),"",_xlfn.XLOOKUP(Log[[#This Row],[Item]],Calories[Name],Calories[Unit]))</f>
        <v>pkg</v>
      </c>
      <c r="F26" s="65">
        <f>IF(ISBLANK(Log[[#This Row],[Item]]),"",_xlfn.XLOOKUP(Log[[#This Row],[Item]],Calories[Name],Calories[Cals])*Log[[#This Row],[Qty]])</f>
        <v>25</v>
      </c>
      <c r="G26" s="71">
        <f>IF(ISBLANK(Log[[#This Row],[Item]]),"",_xlfn.XLOOKUP(Log[[#This Row],[Item]],Calories[Name],Calories[Carbs])*Log[[#This Row],[Qty]])</f>
        <v>2</v>
      </c>
      <c r="H26" s="71">
        <f>IF(ISBLANK(Log[[#This Row],[Item]]),"",_xlfn.XLOOKUP(Log[[#This Row],[Item]],Calories[Name],Calories[Fibre])*Log[[#This Row],[Qty]])</f>
        <v>0</v>
      </c>
      <c r="I26" s="71">
        <f>IF(ISBLANK(Log[[#This Row],[Item]]),"",(Log[[#This Row],[Carbs]]-Log[[#This Row],[Fibre]]))</f>
        <v>2</v>
      </c>
      <c r="J26" s="103">
        <f>IF(ISBLANK(Log[[#This Row],[Item]]),"",_xlfn.XLOOKUP(Log[[#This Row],[Item]],Calories[Name],Calories[Sodium])*Log[[#This Row],[Qty]])</f>
        <v>125</v>
      </c>
      <c r="K26" s="71">
        <f>IF(ISBLANK(Log[[#This Row],[Item]]),"",_xlfn.XLOOKUP(Log[[#This Row],[Item]],Calories[Name],Calories[Protein])*Log[[#This Row],[Qty]])</f>
        <v>1</v>
      </c>
      <c r="L26" s="71">
        <f>IF(ISBLANK(Log[[#This Row],[Item]]),"",_xlfn.XLOOKUP(Log[[#This Row],[Item]],Calories[Name],Calories[Chol.])*Log[[#This Row],[Qty]])</f>
        <v>0</v>
      </c>
      <c r="M26" s="75"/>
      <c r="N26" s="75"/>
      <c r="O26" s="75"/>
    </row>
    <row r="27" spans="1:15" s="66" customFormat="1" ht="25.15" customHeight="1">
      <c r="A27" s="75"/>
      <c r="B27" s="98">
        <v>44804</v>
      </c>
      <c r="C27" s="78" t="s">
        <v>30</v>
      </c>
      <c r="D27" s="79">
        <v>60</v>
      </c>
      <c r="E27" s="76" t="str">
        <f>IF(ISBLANK(Log[[#This Row],[Item]]),"",_xlfn.XLOOKUP(Log[[#This Row],[Item]],Calories[Name],Calories[Unit]))</f>
        <v>g</v>
      </c>
      <c r="F27" s="65">
        <f>IF(ISBLANK(Log[[#This Row],[Item]]),"",_xlfn.XLOOKUP(Log[[#This Row],[Item]],Calories[Name],Calories[Cals])*Log[[#This Row],[Qty]])</f>
        <v>100</v>
      </c>
      <c r="G27" s="71">
        <f>IF(ISBLANK(Log[[#This Row],[Item]]),"",_xlfn.XLOOKUP(Log[[#This Row],[Item]],Calories[Name],Calories[Carbs])*Log[[#This Row],[Qty]])</f>
        <v>0</v>
      </c>
      <c r="H27" s="71">
        <f>IF(ISBLANK(Log[[#This Row],[Item]]),"",_xlfn.XLOOKUP(Log[[#This Row],[Item]],Calories[Name],Calories[Fibre])*Log[[#This Row],[Qty]])</f>
        <v>0</v>
      </c>
      <c r="I27" s="71">
        <f>IF(ISBLANK(Log[[#This Row],[Item]]),"",(Log[[#This Row],[Carbs]]-Log[[#This Row],[Fibre]]))</f>
        <v>0</v>
      </c>
      <c r="J27" s="103">
        <f>IF(ISBLANK(Log[[#This Row],[Item]]),"",_xlfn.XLOOKUP(Log[[#This Row],[Item]],Calories[Name],Calories[Sodium])*Log[[#This Row],[Qty]])</f>
        <v>578.94736842105272</v>
      </c>
      <c r="K27" s="71">
        <f>IF(ISBLANK(Log[[#This Row],[Item]]),"",_xlfn.XLOOKUP(Log[[#This Row],[Item]],Calories[Name],Calories[Protein])*Log[[#This Row],[Qty]])</f>
        <v>11.578947368421051</v>
      </c>
      <c r="L27" s="71">
        <f>IF(ISBLANK(Log[[#This Row],[Item]]),"",_xlfn.XLOOKUP(Log[[#This Row],[Item]],Calories[Name],Calories[Chol.])*Log[[#This Row],[Qty]])</f>
        <v>21.052631578947366</v>
      </c>
      <c r="M27" s="75"/>
      <c r="N27" s="75"/>
      <c r="O27" s="75"/>
    </row>
    <row r="28" spans="1:15" s="66" customFormat="1" ht="25.15" customHeight="1">
      <c r="A28" s="75"/>
      <c r="B28" s="98">
        <v>44804</v>
      </c>
      <c r="C28" s="78" t="s">
        <v>31</v>
      </c>
      <c r="D28" s="79">
        <v>2</v>
      </c>
      <c r="E28" s="76" t="str">
        <f>IF(ISBLANK(Log[[#This Row],[Item]]),"",_xlfn.XLOOKUP(Log[[#This Row],[Item]],Calories[Name],Calories[Unit]))</f>
        <v>tbsp</v>
      </c>
      <c r="F28" s="65">
        <f>IF(ISBLANK(Log[[#This Row],[Item]]),"",_xlfn.XLOOKUP(Log[[#This Row],[Item]],Calories[Name],Calories[Cals])*Log[[#This Row],[Qty]])</f>
        <v>50</v>
      </c>
      <c r="G28" s="71">
        <f>IF(ISBLANK(Log[[#This Row],[Item]]),"",_xlfn.XLOOKUP(Log[[#This Row],[Item]],Calories[Name],Calories[Carbs])*Log[[#This Row],[Qty]])</f>
        <v>2</v>
      </c>
      <c r="H28" s="71">
        <f>IF(ISBLANK(Log[[#This Row],[Item]]),"",_xlfn.XLOOKUP(Log[[#This Row],[Item]],Calories[Name],Calories[Fibre])*Log[[#This Row],[Qty]])</f>
        <v>0</v>
      </c>
      <c r="I28" s="71">
        <f>IF(ISBLANK(Log[[#This Row],[Item]]),"",(Log[[#This Row],[Carbs]]-Log[[#This Row],[Fibre]]))</f>
        <v>2</v>
      </c>
      <c r="J28" s="103">
        <f>IF(ISBLANK(Log[[#This Row],[Item]]),"",_xlfn.XLOOKUP(Log[[#This Row],[Item]],Calories[Name],Calories[Sodium])*Log[[#This Row],[Qty]])</f>
        <v>20</v>
      </c>
      <c r="K28" s="71">
        <f>IF(ISBLANK(Log[[#This Row],[Item]]),"",_xlfn.XLOOKUP(Log[[#This Row],[Item]],Calories[Name],Calories[Protein])*Log[[#This Row],[Qty]])</f>
        <v>1</v>
      </c>
      <c r="L28" s="71">
        <f>IF(ISBLANK(Log[[#This Row],[Item]]),"",_xlfn.XLOOKUP(Log[[#This Row],[Item]],Calories[Name],Calories[Chol.])*Log[[#This Row],[Qty]])</f>
        <v>15</v>
      </c>
      <c r="M28" s="75"/>
      <c r="N28" s="75"/>
      <c r="O28" s="75"/>
    </row>
    <row r="29" spans="1:15" s="66" customFormat="1" ht="25.15" customHeight="1">
      <c r="A29" s="75"/>
      <c r="B29" s="98">
        <v>44804</v>
      </c>
      <c r="C29" s="78" t="s">
        <v>32</v>
      </c>
      <c r="D29" s="79">
        <v>2</v>
      </c>
      <c r="E29" s="76" t="str">
        <f>IF(ISBLANK(Log[[#This Row],[Item]]),"",_xlfn.XLOOKUP(Log[[#This Row],[Item]],Calories[Name],Calories[Unit]))</f>
        <v>tbsp</v>
      </c>
      <c r="F29" s="65">
        <f>IF(ISBLANK(Log[[#This Row],[Item]]),"",_xlfn.XLOOKUP(Log[[#This Row],[Item]],Calories[Name],Calories[Cals])*Log[[#This Row],[Qty]])</f>
        <v>4</v>
      </c>
      <c r="G29" s="71">
        <f>IF(ISBLANK(Log[[#This Row],[Item]]),"",_xlfn.XLOOKUP(Log[[#This Row],[Item]],Calories[Name],Calories[Carbs])*Log[[#This Row],[Qty]])</f>
        <v>0.8</v>
      </c>
      <c r="H29" s="71">
        <f>IF(ISBLANK(Log[[#This Row],[Item]]),"",_xlfn.XLOOKUP(Log[[#This Row],[Item]],Calories[Name],Calories[Fibre])*Log[[#This Row],[Qty]])</f>
        <v>0.6</v>
      </c>
      <c r="I29" s="71">
        <f>IF(ISBLANK(Log[[#This Row],[Item]]),"",(Log[[#This Row],[Carbs]]-Log[[#This Row],[Fibre]]))</f>
        <v>0.20000000000000007</v>
      </c>
      <c r="J29" s="103">
        <f>IF(ISBLANK(Log[[#This Row],[Item]]),"",_xlfn.XLOOKUP(Log[[#This Row],[Item]],Calories[Name],Calories[Sodium])*Log[[#This Row],[Qty]])</f>
        <v>510</v>
      </c>
      <c r="K29" s="71">
        <f>IF(ISBLANK(Log[[#This Row],[Item]]),"",_xlfn.XLOOKUP(Log[[#This Row],[Item]],Calories[Name],Calories[Protein])*Log[[#This Row],[Qty]])</f>
        <v>0.4</v>
      </c>
      <c r="L29" s="71">
        <f>IF(ISBLANK(Log[[#This Row],[Item]]),"",_xlfn.XLOOKUP(Log[[#This Row],[Item]],Calories[Name],Calories[Chol.])*Log[[#This Row],[Qty]])</f>
        <v>0</v>
      </c>
      <c r="M29" s="75"/>
      <c r="N29" s="75"/>
      <c r="O29" s="75"/>
    </row>
    <row r="30" spans="1:15" s="66" customFormat="1" ht="25.15" customHeight="1">
      <c r="A30" s="75"/>
      <c r="B30" s="98">
        <v>44804</v>
      </c>
      <c r="C30" s="78" t="s">
        <v>33</v>
      </c>
      <c r="D30" s="79">
        <v>3</v>
      </c>
      <c r="E30" s="76" t="str">
        <f>IF(ISBLANK(Log[[#This Row],[Item]]),"",_xlfn.XLOOKUP(Log[[#This Row],[Item]],Calories[Name],Calories[Unit]))</f>
        <v>c</v>
      </c>
      <c r="F30" s="65">
        <f>IF(ISBLANK(Log[[#This Row],[Item]]),"",_xlfn.XLOOKUP(Log[[#This Row],[Item]],Calories[Name],Calories[Cals])*Log[[#This Row],[Qty]])</f>
        <v>46.8</v>
      </c>
      <c r="G30" s="71">
        <f>IF(ISBLANK(Log[[#This Row],[Item]]),"",_xlfn.XLOOKUP(Log[[#This Row],[Item]],Calories[Name],Calories[Carbs])*Log[[#This Row],[Qty]])</f>
        <v>9.8999999999999986</v>
      </c>
      <c r="H30" s="71">
        <f>IF(ISBLANK(Log[[#This Row],[Item]]),"",_xlfn.XLOOKUP(Log[[#This Row],[Item]],Calories[Name],Calories[Fibre])*Log[[#This Row],[Qty]])</f>
        <v>1.5</v>
      </c>
      <c r="I30" s="71">
        <f>IF(ISBLANK(Log[[#This Row],[Item]]),"",(Log[[#This Row],[Carbs]]-Log[[#This Row],[Fibre]]))</f>
        <v>8.3999999999999986</v>
      </c>
      <c r="J30" s="103">
        <f>IF(ISBLANK(Log[[#This Row],[Item]]),"",_xlfn.XLOOKUP(Log[[#This Row],[Item]],Calories[Name],Calories[Sodium])*Log[[#This Row],[Qty]])</f>
        <v>6.3000000000000007</v>
      </c>
      <c r="K30" s="71">
        <f>IF(ISBLANK(Log[[#This Row],[Item]]),"",_xlfn.XLOOKUP(Log[[#This Row],[Item]],Calories[Name],Calories[Protein])*Log[[#This Row],[Qty]])</f>
        <v>2.0999999999999996</v>
      </c>
      <c r="L30" s="71">
        <f>IF(ISBLANK(Log[[#This Row],[Item]]),"",_xlfn.XLOOKUP(Log[[#This Row],[Item]],Calories[Name],Calories[Chol.])*Log[[#This Row],[Qty]])</f>
        <v>0</v>
      </c>
      <c r="M30" s="75"/>
      <c r="N30" s="75"/>
      <c r="O30" s="75"/>
    </row>
    <row r="31" spans="1:15" s="66" customFormat="1" ht="25.15" customHeight="1">
      <c r="A31" s="75"/>
      <c r="B31" s="98">
        <v>44804</v>
      </c>
      <c r="C31" s="78" t="s">
        <v>34</v>
      </c>
      <c r="D31" s="79">
        <v>75</v>
      </c>
      <c r="E31" s="76" t="str">
        <f>IF(ISBLANK(Log[[#This Row],[Item]]),"",_xlfn.XLOOKUP(Log[[#This Row],[Item]],Calories[Name],Calories[Unit]))</f>
        <v>g</v>
      </c>
      <c r="F31" s="65">
        <f>IF(ISBLANK(Log[[#This Row],[Item]]),"",_xlfn.XLOOKUP(Log[[#This Row],[Item]],Calories[Name],Calories[Cals])*Log[[#This Row],[Qty]])</f>
        <v>128.57142857142856</v>
      </c>
      <c r="G31" s="71">
        <f>IF(ISBLANK(Log[[#This Row],[Item]]),"",_xlfn.XLOOKUP(Log[[#This Row],[Item]],Calories[Name],Calories[Carbs])*Log[[#This Row],[Qty]])</f>
        <v>0</v>
      </c>
      <c r="H31" s="71">
        <f>IF(ISBLANK(Log[[#This Row],[Item]]),"",_xlfn.XLOOKUP(Log[[#This Row],[Item]],Calories[Name],Calories[Fibre])*Log[[#This Row],[Qty]])</f>
        <v>0</v>
      </c>
      <c r="I31" s="71">
        <f>IF(ISBLANK(Log[[#This Row],[Item]]),"",(Log[[#This Row],[Carbs]]-Log[[#This Row],[Fibre]]))</f>
        <v>0</v>
      </c>
      <c r="J31" s="103">
        <f>IF(ISBLANK(Log[[#This Row],[Item]]),"",_xlfn.XLOOKUP(Log[[#This Row],[Item]],Calories[Name],Calories[Sodium])*Log[[#This Row],[Qty]])</f>
        <v>300</v>
      </c>
      <c r="K31" s="71">
        <f>IF(ISBLANK(Log[[#This Row],[Item]]),"",_xlfn.XLOOKUP(Log[[#This Row],[Item]],Calories[Name],Calories[Protein])*Log[[#This Row],[Qty]])</f>
        <v>19.285714285714285</v>
      </c>
      <c r="L31" s="71">
        <f>IF(ISBLANK(Log[[#This Row],[Item]]),"",_xlfn.XLOOKUP(Log[[#This Row],[Item]],Calories[Name],Calories[Chol.])*Log[[#This Row],[Qty]])</f>
        <v>37.5</v>
      </c>
      <c r="M31" s="75"/>
      <c r="N31" s="75"/>
      <c r="O31" s="75"/>
    </row>
    <row r="32" spans="1:15" s="66" customFormat="1" ht="25.15" customHeight="1">
      <c r="A32" s="75"/>
      <c r="B32" s="98">
        <v>44804</v>
      </c>
      <c r="C32" s="78" t="s">
        <v>19</v>
      </c>
      <c r="D32" s="79">
        <v>100</v>
      </c>
      <c r="E32" s="76" t="str">
        <f>IF(ISBLANK(Log[[#This Row],[Item]]),"",_xlfn.XLOOKUP(Log[[#This Row],[Item]],Calories[Name],Calories[Unit]))</f>
        <v>g</v>
      </c>
      <c r="F32" s="65">
        <f>IF(ISBLANK(Log[[#This Row],[Item]]),"",_xlfn.XLOOKUP(Log[[#This Row],[Item]],Calories[Name],Calories[Cals])*Log[[#This Row],[Qty]])</f>
        <v>120</v>
      </c>
      <c r="G32" s="71">
        <f>IF(ISBLANK(Log[[#This Row],[Item]]),"",_xlfn.XLOOKUP(Log[[#This Row],[Item]],Calories[Name],Calories[Carbs])*Log[[#This Row],[Qty]])</f>
        <v>21.081081081081081</v>
      </c>
      <c r="H32" s="71">
        <f>IF(ISBLANK(Log[[#This Row],[Item]]),"",_xlfn.XLOOKUP(Log[[#This Row],[Item]],Calories[Name],Calories[Fibre])*Log[[#This Row],[Qty]])</f>
        <v>2.7027027027027026</v>
      </c>
      <c r="I32" s="71">
        <f>IF(ISBLANK(Log[[#This Row],[Item]]),"",(Log[[#This Row],[Carbs]]-Log[[#This Row],[Fibre]]))</f>
        <v>18.378378378378379</v>
      </c>
      <c r="J32" s="103">
        <f>IF(ISBLANK(Log[[#This Row],[Item]]),"",_xlfn.XLOOKUP(Log[[#This Row],[Item]],Calories[Name],Calories[Sodium])*Log[[#This Row],[Qty]])</f>
        <v>7.0270270270270272</v>
      </c>
      <c r="K32" s="71">
        <f>IF(ISBLANK(Log[[#This Row],[Item]]),"",_xlfn.XLOOKUP(Log[[#This Row],[Item]],Calories[Name],Calories[Protein])*Log[[#This Row],[Qty]])</f>
        <v>4.3243243243243246</v>
      </c>
      <c r="L32" s="71">
        <f>IF(ISBLANK(Log[[#This Row],[Item]]),"",_xlfn.XLOOKUP(Log[[#This Row],[Item]],Calories[Name],Calories[Chol.])*Log[[#This Row],[Qty]])</f>
        <v>0</v>
      </c>
      <c r="M32" s="75"/>
      <c r="N32" s="75"/>
      <c r="O32" s="75"/>
    </row>
    <row r="33" spans="1:15" s="66" customFormat="1" ht="25.15" customHeight="1">
      <c r="A33" s="75"/>
      <c r="B33" s="98">
        <v>44804</v>
      </c>
      <c r="C33" s="78" t="s">
        <v>35</v>
      </c>
      <c r="D33" s="79">
        <v>2.5</v>
      </c>
      <c r="E33" s="76" t="str">
        <f>IF(ISBLANK(Log[[#This Row],[Item]]),"",_xlfn.XLOOKUP(Log[[#This Row],[Item]],Calories[Name],Calories[Unit]))</f>
        <v>tbsp</v>
      </c>
      <c r="F33" s="65">
        <f>IF(ISBLANK(Log[[#This Row],[Item]]),"",_xlfn.XLOOKUP(Log[[#This Row],[Item]],Calories[Name],Calories[Cals])*Log[[#This Row],[Qty]])</f>
        <v>225</v>
      </c>
      <c r="G33" s="71">
        <f>IF(ISBLANK(Log[[#This Row],[Item]]),"",_xlfn.XLOOKUP(Log[[#This Row],[Item]],Calories[Name],Calories[Carbs])*Log[[#This Row],[Qty]])</f>
        <v>0</v>
      </c>
      <c r="H33" s="71">
        <f>IF(ISBLANK(Log[[#This Row],[Item]]),"",_xlfn.XLOOKUP(Log[[#This Row],[Item]],Calories[Name],Calories[Fibre])*Log[[#This Row],[Qty]])</f>
        <v>0</v>
      </c>
      <c r="I33" s="71">
        <f>IF(ISBLANK(Log[[#This Row],[Item]]),"",(Log[[#This Row],[Carbs]]-Log[[#This Row],[Fibre]]))</f>
        <v>0</v>
      </c>
      <c r="J33" s="103">
        <f>IF(ISBLANK(Log[[#This Row],[Item]]),"",_xlfn.XLOOKUP(Log[[#This Row],[Item]],Calories[Name],Calories[Sodium])*Log[[#This Row],[Qty]])</f>
        <v>225</v>
      </c>
      <c r="K33" s="71">
        <f>IF(ISBLANK(Log[[#This Row],[Item]]),"",_xlfn.XLOOKUP(Log[[#This Row],[Item]],Calories[Name],Calories[Protein])*Log[[#This Row],[Qty]])</f>
        <v>0</v>
      </c>
      <c r="L33" s="71">
        <f>IF(ISBLANK(Log[[#This Row],[Item]]),"",_xlfn.XLOOKUP(Log[[#This Row],[Item]],Calories[Name],Calories[Chol.])*Log[[#This Row],[Qty]])</f>
        <v>12.5</v>
      </c>
      <c r="M33" s="75"/>
      <c r="N33" s="75"/>
      <c r="O33" s="75"/>
    </row>
    <row r="34" spans="1:15" s="66" customFormat="1" ht="25.15" customHeight="1">
      <c r="A34" s="75"/>
      <c r="B34" s="98">
        <v>44804</v>
      </c>
      <c r="C34" s="78" t="s">
        <v>15</v>
      </c>
      <c r="D34" s="79">
        <v>0.75</v>
      </c>
      <c r="E34" s="76" t="str">
        <f>IF(ISBLANK(Log[[#This Row],[Item]]),"",_xlfn.XLOOKUP(Log[[#This Row],[Item]],Calories[Name],Calories[Unit]))</f>
        <v>tbsp</v>
      </c>
      <c r="F34" s="65">
        <f>IF(ISBLANK(Log[[#This Row],[Item]]),"",_xlfn.XLOOKUP(Log[[#This Row],[Item]],Calories[Name],Calories[Cals])*Log[[#This Row],[Qty]])</f>
        <v>90</v>
      </c>
      <c r="G34" s="71">
        <f>IF(ISBLANK(Log[[#This Row],[Item]]),"",_xlfn.XLOOKUP(Log[[#This Row],[Item]],Calories[Name],Calories[Carbs])*Log[[#This Row],[Qty]])</f>
        <v>0</v>
      </c>
      <c r="H34" s="71">
        <f>IF(ISBLANK(Log[[#This Row],[Item]]),"",_xlfn.XLOOKUP(Log[[#This Row],[Item]],Calories[Name],Calories[Fibre])*Log[[#This Row],[Qty]])</f>
        <v>0</v>
      </c>
      <c r="I34" s="71">
        <f>IF(ISBLANK(Log[[#This Row],[Item]]),"",(Log[[#This Row],[Carbs]]-Log[[#This Row],[Fibre]]))</f>
        <v>0</v>
      </c>
      <c r="J34" s="103">
        <f>IF(ISBLANK(Log[[#This Row],[Item]]),"",_xlfn.XLOOKUP(Log[[#This Row],[Item]],Calories[Name],Calories[Sodium])*Log[[#This Row],[Qty]])</f>
        <v>0</v>
      </c>
      <c r="K34" s="71">
        <f>IF(ISBLANK(Log[[#This Row],[Item]]),"",_xlfn.XLOOKUP(Log[[#This Row],[Item]],Calories[Name],Calories[Protein])*Log[[#This Row],[Qty]])</f>
        <v>0</v>
      </c>
      <c r="L34" s="71">
        <f>IF(ISBLANK(Log[[#This Row],[Item]]),"",_xlfn.XLOOKUP(Log[[#This Row],[Item]],Calories[Name],Calories[Chol.])*Log[[#This Row],[Qty]])</f>
        <v>0</v>
      </c>
      <c r="M34" s="75"/>
      <c r="N34" s="75"/>
      <c r="O34" s="75"/>
    </row>
    <row r="35" spans="1:15" s="66" customFormat="1" ht="25.15" customHeight="1">
      <c r="A35" s="75"/>
      <c r="B35" s="98">
        <v>44804</v>
      </c>
      <c r="C35" s="78" t="s">
        <v>13</v>
      </c>
      <c r="D35" s="79">
        <v>3</v>
      </c>
      <c r="E35" s="76" t="str">
        <f>IF(ISBLANK(Log[[#This Row],[Item]]),"",_xlfn.XLOOKUP(Log[[#This Row],[Item]],Calories[Name],Calories[Unit]))</f>
        <v>ea</v>
      </c>
      <c r="F35" s="65">
        <f>IF(ISBLANK(Log[[#This Row],[Item]]),"",_xlfn.XLOOKUP(Log[[#This Row],[Item]],Calories[Name],Calories[Cals])*Log[[#This Row],[Qty]])</f>
        <v>216</v>
      </c>
      <c r="G35" s="71">
        <f>IF(ISBLANK(Log[[#This Row],[Item]]),"",_xlfn.XLOOKUP(Log[[#This Row],[Item]],Calories[Name],Calories[Carbs])*Log[[#This Row],[Qty]])</f>
        <v>0</v>
      </c>
      <c r="H35" s="71">
        <f>IF(ISBLANK(Log[[#This Row],[Item]]),"",_xlfn.XLOOKUP(Log[[#This Row],[Item]],Calories[Name],Calories[Fibre])*Log[[#This Row],[Qty]])</f>
        <v>0</v>
      </c>
      <c r="I35" s="71">
        <f>IF(ISBLANK(Log[[#This Row],[Item]]),"",(Log[[#This Row],[Carbs]]-Log[[#This Row],[Fibre]]))</f>
        <v>0</v>
      </c>
      <c r="J35" s="103">
        <f>IF(ISBLANK(Log[[#This Row],[Item]]),"",_xlfn.XLOOKUP(Log[[#This Row],[Item]],Calories[Name],Calories[Sodium])*Log[[#This Row],[Qty]])</f>
        <v>210</v>
      </c>
      <c r="K35" s="71">
        <f>IF(ISBLANK(Log[[#This Row],[Item]]),"",_xlfn.XLOOKUP(Log[[#This Row],[Item]],Calories[Name],Calories[Protein])*Log[[#This Row],[Qty]])</f>
        <v>18</v>
      </c>
      <c r="L35" s="71">
        <f>IF(ISBLANK(Log[[#This Row],[Item]]),"",_xlfn.XLOOKUP(Log[[#This Row],[Item]],Calories[Name],Calories[Chol.])*Log[[#This Row],[Qty]])</f>
        <v>633</v>
      </c>
      <c r="M35" s="75"/>
      <c r="N35" s="75"/>
      <c r="O35" s="75"/>
    </row>
    <row r="36" spans="1:15" s="66" customFormat="1" ht="25.15" customHeight="1">
      <c r="A36" s="75"/>
      <c r="B36" s="98">
        <v>44804</v>
      </c>
      <c r="C36" s="78" t="s">
        <v>36</v>
      </c>
      <c r="D36" s="79">
        <v>1</v>
      </c>
      <c r="E36" s="76" t="str">
        <f>IF(ISBLANK(Log[[#This Row],[Item]]),"",_xlfn.XLOOKUP(Log[[#This Row],[Item]],Calories[Name],Calories[Unit]))</f>
        <v>ea</v>
      </c>
      <c r="F36" s="65">
        <f>IF(ISBLANK(Log[[#This Row],[Item]]),"",_xlfn.XLOOKUP(Log[[#This Row],[Item]],Calories[Name],Calories[Cals])*Log[[#This Row],[Qty]])</f>
        <v>240</v>
      </c>
      <c r="G36" s="71">
        <f>IF(ISBLANK(Log[[#This Row],[Item]]),"",_xlfn.XLOOKUP(Log[[#This Row],[Item]],Calories[Name],Calories[Carbs])*Log[[#This Row],[Qty]])</f>
        <v>13</v>
      </c>
      <c r="H36" s="71">
        <f>IF(ISBLANK(Log[[#This Row],[Item]]),"",_xlfn.XLOOKUP(Log[[#This Row],[Item]],Calories[Name],Calories[Fibre])*Log[[#This Row],[Qty]])</f>
        <v>10</v>
      </c>
      <c r="I36" s="71">
        <f>IF(ISBLANK(Log[[#This Row],[Item]]),"",(Log[[#This Row],[Carbs]]-Log[[#This Row],[Fibre]]))</f>
        <v>3</v>
      </c>
      <c r="J36" s="103">
        <f>IF(ISBLANK(Log[[#This Row],[Item]]),"",_xlfn.XLOOKUP(Log[[#This Row],[Item]],Calories[Name],Calories[Sodium])*Log[[#This Row],[Qty]])</f>
        <v>11</v>
      </c>
      <c r="K36" s="71">
        <f>IF(ISBLANK(Log[[#This Row],[Item]]),"",_xlfn.XLOOKUP(Log[[#This Row],[Item]],Calories[Name],Calories[Protein])*Log[[#This Row],[Qty]])</f>
        <v>3</v>
      </c>
      <c r="L36" s="71">
        <f>IF(ISBLANK(Log[[#This Row],[Item]]),"",_xlfn.XLOOKUP(Log[[#This Row],[Item]],Calories[Name],Calories[Chol.])*Log[[#This Row],[Qty]])</f>
        <v>0</v>
      </c>
      <c r="M36" s="75"/>
      <c r="N36" s="75"/>
      <c r="O36" s="75"/>
    </row>
    <row r="37" spans="1:15" s="66" customFormat="1" ht="25.15" customHeight="1">
      <c r="A37" s="75"/>
      <c r="B37" s="98">
        <v>44804</v>
      </c>
      <c r="C37" s="104" t="s">
        <v>37</v>
      </c>
      <c r="D37" s="79">
        <v>2.5</v>
      </c>
      <c r="E37" s="76" t="str">
        <f>IF(ISBLANK(Log[[#This Row],[Item]]),"",_xlfn.XLOOKUP(Log[[#This Row],[Item]],Calories[Name],Calories[Unit]))</f>
        <v>c</v>
      </c>
      <c r="F37" s="65">
        <f>IF(ISBLANK(Log[[#This Row],[Item]]),"",_xlfn.XLOOKUP(Log[[#This Row],[Item]],Calories[Name],Calories[Cals])*Log[[#This Row],[Qty]])</f>
        <v>225</v>
      </c>
      <c r="G37" s="71">
        <f>IF(ISBLANK(Log[[#This Row],[Item]]),"",_xlfn.XLOOKUP(Log[[#This Row],[Item]],Calories[Name],Calories[Carbs])*Log[[#This Row],[Qty]])</f>
        <v>45</v>
      </c>
      <c r="H37" s="71">
        <f>IF(ISBLANK(Log[[#This Row],[Item]]),"",_xlfn.XLOOKUP(Log[[#This Row],[Item]],Calories[Name],Calories[Fibre])*Log[[#This Row],[Qty]])</f>
        <v>9.25</v>
      </c>
      <c r="I37" s="71">
        <f>IF(ISBLANK(Log[[#This Row],[Item]]),"",(Log[[#This Row],[Carbs]]-Log[[#This Row],[Fibre]]))</f>
        <v>35.75</v>
      </c>
      <c r="J37" s="103">
        <f>IF(ISBLANK(Log[[#This Row],[Item]]),"",_xlfn.XLOOKUP(Log[[#This Row],[Item]],Calories[Name],Calories[Sodium])*Log[[#This Row],[Qty]])</f>
        <v>67.5</v>
      </c>
      <c r="K37" s="71">
        <f>IF(ISBLANK(Log[[#This Row],[Item]]),"",_xlfn.XLOOKUP(Log[[#This Row],[Item]],Calories[Name],Calories[Protein])*Log[[#This Row],[Qty]])</f>
        <v>7.9249999999999998</v>
      </c>
      <c r="L37" s="71">
        <f>IF(ISBLANK(Log[[#This Row],[Item]]),"",_xlfn.XLOOKUP(Log[[#This Row],[Item]],Calories[Name],Calories[Chol.])*Log[[#This Row],[Qty]])</f>
        <v>0</v>
      </c>
      <c r="M37" s="75"/>
      <c r="N37" s="75"/>
      <c r="O37" s="75"/>
    </row>
    <row r="38" spans="1:15" s="66" customFormat="1" ht="25.15" customHeight="1">
      <c r="A38" s="75"/>
      <c r="B38" s="98">
        <v>44804</v>
      </c>
      <c r="C38" s="78" t="s">
        <v>28</v>
      </c>
      <c r="D38" s="79">
        <v>30</v>
      </c>
      <c r="E38" s="76" t="str">
        <f>IF(ISBLANK(Log[[#This Row],[Item]]),"",_xlfn.XLOOKUP(Log[[#This Row],[Item]],Calories[Name],Calories[Unit]))</f>
        <v>g</v>
      </c>
      <c r="F38" s="65">
        <f>IF(ISBLANK(Log[[#This Row],[Item]]),"",_xlfn.XLOOKUP(Log[[#This Row],[Item]],Calories[Name],Calories[Cals])*Log[[#This Row],[Qty]])</f>
        <v>80</v>
      </c>
      <c r="G38" s="71">
        <f>IF(ISBLANK(Log[[#This Row],[Item]]),"",_xlfn.XLOOKUP(Log[[#This Row],[Item]],Calories[Name],Calories[Carbs])*Log[[#This Row],[Qty]])</f>
        <v>0</v>
      </c>
      <c r="H38" s="71">
        <f>IF(ISBLANK(Log[[#This Row],[Item]]),"",_xlfn.XLOOKUP(Log[[#This Row],[Item]],Calories[Name],Calories[Fibre])*Log[[#This Row],[Qty]])</f>
        <v>0</v>
      </c>
      <c r="I38" s="71">
        <f>IF(ISBLANK(Log[[#This Row],[Item]]),"",(Log[[#This Row],[Carbs]]-Log[[#This Row],[Fibre]]))</f>
        <v>0</v>
      </c>
      <c r="J38" s="103">
        <f>IF(ISBLANK(Log[[#This Row],[Item]]),"",_xlfn.XLOOKUP(Log[[#This Row],[Item]],Calories[Name],Calories[Sodium])*Log[[#This Row],[Qty]])</f>
        <v>570</v>
      </c>
      <c r="K38" s="71">
        <f>IF(ISBLANK(Log[[#This Row],[Item]]),"",_xlfn.XLOOKUP(Log[[#This Row],[Item]],Calories[Name],Calories[Protein])*Log[[#This Row],[Qty]])</f>
        <v>16</v>
      </c>
      <c r="L38" s="71">
        <f>IF(ISBLANK(Log[[#This Row],[Item]]),"",_xlfn.XLOOKUP(Log[[#This Row],[Item]],Calories[Name],Calories[Chol.])*Log[[#This Row],[Qty]])</f>
        <v>40</v>
      </c>
      <c r="M38" s="75"/>
      <c r="N38" s="75"/>
      <c r="O38" s="75"/>
    </row>
    <row r="39" spans="1:15" s="66" customFormat="1" ht="25.15" customHeight="1">
      <c r="A39" s="75"/>
      <c r="B39" s="98">
        <v>44805</v>
      </c>
      <c r="C39" s="78" t="s">
        <v>35</v>
      </c>
      <c r="D39" s="79">
        <v>2.5</v>
      </c>
      <c r="E39" s="76" t="str">
        <f>IF(ISBLANK(Log[[#This Row],[Item]]),"",_xlfn.XLOOKUP(Log[[#This Row],[Item]],Calories[Name],Calories[Unit]))</f>
        <v>tbsp</v>
      </c>
      <c r="F39" s="65">
        <f>IF(ISBLANK(Log[[#This Row],[Item]]),"",_xlfn.XLOOKUP(Log[[#This Row],[Item]],Calories[Name],Calories[Cals])*Log[[#This Row],[Qty]])</f>
        <v>225</v>
      </c>
      <c r="G39" s="71">
        <f>IF(ISBLANK(Log[[#This Row],[Item]]),"",_xlfn.XLOOKUP(Log[[#This Row],[Item]],Calories[Name],Calories[Carbs])*Log[[#This Row],[Qty]])</f>
        <v>0</v>
      </c>
      <c r="H39" s="71">
        <f>IF(ISBLANK(Log[[#This Row],[Item]]),"",_xlfn.XLOOKUP(Log[[#This Row],[Item]],Calories[Name],Calories[Fibre])*Log[[#This Row],[Qty]])</f>
        <v>0</v>
      </c>
      <c r="I39" s="71">
        <f>IF(ISBLANK(Log[[#This Row],[Item]]),"",(Log[[#This Row],[Carbs]]-Log[[#This Row],[Fibre]]))</f>
        <v>0</v>
      </c>
      <c r="J39" s="103">
        <f>IF(ISBLANK(Log[[#This Row],[Item]]),"",_xlfn.XLOOKUP(Log[[#This Row],[Item]],Calories[Name],Calories[Sodium])*Log[[#This Row],[Qty]])</f>
        <v>225</v>
      </c>
      <c r="K39" s="71">
        <f>IF(ISBLANK(Log[[#This Row],[Item]]),"",_xlfn.XLOOKUP(Log[[#This Row],[Item]],Calories[Name],Calories[Protein])*Log[[#This Row],[Qty]])</f>
        <v>0</v>
      </c>
      <c r="L39" s="71">
        <f>IF(ISBLANK(Log[[#This Row],[Item]]),"",_xlfn.XLOOKUP(Log[[#This Row],[Item]],Calories[Name],Calories[Chol.])*Log[[#This Row],[Qty]])</f>
        <v>12.5</v>
      </c>
      <c r="M39" s="75"/>
      <c r="N39" s="75"/>
      <c r="O39" s="75"/>
    </row>
    <row r="40" spans="1:15" s="66" customFormat="1" ht="25.15" customHeight="1">
      <c r="A40" s="75"/>
      <c r="B40" s="98">
        <v>44805</v>
      </c>
      <c r="C40" s="78" t="s">
        <v>36</v>
      </c>
      <c r="D40" s="79">
        <v>1</v>
      </c>
      <c r="E40" s="76" t="str">
        <f>IF(ISBLANK(Log[[#This Row],[Item]]),"",_xlfn.XLOOKUP(Log[[#This Row],[Item]],Calories[Name],Calories[Unit]))</f>
        <v>ea</v>
      </c>
      <c r="F40" s="65">
        <f>IF(ISBLANK(Log[[#This Row],[Item]]),"",_xlfn.XLOOKUP(Log[[#This Row],[Item]],Calories[Name],Calories[Cals])*Log[[#This Row],[Qty]])</f>
        <v>240</v>
      </c>
      <c r="G40" s="71">
        <f>IF(ISBLANK(Log[[#This Row],[Item]]),"",_xlfn.XLOOKUP(Log[[#This Row],[Item]],Calories[Name],Calories[Carbs])*Log[[#This Row],[Qty]])</f>
        <v>13</v>
      </c>
      <c r="H40" s="71">
        <f>IF(ISBLANK(Log[[#This Row],[Item]]),"",_xlfn.XLOOKUP(Log[[#This Row],[Item]],Calories[Name],Calories[Fibre])*Log[[#This Row],[Qty]])</f>
        <v>10</v>
      </c>
      <c r="I40" s="71">
        <f>IF(ISBLANK(Log[[#This Row],[Item]]),"",(Log[[#This Row],[Carbs]]-Log[[#This Row],[Fibre]]))</f>
        <v>3</v>
      </c>
      <c r="J40" s="103">
        <f>IF(ISBLANK(Log[[#This Row],[Item]]),"",_xlfn.XLOOKUP(Log[[#This Row],[Item]],Calories[Name],Calories[Sodium])*Log[[#This Row],[Qty]])</f>
        <v>11</v>
      </c>
      <c r="K40" s="71">
        <f>IF(ISBLANK(Log[[#This Row],[Item]]),"",_xlfn.XLOOKUP(Log[[#This Row],[Item]],Calories[Name],Calories[Protein])*Log[[#This Row],[Qty]])</f>
        <v>3</v>
      </c>
      <c r="L40" s="71">
        <f>IF(ISBLANK(Log[[#This Row],[Item]]),"",_xlfn.XLOOKUP(Log[[#This Row],[Item]],Calories[Name],Calories[Chol.])*Log[[#This Row],[Qty]])</f>
        <v>0</v>
      </c>
      <c r="M40" s="75"/>
      <c r="N40" s="75"/>
      <c r="O40" s="75"/>
    </row>
    <row r="41" spans="1:15" s="66" customFormat="1" ht="25.15" customHeight="1">
      <c r="A41" s="75"/>
      <c r="B41" s="98">
        <v>44805</v>
      </c>
      <c r="C41" s="78" t="s">
        <v>34</v>
      </c>
      <c r="D41" s="79">
        <v>65</v>
      </c>
      <c r="E41" s="76" t="str">
        <f>IF(ISBLANK(Log[[#This Row],[Item]]),"",_xlfn.XLOOKUP(Log[[#This Row],[Item]],Calories[Name],Calories[Unit]))</f>
        <v>g</v>
      </c>
      <c r="F41" s="65">
        <f>IF(ISBLANK(Log[[#This Row],[Item]]),"",_xlfn.XLOOKUP(Log[[#This Row],[Item]],Calories[Name],Calories[Cals])*Log[[#This Row],[Qty]])</f>
        <v>111.42857142857142</v>
      </c>
      <c r="G41" s="71">
        <f>IF(ISBLANK(Log[[#This Row],[Item]]),"",_xlfn.XLOOKUP(Log[[#This Row],[Item]],Calories[Name],Calories[Carbs])*Log[[#This Row],[Qty]])</f>
        <v>0</v>
      </c>
      <c r="H41" s="71">
        <f>IF(ISBLANK(Log[[#This Row],[Item]]),"",_xlfn.XLOOKUP(Log[[#This Row],[Item]],Calories[Name],Calories[Fibre])*Log[[#This Row],[Qty]])</f>
        <v>0</v>
      </c>
      <c r="I41" s="71">
        <f>IF(ISBLANK(Log[[#This Row],[Item]]),"",(Log[[#This Row],[Carbs]]-Log[[#This Row],[Fibre]]))</f>
        <v>0</v>
      </c>
      <c r="J41" s="103">
        <f>IF(ISBLANK(Log[[#This Row],[Item]]),"",_xlfn.XLOOKUP(Log[[#This Row],[Item]],Calories[Name],Calories[Sodium])*Log[[#This Row],[Qty]])</f>
        <v>260</v>
      </c>
      <c r="K41" s="71">
        <f>IF(ISBLANK(Log[[#This Row],[Item]]),"",_xlfn.XLOOKUP(Log[[#This Row],[Item]],Calories[Name],Calories[Protein])*Log[[#This Row],[Qty]])</f>
        <v>16.714285714285712</v>
      </c>
      <c r="L41" s="71">
        <f>IF(ISBLANK(Log[[#This Row],[Item]]),"",_xlfn.XLOOKUP(Log[[#This Row],[Item]],Calories[Name],Calories[Chol.])*Log[[#This Row],[Qty]])</f>
        <v>32.5</v>
      </c>
      <c r="M41" s="75"/>
      <c r="N41" s="75"/>
      <c r="O41" s="75"/>
    </row>
    <row r="42" spans="1:15" s="66" customFormat="1" ht="25.15" customHeight="1">
      <c r="A42" s="75"/>
      <c r="B42" s="98">
        <v>44805</v>
      </c>
      <c r="C42" s="78" t="s">
        <v>19</v>
      </c>
      <c r="D42" s="79">
        <v>100</v>
      </c>
      <c r="E42" s="76" t="str">
        <f>IF(ISBLANK(Log[[#This Row],[Item]]),"",_xlfn.XLOOKUP(Log[[#This Row],[Item]],Calories[Name],Calories[Unit]))</f>
        <v>g</v>
      </c>
      <c r="F42" s="65">
        <f>IF(ISBLANK(Log[[#This Row],[Item]]),"",_xlfn.XLOOKUP(Log[[#This Row],[Item]],Calories[Name],Calories[Cals])*Log[[#This Row],[Qty]])</f>
        <v>120</v>
      </c>
      <c r="G42" s="71">
        <f>IF(ISBLANK(Log[[#This Row],[Item]]),"",_xlfn.XLOOKUP(Log[[#This Row],[Item]],Calories[Name],Calories[Carbs])*Log[[#This Row],[Qty]])</f>
        <v>21.081081081081081</v>
      </c>
      <c r="H42" s="71">
        <f>IF(ISBLANK(Log[[#This Row],[Item]]),"",_xlfn.XLOOKUP(Log[[#This Row],[Item]],Calories[Name],Calories[Fibre])*Log[[#This Row],[Qty]])</f>
        <v>2.7027027027027026</v>
      </c>
      <c r="I42" s="71">
        <f>IF(ISBLANK(Log[[#This Row],[Item]]),"",(Log[[#This Row],[Carbs]]-Log[[#This Row],[Fibre]]))</f>
        <v>18.378378378378379</v>
      </c>
      <c r="J42" s="103">
        <f>IF(ISBLANK(Log[[#This Row],[Item]]),"",_xlfn.XLOOKUP(Log[[#This Row],[Item]],Calories[Name],Calories[Sodium])*Log[[#This Row],[Qty]])</f>
        <v>7.0270270270270272</v>
      </c>
      <c r="K42" s="71">
        <f>IF(ISBLANK(Log[[#This Row],[Item]]),"",_xlfn.XLOOKUP(Log[[#This Row],[Item]],Calories[Name],Calories[Protein])*Log[[#This Row],[Qty]])</f>
        <v>4.3243243243243246</v>
      </c>
      <c r="L42" s="71">
        <f>IF(ISBLANK(Log[[#This Row],[Item]]),"",_xlfn.XLOOKUP(Log[[#This Row],[Item]],Calories[Name],Calories[Chol.])*Log[[#This Row],[Qty]])</f>
        <v>0</v>
      </c>
      <c r="M42" s="75"/>
      <c r="N42" s="75"/>
      <c r="O42" s="75"/>
    </row>
    <row r="43" spans="1:15" s="66" customFormat="1" ht="25.15" customHeight="1">
      <c r="A43" s="75"/>
      <c r="B43" s="98">
        <v>44805</v>
      </c>
      <c r="C43" s="78" t="s">
        <v>38</v>
      </c>
      <c r="D43" s="79">
        <v>2</v>
      </c>
      <c r="E43" s="76" t="str">
        <f>IF(ISBLANK(Log[[#This Row],[Item]]),"",_xlfn.XLOOKUP(Log[[#This Row],[Item]],Calories[Name],Calories[Unit]))</f>
        <v>slice</v>
      </c>
      <c r="F43" s="65">
        <f>IF(ISBLANK(Log[[#This Row],[Item]]),"",_xlfn.XLOOKUP(Log[[#This Row],[Item]],Calories[Name],Calories[Cals])*Log[[#This Row],[Qty]])</f>
        <v>180</v>
      </c>
      <c r="G43" s="71">
        <f>IF(ISBLANK(Log[[#This Row],[Item]]),"",_xlfn.XLOOKUP(Log[[#This Row],[Item]],Calories[Name],Calories[Carbs])*Log[[#This Row],[Qty]])</f>
        <v>74</v>
      </c>
      <c r="H43" s="71">
        <f>IF(ISBLANK(Log[[#This Row],[Item]]),"",_xlfn.XLOOKUP(Log[[#This Row],[Item]],Calories[Name],Calories[Fibre])*Log[[#This Row],[Qty]])</f>
        <v>0</v>
      </c>
      <c r="I43" s="71">
        <f>IF(ISBLANK(Log[[#This Row],[Item]]),"",(Log[[#This Row],[Carbs]]-Log[[#This Row],[Fibre]]))</f>
        <v>74</v>
      </c>
      <c r="J43" s="103">
        <f>IF(ISBLANK(Log[[#This Row],[Item]]),"",_xlfn.XLOOKUP(Log[[#This Row],[Item]],Calories[Name],Calories[Sodium])*Log[[#This Row],[Qty]])</f>
        <v>600</v>
      </c>
      <c r="K43" s="71">
        <f>IF(ISBLANK(Log[[#This Row],[Item]]),"",_xlfn.XLOOKUP(Log[[#This Row],[Item]],Calories[Name],Calories[Protein])*Log[[#This Row],[Qty]])</f>
        <v>14</v>
      </c>
      <c r="L43" s="71">
        <f>IF(ISBLANK(Log[[#This Row],[Item]]),"",_xlfn.XLOOKUP(Log[[#This Row],[Item]],Calories[Name],Calories[Chol.])*Log[[#This Row],[Qty]])</f>
        <v>0</v>
      </c>
      <c r="M43" s="75"/>
      <c r="N43" s="75"/>
      <c r="O43" s="75"/>
    </row>
    <row r="44" spans="1:15" s="66" customFormat="1" ht="25.15" customHeight="1">
      <c r="A44" s="75"/>
      <c r="B44" s="98">
        <v>44805</v>
      </c>
      <c r="C44" s="64" t="s">
        <v>39</v>
      </c>
      <c r="D44" s="79">
        <v>3</v>
      </c>
      <c r="E44" s="76" t="str">
        <f>IF(ISBLANK(Log[[#This Row],[Item]]),"",_xlfn.XLOOKUP(Log[[#This Row],[Item]],Calories[Name],Calories[Unit]))</f>
        <v>ea</v>
      </c>
      <c r="F44" s="65">
        <f>IF(ISBLANK(Log[[#This Row],[Item]]),"",_xlfn.XLOOKUP(Log[[#This Row],[Item]],Calories[Name],Calories[Cals])*Log[[#This Row],[Qty]])</f>
        <v>210</v>
      </c>
      <c r="G44" s="71">
        <f>IF(ISBLANK(Log[[#This Row],[Item]]),"",_xlfn.XLOOKUP(Log[[#This Row],[Item]],Calories[Name],Calories[Carbs])*Log[[#This Row],[Qty]])</f>
        <v>0</v>
      </c>
      <c r="H44" s="71">
        <f>IF(ISBLANK(Log[[#This Row],[Item]]),"",_xlfn.XLOOKUP(Log[[#This Row],[Item]],Calories[Name],Calories[Fibre])*Log[[#This Row],[Qty]])</f>
        <v>0</v>
      </c>
      <c r="I44" s="71">
        <f>IF(ISBLANK(Log[[#This Row],[Item]]),"",(Log[[#This Row],[Carbs]]-Log[[#This Row],[Fibre]]))</f>
        <v>0</v>
      </c>
      <c r="J44" s="103">
        <f>IF(ISBLANK(Log[[#This Row],[Item]]),"",_xlfn.XLOOKUP(Log[[#This Row],[Item]],Calories[Name],Calories[Sodium])*Log[[#This Row],[Qty]])</f>
        <v>450</v>
      </c>
      <c r="K44" s="71">
        <f>IF(ISBLANK(Log[[#This Row],[Item]]),"",_xlfn.XLOOKUP(Log[[#This Row],[Item]],Calories[Name],Calories[Protein])*Log[[#This Row],[Qty]])</f>
        <v>48</v>
      </c>
      <c r="L44" s="71">
        <f>IF(ISBLANK(Log[[#This Row],[Item]]),"",_xlfn.XLOOKUP(Log[[#This Row],[Item]],Calories[Name],Calories[Chol.])*Log[[#This Row],[Qty]])</f>
        <v>105</v>
      </c>
      <c r="M44" s="75"/>
      <c r="N44" s="75"/>
      <c r="O44" s="75"/>
    </row>
    <row r="45" spans="1:15" s="66" customFormat="1" ht="25.15" customHeight="1">
      <c r="A45" s="75"/>
      <c r="B45" s="98">
        <v>44806</v>
      </c>
      <c r="C45" s="78" t="s">
        <v>30</v>
      </c>
      <c r="D45" s="79">
        <v>30</v>
      </c>
      <c r="E45" s="76" t="str">
        <f>IF(ISBLANK(Log[[#This Row],[Item]]),"",_xlfn.XLOOKUP(Log[[#This Row],[Item]],Calories[Name],Calories[Unit]))</f>
        <v>g</v>
      </c>
      <c r="F45" s="65">
        <f>IF(ISBLANK(Log[[#This Row],[Item]]),"",_xlfn.XLOOKUP(Log[[#This Row],[Item]],Calories[Name],Calories[Cals])*Log[[#This Row],[Qty]])</f>
        <v>50</v>
      </c>
      <c r="G45" s="71">
        <f>IF(ISBLANK(Log[[#This Row],[Item]]),"",_xlfn.XLOOKUP(Log[[#This Row],[Item]],Calories[Name],Calories[Carbs])*Log[[#This Row],[Qty]])</f>
        <v>0</v>
      </c>
      <c r="H45" s="71">
        <f>IF(ISBLANK(Log[[#This Row],[Item]]),"",_xlfn.XLOOKUP(Log[[#This Row],[Item]],Calories[Name],Calories[Fibre])*Log[[#This Row],[Qty]])</f>
        <v>0</v>
      </c>
      <c r="I45" s="71">
        <f>IF(ISBLANK(Log[[#This Row],[Item]]),"",(Log[[#This Row],[Carbs]]-Log[[#This Row],[Fibre]]))</f>
        <v>0</v>
      </c>
      <c r="J45" s="103">
        <f>IF(ISBLANK(Log[[#This Row],[Item]]),"",_xlfn.XLOOKUP(Log[[#This Row],[Item]],Calories[Name],Calories[Sodium])*Log[[#This Row],[Qty]])</f>
        <v>289.47368421052636</v>
      </c>
      <c r="K45" s="71">
        <f>IF(ISBLANK(Log[[#This Row],[Item]]),"",_xlfn.XLOOKUP(Log[[#This Row],[Item]],Calories[Name],Calories[Protein])*Log[[#This Row],[Qty]])</f>
        <v>5.7894736842105257</v>
      </c>
      <c r="L45" s="71">
        <f>IF(ISBLANK(Log[[#This Row],[Item]]),"",_xlfn.XLOOKUP(Log[[#This Row],[Item]],Calories[Name],Calories[Chol.])*Log[[#This Row],[Qty]])</f>
        <v>10.526315789473683</v>
      </c>
      <c r="M45" s="75"/>
      <c r="N45" s="75"/>
      <c r="O45" s="75"/>
    </row>
    <row r="46" spans="1:15" s="66" customFormat="1" ht="25.15" customHeight="1">
      <c r="A46" s="75"/>
      <c r="B46" s="98">
        <v>44806</v>
      </c>
      <c r="C46" s="78" t="s">
        <v>31</v>
      </c>
      <c r="D46" s="79">
        <v>2</v>
      </c>
      <c r="E46" s="76" t="str">
        <f>IF(ISBLANK(Log[[#This Row],[Item]]),"",_xlfn.XLOOKUP(Log[[#This Row],[Item]],Calories[Name],Calories[Unit]))</f>
        <v>tbsp</v>
      </c>
      <c r="F46" s="65">
        <f>IF(ISBLANK(Log[[#This Row],[Item]]),"",_xlfn.XLOOKUP(Log[[#This Row],[Item]],Calories[Name],Calories[Cals])*Log[[#This Row],[Qty]])</f>
        <v>50</v>
      </c>
      <c r="G46" s="71">
        <f>IF(ISBLANK(Log[[#This Row],[Item]]),"",_xlfn.XLOOKUP(Log[[#This Row],[Item]],Calories[Name],Calories[Carbs])*Log[[#This Row],[Qty]])</f>
        <v>2</v>
      </c>
      <c r="H46" s="71">
        <f>IF(ISBLANK(Log[[#This Row],[Item]]),"",_xlfn.XLOOKUP(Log[[#This Row],[Item]],Calories[Name],Calories[Fibre])*Log[[#This Row],[Qty]])</f>
        <v>0</v>
      </c>
      <c r="I46" s="71">
        <f>IF(ISBLANK(Log[[#This Row],[Item]]),"",(Log[[#This Row],[Carbs]]-Log[[#This Row],[Fibre]]))</f>
        <v>2</v>
      </c>
      <c r="J46" s="103">
        <f>IF(ISBLANK(Log[[#This Row],[Item]]),"",_xlfn.XLOOKUP(Log[[#This Row],[Item]],Calories[Name],Calories[Sodium])*Log[[#This Row],[Qty]])</f>
        <v>20</v>
      </c>
      <c r="K46" s="71">
        <f>IF(ISBLANK(Log[[#This Row],[Item]]),"",_xlfn.XLOOKUP(Log[[#This Row],[Item]],Calories[Name],Calories[Protein])*Log[[#This Row],[Qty]])</f>
        <v>1</v>
      </c>
      <c r="L46" s="71">
        <f>IF(ISBLANK(Log[[#This Row],[Item]]),"",_xlfn.XLOOKUP(Log[[#This Row],[Item]],Calories[Name],Calories[Chol.])*Log[[#This Row],[Qty]])</f>
        <v>15</v>
      </c>
      <c r="M46" s="75"/>
      <c r="N46" s="75"/>
      <c r="O46" s="75"/>
    </row>
    <row r="47" spans="1:15" s="66" customFormat="1" ht="25.15" customHeight="1">
      <c r="A47" s="75"/>
      <c r="B47" s="98">
        <v>44806</v>
      </c>
      <c r="C47" s="78" t="s">
        <v>32</v>
      </c>
      <c r="D47" s="79">
        <v>2</v>
      </c>
      <c r="E47" s="76" t="str">
        <f>IF(ISBLANK(Log[[#This Row],[Item]]),"",_xlfn.XLOOKUP(Log[[#This Row],[Item]],Calories[Name],Calories[Unit]))</f>
        <v>tbsp</v>
      </c>
      <c r="F47" s="65">
        <f>IF(ISBLANK(Log[[#This Row],[Item]]),"",_xlfn.XLOOKUP(Log[[#This Row],[Item]],Calories[Name],Calories[Cals])*Log[[#This Row],[Qty]])</f>
        <v>4</v>
      </c>
      <c r="G47" s="71">
        <f>IF(ISBLANK(Log[[#This Row],[Item]]),"",_xlfn.XLOOKUP(Log[[#This Row],[Item]],Calories[Name],Calories[Carbs])*Log[[#This Row],[Qty]])</f>
        <v>0.8</v>
      </c>
      <c r="H47" s="71">
        <f>IF(ISBLANK(Log[[#This Row],[Item]]),"",_xlfn.XLOOKUP(Log[[#This Row],[Item]],Calories[Name],Calories[Fibre])*Log[[#This Row],[Qty]])</f>
        <v>0.6</v>
      </c>
      <c r="I47" s="71">
        <f>IF(ISBLANK(Log[[#This Row],[Item]]),"",(Log[[#This Row],[Carbs]]-Log[[#This Row],[Fibre]]))</f>
        <v>0.20000000000000007</v>
      </c>
      <c r="J47" s="103">
        <f>IF(ISBLANK(Log[[#This Row],[Item]]),"",_xlfn.XLOOKUP(Log[[#This Row],[Item]],Calories[Name],Calories[Sodium])*Log[[#This Row],[Qty]])</f>
        <v>510</v>
      </c>
      <c r="K47" s="71">
        <f>IF(ISBLANK(Log[[#This Row],[Item]]),"",_xlfn.XLOOKUP(Log[[#This Row],[Item]],Calories[Name],Calories[Protein])*Log[[#This Row],[Qty]])</f>
        <v>0.4</v>
      </c>
      <c r="L47" s="71">
        <f>IF(ISBLANK(Log[[#This Row],[Item]]),"",_xlfn.XLOOKUP(Log[[#This Row],[Item]],Calories[Name],Calories[Chol.])*Log[[#This Row],[Qty]])</f>
        <v>0</v>
      </c>
      <c r="M47" s="75"/>
      <c r="N47" s="75"/>
      <c r="O47" s="75"/>
    </row>
    <row r="48" spans="1:15" s="66" customFormat="1" ht="25.15" customHeight="1">
      <c r="A48" s="75"/>
      <c r="B48" s="98">
        <v>44806</v>
      </c>
      <c r="C48" s="78" t="s">
        <v>33</v>
      </c>
      <c r="D48" s="79">
        <v>3</v>
      </c>
      <c r="E48" s="76" t="str">
        <f>IF(ISBLANK(Log[[#This Row],[Item]]),"",_xlfn.XLOOKUP(Log[[#This Row],[Item]],Calories[Name],Calories[Unit]))</f>
        <v>c</v>
      </c>
      <c r="F48" s="65">
        <f>IF(ISBLANK(Log[[#This Row],[Item]]),"",_xlfn.XLOOKUP(Log[[#This Row],[Item]],Calories[Name],Calories[Cals])*Log[[#This Row],[Qty]])</f>
        <v>46.8</v>
      </c>
      <c r="G48" s="71">
        <f>IF(ISBLANK(Log[[#This Row],[Item]]),"",_xlfn.XLOOKUP(Log[[#This Row],[Item]],Calories[Name],Calories[Carbs])*Log[[#This Row],[Qty]])</f>
        <v>9.8999999999999986</v>
      </c>
      <c r="H48" s="71">
        <f>IF(ISBLANK(Log[[#This Row],[Item]]),"",_xlfn.XLOOKUP(Log[[#This Row],[Item]],Calories[Name],Calories[Fibre])*Log[[#This Row],[Qty]])</f>
        <v>1.5</v>
      </c>
      <c r="I48" s="71">
        <f>IF(ISBLANK(Log[[#This Row],[Item]]),"",(Log[[#This Row],[Carbs]]-Log[[#This Row],[Fibre]]))</f>
        <v>8.3999999999999986</v>
      </c>
      <c r="J48" s="103">
        <f>IF(ISBLANK(Log[[#This Row],[Item]]),"",_xlfn.XLOOKUP(Log[[#This Row],[Item]],Calories[Name],Calories[Sodium])*Log[[#This Row],[Qty]])</f>
        <v>6.3000000000000007</v>
      </c>
      <c r="K48" s="71">
        <f>IF(ISBLANK(Log[[#This Row],[Item]]),"",_xlfn.XLOOKUP(Log[[#This Row],[Item]],Calories[Name],Calories[Protein])*Log[[#This Row],[Qty]])</f>
        <v>2.0999999999999996</v>
      </c>
      <c r="L48" s="71">
        <f>IF(ISBLANK(Log[[#This Row],[Item]]),"",_xlfn.XLOOKUP(Log[[#This Row],[Item]],Calories[Name],Calories[Chol.])*Log[[#This Row],[Qty]])</f>
        <v>0</v>
      </c>
      <c r="M48" s="75"/>
      <c r="N48" s="75"/>
      <c r="O48" s="75"/>
    </row>
    <row r="49" spans="1:15" s="66" customFormat="1" ht="25.15" customHeight="1">
      <c r="A49" s="75"/>
      <c r="B49" s="98">
        <v>44806</v>
      </c>
      <c r="C49" s="78" t="s">
        <v>40</v>
      </c>
      <c r="D49" s="79">
        <v>4</v>
      </c>
      <c r="E49" s="76" t="str">
        <f>IF(ISBLANK(Log[[#This Row],[Item]]),"",_xlfn.XLOOKUP(Log[[#This Row],[Item]],Calories[Name],Calories[Unit]))</f>
        <v>ea</v>
      </c>
      <c r="F49" s="65">
        <f>IF(ISBLANK(Log[[#This Row],[Item]]),"",_xlfn.XLOOKUP(Log[[#This Row],[Item]],Calories[Name],Calories[Cals])*Log[[#This Row],[Qty]])</f>
        <v>60</v>
      </c>
      <c r="G49" s="71">
        <f>IF(ISBLANK(Log[[#This Row],[Item]]),"",_xlfn.XLOOKUP(Log[[#This Row],[Item]],Calories[Name],Calories[Carbs])*Log[[#This Row],[Qty]])</f>
        <v>12</v>
      </c>
      <c r="H49" s="71">
        <f>IF(ISBLANK(Log[[#This Row],[Item]]),"",_xlfn.XLOOKUP(Log[[#This Row],[Item]],Calories[Name],Calories[Fibre])*Log[[#This Row],[Qty]])</f>
        <v>8</v>
      </c>
      <c r="I49" s="71">
        <f>IF(ISBLANK(Log[[#This Row],[Item]]),"",(Log[[#This Row],[Carbs]]-Log[[#This Row],[Fibre]]))</f>
        <v>4</v>
      </c>
      <c r="J49" s="103">
        <f>IF(ISBLANK(Log[[#This Row],[Item]]),"",_xlfn.XLOOKUP(Log[[#This Row],[Item]],Calories[Name],Calories[Sodium])*Log[[#This Row],[Qty]])</f>
        <v>160</v>
      </c>
      <c r="K49" s="71">
        <f>IF(ISBLANK(Log[[#This Row],[Item]]),"",_xlfn.XLOOKUP(Log[[#This Row],[Item]],Calories[Name],Calories[Protein])*Log[[#This Row],[Qty]])</f>
        <v>4</v>
      </c>
      <c r="L49" s="71">
        <f>IF(ISBLANK(Log[[#This Row],[Item]]),"",_xlfn.XLOOKUP(Log[[#This Row],[Item]],Calories[Name],Calories[Chol.])*Log[[#This Row],[Qty]])</f>
        <v>0</v>
      </c>
      <c r="M49" s="75"/>
      <c r="N49" s="75"/>
      <c r="O49" s="75"/>
    </row>
    <row r="50" spans="1:15" s="66" customFormat="1" ht="25.15" customHeight="1">
      <c r="A50" s="75"/>
      <c r="B50" s="98">
        <v>44806</v>
      </c>
      <c r="C50" s="78" t="s">
        <v>41</v>
      </c>
      <c r="D50" s="79">
        <v>150</v>
      </c>
      <c r="E50" s="76" t="str">
        <f>IF(ISBLANK(Log[[#This Row],[Item]]),"",_xlfn.XLOOKUP(Log[[#This Row],[Item]],Calories[Name],Calories[Unit]))</f>
        <v>g</v>
      </c>
      <c r="F50" s="65">
        <f>IF(ISBLANK(Log[[#This Row],[Item]]),"",_xlfn.XLOOKUP(Log[[#This Row],[Item]],Calories[Name],Calories[Cals])*Log[[#This Row],[Qty]])</f>
        <v>159</v>
      </c>
      <c r="G50" s="71">
        <f>IF(ISBLANK(Log[[#This Row],[Item]]),"",_xlfn.XLOOKUP(Log[[#This Row],[Item]],Calories[Name],Calories[Carbs])*Log[[#This Row],[Qty]])</f>
        <v>1.365</v>
      </c>
      <c r="H50" s="71">
        <f>IF(ISBLANK(Log[[#This Row],[Item]]),"",_xlfn.XLOOKUP(Log[[#This Row],[Item]],Calories[Name],Calories[Fibre])*Log[[#This Row],[Qty]])</f>
        <v>0</v>
      </c>
      <c r="I50" s="71">
        <f>IF(ISBLANK(Log[[#This Row],[Item]]),"",(Log[[#This Row],[Carbs]]-Log[[#This Row],[Fibre]]))</f>
        <v>1.365</v>
      </c>
      <c r="J50" s="103">
        <f>IF(ISBLANK(Log[[#This Row],[Item]]),"",_xlfn.XLOOKUP(Log[[#This Row],[Item]],Calories[Name],Calories[Sodium])*Log[[#This Row],[Qty]])</f>
        <v>222</v>
      </c>
      <c r="K50" s="71">
        <f>IF(ISBLANK(Log[[#This Row],[Item]]),"",_xlfn.XLOOKUP(Log[[#This Row],[Item]],Calories[Name],Calories[Protein])*Log[[#This Row],[Qty]])</f>
        <v>30.464999999999996</v>
      </c>
      <c r="L50" s="71">
        <f>IF(ISBLANK(Log[[#This Row],[Item]]),"",_xlfn.XLOOKUP(Log[[#This Row],[Item]],Calories[Name],Calories[Chol.])*Log[[#This Row],[Qty]])</f>
        <v>228</v>
      </c>
      <c r="M50" s="75"/>
      <c r="N50" s="75"/>
      <c r="O50" s="75"/>
    </row>
    <row r="51" spans="1:15" s="66" customFormat="1" ht="25.15" customHeight="1">
      <c r="A51" s="75"/>
      <c r="B51" s="98">
        <v>44806</v>
      </c>
      <c r="C51" s="78" t="s">
        <v>36</v>
      </c>
      <c r="D51" s="79">
        <v>1</v>
      </c>
      <c r="E51" s="76" t="str">
        <f>IF(ISBLANK(Log[[#This Row],[Item]]),"",_xlfn.XLOOKUP(Log[[#This Row],[Item]],Calories[Name],Calories[Unit]))</f>
        <v>ea</v>
      </c>
      <c r="F51" s="65">
        <f>IF(ISBLANK(Log[[#This Row],[Item]]),"",_xlfn.XLOOKUP(Log[[#This Row],[Item]],Calories[Name],Calories[Cals])*Log[[#This Row],[Qty]])</f>
        <v>240</v>
      </c>
      <c r="G51" s="71">
        <f>IF(ISBLANK(Log[[#This Row],[Item]]),"",_xlfn.XLOOKUP(Log[[#This Row],[Item]],Calories[Name],Calories[Carbs])*Log[[#This Row],[Qty]])</f>
        <v>13</v>
      </c>
      <c r="H51" s="71">
        <f>IF(ISBLANK(Log[[#This Row],[Item]]),"",_xlfn.XLOOKUP(Log[[#This Row],[Item]],Calories[Name],Calories[Fibre])*Log[[#This Row],[Qty]])</f>
        <v>10</v>
      </c>
      <c r="I51" s="71">
        <f>IF(ISBLANK(Log[[#This Row],[Item]]),"",(Log[[#This Row],[Carbs]]-Log[[#This Row],[Fibre]]))</f>
        <v>3</v>
      </c>
      <c r="J51" s="103">
        <f>IF(ISBLANK(Log[[#This Row],[Item]]),"",_xlfn.XLOOKUP(Log[[#This Row],[Item]],Calories[Name],Calories[Sodium])*Log[[#This Row],[Qty]])</f>
        <v>11</v>
      </c>
      <c r="K51" s="71">
        <f>IF(ISBLANK(Log[[#This Row],[Item]]),"",_xlfn.XLOOKUP(Log[[#This Row],[Item]],Calories[Name],Calories[Protein])*Log[[#This Row],[Qty]])</f>
        <v>3</v>
      </c>
      <c r="L51" s="71">
        <f>IF(ISBLANK(Log[[#This Row],[Item]]),"",_xlfn.XLOOKUP(Log[[#This Row],[Item]],Calories[Name],Calories[Chol.])*Log[[#This Row],[Qty]])</f>
        <v>0</v>
      </c>
      <c r="M51" s="75"/>
      <c r="N51" s="75"/>
      <c r="O51" s="75"/>
    </row>
    <row r="52" spans="1:15" s="66" customFormat="1" ht="25.15" customHeight="1">
      <c r="A52" s="75"/>
      <c r="B52" s="98">
        <v>44806</v>
      </c>
      <c r="C52" s="78" t="s">
        <v>42</v>
      </c>
      <c r="D52" s="79">
        <v>0.5</v>
      </c>
      <c r="E52" s="76" t="str">
        <f>IF(ISBLANK(Log[[#This Row],[Item]]),"",_xlfn.XLOOKUP(Log[[#This Row],[Item]],Calories[Name],Calories[Unit]))</f>
        <v>c</v>
      </c>
      <c r="F52" s="65">
        <f>IF(ISBLANK(Log[[#This Row],[Item]]),"",_xlfn.XLOOKUP(Log[[#This Row],[Item]],Calories[Name],Calories[Cals])*Log[[#This Row],[Qty]])</f>
        <v>2</v>
      </c>
      <c r="G52" s="71">
        <f>IF(ISBLANK(Log[[#This Row],[Item]]),"",_xlfn.XLOOKUP(Log[[#This Row],[Item]],Calories[Name],Calories[Carbs])*Log[[#This Row],[Qty]])</f>
        <v>0.29499999999999998</v>
      </c>
      <c r="H52" s="71">
        <f>IF(ISBLANK(Log[[#This Row],[Item]]),"",_xlfn.XLOOKUP(Log[[#This Row],[Item]],Calories[Name],Calories[Fibre])*Log[[#This Row],[Qty]])</f>
        <v>0.2</v>
      </c>
      <c r="I52" s="71">
        <f>IF(ISBLANK(Log[[#This Row],[Item]]),"",(Log[[#This Row],[Carbs]]-Log[[#This Row],[Fibre]]))</f>
        <v>9.4999999999999973E-2</v>
      </c>
      <c r="J52" s="103">
        <f>IF(ISBLANK(Log[[#This Row],[Item]]),"",_xlfn.XLOOKUP(Log[[#This Row],[Item]],Calories[Name],Calories[Sodium])*Log[[#This Row],[Qty]])</f>
        <v>3.5</v>
      </c>
      <c r="K52" s="71">
        <f>IF(ISBLANK(Log[[#This Row],[Item]]),"",_xlfn.XLOOKUP(Log[[#This Row],[Item]],Calories[Name],Calories[Protein])*Log[[#This Row],[Qty]])</f>
        <v>0.17</v>
      </c>
      <c r="L52" s="71">
        <f>IF(ISBLANK(Log[[#This Row],[Item]]),"",_xlfn.XLOOKUP(Log[[#This Row],[Item]],Calories[Name],Calories[Chol.])*Log[[#This Row],[Qty]])</f>
        <v>0</v>
      </c>
      <c r="M52" s="75"/>
      <c r="N52" s="75"/>
      <c r="O52" s="75"/>
    </row>
    <row r="53" spans="1:15" s="66" customFormat="1" ht="25.15" customHeight="1">
      <c r="A53" s="75"/>
      <c r="B53" s="98">
        <v>44806</v>
      </c>
      <c r="C53" s="78" t="s">
        <v>43</v>
      </c>
      <c r="D53" s="79">
        <v>1</v>
      </c>
      <c r="E53" s="76" t="str">
        <f>IF(ISBLANK(Log[[#This Row],[Item]]),"",_xlfn.XLOOKUP(Log[[#This Row],[Item]],Calories[Name],Calories[Unit]))</f>
        <v>ea</v>
      </c>
      <c r="F53" s="65">
        <f>IF(ISBLANK(Log[[#This Row],[Item]]),"",_xlfn.XLOOKUP(Log[[#This Row],[Item]],Calories[Name],Calories[Cals])*Log[[#This Row],[Qty]])</f>
        <v>23</v>
      </c>
      <c r="G53" s="71">
        <f>IF(ISBLANK(Log[[#This Row],[Item]]),"",_xlfn.XLOOKUP(Log[[#This Row],[Item]],Calories[Name],Calories[Carbs])*Log[[#This Row],[Qty]])</f>
        <v>5.3</v>
      </c>
      <c r="H53" s="71">
        <f>IF(ISBLANK(Log[[#This Row],[Item]]),"",_xlfn.XLOOKUP(Log[[#This Row],[Item]],Calories[Name],Calories[Fibre])*Log[[#This Row],[Qty]])</f>
        <v>0.3</v>
      </c>
      <c r="I53" s="71">
        <f>IF(ISBLANK(Log[[#This Row],[Item]]),"",(Log[[#This Row],[Carbs]]-Log[[#This Row],[Fibre]]))</f>
        <v>5</v>
      </c>
      <c r="J53" s="103">
        <f>IF(ISBLANK(Log[[#This Row],[Item]]),"",_xlfn.XLOOKUP(Log[[#This Row],[Item]],Calories[Name],Calories[Sodium])*Log[[#This Row],[Qty]])</f>
        <v>114</v>
      </c>
      <c r="K53" s="71">
        <f>IF(ISBLANK(Log[[#This Row],[Item]]),"",_xlfn.XLOOKUP(Log[[#This Row],[Item]],Calories[Name],Calories[Protein])*Log[[#This Row],[Qty]])</f>
        <v>0.1</v>
      </c>
      <c r="L53" s="71">
        <f>IF(ISBLANK(Log[[#This Row],[Item]]),"",_xlfn.XLOOKUP(Log[[#This Row],[Item]],Calories[Name],Calories[Chol.])*Log[[#This Row],[Qty]])</f>
        <v>0</v>
      </c>
      <c r="M53" s="75"/>
      <c r="N53" s="75"/>
      <c r="O53" s="75"/>
    </row>
    <row r="54" spans="1:15" s="66" customFormat="1" ht="25.15" customHeight="1">
      <c r="A54" s="75"/>
      <c r="B54" s="98">
        <v>44806</v>
      </c>
      <c r="C54" s="78" t="s">
        <v>44</v>
      </c>
      <c r="D54" s="79">
        <v>2</v>
      </c>
      <c r="E54" s="76" t="str">
        <f>IF(ISBLANK(Log[[#This Row],[Item]]),"",_xlfn.XLOOKUP(Log[[#This Row],[Item]],Calories[Name],Calories[Unit]))</f>
        <v>ea</v>
      </c>
      <c r="F54" s="65">
        <f>IF(ISBLANK(Log[[#This Row],[Item]]),"",_xlfn.XLOOKUP(Log[[#This Row],[Item]],Calories[Name],Calories[Cals])*Log[[#This Row],[Qty]])</f>
        <v>80</v>
      </c>
      <c r="G54" s="71">
        <f>IF(ISBLANK(Log[[#This Row],[Item]]),"",_xlfn.XLOOKUP(Log[[#This Row],[Item]],Calories[Name],Calories[Carbs])*Log[[#This Row],[Qty]])</f>
        <v>12</v>
      </c>
      <c r="H54" s="71">
        <f>IF(ISBLANK(Log[[#This Row],[Item]]),"",_xlfn.XLOOKUP(Log[[#This Row],[Item]],Calories[Name],Calories[Fibre])*Log[[#This Row],[Qty]])</f>
        <v>4</v>
      </c>
      <c r="I54" s="71">
        <f>IF(ISBLANK(Log[[#This Row],[Item]]),"",(Log[[#This Row],[Carbs]]-Log[[#This Row],[Fibre]]))</f>
        <v>8</v>
      </c>
      <c r="J54" s="103">
        <f>IF(ISBLANK(Log[[#This Row],[Item]]),"",_xlfn.XLOOKUP(Log[[#This Row],[Item]],Calories[Name],Calories[Sodium])*Log[[#This Row],[Qty]])</f>
        <v>40</v>
      </c>
      <c r="K54" s="71">
        <f>IF(ISBLANK(Log[[#This Row],[Item]]),"",_xlfn.XLOOKUP(Log[[#This Row],[Item]],Calories[Name],Calories[Protein])*Log[[#This Row],[Qty]])</f>
        <v>3</v>
      </c>
      <c r="L54" s="71">
        <f>IF(ISBLANK(Log[[#This Row],[Item]]),"",_xlfn.XLOOKUP(Log[[#This Row],[Item]],Calories[Name],Calories[Chol.])*Log[[#This Row],[Qty]])</f>
        <v>0</v>
      </c>
      <c r="M54" s="75"/>
      <c r="N54" s="75"/>
      <c r="O54" s="75"/>
    </row>
    <row r="55" spans="1:15" s="66" customFormat="1" ht="25.15" customHeight="1">
      <c r="A55" s="75"/>
      <c r="B55" s="98">
        <v>44806</v>
      </c>
      <c r="C55" s="78" t="s">
        <v>30</v>
      </c>
      <c r="D55" s="79">
        <v>30</v>
      </c>
      <c r="E55" s="76" t="str">
        <f>IF(ISBLANK(Log[[#This Row],[Item]]),"",_xlfn.XLOOKUP(Log[[#This Row],[Item]],Calories[Name],Calories[Unit]))</f>
        <v>g</v>
      </c>
      <c r="F55" s="65">
        <f>IF(ISBLANK(Log[[#This Row],[Item]]),"",_xlfn.XLOOKUP(Log[[#This Row],[Item]],Calories[Name],Calories[Cals])*Log[[#This Row],[Qty]])</f>
        <v>50</v>
      </c>
      <c r="G55" s="71">
        <f>IF(ISBLANK(Log[[#This Row],[Item]]),"",_xlfn.XLOOKUP(Log[[#This Row],[Item]],Calories[Name],Calories[Carbs])*Log[[#This Row],[Qty]])</f>
        <v>0</v>
      </c>
      <c r="H55" s="71">
        <f>IF(ISBLANK(Log[[#This Row],[Item]]),"",_xlfn.XLOOKUP(Log[[#This Row],[Item]],Calories[Name],Calories[Fibre])*Log[[#This Row],[Qty]])</f>
        <v>0</v>
      </c>
      <c r="I55" s="71">
        <f>IF(ISBLANK(Log[[#This Row],[Item]]),"",(Log[[#This Row],[Carbs]]-Log[[#This Row],[Fibre]]))</f>
        <v>0</v>
      </c>
      <c r="J55" s="103">
        <f>IF(ISBLANK(Log[[#This Row],[Item]]),"",_xlfn.XLOOKUP(Log[[#This Row],[Item]],Calories[Name],Calories[Sodium])*Log[[#This Row],[Qty]])</f>
        <v>289.47368421052636</v>
      </c>
      <c r="K55" s="71">
        <f>IF(ISBLANK(Log[[#This Row],[Item]]),"",_xlfn.XLOOKUP(Log[[#This Row],[Item]],Calories[Name],Calories[Protein])*Log[[#This Row],[Qty]])</f>
        <v>5.7894736842105257</v>
      </c>
      <c r="L55" s="71">
        <f>IF(ISBLANK(Log[[#This Row],[Item]]),"",_xlfn.XLOOKUP(Log[[#This Row],[Item]],Calories[Name],Calories[Chol.])*Log[[#This Row],[Qty]])</f>
        <v>10.526315789473683</v>
      </c>
      <c r="M55" s="75"/>
      <c r="N55" s="75"/>
      <c r="O55" s="75"/>
    </row>
    <row r="56" spans="1:15" s="66" customFormat="1" ht="25.15" customHeight="1">
      <c r="A56" s="75"/>
      <c r="B56" s="98">
        <v>44806</v>
      </c>
      <c r="C56" s="78" t="s">
        <v>20</v>
      </c>
      <c r="D56" s="79">
        <v>250</v>
      </c>
      <c r="E56" s="76" t="str">
        <f>IF(ISBLANK(Log[[#This Row],[Item]]),"",_xlfn.XLOOKUP(Log[[#This Row],[Item]],Calories[Name],Calories[Unit]))</f>
        <v>mL</v>
      </c>
      <c r="F56" s="65">
        <f>IF(ISBLANK(Log[[#This Row],[Item]]),"",_xlfn.XLOOKUP(Log[[#This Row],[Item]],Calories[Name],Calories[Cals])*Log[[#This Row],[Qty]])</f>
        <v>416.66666666666669</v>
      </c>
      <c r="G56" s="71">
        <f>IF(ISBLANK(Log[[#This Row],[Item]]),"",_xlfn.XLOOKUP(Log[[#This Row],[Item]],Calories[Name],Calories[Carbs])*Log[[#This Row],[Qty]])</f>
        <v>16.666666666666668</v>
      </c>
      <c r="H56" s="71">
        <f>IF(ISBLANK(Log[[#This Row],[Item]]),"",_xlfn.XLOOKUP(Log[[#This Row],[Item]],Calories[Name],Calories[Fibre])*Log[[#This Row],[Qty]])</f>
        <v>0</v>
      </c>
      <c r="I56" s="71">
        <f>IF(ISBLANK(Log[[#This Row],[Item]]),"",(Log[[#This Row],[Carbs]]-Log[[#This Row],[Fibre]]))</f>
        <v>16.666666666666668</v>
      </c>
      <c r="J56" s="103">
        <f>IF(ISBLANK(Log[[#This Row],[Item]]),"",_xlfn.XLOOKUP(Log[[#This Row],[Item]],Calories[Name],Calories[Sodium])*Log[[#This Row],[Qty]])</f>
        <v>166.66666666666666</v>
      </c>
      <c r="K56" s="71">
        <f>IF(ISBLANK(Log[[#This Row],[Item]]),"",_xlfn.XLOOKUP(Log[[#This Row],[Item]],Calories[Name],Calories[Protein])*Log[[#This Row],[Qty]])</f>
        <v>8.3333333333333339</v>
      </c>
      <c r="L56" s="71">
        <f>IF(ISBLANK(Log[[#This Row],[Item]]),"",_xlfn.XLOOKUP(Log[[#This Row],[Item]],Calories[Name],Calories[Chol.])*Log[[#This Row],[Qty]])</f>
        <v>125</v>
      </c>
      <c r="M56" s="75"/>
      <c r="N56" s="75"/>
      <c r="O56" s="75"/>
    </row>
    <row r="57" spans="1:15" s="66" customFormat="1" ht="25.15" customHeight="1">
      <c r="A57" s="75"/>
      <c r="B57" s="98">
        <v>44806</v>
      </c>
      <c r="C57" s="78" t="s">
        <v>21</v>
      </c>
      <c r="D57" s="79">
        <v>4</v>
      </c>
      <c r="E57" s="76" t="str">
        <f>IF(ISBLANK(Log[[#This Row],[Item]]),"",_xlfn.XLOOKUP(Log[[#This Row],[Item]],Calories[Name],Calories[Unit]))</f>
        <v>c</v>
      </c>
      <c r="F57" s="65">
        <f>IF(ISBLANK(Log[[#This Row],[Item]]),"",_xlfn.XLOOKUP(Log[[#This Row],[Item]],Calories[Name],Calories[Cals])*Log[[#This Row],[Qty]])</f>
        <v>100</v>
      </c>
      <c r="G57" s="71">
        <f>IF(ISBLANK(Log[[#This Row],[Item]]),"",_xlfn.XLOOKUP(Log[[#This Row],[Item]],Calories[Name],Calories[Carbs])*Log[[#This Row],[Qty]])</f>
        <v>20</v>
      </c>
      <c r="H57" s="71">
        <f>IF(ISBLANK(Log[[#This Row],[Item]]),"",_xlfn.XLOOKUP(Log[[#This Row],[Item]],Calories[Name],Calories[Fibre])*Log[[#This Row],[Qty]])</f>
        <v>12</v>
      </c>
      <c r="I57" s="71">
        <f>IF(ISBLANK(Log[[#This Row],[Item]]),"",(Log[[#This Row],[Carbs]]-Log[[#This Row],[Fibre]]))</f>
        <v>8</v>
      </c>
      <c r="J57" s="103">
        <f>IF(ISBLANK(Log[[#This Row],[Item]]),"",_xlfn.XLOOKUP(Log[[#This Row],[Item]],Calories[Name],Calories[Sodium])*Log[[#This Row],[Qty]])</f>
        <v>120</v>
      </c>
      <c r="K57" s="71">
        <f>IF(ISBLANK(Log[[#This Row],[Item]]),"",_xlfn.XLOOKUP(Log[[#This Row],[Item]],Calories[Name],Calories[Protein])*Log[[#This Row],[Qty]])</f>
        <v>8</v>
      </c>
      <c r="L57" s="71">
        <f>IF(ISBLANK(Log[[#This Row],[Item]]),"",_xlfn.XLOOKUP(Log[[#This Row],[Item]],Calories[Name],Calories[Chol.])*Log[[#This Row],[Qty]])</f>
        <v>0</v>
      </c>
      <c r="M57" s="75"/>
      <c r="N57" s="75"/>
      <c r="O57" s="75"/>
    </row>
    <row r="58" spans="1:15" s="66" customFormat="1" ht="25.15" customHeight="1">
      <c r="A58" s="75"/>
      <c r="B58" s="98">
        <v>44807</v>
      </c>
      <c r="C58" s="78" t="s">
        <v>13</v>
      </c>
      <c r="D58" s="79">
        <v>3</v>
      </c>
      <c r="E58" s="76" t="str">
        <f>IF(ISBLANK(Log[[#This Row],[Item]]),"",_xlfn.XLOOKUP(Log[[#This Row],[Item]],Calories[Name],Calories[Unit]))</f>
        <v>ea</v>
      </c>
      <c r="F58" s="65">
        <f>IF(ISBLANK(Log[[#This Row],[Item]]),"",_xlfn.XLOOKUP(Log[[#This Row],[Item]],Calories[Name],Calories[Cals])*Log[[#This Row],[Qty]])</f>
        <v>216</v>
      </c>
      <c r="G58" s="71">
        <f>IF(ISBLANK(Log[[#This Row],[Item]]),"",_xlfn.XLOOKUP(Log[[#This Row],[Item]],Calories[Name],Calories[Carbs])*Log[[#This Row],[Qty]])</f>
        <v>0</v>
      </c>
      <c r="H58" s="71">
        <f>IF(ISBLANK(Log[[#This Row],[Item]]),"",_xlfn.XLOOKUP(Log[[#This Row],[Item]],Calories[Name],Calories[Fibre])*Log[[#This Row],[Qty]])</f>
        <v>0</v>
      </c>
      <c r="I58" s="71">
        <f>IF(ISBLANK(Log[[#This Row],[Item]]),"",(Log[[#This Row],[Carbs]]-Log[[#This Row],[Fibre]]))</f>
        <v>0</v>
      </c>
      <c r="J58" s="103">
        <f>IF(ISBLANK(Log[[#This Row],[Item]]),"",_xlfn.XLOOKUP(Log[[#This Row],[Item]],Calories[Name],Calories[Sodium])*Log[[#This Row],[Qty]])</f>
        <v>210</v>
      </c>
      <c r="K58" s="71">
        <f>IF(ISBLANK(Log[[#This Row],[Item]]),"",_xlfn.XLOOKUP(Log[[#This Row],[Item]],Calories[Name],Calories[Protein])*Log[[#This Row],[Qty]])</f>
        <v>18</v>
      </c>
      <c r="L58" s="71">
        <f>IF(ISBLANK(Log[[#This Row],[Item]]),"",_xlfn.XLOOKUP(Log[[#This Row],[Item]],Calories[Name],Calories[Chol.])*Log[[#This Row],[Qty]])</f>
        <v>633</v>
      </c>
      <c r="M58" s="75"/>
      <c r="N58" s="75"/>
      <c r="O58" s="75"/>
    </row>
    <row r="59" spans="1:15" s="66" customFormat="1" ht="25.15" customHeight="1">
      <c r="A59" s="75"/>
      <c r="B59" s="98">
        <v>44807</v>
      </c>
      <c r="C59" s="78" t="s">
        <v>42</v>
      </c>
      <c r="D59" s="79">
        <v>0.1</v>
      </c>
      <c r="E59" s="76" t="str">
        <f>IF(ISBLANK(Log[[#This Row],[Item]]),"",_xlfn.XLOOKUP(Log[[#This Row],[Item]],Calories[Name],Calories[Unit]))</f>
        <v>c</v>
      </c>
      <c r="F59" s="65">
        <f>IF(ISBLANK(Log[[#This Row],[Item]]),"",_xlfn.XLOOKUP(Log[[#This Row],[Item]],Calories[Name],Calories[Cals])*Log[[#This Row],[Qty]])</f>
        <v>0.4</v>
      </c>
      <c r="G59" s="71">
        <f>IF(ISBLANK(Log[[#This Row],[Item]]),"",_xlfn.XLOOKUP(Log[[#This Row],[Item]],Calories[Name],Calories[Carbs])*Log[[#This Row],[Qty]])</f>
        <v>5.8999999999999997E-2</v>
      </c>
      <c r="H59" s="71">
        <f>IF(ISBLANK(Log[[#This Row],[Item]]),"",_xlfn.XLOOKUP(Log[[#This Row],[Item]],Calories[Name],Calories[Fibre])*Log[[#This Row],[Qty]])</f>
        <v>4.0000000000000008E-2</v>
      </c>
      <c r="I59" s="71">
        <f>IF(ISBLANK(Log[[#This Row],[Item]]),"",(Log[[#This Row],[Carbs]]-Log[[#This Row],[Fibre]]))</f>
        <v>1.8999999999999989E-2</v>
      </c>
      <c r="J59" s="103">
        <f>IF(ISBLANK(Log[[#This Row],[Item]]),"",_xlfn.XLOOKUP(Log[[#This Row],[Item]],Calories[Name],Calories[Sodium])*Log[[#This Row],[Qty]])</f>
        <v>0.70000000000000007</v>
      </c>
      <c r="K59" s="71">
        <f>IF(ISBLANK(Log[[#This Row],[Item]]),"",_xlfn.XLOOKUP(Log[[#This Row],[Item]],Calories[Name],Calories[Protein])*Log[[#This Row],[Qty]])</f>
        <v>3.4000000000000002E-2</v>
      </c>
      <c r="L59" s="71">
        <f>IF(ISBLANK(Log[[#This Row],[Item]]),"",_xlfn.XLOOKUP(Log[[#This Row],[Item]],Calories[Name],Calories[Chol.])*Log[[#This Row],[Qty]])</f>
        <v>0</v>
      </c>
      <c r="M59" s="75"/>
      <c r="N59" s="75"/>
      <c r="O59" s="75"/>
    </row>
    <row r="60" spans="1:15" s="66" customFormat="1" ht="25.15" customHeight="1">
      <c r="A60" s="75"/>
      <c r="B60" s="98">
        <v>44807</v>
      </c>
      <c r="C60" s="78" t="s">
        <v>43</v>
      </c>
      <c r="D60" s="79">
        <v>1</v>
      </c>
      <c r="E60" s="76" t="str">
        <f>IF(ISBLANK(Log[[#This Row],[Item]]),"",_xlfn.XLOOKUP(Log[[#This Row],[Item]],Calories[Name],Calories[Unit]))</f>
        <v>ea</v>
      </c>
      <c r="F60" s="65">
        <f>IF(ISBLANK(Log[[#This Row],[Item]]),"",_xlfn.XLOOKUP(Log[[#This Row],[Item]],Calories[Name],Calories[Cals])*Log[[#This Row],[Qty]])</f>
        <v>23</v>
      </c>
      <c r="G60" s="71">
        <f>IF(ISBLANK(Log[[#This Row],[Item]]),"",_xlfn.XLOOKUP(Log[[#This Row],[Item]],Calories[Name],Calories[Carbs])*Log[[#This Row],[Qty]])</f>
        <v>5.3</v>
      </c>
      <c r="H60" s="71">
        <f>IF(ISBLANK(Log[[#This Row],[Item]]),"",_xlfn.XLOOKUP(Log[[#This Row],[Item]],Calories[Name],Calories[Fibre])*Log[[#This Row],[Qty]])</f>
        <v>0.3</v>
      </c>
      <c r="I60" s="71">
        <f>IF(ISBLANK(Log[[#This Row],[Item]]),"",(Log[[#This Row],[Carbs]]-Log[[#This Row],[Fibre]]))</f>
        <v>5</v>
      </c>
      <c r="J60" s="103">
        <f>IF(ISBLANK(Log[[#This Row],[Item]]),"",_xlfn.XLOOKUP(Log[[#This Row],[Item]],Calories[Name],Calories[Sodium])*Log[[#This Row],[Qty]])</f>
        <v>114</v>
      </c>
      <c r="K60" s="71">
        <f>IF(ISBLANK(Log[[#This Row],[Item]]),"",_xlfn.XLOOKUP(Log[[#This Row],[Item]],Calories[Name],Calories[Protein])*Log[[#This Row],[Qty]])</f>
        <v>0.1</v>
      </c>
      <c r="L60" s="71">
        <f>IF(ISBLANK(Log[[#This Row],[Item]]),"",_xlfn.XLOOKUP(Log[[#This Row],[Item]],Calories[Name],Calories[Chol.])*Log[[#This Row],[Qty]])</f>
        <v>0</v>
      </c>
      <c r="M60" s="75"/>
      <c r="N60" s="75"/>
      <c r="O60" s="75"/>
    </row>
    <row r="61" spans="1:15" s="66" customFormat="1" ht="25.15" customHeight="1">
      <c r="A61" s="75"/>
      <c r="B61" s="98">
        <v>44807</v>
      </c>
      <c r="C61" s="78" t="s">
        <v>45</v>
      </c>
      <c r="D61" s="79">
        <v>3</v>
      </c>
      <c r="E61" s="76" t="str">
        <f>IF(ISBLANK(Log[[#This Row],[Item]]),"",_xlfn.XLOOKUP(Log[[#This Row],[Item]],Calories[Name],Calories[Unit]))</f>
        <v>pinch</v>
      </c>
      <c r="F61" s="65">
        <f>IF(ISBLANK(Log[[#This Row],[Item]]),"",_xlfn.XLOOKUP(Log[[#This Row],[Item]],Calories[Name],Calories[Cals])*Log[[#This Row],[Qty]])</f>
        <v>0</v>
      </c>
      <c r="G61" s="71">
        <f>IF(ISBLANK(Log[[#This Row],[Item]]),"",_xlfn.XLOOKUP(Log[[#This Row],[Item]],Calories[Name],Calories[Carbs])*Log[[#This Row],[Qty]])</f>
        <v>0</v>
      </c>
      <c r="H61" s="71">
        <f>IF(ISBLANK(Log[[#This Row],[Item]]),"",_xlfn.XLOOKUP(Log[[#This Row],[Item]],Calories[Name],Calories[Fibre])*Log[[#This Row],[Qty]])</f>
        <v>0</v>
      </c>
      <c r="I61" s="71">
        <f>IF(ISBLANK(Log[[#This Row],[Item]]),"",(Log[[#This Row],[Carbs]]-Log[[#This Row],[Fibre]]))</f>
        <v>0</v>
      </c>
      <c r="J61" s="103">
        <f>IF(ISBLANK(Log[[#This Row],[Item]]),"",_xlfn.XLOOKUP(Log[[#This Row],[Item]],Calories[Name],Calories[Sodium])*Log[[#This Row],[Qty]])</f>
        <v>418.58639999999997</v>
      </c>
      <c r="K61" s="71">
        <f>IF(ISBLANK(Log[[#This Row],[Item]]),"",_xlfn.XLOOKUP(Log[[#This Row],[Item]],Calories[Name],Calories[Protein])*Log[[#This Row],[Qty]])</f>
        <v>0</v>
      </c>
      <c r="L61" s="71">
        <f>IF(ISBLANK(Log[[#This Row],[Item]]),"",_xlfn.XLOOKUP(Log[[#This Row],[Item]],Calories[Name],Calories[Chol.])*Log[[#This Row],[Qty]])</f>
        <v>0</v>
      </c>
      <c r="M61" s="75"/>
      <c r="N61" s="75"/>
      <c r="O61" s="75"/>
    </row>
    <row r="62" spans="1:15" s="66" customFormat="1" ht="25.15" customHeight="1">
      <c r="A62" s="75"/>
      <c r="B62" s="98">
        <v>44807</v>
      </c>
      <c r="C62" s="78" t="s">
        <v>46</v>
      </c>
      <c r="D62" s="79">
        <v>0.75</v>
      </c>
      <c r="E62" s="76" t="str">
        <f>IF(ISBLANK(Log[[#This Row],[Item]]),"",_xlfn.XLOOKUP(Log[[#This Row],[Item]],Calories[Name],Calories[Unit]))</f>
        <v>c</v>
      </c>
      <c r="F62" s="65">
        <f>IF(ISBLANK(Log[[#This Row],[Item]]),"",_xlfn.XLOOKUP(Log[[#This Row],[Item]],Calories[Name],Calories[Cals])*Log[[#This Row],[Qty]])</f>
        <v>600</v>
      </c>
      <c r="G62" s="71">
        <f>IF(ISBLANK(Log[[#This Row],[Item]]),"",_xlfn.XLOOKUP(Log[[#This Row],[Item]],Calories[Name],Calories[Carbs])*Log[[#This Row],[Qty]])</f>
        <v>0</v>
      </c>
      <c r="H62" s="71">
        <f>IF(ISBLANK(Log[[#This Row],[Item]]),"",_xlfn.XLOOKUP(Log[[#This Row],[Item]],Calories[Name],Calories[Fibre])*Log[[#This Row],[Qty]])</f>
        <v>0</v>
      </c>
      <c r="I62" s="71">
        <f>IF(ISBLANK(Log[[#This Row],[Item]]),"",(Log[[#This Row],[Carbs]]-Log[[#This Row],[Fibre]]))</f>
        <v>0</v>
      </c>
      <c r="J62" s="103">
        <f>IF(ISBLANK(Log[[#This Row],[Item]]),"",_xlfn.XLOOKUP(Log[[#This Row],[Item]],Calories[Name],Calories[Sodium])*Log[[#This Row],[Qty]])</f>
        <v>180</v>
      </c>
      <c r="K62" s="71">
        <f>IF(ISBLANK(Log[[#This Row],[Item]]),"",_xlfn.XLOOKUP(Log[[#This Row],[Item]],Calories[Name],Calories[Protein])*Log[[#This Row],[Qty]])</f>
        <v>3.5999999999999996</v>
      </c>
      <c r="L62" s="71">
        <f>IF(ISBLANK(Log[[#This Row],[Item]]),"",_xlfn.XLOOKUP(Log[[#This Row],[Item]],Calories[Name],Calories[Chol.])*Log[[#This Row],[Qty]])</f>
        <v>240</v>
      </c>
      <c r="M62" s="75"/>
      <c r="N62" s="75"/>
      <c r="O62" s="75"/>
    </row>
    <row r="63" spans="1:15" s="66" customFormat="1" ht="25.15" customHeight="1">
      <c r="A63" s="75"/>
      <c r="B63" s="98">
        <v>44807</v>
      </c>
      <c r="C63" s="78" t="s">
        <v>47</v>
      </c>
      <c r="D63" s="79">
        <v>1</v>
      </c>
      <c r="E63" s="76" t="str">
        <f>IF(ISBLANK(Log[[#This Row],[Item]]),"",_xlfn.XLOOKUP(Log[[#This Row],[Item]],Calories[Name],Calories[Unit]))</f>
        <v>can</v>
      </c>
      <c r="F63" s="65">
        <f>IF(ISBLANK(Log[[#This Row],[Item]]),"",_xlfn.XLOOKUP(Log[[#This Row],[Item]],Calories[Name],Calories[Cals])*Log[[#This Row],[Qty]])</f>
        <v>130</v>
      </c>
      <c r="G63" s="71">
        <f>IF(ISBLANK(Log[[#This Row],[Item]]),"",_xlfn.XLOOKUP(Log[[#This Row],[Item]],Calories[Name],Calories[Carbs])*Log[[#This Row],[Qty]])</f>
        <v>2</v>
      </c>
      <c r="H63" s="71">
        <f>IF(ISBLANK(Log[[#This Row],[Item]]),"",_xlfn.XLOOKUP(Log[[#This Row],[Item]],Calories[Name],Calories[Fibre])*Log[[#This Row],[Qty]])</f>
        <v>0</v>
      </c>
      <c r="I63" s="71">
        <f>IF(ISBLANK(Log[[#This Row],[Item]]),"",(Log[[#This Row],[Carbs]]-Log[[#This Row],[Fibre]]))</f>
        <v>2</v>
      </c>
      <c r="J63" s="103">
        <f>IF(ISBLANK(Log[[#This Row],[Item]]),"",_xlfn.XLOOKUP(Log[[#This Row],[Item]],Calories[Name],Calories[Sodium])*Log[[#This Row],[Qty]])</f>
        <v>210</v>
      </c>
      <c r="K63" s="71">
        <f>IF(ISBLANK(Log[[#This Row],[Item]]),"",_xlfn.XLOOKUP(Log[[#This Row],[Item]],Calories[Name],Calories[Protein])*Log[[#This Row],[Qty]])</f>
        <v>13</v>
      </c>
      <c r="L63" s="71">
        <f>IF(ISBLANK(Log[[#This Row],[Item]]),"",_xlfn.XLOOKUP(Log[[#This Row],[Item]],Calories[Name],Calories[Chol.])*Log[[#This Row],[Qty]])</f>
        <v>75</v>
      </c>
      <c r="M63" s="75"/>
      <c r="N63" s="75"/>
      <c r="O63" s="75"/>
    </row>
    <row r="64" spans="1:15" s="66" customFormat="1" ht="25.15" customHeight="1">
      <c r="A64" s="75"/>
      <c r="B64" s="98">
        <v>44807</v>
      </c>
      <c r="C64" s="64" t="s">
        <v>48</v>
      </c>
      <c r="D64" s="79">
        <v>1</v>
      </c>
      <c r="E64" s="76" t="str">
        <f>IF(ISBLANK(Log[[#This Row],[Item]]),"",_xlfn.XLOOKUP(Log[[#This Row],[Item]],Calories[Name],Calories[Unit]))</f>
        <v>c</v>
      </c>
      <c r="F64" s="65">
        <f>IF(ISBLANK(Log[[#This Row],[Item]]),"",_xlfn.XLOOKUP(Log[[#This Row],[Item]],Calories[Name],Calories[Cals])*Log[[#This Row],[Qty]])</f>
        <v>31</v>
      </c>
      <c r="G64" s="71">
        <f>IF(ISBLANK(Log[[#This Row],[Item]]),"",_xlfn.XLOOKUP(Log[[#This Row],[Item]],Calories[Name],Calories[Carbs])*Log[[#This Row],[Qty]])</f>
        <v>6.04</v>
      </c>
      <c r="H64" s="71">
        <f>IF(ISBLANK(Log[[#This Row],[Item]]),"",_xlfn.XLOOKUP(Log[[#This Row],[Item]],Calories[Name],Calories[Fibre])*Log[[#This Row],[Qty]])</f>
        <v>2.4</v>
      </c>
      <c r="I64" s="71">
        <f>IF(ISBLANK(Log[[#This Row],[Item]]),"",(Log[[#This Row],[Carbs]]-Log[[#This Row],[Fibre]]))</f>
        <v>3.64</v>
      </c>
      <c r="J64" s="103">
        <f>IF(ISBLANK(Log[[#This Row],[Item]]),"",_xlfn.XLOOKUP(Log[[#This Row],[Item]],Calories[Name],Calories[Sodium])*Log[[#This Row],[Qty]])</f>
        <v>30</v>
      </c>
      <c r="K64" s="71">
        <f>IF(ISBLANK(Log[[#This Row],[Item]]),"",_xlfn.XLOOKUP(Log[[#This Row],[Item]],Calories[Name],Calories[Protein])*Log[[#This Row],[Qty]])</f>
        <v>2.57</v>
      </c>
      <c r="L64" s="71">
        <f>IF(ISBLANK(Log[[#This Row],[Item]]),"",_xlfn.XLOOKUP(Log[[#This Row],[Item]],Calories[Name],Calories[Chol.])*Log[[#This Row],[Qty]])</f>
        <v>0</v>
      </c>
      <c r="M64" s="75"/>
      <c r="N64" s="75"/>
      <c r="O64" s="75"/>
    </row>
    <row r="65" spans="1:15" s="66" customFormat="1" ht="25.15" customHeight="1">
      <c r="A65" s="75"/>
      <c r="B65" s="98">
        <v>44807</v>
      </c>
      <c r="C65" s="78" t="s">
        <v>44</v>
      </c>
      <c r="D65" s="79">
        <v>2</v>
      </c>
      <c r="E65" s="76" t="str">
        <f>IF(ISBLANK(Log[[#This Row],[Item]]),"",_xlfn.XLOOKUP(Log[[#This Row],[Item]],Calories[Name],Calories[Unit]))</f>
        <v>ea</v>
      </c>
      <c r="F65" s="65">
        <f>IF(ISBLANK(Log[[#This Row],[Item]]),"",_xlfn.XLOOKUP(Log[[#This Row],[Item]],Calories[Name],Calories[Cals])*Log[[#This Row],[Qty]])</f>
        <v>80</v>
      </c>
      <c r="G65" s="71">
        <f>IF(ISBLANK(Log[[#This Row],[Item]]),"",_xlfn.XLOOKUP(Log[[#This Row],[Item]],Calories[Name],Calories[Carbs])*Log[[#This Row],[Qty]])</f>
        <v>12</v>
      </c>
      <c r="H65" s="71">
        <f>IF(ISBLANK(Log[[#This Row],[Item]]),"",_xlfn.XLOOKUP(Log[[#This Row],[Item]],Calories[Name],Calories[Fibre])*Log[[#This Row],[Qty]])</f>
        <v>4</v>
      </c>
      <c r="I65" s="71">
        <f>IF(ISBLANK(Log[[#This Row],[Item]]),"",(Log[[#This Row],[Carbs]]-Log[[#This Row],[Fibre]]))</f>
        <v>8</v>
      </c>
      <c r="J65" s="103">
        <f>IF(ISBLANK(Log[[#This Row],[Item]]),"",_xlfn.XLOOKUP(Log[[#This Row],[Item]],Calories[Name],Calories[Sodium])*Log[[#This Row],[Qty]])</f>
        <v>40</v>
      </c>
      <c r="K65" s="71">
        <f>IF(ISBLANK(Log[[#This Row],[Item]]),"",_xlfn.XLOOKUP(Log[[#This Row],[Item]],Calories[Name],Calories[Protein])*Log[[#This Row],[Qty]])</f>
        <v>3</v>
      </c>
      <c r="L65" s="71">
        <f>IF(ISBLANK(Log[[#This Row],[Item]]),"",_xlfn.XLOOKUP(Log[[#This Row],[Item]],Calories[Name],Calories[Chol.])*Log[[#This Row],[Qty]])</f>
        <v>0</v>
      </c>
      <c r="M65" s="75"/>
      <c r="N65" s="75"/>
      <c r="O65" s="75"/>
    </row>
    <row r="66" spans="1:15" s="66" customFormat="1" ht="25.15" customHeight="1">
      <c r="A66" s="75"/>
      <c r="B66" s="98">
        <v>44807</v>
      </c>
      <c r="C66" s="78" t="s">
        <v>49</v>
      </c>
      <c r="D66" s="79">
        <v>0.5</v>
      </c>
      <c r="E66" s="76" t="str">
        <f>IF(ISBLANK(Log[[#This Row],[Item]]),"",_xlfn.XLOOKUP(Log[[#This Row],[Item]],Calories[Name],Calories[Unit]))</f>
        <v>ea</v>
      </c>
      <c r="F66" s="65">
        <f>IF(ISBLANK(Log[[#This Row],[Item]]),"",_xlfn.XLOOKUP(Log[[#This Row],[Item]],Calories[Name],Calories[Cals])*Log[[#This Row],[Qty]])</f>
        <v>420.5</v>
      </c>
      <c r="G66" s="71">
        <f>IF(ISBLANK(Log[[#This Row],[Item]]),"",_xlfn.XLOOKUP(Log[[#This Row],[Item]],Calories[Name],Calories[Carbs])*Log[[#This Row],[Qty]])</f>
        <v>0</v>
      </c>
      <c r="H66" s="71">
        <f>IF(ISBLANK(Log[[#This Row],[Item]]),"",_xlfn.XLOOKUP(Log[[#This Row],[Item]],Calories[Name],Calories[Fibre])*Log[[#This Row],[Qty]])</f>
        <v>0</v>
      </c>
      <c r="I66" s="71">
        <f>IF(ISBLANK(Log[[#This Row],[Item]]),"",(Log[[#This Row],[Carbs]]-Log[[#This Row],[Fibre]]))</f>
        <v>0</v>
      </c>
      <c r="J66" s="103">
        <f>IF(ISBLANK(Log[[#This Row],[Item]]),"",_xlfn.XLOOKUP(Log[[#This Row],[Item]],Calories[Name],Calories[Sodium])*Log[[#This Row],[Qty]])</f>
        <v>971.5</v>
      </c>
      <c r="K66" s="71">
        <f>IF(ISBLANK(Log[[#This Row],[Item]]),"",_xlfn.XLOOKUP(Log[[#This Row],[Item]],Calories[Name],Calories[Protein])*Log[[#This Row],[Qty]])</f>
        <v>35</v>
      </c>
      <c r="L66" s="71">
        <f>IF(ISBLANK(Log[[#This Row],[Item]]),"",_xlfn.XLOOKUP(Log[[#This Row],[Item]],Calories[Name],Calories[Chol.])*Log[[#This Row],[Qty]])</f>
        <v>106.5</v>
      </c>
      <c r="M66" s="75"/>
      <c r="N66" s="75"/>
      <c r="O66" s="75"/>
    </row>
    <row r="67" spans="1:15" s="66" customFormat="1" ht="25.15" customHeight="1">
      <c r="A67" s="75"/>
      <c r="B67" s="98">
        <v>44808</v>
      </c>
      <c r="C67" s="78" t="s">
        <v>13</v>
      </c>
      <c r="D67" s="79">
        <v>6.5</v>
      </c>
      <c r="E67" s="76" t="str">
        <f>IF(ISBLANK(Log[[#This Row],[Item]]),"",_xlfn.XLOOKUP(Log[[#This Row],[Item]],Calories[Name],Calories[Unit]))</f>
        <v>ea</v>
      </c>
      <c r="F67" s="65">
        <f>IF(ISBLANK(Log[[#This Row],[Item]]),"",_xlfn.XLOOKUP(Log[[#This Row],[Item]],Calories[Name],Calories[Cals])*Log[[#This Row],[Qty]])</f>
        <v>468</v>
      </c>
      <c r="G67" s="71">
        <f>IF(ISBLANK(Log[[#This Row],[Item]]),"",_xlfn.XLOOKUP(Log[[#This Row],[Item]],Calories[Name],Calories[Carbs])*Log[[#This Row],[Qty]])</f>
        <v>0</v>
      </c>
      <c r="H67" s="71">
        <f>IF(ISBLANK(Log[[#This Row],[Item]]),"",_xlfn.XLOOKUP(Log[[#This Row],[Item]],Calories[Name],Calories[Fibre])*Log[[#This Row],[Qty]])</f>
        <v>0</v>
      </c>
      <c r="I67" s="71">
        <f>IF(ISBLANK(Log[[#This Row],[Item]]),"",(Log[[#This Row],[Carbs]]-Log[[#This Row],[Fibre]]))</f>
        <v>0</v>
      </c>
      <c r="J67" s="103">
        <f>IF(ISBLANK(Log[[#This Row],[Item]]),"",_xlfn.XLOOKUP(Log[[#This Row],[Item]],Calories[Name],Calories[Sodium])*Log[[#This Row],[Qty]])</f>
        <v>455</v>
      </c>
      <c r="K67" s="71">
        <f>IF(ISBLANK(Log[[#This Row],[Item]]),"",_xlfn.XLOOKUP(Log[[#This Row],[Item]],Calories[Name],Calories[Protein])*Log[[#This Row],[Qty]])</f>
        <v>39</v>
      </c>
      <c r="L67" s="71">
        <f>IF(ISBLANK(Log[[#This Row],[Item]]),"",_xlfn.XLOOKUP(Log[[#This Row],[Item]],Calories[Name],Calories[Chol.])*Log[[#This Row],[Qty]])</f>
        <v>1371.5</v>
      </c>
      <c r="M67" s="75"/>
      <c r="N67" s="75"/>
      <c r="O67" s="75"/>
    </row>
    <row r="68" spans="1:15" s="66" customFormat="1" ht="25.15" customHeight="1">
      <c r="A68" s="75"/>
      <c r="B68" s="98">
        <v>44808</v>
      </c>
      <c r="C68" s="78" t="s">
        <v>45</v>
      </c>
      <c r="D68" s="79">
        <v>3</v>
      </c>
      <c r="E68" s="76" t="str">
        <f>IF(ISBLANK(Log[[#This Row],[Item]]),"",_xlfn.XLOOKUP(Log[[#This Row],[Item]],Calories[Name],Calories[Unit]))</f>
        <v>pinch</v>
      </c>
      <c r="F68" s="65">
        <f>IF(ISBLANK(Log[[#This Row],[Item]]),"",_xlfn.XLOOKUP(Log[[#This Row],[Item]],Calories[Name],Calories[Cals])*Log[[#This Row],[Qty]])</f>
        <v>0</v>
      </c>
      <c r="G68" s="71">
        <f>IF(ISBLANK(Log[[#This Row],[Item]]),"",_xlfn.XLOOKUP(Log[[#This Row],[Item]],Calories[Name],Calories[Carbs])*Log[[#This Row],[Qty]])</f>
        <v>0</v>
      </c>
      <c r="H68" s="71">
        <f>IF(ISBLANK(Log[[#This Row],[Item]]),"",_xlfn.XLOOKUP(Log[[#This Row],[Item]],Calories[Name],Calories[Fibre])*Log[[#This Row],[Qty]])</f>
        <v>0</v>
      </c>
      <c r="I68" s="71">
        <f>IF(ISBLANK(Log[[#This Row],[Item]]),"",(Log[[#This Row],[Carbs]]-Log[[#This Row],[Fibre]]))</f>
        <v>0</v>
      </c>
      <c r="J68" s="103">
        <f>IF(ISBLANK(Log[[#This Row],[Item]]),"",_xlfn.XLOOKUP(Log[[#This Row],[Item]],Calories[Name],Calories[Sodium])*Log[[#This Row],[Qty]])</f>
        <v>418.58639999999997</v>
      </c>
      <c r="K68" s="71">
        <f>IF(ISBLANK(Log[[#This Row],[Item]]),"",_xlfn.XLOOKUP(Log[[#This Row],[Item]],Calories[Name],Calories[Protein])*Log[[#This Row],[Qty]])</f>
        <v>0</v>
      </c>
      <c r="L68" s="71">
        <f>IF(ISBLANK(Log[[#This Row],[Item]]),"",_xlfn.XLOOKUP(Log[[#This Row],[Item]],Calories[Name],Calories[Chol.])*Log[[#This Row],[Qty]])</f>
        <v>0</v>
      </c>
      <c r="M68" s="75"/>
      <c r="N68" s="75"/>
      <c r="O68" s="75"/>
    </row>
    <row r="69" spans="1:15" s="66" customFormat="1" ht="25.15" customHeight="1">
      <c r="A69" s="75"/>
      <c r="B69" s="98">
        <v>44808</v>
      </c>
      <c r="C69" s="78" t="s">
        <v>25</v>
      </c>
      <c r="D69" s="79">
        <v>1</v>
      </c>
      <c r="E69" s="76" t="str">
        <f>IF(ISBLANK(Log[[#This Row],[Item]]),"",_xlfn.XLOOKUP(Log[[#This Row],[Item]],Calories[Name],Calories[Unit]))</f>
        <v>tbsp</v>
      </c>
      <c r="F69" s="65">
        <f>IF(ISBLANK(Log[[#This Row],[Item]]),"",_xlfn.XLOOKUP(Log[[#This Row],[Item]],Calories[Name],Calories[Cals])*Log[[#This Row],[Qty]])</f>
        <v>102</v>
      </c>
      <c r="G69" s="71">
        <f>IF(ISBLANK(Log[[#This Row],[Item]]),"",_xlfn.XLOOKUP(Log[[#This Row],[Item]],Calories[Name],Calories[Carbs])*Log[[#This Row],[Qty]])</f>
        <v>0</v>
      </c>
      <c r="H69" s="71">
        <f>IF(ISBLANK(Log[[#This Row],[Item]]),"",_xlfn.XLOOKUP(Log[[#This Row],[Item]],Calories[Name],Calories[Fibre])*Log[[#This Row],[Qty]])</f>
        <v>0</v>
      </c>
      <c r="I69" s="71">
        <f>IF(ISBLANK(Log[[#This Row],[Item]]),"",(Log[[#This Row],[Carbs]]-Log[[#This Row],[Fibre]]))</f>
        <v>0</v>
      </c>
      <c r="J69" s="103">
        <f>IF(ISBLANK(Log[[#This Row],[Item]]),"",_xlfn.XLOOKUP(Log[[#This Row],[Item]],Calories[Name],Calories[Sodium])*Log[[#This Row],[Qty]])</f>
        <v>90</v>
      </c>
      <c r="K69" s="71">
        <f>IF(ISBLANK(Log[[#This Row],[Item]]),"",_xlfn.XLOOKUP(Log[[#This Row],[Item]],Calories[Name],Calories[Protein])*Log[[#This Row],[Qty]])</f>
        <v>0.12</v>
      </c>
      <c r="L69" s="71">
        <f>IF(ISBLANK(Log[[#This Row],[Item]]),"",_xlfn.XLOOKUP(Log[[#This Row],[Item]],Calories[Name],Calories[Chol.])*Log[[#This Row],[Qty]])</f>
        <v>31</v>
      </c>
      <c r="M69" s="75"/>
      <c r="N69" s="75"/>
      <c r="O69" s="75"/>
    </row>
    <row r="70" spans="1:15" s="66" customFormat="1" ht="25.15" customHeight="1">
      <c r="A70" s="75"/>
      <c r="B70" s="98">
        <v>44808</v>
      </c>
      <c r="C70" s="78" t="s">
        <v>50</v>
      </c>
      <c r="D70" s="79">
        <v>2</v>
      </c>
      <c r="E70" s="76" t="str">
        <f>IF(ISBLANK(Log[[#This Row],[Item]]),"",_xlfn.XLOOKUP(Log[[#This Row],[Item]],Calories[Name],Calories[Unit]))</f>
        <v>slice</v>
      </c>
      <c r="F70" s="65">
        <f>IF(ISBLANK(Log[[#This Row],[Item]]),"",_xlfn.XLOOKUP(Log[[#This Row],[Item]],Calories[Name],Calories[Cals])*Log[[#This Row],[Qty]])</f>
        <v>30</v>
      </c>
      <c r="G70" s="71">
        <f>IF(ISBLANK(Log[[#This Row],[Item]]),"",_xlfn.XLOOKUP(Log[[#This Row],[Item]],Calories[Name],Calories[Carbs])*Log[[#This Row],[Qty]])</f>
        <v>4</v>
      </c>
      <c r="H70" s="71">
        <f>IF(ISBLANK(Log[[#This Row],[Item]]),"",_xlfn.XLOOKUP(Log[[#This Row],[Item]],Calories[Name],Calories[Fibre])*Log[[#This Row],[Qty]])</f>
        <v>1</v>
      </c>
      <c r="I70" s="71">
        <f>IF(ISBLANK(Log[[#This Row],[Item]]),"",(Log[[#This Row],[Carbs]]-Log[[#This Row],[Fibre]]))</f>
        <v>3</v>
      </c>
      <c r="J70" s="103">
        <f>IF(ISBLANK(Log[[#This Row],[Item]]),"",_xlfn.XLOOKUP(Log[[#This Row],[Item]],Calories[Name],Calories[Sodium])*Log[[#This Row],[Qty]])</f>
        <v>30</v>
      </c>
      <c r="K70" s="71">
        <f>IF(ISBLANK(Log[[#This Row],[Item]]),"",_xlfn.XLOOKUP(Log[[#This Row],[Item]],Calories[Name],Calories[Protein])*Log[[#This Row],[Qty]])</f>
        <v>0.3</v>
      </c>
      <c r="L70" s="71">
        <f>IF(ISBLANK(Log[[#This Row],[Item]]),"",_xlfn.XLOOKUP(Log[[#This Row],[Item]],Calories[Name],Calories[Chol.])*Log[[#This Row],[Qty]])</f>
        <v>0</v>
      </c>
      <c r="M70" s="75"/>
      <c r="N70" s="75"/>
      <c r="O70" s="75"/>
    </row>
    <row r="71" spans="1:15" s="66" customFormat="1" ht="25.15" customHeight="1">
      <c r="A71" s="75"/>
      <c r="B71" s="98">
        <v>44808</v>
      </c>
      <c r="C71" s="78" t="s">
        <v>35</v>
      </c>
      <c r="D71" s="79">
        <v>1</v>
      </c>
      <c r="E71" s="76" t="str">
        <f>IF(ISBLANK(Log[[#This Row],[Item]]),"",_xlfn.XLOOKUP(Log[[#This Row],[Item]],Calories[Name],Calories[Unit]))</f>
        <v>tbsp</v>
      </c>
      <c r="F71" s="65">
        <f>IF(ISBLANK(Log[[#This Row],[Item]]),"",_xlfn.XLOOKUP(Log[[#This Row],[Item]],Calories[Name],Calories[Cals])*Log[[#This Row],[Qty]])</f>
        <v>90</v>
      </c>
      <c r="G71" s="71">
        <f>IF(ISBLANK(Log[[#This Row],[Item]]),"",_xlfn.XLOOKUP(Log[[#This Row],[Item]],Calories[Name],Calories[Carbs])*Log[[#This Row],[Qty]])</f>
        <v>0</v>
      </c>
      <c r="H71" s="71">
        <f>IF(ISBLANK(Log[[#This Row],[Item]]),"",_xlfn.XLOOKUP(Log[[#This Row],[Item]],Calories[Name],Calories[Fibre])*Log[[#This Row],[Qty]])</f>
        <v>0</v>
      </c>
      <c r="I71" s="71">
        <f>IF(ISBLANK(Log[[#This Row],[Item]]),"",(Log[[#This Row],[Carbs]]-Log[[#This Row],[Fibre]]))</f>
        <v>0</v>
      </c>
      <c r="J71" s="103">
        <f>IF(ISBLANK(Log[[#This Row],[Item]]),"",_xlfn.XLOOKUP(Log[[#This Row],[Item]],Calories[Name],Calories[Sodium])*Log[[#This Row],[Qty]])</f>
        <v>90</v>
      </c>
      <c r="K71" s="71">
        <f>IF(ISBLANK(Log[[#This Row],[Item]]),"",_xlfn.XLOOKUP(Log[[#This Row],[Item]],Calories[Name],Calories[Protein])*Log[[#This Row],[Qty]])</f>
        <v>0</v>
      </c>
      <c r="L71" s="71">
        <f>IF(ISBLANK(Log[[#This Row],[Item]]),"",_xlfn.XLOOKUP(Log[[#This Row],[Item]],Calories[Name],Calories[Chol.])*Log[[#This Row],[Qty]])</f>
        <v>5</v>
      </c>
      <c r="M71" s="75"/>
      <c r="N71" s="75"/>
      <c r="O71" s="75"/>
    </row>
    <row r="72" spans="1:15" s="66" customFormat="1" ht="25.15" customHeight="1">
      <c r="A72" s="75"/>
      <c r="B72" s="98">
        <v>44808</v>
      </c>
      <c r="C72" s="78" t="s">
        <v>24</v>
      </c>
      <c r="D72" s="79">
        <v>500</v>
      </c>
      <c r="E72" s="76" t="str">
        <f>IF(ISBLANK(Log[[#This Row],[Item]]),"",_xlfn.XLOOKUP(Log[[#This Row],[Item]],Calories[Name],Calories[Unit]))</f>
        <v>g</v>
      </c>
      <c r="F72" s="65">
        <f>IF(ISBLANK(Log[[#This Row],[Item]]),"",_xlfn.XLOOKUP(Log[[#This Row],[Item]],Calories[Name],Calories[Cals])*Log[[#This Row],[Qty]])</f>
        <v>1267.6579237218259</v>
      </c>
      <c r="G72" s="71">
        <f>IF(ISBLANK(Log[[#This Row],[Item]]),"",_xlfn.XLOOKUP(Log[[#This Row],[Item]],Calories[Name],Calories[Carbs])*Log[[#This Row],[Qty]])</f>
        <v>0</v>
      </c>
      <c r="H72" s="71">
        <f>IF(ISBLANK(Log[[#This Row],[Item]]),"",_xlfn.XLOOKUP(Log[[#This Row],[Item]],Calories[Name],Calories[Fibre])*Log[[#This Row],[Qty]])</f>
        <v>0</v>
      </c>
      <c r="I72" s="71">
        <f>IF(ISBLANK(Log[[#This Row],[Item]]),"",(Log[[#This Row],[Carbs]]-Log[[#This Row],[Fibre]]))</f>
        <v>0</v>
      </c>
      <c r="J72" s="103">
        <f>IF(ISBLANK(Log[[#This Row],[Item]]),"",_xlfn.XLOOKUP(Log[[#This Row],[Item]],Calories[Name],Calories[Sodium])*Log[[#This Row],[Qty]])</f>
        <v>354.94421864211131</v>
      </c>
      <c r="K72" s="71">
        <f>IF(ISBLANK(Log[[#This Row],[Item]]),"",_xlfn.XLOOKUP(Log[[#This Row],[Item]],Calories[Name],Calories[Protein])*Log[[#This Row],[Qty]])</f>
        <v>85.980276565480381</v>
      </c>
      <c r="L72" s="71">
        <f>IF(ISBLANK(Log[[#This Row],[Item]]),"",_xlfn.XLOOKUP(Log[[#This Row],[Item]],Calories[Name],Calories[Chol.])*Log[[#This Row],[Qty]])</f>
        <v>355</v>
      </c>
      <c r="M72" s="75"/>
      <c r="N72" s="75"/>
      <c r="O72" s="75"/>
    </row>
    <row r="73" spans="1:15" s="66" customFormat="1" ht="25.15" customHeight="1">
      <c r="A73" s="75"/>
      <c r="B73" s="98">
        <v>44808</v>
      </c>
      <c r="C73" s="78" t="s">
        <v>45</v>
      </c>
      <c r="D73" s="79">
        <v>8</v>
      </c>
      <c r="E73" s="76" t="str">
        <f>IF(ISBLANK(Log[[#This Row],[Item]]),"",_xlfn.XLOOKUP(Log[[#This Row],[Item]],Calories[Name],Calories[Unit]))</f>
        <v>pinch</v>
      </c>
      <c r="F73" s="65">
        <f>IF(ISBLANK(Log[[#This Row],[Item]]),"",_xlfn.XLOOKUP(Log[[#This Row],[Item]],Calories[Name],Calories[Cals])*Log[[#This Row],[Qty]])</f>
        <v>0</v>
      </c>
      <c r="G73" s="71">
        <f>IF(ISBLANK(Log[[#This Row],[Item]]),"",_xlfn.XLOOKUP(Log[[#This Row],[Item]],Calories[Name],Calories[Carbs])*Log[[#This Row],[Qty]])</f>
        <v>0</v>
      </c>
      <c r="H73" s="71">
        <f>IF(ISBLANK(Log[[#This Row],[Item]]),"",_xlfn.XLOOKUP(Log[[#This Row],[Item]],Calories[Name],Calories[Fibre])*Log[[#This Row],[Qty]])</f>
        <v>0</v>
      </c>
      <c r="I73" s="71">
        <f>IF(ISBLANK(Log[[#This Row],[Item]]),"",(Log[[#This Row],[Carbs]]-Log[[#This Row],[Fibre]]))</f>
        <v>0</v>
      </c>
      <c r="J73" s="103">
        <f>IF(ISBLANK(Log[[#This Row],[Item]]),"",_xlfn.XLOOKUP(Log[[#This Row],[Item]],Calories[Name],Calories[Sodium])*Log[[#This Row],[Qty]])</f>
        <v>1116.2303999999999</v>
      </c>
      <c r="K73" s="71">
        <f>IF(ISBLANK(Log[[#This Row],[Item]]),"",_xlfn.XLOOKUP(Log[[#This Row],[Item]],Calories[Name],Calories[Protein])*Log[[#This Row],[Qty]])</f>
        <v>0</v>
      </c>
      <c r="L73" s="71">
        <f>IF(ISBLANK(Log[[#This Row],[Item]]),"",_xlfn.XLOOKUP(Log[[#This Row],[Item]],Calories[Name],Calories[Chol.])*Log[[#This Row],[Qty]])</f>
        <v>0</v>
      </c>
      <c r="M73" s="75"/>
      <c r="N73" s="75"/>
      <c r="O73" s="75"/>
    </row>
    <row r="74" spans="1:15" s="66" customFormat="1" ht="25.15" customHeight="1">
      <c r="A74" s="75"/>
      <c r="B74" s="98">
        <v>44808</v>
      </c>
      <c r="C74" s="78" t="s">
        <v>26</v>
      </c>
      <c r="D74" s="79">
        <v>200</v>
      </c>
      <c r="E74" s="76" t="str">
        <f>IF(ISBLANK(Log[[#This Row],[Item]]),"",_xlfn.XLOOKUP(Log[[#This Row],[Item]],Calories[Name],Calories[Unit]))</f>
        <v>g</v>
      </c>
      <c r="F74" s="65">
        <f>IF(ISBLANK(Log[[#This Row],[Item]]),"",_xlfn.XLOOKUP(Log[[#This Row],[Item]],Calories[Name],Calories[Cals])*Log[[#This Row],[Qty]])</f>
        <v>1280</v>
      </c>
      <c r="G74" s="71">
        <f>IF(ISBLANK(Log[[#This Row],[Item]]),"",_xlfn.XLOOKUP(Log[[#This Row],[Item]],Calories[Name],Calories[Carbs])*Log[[#This Row],[Qty]])</f>
        <v>56.000000000000007</v>
      </c>
      <c r="H74" s="71">
        <f>IF(ISBLANK(Log[[#This Row],[Item]]),"",_xlfn.XLOOKUP(Log[[#This Row],[Item]],Calories[Name],Calories[Fibre])*Log[[#This Row],[Qty]])</f>
        <v>12</v>
      </c>
      <c r="I74" s="71">
        <f>IF(ISBLANK(Log[[#This Row],[Item]]),"",(Log[[#This Row],[Carbs]]-Log[[#This Row],[Fibre]]))</f>
        <v>44.000000000000007</v>
      </c>
      <c r="J74" s="103">
        <f>IF(ISBLANK(Log[[#This Row],[Item]]),"",_xlfn.XLOOKUP(Log[[#This Row],[Item]],Calories[Name],Calories[Sodium])*Log[[#This Row],[Qty]])</f>
        <v>280</v>
      </c>
      <c r="K74" s="71">
        <f>IF(ISBLANK(Log[[#This Row],[Item]]),"",_xlfn.XLOOKUP(Log[[#This Row],[Item]],Calories[Name],Calories[Protein])*Log[[#This Row],[Qty]])</f>
        <v>36</v>
      </c>
      <c r="L74" s="71">
        <f>IF(ISBLANK(Log[[#This Row],[Item]]),"",_xlfn.XLOOKUP(Log[[#This Row],[Item]],Calories[Name],Calories[Chol.])*Log[[#This Row],[Qty]])</f>
        <v>0</v>
      </c>
      <c r="M74" s="75"/>
      <c r="N74" s="75"/>
      <c r="O74" s="75"/>
    </row>
    <row r="75" spans="1:15" s="66" customFormat="1" ht="25.15" customHeight="1">
      <c r="A75" s="75"/>
      <c r="B75" s="98">
        <v>44809</v>
      </c>
      <c r="C75" s="78" t="s">
        <v>34</v>
      </c>
      <c r="D75" s="79">
        <v>70</v>
      </c>
      <c r="E75" s="76" t="str">
        <f>IF(ISBLANK(Log[[#This Row],[Item]]),"",_xlfn.XLOOKUP(Log[[#This Row],[Item]],Calories[Name],Calories[Unit]))</f>
        <v>g</v>
      </c>
      <c r="F75" s="65">
        <f>IF(ISBLANK(Log[[#This Row],[Item]]),"",_xlfn.XLOOKUP(Log[[#This Row],[Item]],Calories[Name],Calories[Cals])*Log[[#This Row],[Qty]])</f>
        <v>120</v>
      </c>
      <c r="G75" s="71">
        <f>IF(ISBLANK(Log[[#This Row],[Item]]),"",_xlfn.XLOOKUP(Log[[#This Row],[Item]],Calories[Name],Calories[Carbs])*Log[[#This Row],[Qty]])</f>
        <v>0</v>
      </c>
      <c r="H75" s="71">
        <f>IF(ISBLANK(Log[[#This Row],[Item]]),"",_xlfn.XLOOKUP(Log[[#This Row],[Item]],Calories[Name],Calories[Fibre])*Log[[#This Row],[Qty]])</f>
        <v>0</v>
      </c>
      <c r="I75" s="71">
        <f>IF(ISBLANK(Log[[#This Row],[Item]]),"",(Log[[#This Row],[Carbs]]-Log[[#This Row],[Fibre]]))</f>
        <v>0</v>
      </c>
      <c r="J75" s="103">
        <f>IF(ISBLANK(Log[[#This Row],[Item]]),"",_xlfn.XLOOKUP(Log[[#This Row],[Item]],Calories[Name],Calories[Sodium])*Log[[#This Row],[Qty]])</f>
        <v>280</v>
      </c>
      <c r="K75" s="71">
        <f>IF(ISBLANK(Log[[#This Row],[Item]]),"",_xlfn.XLOOKUP(Log[[#This Row],[Item]],Calories[Name],Calories[Protein])*Log[[#This Row],[Qty]])</f>
        <v>18</v>
      </c>
      <c r="L75" s="71">
        <f>IF(ISBLANK(Log[[#This Row],[Item]]),"",_xlfn.XLOOKUP(Log[[#This Row],[Item]],Calories[Name],Calories[Chol.])*Log[[#This Row],[Qty]])</f>
        <v>35</v>
      </c>
      <c r="M75" s="75"/>
      <c r="N75" s="75"/>
      <c r="O75" s="75"/>
    </row>
    <row r="76" spans="1:15" s="66" customFormat="1" ht="25.15" customHeight="1">
      <c r="A76" s="75"/>
      <c r="B76" s="98">
        <v>44809</v>
      </c>
      <c r="C76" s="78" t="s">
        <v>36</v>
      </c>
      <c r="D76" s="79">
        <v>1</v>
      </c>
      <c r="E76" s="76" t="str">
        <f>IF(ISBLANK(Log[[#This Row],[Item]]),"",_xlfn.XLOOKUP(Log[[#This Row],[Item]],Calories[Name],Calories[Unit]))</f>
        <v>ea</v>
      </c>
      <c r="F76" s="65">
        <f>IF(ISBLANK(Log[[#This Row],[Item]]),"",_xlfn.XLOOKUP(Log[[#This Row],[Item]],Calories[Name],Calories[Cals])*Log[[#This Row],[Qty]])</f>
        <v>240</v>
      </c>
      <c r="G76" s="71">
        <f>IF(ISBLANK(Log[[#This Row],[Item]]),"",_xlfn.XLOOKUP(Log[[#This Row],[Item]],Calories[Name],Calories[Carbs])*Log[[#This Row],[Qty]])</f>
        <v>13</v>
      </c>
      <c r="H76" s="71">
        <f>IF(ISBLANK(Log[[#This Row],[Item]]),"",_xlfn.XLOOKUP(Log[[#This Row],[Item]],Calories[Name],Calories[Fibre])*Log[[#This Row],[Qty]])</f>
        <v>10</v>
      </c>
      <c r="I76" s="71">
        <f>IF(ISBLANK(Log[[#This Row],[Item]]),"",(Log[[#This Row],[Carbs]]-Log[[#This Row],[Fibre]]))</f>
        <v>3</v>
      </c>
      <c r="J76" s="103">
        <f>IF(ISBLANK(Log[[#This Row],[Item]]),"",_xlfn.XLOOKUP(Log[[#This Row],[Item]],Calories[Name],Calories[Sodium])*Log[[#This Row],[Qty]])</f>
        <v>11</v>
      </c>
      <c r="K76" s="71">
        <f>IF(ISBLANK(Log[[#This Row],[Item]]),"",_xlfn.XLOOKUP(Log[[#This Row],[Item]],Calories[Name],Calories[Protein])*Log[[#This Row],[Qty]])</f>
        <v>3</v>
      </c>
      <c r="L76" s="71">
        <f>IF(ISBLANK(Log[[#This Row],[Item]]),"",_xlfn.XLOOKUP(Log[[#This Row],[Item]],Calories[Name],Calories[Chol.])*Log[[#This Row],[Qty]])</f>
        <v>0</v>
      </c>
      <c r="M76" s="75"/>
      <c r="N76" s="75"/>
      <c r="O76" s="75"/>
    </row>
    <row r="77" spans="1:15" s="66" customFormat="1" ht="25.15" customHeight="1">
      <c r="A77" s="75"/>
      <c r="B77" s="98">
        <v>44809</v>
      </c>
      <c r="C77" s="78" t="s">
        <v>35</v>
      </c>
      <c r="D77" s="79">
        <v>1.5</v>
      </c>
      <c r="E77" s="76" t="str">
        <f>IF(ISBLANK(Log[[#This Row],[Item]]),"",_xlfn.XLOOKUP(Log[[#This Row],[Item]],Calories[Name],Calories[Unit]))</f>
        <v>tbsp</v>
      </c>
      <c r="F77" s="65">
        <f>IF(ISBLANK(Log[[#This Row],[Item]]),"",_xlfn.XLOOKUP(Log[[#This Row],[Item]],Calories[Name],Calories[Cals])*Log[[#This Row],[Qty]])</f>
        <v>135</v>
      </c>
      <c r="G77" s="71">
        <f>IF(ISBLANK(Log[[#This Row],[Item]]),"",_xlfn.XLOOKUP(Log[[#This Row],[Item]],Calories[Name],Calories[Carbs])*Log[[#This Row],[Qty]])</f>
        <v>0</v>
      </c>
      <c r="H77" s="71">
        <f>IF(ISBLANK(Log[[#This Row],[Item]]),"",_xlfn.XLOOKUP(Log[[#This Row],[Item]],Calories[Name],Calories[Fibre])*Log[[#This Row],[Qty]])</f>
        <v>0</v>
      </c>
      <c r="I77" s="71">
        <f>IF(ISBLANK(Log[[#This Row],[Item]]),"",(Log[[#This Row],[Carbs]]-Log[[#This Row],[Fibre]]))</f>
        <v>0</v>
      </c>
      <c r="J77" s="103">
        <f>IF(ISBLANK(Log[[#This Row],[Item]]),"",_xlfn.XLOOKUP(Log[[#This Row],[Item]],Calories[Name],Calories[Sodium])*Log[[#This Row],[Qty]])</f>
        <v>135</v>
      </c>
      <c r="K77" s="71">
        <f>IF(ISBLANK(Log[[#This Row],[Item]]),"",_xlfn.XLOOKUP(Log[[#This Row],[Item]],Calories[Name],Calories[Protein])*Log[[#This Row],[Qty]])</f>
        <v>0</v>
      </c>
      <c r="L77" s="71">
        <f>IF(ISBLANK(Log[[#This Row],[Item]]),"",_xlfn.XLOOKUP(Log[[#This Row],[Item]],Calories[Name],Calories[Chol.])*Log[[#This Row],[Qty]])</f>
        <v>7.5</v>
      </c>
      <c r="M77" s="75"/>
      <c r="N77" s="75"/>
      <c r="O77" s="75"/>
    </row>
    <row r="78" spans="1:15" s="66" customFormat="1" ht="25.15" customHeight="1">
      <c r="A78" s="75"/>
      <c r="B78" s="98">
        <v>44809</v>
      </c>
      <c r="C78" s="78" t="s">
        <v>51</v>
      </c>
      <c r="D78" s="79">
        <f>1/8</f>
        <v>0.125</v>
      </c>
      <c r="E78" s="76" t="str">
        <f>IF(ISBLANK(Log[[#This Row],[Item]]),"",_xlfn.XLOOKUP(Log[[#This Row],[Item]],Calories[Name],Calories[Unit]))</f>
        <v>c</v>
      </c>
      <c r="F78" s="65">
        <f>IF(ISBLANK(Log[[#This Row],[Item]]),"",_xlfn.XLOOKUP(Log[[#This Row],[Item]],Calories[Name],Calories[Cals])*Log[[#This Row],[Qty]])</f>
        <v>5.7750000000000004</v>
      </c>
      <c r="G78" s="71">
        <f>IF(ISBLANK(Log[[#This Row],[Item]]),"",_xlfn.XLOOKUP(Log[[#This Row],[Item]],Calories[Name],Calories[Carbs])*Log[[#This Row],[Qty]])</f>
        <v>1.125</v>
      </c>
      <c r="H78" s="71">
        <f>IF(ISBLANK(Log[[#This Row],[Item]]),"",_xlfn.XLOOKUP(Log[[#This Row],[Item]],Calories[Name],Calories[Fibre])*Log[[#This Row],[Qty]])</f>
        <v>0.38750000000000001</v>
      </c>
      <c r="I78" s="71">
        <f>IF(ISBLANK(Log[[#This Row],[Item]]),"",(Log[[#This Row],[Carbs]]-Log[[#This Row],[Fibre]]))</f>
        <v>0.73750000000000004</v>
      </c>
      <c r="J78" s="103">
        <f>IF(ISBLANK(Log[[#This Row],[Item]]),"",_xlfn.XLOOKUP(Log[[#This Row],[Item]],Calories[Name],Calories[Sodium])*Log[[#This Row],[Qty]])</f>
        <v>0.75</v>
      </c>
      <c r="K78" s="71">
        <f>IF(ISBLANK(Log[[#This Row],[Item]]),"",_xlfn.XLOOKUP(Log[[#This Row],[Item]],Calories[Name],Calories[Protein])*Log[[#This Row],[Qty]])</f>
        <v>0.1875</v>
      </c>
      <c r="L78" s="71">
        <f>IF(ISBLANK(Log[[#This Row],[Item]]),"",_xlfn.XLOOKUP(Log[[#This Row],[Item]],Calories[Name],Calories[Chol.])*Log[[#This Row],[Qty]])</f>
        <v>0</v>
      </c>
      <c r="M78" s="75"/>
      <c r="N78" s="75"/>
      <c r="O78" s="75"/>
    </row>
    <row r="79" spans="1:15" s="66" customFormat="1" ht="25.15" customHeight="1">
      <c r="A79" s="75"/>
      <c r="B79" s="98">
        <v>44809</v>
      </c>
      <c r="C79" s="64" t="s">
        <v>12</v>
      </c>
      <c r="D79" s="79">
        <v>4</v>
      </c>
      <c r="E79" s="76" t="str">
        <f>IF(ISBLANK(Log[[#This Row],[Item]]),"",_xlfn.XLOOKUP(Log[[#This Row],[Item]],Calories[Name],Calories[Unit]))</f>
        <v>ea</v>
      </c>
      <c r="F79" s="65">
        <f>IF(ISBLANK(Log[[#This Row],[Item]]),"",_xlfn.XLOOKUP(Log[[#This Row],[Item]],Calories[Name],Calories[Cals])*Log[[#This Row],[Qty]])</f>
        <v>120</v>
      </c>
      <c r="G79" s="71">
        <f>IF(ISBLANK(Log[[#This Row],[Item]]),"",_xlfn.XLOOKUP(Log[[#This Row],[Item]],Calories[Name],Calories[Carbs])*Log[[#This Row],[Qty]])</f>
        <v>24</v>
      </c>
      <c r="H79" s="71">
        <f>IF(ISBLANK(Log[[#This Row],[Item]]),"",_xlfn.XLOOKUP(Log[[#This Row],[Item]],Calories[Name],Calories[Fibre])*Log[[#This Row],[Qty]])</f>
        <v>2</v>
      </c>
      <c r="I79" s="71">
        <f>IF(ISBLANK(Log[[#This Row],[Item]]),"",(Log[[#This Row],[Carbs]]-Log[[#This Row],[Fibre]]))</f>
        <v>22</v>
      </c>
      <c r="J79" s="103">
        <f>IF(ISBLANK(Log[[#This Row],[Item]]),"",_xlfn.XLOOKUP(Log[[#This Row],[Item]],Calories[Name],Calories[Sodium])*Log[[#This Row],[Qty]])</f>
        <v>55</v>
      </c>
      <c r="K79" s="71">
        <f>IF(ISBLANK(Log[[#This Row],[Item]]),"",_xlfn.XLOOKUP(Log[[#This Row],[Item]],Calories[Name],Calories[Protein])*Log[[#This Row],[Qty]])</f>
        <v>3</v>
      </c>
      <c r="L79" s="71">
        <f>IF(ISBLANK(Log[[#This Row],[Item]]),"",_xlfn.XLOOKUP(Log[[#This Row],[Item]],Calories[Name],Calories[Chol.])*Log[[#This Row],[Qty]])</f>
        <v>0</v>
      </c>
      <c r="M79" s="75"/>
      <c r="N79" s="75"/>
      <c r="O79" s="75"/>
    </row>
    <row r="80" spans="1:15" s="66" customFormat="1" ht="25.15" customHeight="1">
      <c r="A80" s="75"/>
      <c r="B80" s="98">
        <v>44809</v>
      </c>
      <c r="C80" s="78" t="s">
        <v>41</v>
      </c>
      <c r="D80" s="79">
        <v>140</v>
      </c>
      <c r="E80" s="76" t="str">
        <f>IF(ISBLANK(Log[[#This Row],[Item]]),"",_xlfn.XLOOKUP(Log[[#This Row],[Item]],Calories[Name],Calories[Unit]))</f>
        <v>g</v>
      </c>
      <c r="F80" s="65">
        <f>IF(ISBLANK(Log[[#This Row],[Item]]),"",_xlfn.XLOOKUP(Log[[#This Row],[Item]],Calories[Name],Calories[Cals])*Log[[#This Row],[Qty]])</f>
        <v>148.4</v>
      </c>
      <c r="G80" s="71">
        <f>IF(ISBLANK(Log[[#This Row],[Item]]),"",_xlfn.XLOOKUP(Log[[#This Row],[Item]],Calories[Name],Calories[Carbs])*Log[[#This Row],[Qty]])</f>
        <v>1.274</v>
      </c>
      <c r="H80" s="71">
        <f>IF(ISBLANK(Log[[#This Row],[Item]]),"",_xlfn.XLOOKUP(Log[[#This Row],[Item]],Calories[Name],Calories[Fibre])*Log[[#This Row],[Qty]])</f>
        <v>0</v>
      </c>
      <c r="I80" s="71">
        <f>IF(ISBLANK(Log[[#This Row],[Item]]),"",(Log[[#This Row],[Carbs]]-Log[[#This Row],[Fibre]]))</f>
        <v>1.274</v>
      </c>
      <c r="J80" s="103">
        <f>IF(ISBLANK(Log[[#This Row],[Item]]),"",_xlfn.XLOOKUP(Log[[#This Row],[Item]],Calories[Name],Calories[Sodium])*Log[[#This Row],[Qty]])</f>
        <v>207.2</v>
      </c>
      <c r="K80" s="71">
        <f>IF(ISBLANK(Log[[#This Row],[Item]]),"",_xlfn.XLOOKUP(Log[[#This Row],[Item]],Calories[Name],Calories[Protein])*Log[[#This Row],[Qty]])</f>
        <v>28.433999999999997</v>
      </c>
      <c r="L80" s="71">
        <f>IF(ISBLANK(Log[[#This Row],[Item]]),"",_xlfn.XLOOKUP(Log[[#This Row],[Item]],Calories[Name],Calories[Chol.])*Log[[#This Row],[Qty]])</f>
        <v>212.8</v>
      </c>
      <c r="M80" s="75"/>
      <c r="N80" s="75"/>
      <c r="O80" s="75"/>
    </row>
    <row r="81" spans="1:15" s="66" customFormat="1" ht="25.15" customHeight="1">
      <c r="A81" s="75"/>
      <c r="B81" s="98">
        <v>44809</v>
      </c>
      <c r="C81" s="78" t="s">
        <v>45</v>
      </c>
      <c r="D81" s="79">
        <v>3</v>
      </c>
      <c r="E81" s="76" t="str">
        <f>IF(ISBLANK(Log[[#This Row],[Item]]),"",_xlfn.XLOOKUP(Log[[#This Row],[Item]],Calories[Name],Calories[Unit]))</f>
        <v>pinch</v>
      </c>
      <c r="F81" s="65">
        <f>IF(ISBLANK(Log[[#This Row],[Item]]),"",_xlfn.XLOOKUP(Log[[#This Row],[Item]],Calories[Name],Calories[Cals])*Log[[#This Row],[Qty]])</f>
        <v>0</v>
      </c>
      <c r="G81" s="71">
        <f>IF(ISBLANK(Log[[#This Row],[Item]]),"",_xlfn.XLOOKUP(Log[[#This Row],[Item]],Calories[Name],Calories[Carbs])*Log[[#This Row],[Qty]])</f>
        <v>0</v>
      </c>
      <c r="H81" s="71">
        <f>IF(ISBLANK(Log[[#This Row],[Item]]),"",_xlfn.XLOOKUP(Log[[#This Row],[Item]],Calories[Name],Calories[Fibre])*Log[[#This Row],[Qty]])</f>
        <v>0</v>
      </c>
      <c r="I81" s="71">
        <f>IF(ISBLANK(Log[[#This Row],[Item]]),"",(Log[[#This Row],[Carbs]]-Log[[#This Row],[Fibre]]))</f>
        <v>0</v>
      </c>
      <c r="J81" s="103">
        <f>IF(ISBLANK(Log[[#This Row],[Item]]),"",_xlfn.XLOOKUP(Log[[#This Row],[Item]],Calories[Name],Calories[Sodium])*Log[[#This Row],[Qty]])</f>
        <v>418.58639999999997</v>
      </c>
      <c r="K81" s="71">
        <f>IF(ISBLANK(Log[[#This Row],[Item]]),"",_xlfn.XLOOKUP(Log[[#This Row],[Item]],Calories[Name],Calories[Protein])*Log[[#This Row],[Qty]])</f>
        <v>0</v>
      </c>
      <c r="L81" s="71">
        <f>IF(ISBLANK(Log[[#This Row],[Item]]),"",_xlfn.XLOOKUP(Log[[#This Row],[Item]],Calories[Name],Calories[Chol.])*Log[[#This Row],[Qty]])</f>
        <v>0</v>
      </c>
      <c r="M81" s="75"/>
      <c r="N81" s="75"/>
      <c r="O81" s="75"/>
    </row>
    <row r="82" spans="1:15" s="66" customFormat="1" ht="25.15" customHeight="1">
      <c r="A82" s="75"/>
      <c r="B82" s="98">
        <v>44809</v>
      </c>
      <c r="C82" s="78" t="s">
        <v>42</v>
      </c>
      <c r="D82" s="79">
        <v>1</v>
      </c>
      <c r="E82" s="76" t="str">
        <f>IF(ISBLANK(Log[[#This Row],[Item]]),"",_xlfn.XLOOKUP(Log[[#This Row],[Item]],Calories[Name],Calories[Unit]))</f>
        <v>c</v>
      </c>
      <c r="F82" s="65">
        <f>IF(ISBLANK(Log[[#This Row],[Item]]),"",_xlfn.XLOOKUP(Log[[#This Row],[Item]],Calories[Name],Calories[Cals])*Log[[#This Row],[Qty]])</f>
        <v>4</v>
      </c>
      <c r="G82" s="71">
        <f>IF(ISBLANK(Log[[#This Row],[Item]]),"",_xlfn.XLOOKUP(Log[[#This Row],[Item]],Calories[Name],Calories[Carbs])*Log[[#This Row],[Qty]])</f>
        <v>0.59</v>
      </c>
      <c r="H82" s="71">
        <f>IF(ISBLANK(Log[[#This Row],[Item]]),"",_xlfn.XLOOKUP(Log[[#This Row],[Item]],Calories[Name],Calories[Fibre])*Log[[#This Row],[Qty]])</f>
        <v>0.4</v>
      </c>
      <c r="I82" s="71">
        <f>IF(ISBLANK(Log[[#This Row],[Item]]),"",(Log[[#This Row],[Carbs]]-Log[[#This Row],[Fibre]]))</f>
        <v>0.18999999999999995</v>
      </c>
      <c r="J82" s="103">
        <f>IF(ISBLANK(Log[[#This Row],[Item]]),"",_xlfn.XLOOKUP(Log[[#This Row],[Item]],Calories[Name],Calories[Sodium])*Log[[#This Row],[Qty]])</f>
        <v>7</v>
      </c>
      <c r="K82" s="71">
        <f>IF(ISBLANK(Log[[#This Row],[Item]]),"",_xlfn.XLOOKUP(Log[[#This Row],[Item]],Calories[Name],Calories[Protein])*Log[[#This Row],[Qty]])</f>
        <v>0.34</v>
      </c>
      <c r="L82" s="71">
        <f>IF(ISBLANK(Log[[#This Row],[Item]]),"",_xlfn.XLOOKUP(Log[[#This Row],[Item]],Calories[Name],Calories[Chol.])*Log[[#This Row],[Qty]])</f>
        <v>0</v>
      </c>
      <c r="M82" s="75"/>
      <c r="N82" s="75"/>
      <c r="O82" s="75"/>
    </row>
    <row r="83" spans="1:15" s="66" customFormat="1" ht="25.15" customHeight="1">
      <c r="A83" s="75"/>
      <c r="B83" s="98">
        <v>44809</v>
      </c>
      <c r="C83" s="78" t="s">
        <v>44</v>
      </c>
      <c r="D83" s="79">
        <v>2</v>
      </c>
      <c r="E83" s="76" t="str">
        <f>IF(ISBLANK(Log[[#This Row],[Item]]),"",_xlfn.XLOOKUP(Log[[#This Row],[Item]],Calories[Name],Calories[Unit]))</f>
        <v>ea</v>
      </c>
      <c r="F83" s="65">
        <f>IF(ISBLANK(Log[[#This Row],[Item]]),"",_xlfn.XLOOKUP(Log[[#This Row],[Item]],Calories[Name],Calories[Cals])*Log[[#This Row],[Qty]])</f>
        <v>80</v>
      </c>
      <c r="G83" s="71">
        <f>IF(ISBLANK(Log[[#This Row],[Item]]),"",_xlfn.XLOOKUP(Log[[#This Row],[Item]],Calories[Name],Calories[Carbs])*Log[[#This Row],[Qty]])</f>
        <v>12</v>
      </c>
      <c r="H83" s="71">
        <f>IF(ISBLANK(Log[[#This Row],[Item]]),"",_xlfn.XLOOKUP(Log[[#This Row],[Item]],Calories[Name],Calories[Fibre])*Log[[#This Row],[Qty]])</f>
        <v>4</v>
      </c>
      <c r="I83" s="71">
        <f>IF(ISBLANK(Log[[#This Row],[Item]]),"",(Log[[#This Row],[Carbs]]-Log[[#This Row],[Fibre]]))</f>
        <v>8</v>
      </c>
      <c r="J83" s="103">
        <f>IF(ISBLANK(Log[[#This Row],[Item]]),"",_xlfn.XLOOKUP(Log[[#This Row],[Item]],Calories[Name],Calories[Sodium])*Log[[#This Row],[Qty]])</f>
        <v>40</v>
      </c>
      <c r="K83" s="71">
        <f>IF(ISBLANK(Log[[#This Row],[Item]]),"",_xlfn.XLOOKUP(Log[[#This Row],[Item]],Calories[Name],Calories[Protein])*Log[[#This Row],[Qty]])</f>
        <v>3</v>
      </c>
      <c r="L83" s="71">
        <f>IF(ISBLANK(Log[[#This Row],[Item]]),"",_xlfn.XLOOKUP(Log[[#This Row],[Item]],Calories[Name],Calories[Chol.])*Log[[#This Row],[Qty]])</f>
        <v>0</v>
      </c>
      <c r="M83" s="75"/>
      <c r="N83" s="75"/>
      <c r="O83" s="75"/>
    </row>
    <row r="84" spans="1:15" s="66" customFormat="1" ht="25.15" customHeight="1">
      <c r="A84" s="75"/>
      <c r="B84" s="98">
        <v>44809</v>
      </c>
      <c r="C84" s="78" t="s">
        <v>47</v>
      </c>
      <c r="D84" s="79">
        <v>1</v>
      </c>
      <c r="E84" s="76" t="str">
        <f>IF(ISBLANK(Log[[#This Row],[Item]]),"",_xlfn.XLOOKUP(Log[[#This Row],[Item]],Calories[Name],Calories[Unit]))</f>
        <v>can</v>
      </c>
      <c r="F84" s="65">
        <f>IF(ISBLANK(Log[[#This Row],[Item]]),"",_xlfn.XLOOKUP(Log[[#This Row],[Item]],Calories[Name],Calories[Cals])*Log[[#This Row],[Qty]])</f>
        <v>130</v>
      </c>
      <c r="G84" s="71">
        <f>IF(ISBLANK(Log[[#This Row],[Item]]),"",_xlfn.XLOOKUP(Log[[#This Row],[Item]],Calories[Name],Calories[Carbs])*Log[[#This Row],[Qty]])</f>
        <v>2</v>
      </c>
      <c r="H84" s="71">
        <f>IF(ISBLANK(Log[[#This Row],[Item]]),"",_xlfn.XLOOKUP(Log[[#This Row],[Item]],Calories[Name],Calories[Fibre])*Log[[#This Row],[Qty]])</f>
        <v>0</v>
      </c>
      <c r="I84" s="71">
        <f>IF(ISBLANK(Log[[#This Row],[Item]]),"",(Log[[#This Row],[Carbs]]-Log[[#This Row],[Fibre]]))</f>
        <v>2</v>
      </c>
      <c r="J84" s="103">
        <f>IF(ISBLANK(Log[[#This Row],[Item]]),"",_xlfn.XLOOKUP(Log[[#This Row],[Item]],Calories[Name],Calories[Sodium])*Log[[#This Row],[Qty]])</f>
        <v>210</v>
      </c>
      <c r="K84" s="71">
        <f>IF(ISBLANK(Log[[#This Row],[Item]]),"",_xlfn.XLOOKUP(Log[[#This Row],[Item]],Calories[Name],Calories[Protein])*Log[[#This Row],[Qty]])</f>
        <v>13</v>
      </c>
      <c r="L84" s="71">
        <f>IF(ISBLANK(Log[[#This Row],[Item]]),"",_xlfn.XLOOKUP(Log[[#This Row],[Item]],Calories[Name],Calories[Chol.])*Log[[#This Row],[Qty]])</f>
        <v>75</v>
      </c>
      <c r="M84" s="75"/>
      <c r="N84" s="75"/>
      <c r="O84" s="75"/>
    </row>
    <row r="85" spans="1:15" s="66" customFormat="1" ht="25.15" customHeight="1">
      <c r="A85" s="75"/>
      <c r="B85" s="98">
        <v>44809</v>
      </c>
      <c r="C85" s="78" t="s">
        <v>28</v>
      </c>
      <c r="D85" s="79">
        <v>35</v>
      </c>
      <c r="E85" s="76" t="str">
        <f>IF(ISBLANK(Log[[#This Row],[Item]]),"",_xlfn.XLOOKUP(Log[[#This Row],[Item]],Calories[Name],Calories[Unit]))</f>
        <v>g</v>
      </c>
      <c r="F85" s="65">
        <f>IF(ISBLANK(Log[[#This Row],[Item]]),"",_xlfn.XLOOKUP(Log[[#This Row],[Item]],Calories[Name],Calories[Cals])*Log[[#This Row],[Qty]])</f>
        <v>93.333333333333329</v>
      </c>
      <c r="G85" s="71">
        <f>IF(ISBLANK(Log[[#This Row],[Item]]),"",_xlfn.XLOOKUP(Log[[#This Row],[Item]],Calories[Name],Calories[Carbs])*Log[[#This Row],[Qty]])</f>
        <v>0</v>
      </c>
      <c r="H85" s="71">
        <f>IF(ISBLANK(Log[[#This Row],[Item]]),"",_xlfn.XLOOKUP(Log[[#This Row],[Item]],Calories[Name],Calories[Fibre])*Log[[#This Row],[Qty]])</f>
        <v>0</v>
      </c>
      <c r="I85" s="71">
        <f>IF(ISBLANK(Log[[#This Row],[Item]]),"",(Log[[#This Row],[Carbs]]-Log[[#This Row],[Fibre]]))</f>
        <v>0</v>
      </c>
      <c r="J85" s="103">
        <f>IF(ISBLANK(Log[[#This Row],[Item]]),"",_xlfn.XLOOKUP(Log[[#This Row],[Item]],Calories[Name],Calories[Sodium])*Log[[#This Row],[Qty]])</f>
        <v>665</v>
      </c>
      <c r="K85" s="71">
        <f>IF(ISBLANK(Log[[#This Row],[Item]]),"",_xlfn.XLOOKUP(Log[[#This Row],[Item]],Calories[Name],Calories[Protein])*Log[[#This Row],[Qty]])</f>
        <v>18.666666666666668</v>
      </c>
      <c r="L85" s="71">
        <f>IF(ISBLANK(Log[[#This Row],[Item]]),"",_xlfn.XLOOKUP(Log[[#This Row],[Item]],Calories[Name],Calories[Chol.])*Log[[#This Row],[Qty]])</f>
        <v>46.666666666666664</v>
      </c>
      <c r="M85" s="75"/>
      <c r="N85" s="75"/>
      <c r="O85" s="75"/>
    </row>
    <row r="86" spans="1:15" s="66" customFormat="1" ht="25.15" customHeight="1">
      <c r="A86" s="75"/>
      <c r="B86" s="98">
        <v>44809</v>
      </c>
      <c r="C86" s="78" t="s">
        <v>26</v>
      </c>
      <c r="D86" s="79">
        <v>100</v>
      </c>
      <c r="E86" s="76" t="str">
        <f>IF(ISBLANK(Log[[#This Row],[Item]]),"",_xlfn.XLOOKUP(Log[[#This Row],[Item]],Calories[Name],Calories[Unit]))</f>
        <v>g</v>
      </c>
      <c r="F86" s="65">
        <f>IF(ISBLANK(Log[[#This Row],[Item]]),"",_xlfn.XLOOKUP(Log[[#This Row],[Item]],Calories[Name],Calories[Cals])*Log[[#This Row],[Qty]])</f>
        <v>640</v>
      </c>
      <c r="G86" s="71">
        <f>IF(ISBLANK(Log[[#This Row],[Item]]),"",_xlfn.XLOOKUP(Log[[#This Row],[Item]],Calories[Name],Calories[Carbs])*Log[[#This Row],[Qty]])</f>
        <v>28.000000000000004</v>
      </c>
      <c r="H86" s="71">
        <f>IF(ISBLANK(Log[[#This Row],[Item]]),"",_xlfn.XLOOKUP(Log[[#This Row],[Item]],Calories[Name],Calories[Fibre])*Log[[#This Row],[Qty]])</f>
        <v>6</v>
      </c>
      <c r="I86" s="71">
        <f>IF(ISBLANK(Log[[#This Row],[Item]]),"",(Log[[#This Row],[Carbs]]-Log[[#This Row],[Fibre]]))</f>
        <v>22.000000000000004</v>
      </c>
      <c r="J86" s="103">
        <f>IF(ISBLANK(Log[[#This Row],[Item]]),"",_xlfn.XLOOKUP(Log[[#This Row],[Item]],Calories[Name],Calories[Sodium])*Log[[#This Row],[Qty]])</f>
        <v>140</v>
      </c>
      <c r="K86" s="71">
        <f>IF(ISBLANK(Log[[#This Row],[Item]]),"",_xlfn.XLOOKUP(Log[[#This Row],[Item]],Calories[Name],Calories[Protein])*Log[[#This Row],[Qty]])</f>
        <v>18</v>
      </c>
      <c r="L86" s="71">
        <f>IF(ISBLANK(Log[[#This Row],[Item]]),"",_xlfn.XLOOKUP(Log[[#This Row],[Item]],Calories[Name],Calories[Chol.])*Log[[#This Row],[Qty]])</f>
        <v>0</v>
      </c>
      <c r="M86" s="75"/>
      <c r="N86" s="75"/>
      <c r="O86" s="75"/>
    </row>
    <row r="87" spans="1:15" s="66" customFormat="1" ht="25.15" customHeight="1">
      <c r="A87" s="75"/>
      <c r="B87" s="96">
        <v>44810</v>
      </c>
      <c r="C87" s="97" t="s">
        <v>28</v>
      </c>
      <c r="D87" s="79">
        <v>35</v>
      </c>
      <c r="E87" s="76" t="str">
        <f>IF(ISBLANK(Log[[#This Row],[Item]]),"",_xlfn.XLOOKUP(Log[[#This Row],[Item]],Calories[Name],Calories[Unit]))</f>
        <v>g</v>
      </c>
      <c r="F87" s="65">
        <f>IF(ISBLANK(Log[[#This Row],[Item]]),"",_xlfn.XLOOKUP(Log[[#This Row],[Item]],Calories[Name],Calories[Cals])*Log[[#This Row],[Qty]])</f>
        <v>93.333333333333329</v>
      </c>
      <c r="G87" s="71">
        <f>IF(ISBLANK(Log[[#This Row],[Item]]),"",_xlfn.XLOOKUP(Log[[#This Row],[Item]],Calories[Name],Calories[Carbs])*Log[[#This Row],[Qty]])</f>
        <v>0</v>
      </c>
      <c r="H87" s="71">
        <f>IF(ISBLANK(Log[[#This Row],[Item]]),"",_xlfn.XLOOKUP(Log[[#This Row],[Item]],Calories[Name],Calories[Fibre])*Log[[#This Row],[Qty]])</f>
        <v>0</v>
      </c>
      <c r="I87" s="71">
        <f>IF(ISBLANK(Log[[#This Row],[Item]]),"",(Log[[#This Row],[Carbs]]-Log[[#This Row],[Fibre]]))</f>
        <v>0</v>
      </c>
      <c r="J87" s="103">
        <f>IF(ISBLANK(Log[[#This Row],[Item]]),"",_xlfn.XLOOKUP(Log[[#This Row],[Item]],Calories[Name],Calories[Sodium])*Log[[#This Row],[Qty]])</f>
        <v>665</v>
      </c>
      <c r="K87" s="71">
        <f>IF(ISBLANK(Log[[#This Row],[Item]]),"",_xlfn.XLOOKUP(Log[[#This Row],[Item]],Calories[Name],Calories[Protein])*Log[[#This Row],[Qty]])</f>
        <v>18.666666666666668</v>
      </c>
      <c r="L87" s="71">
        <f>IF(ISBLANK(Log[[#This Row],[Item]]),"",_xlfn.XLOOKUP(Log[[#This Row],[Item]],Calories[Name],Calories[Chol.])*Log[[#This Row],[Qty]])</f>
        <v>46.666666666666664</v>
      </c>
      <c r="M87" s="75"/>
      <c r="N87" s="75"/>
      <c r="O87" s="75"/>
    </row>
    <row r="88" spans="1:15" s="66" customFormat="1" ht="25.15" customHeight="1">
      <c r="A88" s="75"/>
      <c r="B88" s="96">
        <v>44810</v>
      </c>
      <c r="C88" s="78" t="s">
        <v>52</v>
      </c>
      <c r="D88" s="79">
        <v>1</v>
      </c>
      <c r="E88" s="76" t="str">
        <f>IF(ISBLANK(Log[[#This Row],[Item]]),"",_xlfn.XLOOKUP(Log[[#This Row],[Item]],Calories[Name],Calories[Unit]))</f>
        <v>ea</v>
      </c>
      <c r="F88" s="65">
        <f>IF(ISBLANK(Log[[#This Row],[Item]]),"",_xlfn.XLOOKUP(Log[[#This Row],[Item]],Calories[Name],Calories[Cals])*Log[[#This Row],[Qty]])</f>
        <v>0</v>
      </c>
      <c r="G88" s="71">
        <f>IF(ISBLANK(Log[[#This Row],[Item]]),"",_xlfn.XLOOKUP(Log[[#This Row],[Item]],Calories[Name],Calories[Carbs])*Log[[#This Row],[Qty]])</f>
        <v>0</v>
      </c>
      <c r="H88" s="71">
        <f>IF(ISBLANK(Log[[#This Row],[Item]]),"",_xlfn.XLOOKUP(Log[[#This Row],[Item]],Calories[Name],Calories[Fibre])*Log[[#This Row],[Qty]])</f>
        <v>0</v>
      </c>
      <c r="I88" s="71">
        <f>IF(ISBLANK(Log[[#This Row],[Item]]),"",(Log[[#This Row],[Carbs]]-Log[[#This Row],[Fibre]]))</f>
        <v>0</v>
      </c>
      <c r="J88" s="103">
        <f>IF(ISBLANK(Log[[#This Row],[Item]]),"",_xlfn.XLOOKUP(Log[[#This Row],[Item]],Calories[Name],Calories[Sodium])*Log[[#This Row],[Qty]])</f>
        <v>0</v>
      </c>
      <c r="K88" s="71">
        <f>IF(ISBLANK(Log[[#This Row],[Item]]),"",_xlfn.XLOOKUP(Log[[#This Row],[Item]],Calories[Name],Calories[Protein])*Log[[#This Row],[Qty]])</f>
        <v>0</v>
      </c>
      <c r="L88" s="71">
        <f>IF(ISBLANK(Log[[#This Row],[Item]]),"",_xlfn.XLOOKUP(Log[[#This Row],[Item]],Calories[Name],Calories[Chol.])*Log[[#This Row],[Qty]])</f>
        <v>0</v>
      </c>
      <c r="M88" s="75"/>
      <c r="N88" s="75"/>
      <c r="O88" s="75"/>
    </row>
    <row r="89" spans="1:15" s="66" customFormat="1" ht="25.15" customHeight="1">
      <c r="A89" s="75"/>
      <c r="B89" s="96">
        <v>44810</v>
      </c>
      <c r="C89" s="78" t="s">
        <v>53</v>
      </c>
      <c r="D89" s="79">
        <v>1</v>
      </c>
      <c r="E89" s="76" t="str">
        <f>IF(ISBLANK(Log[[#This Row],[Item]]),"",_xlfn.XLOOKUP(Log[[#This Row],[Item]],Calories[Name],Calories[Unit]))</f>
        <v>ea</v>
      </c>
      <c r="F89" s="65">
        <f>IF(ISBLANK(Log[[#This Row],[Item]]),"",_xlfn.XLOOKUP(Log[[#This Row],[Item]],Calories[Name],Calories[Cals])*Log[[#This Row],[Qty]])</f>
        <v>0</v>
      </c>
      <c r="G89" s="71">
        <f>IF(ISBLANK(Log[[#This Row],[Item]]),"",_xlfn.XLOOKUP(Log[[#This Row],[Item]],Calories[Name],Calories[Carbs])*Log[[#This Row],[Qty]])</f>
        <v>0</v>
      </c>
      <c r="H89" s="71">
        <f>IF(ISBLANK(Log[[#This Row],[Item]]),"",_xlfn.XLOOKUP(Log[[#This Row],[Item]],Calories[Name],Calories[Fibre])*Log[[#This Row],[Qty]])</f>
        <v>0</v>
      </c>
      <c r="I89" s="71">
        <f>IF(ISBLANK(Log[[#This Row],[Item]]),"",(Log[[#This Row],[Carbs]]-Log[[#This Row],[Fibre]]))</f>
        <v>0</v>
      </c>
      <c r="J89" s="103">
        <f>IF(ISBLANK(Log[[#This Row],[Item]]),"",_xlfn.XLOOKUP(Log[[#This Row],[Item]],Calories[Name],Calories[Sodium])*Log[[#This Row],[Qty]])</f>
        <v>0</v>
      </c>
      <c r="K89" s="71">
        <f>IF(ISBLANK(Log[[#This Row],[Item]]),"",_xlfn.XLOOKUP(Log[[#This Row],[Item]],Calories[Name],Calories[Protein])*Log[[#This Row],[Qty]])</f>
        <v>0</v>
      </c>
      <c r="L89" s="71">
        <f>IF(ISBLANK(Log[[#This Row],[Item]]),"",_xlfn.XLOOKUP(Log[[#This Row],[Item]],Calories[Name],Calories[Chol.])*Log[[#This Row],[Qty]])</f>
        <v>0</v>
      </c>
      <c r="M89" s="75"/>
      <c r="N89" s="75"/>
      <c r="O89" s="75"/>
    </row>
    <row r="90" spans="1:15" s="66" customFormat="1" ht="25.15" customHeight="1">
      <c r="A90" s="75"/>
      <c r="B90" s="96">
        <v>44810</v>
      </c>
      <c r="C90" s="78" t="s">
        <v>54</v>
      </c>
      <c r="D90" s="79">
        <v>1</v>
      </c>
      <c r="E90" s="76" t="str">
        <f>IF(ISBLANK(Log[[#This Row],[Item]]),"",_xlfn.XLOOKUP(Log[[#This Row],[Item]],Calories[Name],Calories[Unit]))</f>
        <v>ea</v>
      </c>
      <c r="F90" s="65">
        <f>IF(ISBLANK(Log[[#This Row],[Item]]),"",_xlfn.XLOOKUP(Log[[#This Row],[Item]],Calories[Name],Calories[Cals])*Log[[#This Row],[Qty]])</f>
        <v>0</v>
      </c>
      <c r="G90" s="71">
        <f>IF(ISBLANK(Log[[#This Row],[Item]]),"",_xlfn.XLOOKUP(Log[[#This Row],[Item]],Calories[Name],Calories[Carbs])*Log[[#This Row],[Qty]])</f>
        <v>0</v>
      </c>
      <c r="H90" s="71">
        <f>IF(ISBLANK(Log[[#This Row],[Item]]),"",_xlfn.XLOOKUP(Log[[#This Row],[Item]],Calories[Name],Calories[Fibre])*Log[[#This Row],[Qty]])</f>
        <v>0</v>
      </c>
      <c r="I90" s="71">
        <f>IF(ISBLANK(Log[[#This Row],[Item]]),"",(Log[[#This Row],[Carbs]]-Log[[#This Row],[Fibre]]))</f>
        <v>0</v>
      </c>
      <c r="J90" s="103">
        <f>IF(ISBLANK(Log[[#This Row],[Item]]),"",_xlfn.XLOOKUP(Log[[#This Row],[Item]],Calories[Name],Calories[Sodium])*Log[[#This Row],[Qty]])</f>
        <v>0</v>
      </c>
      <c r="K90" s="71">
        <f>IF(ISBLANK(Log[[#This Row],[Item]]),"",_xlfn.XLOOKUP(Log[[#This Row],[Item]],Calories[Name],Calories[Protein])*Log[[#This Row],[Qty]])</f>
        <v>0</v>
      </c>
      <c r="L90" s="71">
        <f>IF(ISBLANK(Log[[#This Row],[Item]]),"",_xlfn.XLOOKUP(Log[[#This Row],[Item]],Calories[Name],Calories[Chol.])*Log[[#This Row],[Qty]])</f>
        <v>0</v>
      </c>
      <c r="M90" s="75"/>
      <c r="N90" s="75"/>
      <c r="O90" s="75"/>
    </row>
    <row r="91" spans="1:15" s="66" customFormat="1" ht="25.15" customHeight="1">
      <c r="A91" s="75"/>
      <c r="B91" s="96">
        <v>44810</v>
      </c>
      <c r="C91" s="78" t="s">
        <v>55</v>
      </c>
      <c r="D91" s="79">
        <v>1</v>
      </c>
      <c r="E91" s="76" t="str">
        <f>IF(ISBLANK(Log[[#This Row],[Item]]),"",_xlfn.XLOOKUP(Log[[#This Row],[Item]],Calories[Name],Calories[Unit]))</f>
        <v>ea</v>
      </c>
      <c r="F91" s="65">
        <f>IF(ISBLANK(Log[[#This Row],[Item]]),"",_xlfn.XLOOKUP(Log[[#This Row],[Item]],Calories[Name],Calories[Cals])*Log[[#This Row],[Qty]])</f>
        <v>0</v>
      </c>
      <c r="G91" s="71">
        <f>IF(ISBLANK(Log[[#This Row],[Item]]),"",_xlfn.XLOOKUP(Log[[#This Row],[Item]],Calories[Name],Calories[Carbs])*Log[[#This Row],[Qty]])</f>
        <v>0</v>
      </c>
      <c r="H91" s="71">
        <f>IF(ISBLANK(Log[[#This Row],[Item]]),"",_xlfn.XLOOKUP(Log[[#This Row],[Item]],Calories[Name],Calories[Fibre])*Log[[#This Row],[Qty]])</f>
        <v>0</v>
      </c>
      <c r="I91" s="71">
        <f>IF(ISBLANK(Log[[#This Row],[Item]]),"",(Log[[#This Row],[Carbs]]-Log[[#This Row],[Fibre]]))</f>
        <v>0</v>
      </c>
      <c r="J91" s="103">
        <f>IF(ISBLANK(Log[[#This Row],[Item]]),"",_xlfn.XLOOKUP(Log[[#This Row],[Item]],Calories[Name],Calories[Sodium])*Log[[#This Row],[Qty]])</f>
        <v>0</v>
      </c>
      <c r="K91" s="71">
        <f>IF(ISBLANK(Log[[#This Row],[Item]]),"",_xlfn.XLOOKUP(Log[[#This Row],[Item]],Calories[Name],Calories[Protein])*Log[[#This Row],[Qty]])</f>
        <v>0</v>
      </c>
      <c r="L91" s="71">
        <f>IF(ISBLANK(Log[[#This Row],[Item]]),"",_xlfn.XLOOKUP(Log[[#This Row],[Item]],Calories[Name],Calories[Chol.])*Log[[#This Row],[Qty]])</f>
        <v>0</v>
      </c>
      <c r="M91" s="75"/>
      <c r="N91" s="75"/>
      <c r="O91" s="75"/>
    </row>
    <row r="92" spans="1:15" s="66" customFormat="1" ht="25.15" customHeight="1">
      <c r="A92" s="75"/>
      <c r="B92" s="96">
        <v>44810</v>
      </c>
      <c r="C92" s="78" t="s">
        <v>56</v>
      </c>
      <c r="D92" s="79">
        <v>1</v>
      </c>
      <c r="E92" s="76" t="str">
        <f>IF(ISBLANK(Log[[#This Row],[Item]]),"",_xlfn.XLOOKUP(Log[[#This Row],[Item]],Calories[Name],Calories[Unit]))</f>
        <v>ea</v>
      </c>
      <c r="F92" s="65">
        <f>IF(ISBLANK(Log[[#This Row],[Item]]),"",_xlfn.XLOOKUP(Log[[#This Row],[Item]],Calories[Name],Calories[Cals])*Log[[#This Row],[Qty]])</f>
        <v>272.64</v>
      </c>
      <c r="G92" s="71">
        <f>IF(ISBLANK(Log[[#This Row],[Item]]),"",_xlfn.XLOOKUP(Log[[#This Row],[Item]],Calories[Name],Calories[Carbs])*Log[[#This Row],[Qty]])</f>
        <v>18.176000000000002</v>
      </c>
      <c r="H92" s="71">
        <f>IF(ISBLANK(Log[[#This Row],[Item]]),"",_xlfn.XLOOKUP(Log[[#This Row],[Item]],Calories[Name],Calories[Fibre])*Log[[#This Row],[Qty]])</f>
        <v>2.2720000000000002</v>
      </c>
      <c r="I92" s="71">
        <f>IF(ISBLANK(Log[[#This Row],[Item]]),"",(Log[[#This Row],[Carbs]]-Log[[#This Row],[Fibre]]))</f>
        <v>15.904000000000002</v>
      </c>
      <c r="J92" s="71">
        <f>IF(ISBLANK(Log[[#This Row],[Item]]),"",_xlfn.XLOOKUP(Log[[#This Row],[Item]],Calories[Name],Calories[Sodium])*Log[[#This Row],[Qty]])</f>
        <v>1931.2</v>
      </c>
      <c r="K92" s="71">
        <f>IF(ISBLANK(Log[[#This Row],[Item]]),"",_xlfn.XLOOKUP(Log[[#This Row],[Item]],Calories[Name],Calories[Protein])*Log[[#This Row],[Qty]])</f>
        <v>4.5440000000000005</v>
      </c>
      <c r="L92" s="71">
        <f>IF(ISBLANK(Log[[#This Row],[Item]]),"",_xlfn.XLOOKUP(Log[[#This Row],[Item]],Calories[Name],Calories[Chol.])*Log[[#This Row],[Qty]])</f>
        <v>11.36</v>
      </c>
      <c r="M92" s="75"/>
      <c r="N92" s="75"/>
      <c r="O92" s="75"/>
    </row>
    <row r="93" spans="1:15" s="66" customFormat="1" ht="25.15" customHeight="1">
      <c r="A93" s="75"/>
      <c r="B93" s="96">
        <v>44810</v>
      </c>
      <c r="C93" s="78" t="s">
        <v>57</v>
      </c>
      <c r="D93" s="79">
        <f>284/4</f>
        <v>71</v>
      </c>
      <c r="E93" s="76" t="str">
        <f>IF(ISBLANK(Log[[#This Row],[Item]]),"",_xlfn.XLOOKUP(Log[[#This Row],[Item]],Calories[Name],Calories[Unit]))</f>
        <v>mL</v>
      </c>
      <c r="F93" s="65">
        <f>IF(ISBLANK(Log[[#This Row],[Item]]),"",_xlfn.XLOOKUP(Log[[#This Row],[Item]],Calories[Name],Calories[Cals])*Log[[#This Row],[Qty]])</f>
        <v>101.53</v>
      </c>
      <c r="G93" s="71">
        <f>IF(ISBLANK(Log[[#This Row],[Item]]),"",_xlfn.XLOOKUP(Log[[#This Row],[Item]],Calories[Name],Calories[Carbs])*Log[[#This Row],[Qty]])</f>
        <v>7.5899000000000001</v>
      </c>
      <c r="H93" s="71">
        <f>IF(ISBLANK(Log[[#This Row],[Item]]),"",_xlfn.XLOOKUP(Log[[#This Row],[Item]],Calories[Name],Calories[Fibre])*Log[[#This Row],[Qty]])</f>
        <v>0</v>
      </c>
      <c r="I93" s="71">
        <f>IF(ISBLANK(Log[[#This Row],[Item]]),"",(Log[[#This Row],[Carbs]]-Log[[#This Row],[Fibre]]))</f>
        <v>7.5899000000000001</v>
      </c>
      <c r="J93" s="103">
        <f>IF(ISBLANK(Log[[#This Row],[Item]]),"",_xlfn.XLOOKUP(Log[[#This Row],[Item]],Calories[Name],Calories[Sodium])*Log[[#This Row],[Qty]])</f>
        <v>80.22999999999999</v>
      </c>
      <c r="K93" s="71">
        <f>IF(ISBLANK(Log[[#This Row],[Item]]),"",_xlfn.XLOOKUP(Log[[#This Row],[Item]],Calories[Name],Calories[Protein])*Log[[#This Row],[Qty]])</f>
        <v>5.1475</v>
      </c>
      <c r="L93" s="71">
        <f>IF(ISBLANK(Log[[#This Row],[Item]]),"",_xlfn.XLOOKUP(Log[[#This Row],[Item]],Calories[Name],Calories[Chol.])*Log[[#This Row],[Qty]])</f>
        <v>22.01</v>
      </c>
      <c r="M93" s="75"/>
      <c r="N93" s="75"/>
      <c r="O93" s="75"/>
    </row>
    <row r="94" spans="1:15" s="66" customFormat="1" ht="25.15" customHeight="1">
      <c r="A94" s="75"/>
      <c r="B94" s="96">
        <v>44810</v>
      </c>
      <c r="C94" s="78" t="s">
        <v>58</v>
      </c>
      <c r="D94" s="79">
        <v>0.5</v>
      </c>
      <c r="E94" s="76" t="str">
        <f>IF(ISBLANK(Log[[#This Row],[Item]]),"",_xlfn.XLOOKUP(Log[[#This Row],[Item]],Calories[Name],Calories[Unit]))</f>
        <v>tbsp</v>
      </c>
      <c r="F94" s="65">
        <f>IF(ISBLANK(Log[[#This Row],[Item]]),"",_xlfn.XLOOKUP(Log[[#This Row],[Item]],Calories[Name],Calories[Cals])*Log[[#This Row],[Qty]])</f>
        <v>1.6</v>
      </c>
      <c r="G94" s="71">
        <f>IF(ISBLANK(Log[[#This Row],[Item]]),"",_xlfn.XLOOKUP(Log[[#This Row],[Item]],Calories[Name],Calories[Carbs])*Log[[#This Row],[Qty]])</f>
        <v>0.5</v>
      </c>
      <c r="H94" s="71">
        <f>IF(ISBLANK(Log[[#This Row],[Item]]),"",_xlfn.XLOOKUP(Log[[#This Row],[Item]],Calories[Name],Calories[Fibre])*Log[[#This Row],[Qty]])</f>
        <v>0</v>
      </c>
      <c r="I94" s="71">
        <f>IF(ISBLANK(Log[[#This Row],[Item]]),"",(Log[[#This Row],[Carbs]]-Log[[#This Row],[Fibre]]))</f>
        <v>0.5</v>
      </c>
      <c r="J94" s="103">
        <f>IF(ISBLANK(Log[[#This Row],[Item]]),"",_xlfn.XLOOKUP(Log[[#This Row],[Item]],Calories[Name],Calories[Sodium])*Log[[#This Row],[Qty]])</f>
        <v>1.6</v>
      </c>
      <c r="K94" s="71">
        <f>IF(ISBLANK(Log[[#This Row],[Item]]),"",_xlfn.XLOOKUP(Log[[#This Row],[Item]],Calories[Name],Calories[Protein])*Log[[#This Row],[Qty]])</f>
        <v>0.05</v>
      </c>
      <c r="L94" s="71">
        <f>IF(ISBLANK(Log[[#This Row],[Item]]),"",_xlfn.XLOOKUP(Log[[#This Row],[Item]],Calories[Name],Calories[Chol.])*Log[[#This Row],[Qty]])</f>
        <v>0</v>
      </c>
      <c r="M94" s="75"/>
      <c r="N94" s="75"/>
      <c r="O94" s="75"/>
    </row>
    <row r="95" spans="1:15" s="66" customFormat="1" ht="25.15" customHeight="1">
      <c r="A95" s="75"/>
      <c r="B95" s="96">
        <v>44810</v>
      </c>
      <c r="C95" s="78" t="s">
        <v>41</v>
      </c>
      <c r="D95" s="79">
        <v>158</v>
      </c>
      <c r="E95" s="76" t="str">
        <f>IF(ISBLANK(Log[[#This Row],[Item]]),"",_xlfn.XLOOKUP(Log[[#This Row],[Item]],Calories[Name],Calories[Unit]))</f>
        <v>g</v>
      </c>
      <c r="F95" s="65">
        <f>IF(ISBLANK(Log[[#This Row],[Item]]),"",_xlfn.XLOOKUP(Log[[#This Row],[Item]],Calories[Name],Calories[Cals])*Log[[#This Row],[Qty]])</f>
        <v>167.48000000000002</v>
      </c>
      <c r="G95" s="71">
        <f>IF(ISBLANK(Log[[#This Row],[Item]]),"",_xlfn.XLOOKUP(Log[[#This Row],[Item]],Calories[Name],Calories[Carbs])*Log[[#This Row],[Qty]])</f>
        <v>1.4378</v>
      </c>
      <c r="H95" s="71">
        <f>IF(ISBLANK(Log[[#This Row],[Item]]),"",_xlfn.XLOOKUP(Log[[#This Row],[Item]],Calories[Name],Calories[Fibre])*Log[[#This Row],[Qty]])</f>
        <v>0</v>
      </c>
      <c r="I95" s="71">
        <f>IF(ISBLANK(Log[[#This Row],[Item]]),"",(Log[[#This Row],[Carbs]]-Log[[#This Row],[Fibre]]))</f>
        <v>1.4378</v>
      </c>
      <c r="J95" s="103">
        <f>IF(ISBLANK(Log[[#This Row],[Item]]),"",_xlfn.XLOOKUP(Log[[#This Row],[Item]],Calories[Name],Calories[Sodium])*Log[[#This Row],[Qty]])</f>
        <v>233.84</v>
      </c>
      <c r="K95" s="71">
        <f>IF(ISBLANK(Log[[#This Row],[Item]]),"",_xlfn.XLOOKUP(Log[[#This Row],[Item]],Calories[Name],Calories[Protein])*Log[[#This Row],[Qty]])</f>
        <v>32.089799999999997</v>
      </c>
      <c r="L95" s="71">
        <f>IF(ISBLANK(Log[[#This Row],[Item]]),"",_xlfn.XLOOKUP(Log[[#This Row],[Item]],Calories[Name],Calories[Chol.])*Log[[#This Row],[Qty]])</f>
        <v>240.16</v>
      </c>
      <c r="M95" s="75"/>
      <c r="N95" s="75"/>
      <c r="O95" s="75"/>
    </row>
    <row r="96" spans="1:15" s="66" customFormat="1" ht="25.15" customHeight="1">
      <c r="A96" s="75"/>
      <c r="B96" s="96">
        <v>44810</v>
      </c>
      <c r="C96" s="78" t="s">
        <v>12</v>
      </c>
      <c r="D96" s="79">
        <v>4</v>
      </c>
      <c r="E96" s="76" t="str">
        <f>IF(ISBLANK(Log[[#This Row],[Item]]),"",_xlfn.XLOOKUP(Log[[#This Row],[Item]],Calories[Name],Calories[Unit]))</f>
        <v>ea</v>
      </c>
      <c r="F96" s="65">
        <f>IF(ISBLANK(Log[[#This Row],[Item]]),"",_xlfn.XLOOKUP(Log[[#This Row],[Item]],Calories[Name],Calories[Cals])*Log[[#This Row],[Qty]])</f>
        <v>120</v>
      </c>
      <c r="G96" s="71">
        <f>IF(ISBLANK(Log[[#This Row],[Item]]),"",_xlfn.XLOOKUP(Log[[#This Row],[Item]],Calories[Name],Calories[Carbs])*Log[[#This Row],[Qty]])</f>
        <v>24</v>
      </c>
      <c r="H96" s="71">
        <f>IF(ISBLANK(Log[[#This Row],[Item]]),"",_xlfn.XLOOKUP(Log[[#This Row],[Item]],Calories[Name],Calories[Fibre])*Log[[#This Row],[Qty]])</f>
        <v>2</v>
      </c>
      <c r="I96" s="71">
        <f>IF(ISBLANK(Log[[#This Row],[Item]]),"",(Log[[#This Row],[Carbs]]-Log[[#This Row],[Fibre]]))</f>
        <v>22</v>
      </c>
      <c r="J96" s="103">
        <f>IF(ISBLANK(Log[[#This Row],[Item]]),"",_xlfn.XLOOKUP(Log[[#This Row],[Item]],Calories[Name],Calories[Sodium])*Log[[#This Row],[Qty]])</f>
        <v>55</v>
      </c>
      <c r="K96" s="71">
        <f>IF(ISBLANK(Log[[#This Row],[Item]]),"",_xlfn.XLOOKUP(Log[[#This Row],[Item]],Calories[Name],Calories[Protein])*Log[[#This Row],[Qty]])</f>
        <v>3</v>
      </c>
      <c r="L96" s="71">
        <f>IF(ISBLANK(Log[[#This Row],[Item]]),"",_xlfn.XLOOKUP(Log[[#This Row],[Item]],Calories[Name],Calories[Chol.])*Log[[#This Row],[Qty]])</f>
        <v>0</v>
      </c>
      <c r="M96" s="75"/>
      <c r="N96" s="75"/>
      <c r="O96" s="75"/>
    </row>
    <row r="97" spans="1:15" s="66" customFormat="1" ht="25.15" customHeight="1">
      <c r="A97" s="75"/>
      <c r="B97" s="96">
        <v>44810</v>
      </c>
      <c r="C97" s="78" t="s">
        <v>45</v>
      </c>
      <c r="D97" s="79">
        <v>5</v>
      </c>
      <c r="E97" s="76" t="str">
        <f>IF(ISBLANK(Log[[#This Row],[Item]]),"",_xlfn.XLOOKUP(Log[[#This Row],[Item]],Calories[Name],Calories[Unit]))</f>
        <v>pinch</v>
      </c>
      <c r="F97" s="65">
        <f>IF(ISBLANK(Log[[#This Row],[Item]]),"",_xlfn.XLOOKUP(Log[[#This Row],[Item]],Calories[Name],Calories[Cals])*Log[[#This Row],[Qty]])</f>
        <v>0</v>
      </c>
      <c r="G97" s="71">
        <f>IF(ISBLANK(Log[[#This Row],[Item]]),"",_xlfn.XLOOKUP(Log[[#This Row],[Item]],Calories[Name],Calories[Carbs])*Log[[#This Row],[Qty]])</f>
        <v>0</v>
      </c>
      <c r="H97" s="71">
        <f>IF(ISBLANK(Log[[#This Row],[Item]]),"",_xlfn.XLOOKUP(Log[[#This Row],[Item]],Calories[Name],Calories[Fibre])*Log[[#This Row],[Qty]])</f>
        <v>0</v>
      </c>
      <c r="I97" s="71">
        <f>IF(ISBLANK(Log[[#This Row],[Item]]),"",(Log[[#This Row],[Carbs]]-Log[[#This Row],[Fibre]]))</f>
        <v>0</v>
      </c>
      <c r="J97" s="103">
        <f>IF(ISBLANK(Log[[#This Row],[Item]]),"",_xlfn.XLOOKUP(Log[[#This Row],[Item]],Calories[Name],Calories[Sodium])*Log[[#This Row],[Qty]])</f>
        <v>697.64400000000001</v>
      </c>
      <c r="K97" s="71">
        <f>IF(ISBLANK(Log[[#This Row],[Item]]),"",_xlfn.XLOOKUP(Log[[#This Row],[Item]],Calories[Name],Calories[Protein])*Log[[#This Row],[Qty]])</f>
        <v>0</v>
      </c>
      <c r="L97" s="71">
        <f>IF(ISBLANK(Log[[#This Row],[Item]]),"",_xlfn.XLOOKUP(Log[[#This Row],[Item]],Calories[Name],Calories[Chol.])*Log[[#This Row],[Qty]])</f>
        <v>0</v>
      </c>
      <c r="M97" s="75"/>
      <c r="N97" s="75"/>
      <c r="O97" s="75"/>
    </row>
    <row r="98" spans="1:15" s="66" customFormat="1" ht="25.15" customHeight="1">
      <c r="A98" s="75"/>
      <c r="B98" s="96">
        <v>44810</v>
      </c>
      <c r="C98" s="78" t="s">
        <v>43</v>
      </c>
      <c r="D98" s="79">
        <v>3</v>
      </c>
      <c r="E98" s="76" t="str">
        <f>IF(ISBLANK(Log[[#This Row],[Item]]),"",_xlfn.XLOOKUP(Log[[#This Row],[Item]],Calories[Name],Calories[Unit]))</f>
        <v>ea</v>
      </c>
      <c r="F98" s="65">
        <f>IF(ISBLANK(Log[[#This Row],[Item]]),"",_xlfn.XLOOKUP(Log[[#This Row],[Item]],Calories[Name],Calories[Cals])*Log[[#This Row],[Qty]])</f>
        <v>69</v>
      </c>
      <c r="G98" s="71">
        <f>IF(ISBLANK(Log[[#This Row],[Item]]),"",_xlfn.XLOOKUP(Log[[#This Row],[Item]],Calories[Name],Calories[Carbs])*Log[[#This Row],[Qty]])</f>
        <v>15.899999999999999</v>
      </c>
      <c r="H98" s="71">
        <f>IF(ISBLANK(Log[[#This Row],[Item]]),"",_xlfn.XLOOKUP(Log[[#This Row],[Item]],Calories[Name],Calories[Fibre])*Log[[#This Row],[Qty]])</f>
        <v>0.89999999999999991</v>
      </c>
      <c r="I98" s="71">
        <f>IF(ISBLANK(Log[[#This Row],[Item]]),"",(Log[[#This Row],[Carbs]]-Log[[#This Row],[Fibre]]))</f>
        <v>14.999999999999998</v>
      </c>
      <c r="J98" s="103">
        <f>IF(ISBLANK(Log[[#This Row],[Item]]),"",_xlfn.XLOOKUP(Log[[#This Row],[Item]],Calories[Name],Calories[Sodium])*Log[[#This Row],[Qty]])</f>
        <v>342</v>
      </c>
      <c r="K98" s="71">
        <f>IF(ISBLANK(Log[[#This Row],[Item]]),"",_xlfn.XLOOKUP(Log[[#This Row],[Item]],Calories[Name],Calories[Protein])*Log[[#This Row],[Qty]])</f>
        <v>0.30000000000000004</v>
      </c>
      <c r="L98" s="71">
        <f>IF(ISBLANK(Log[[#This Row],[Item]]),"",_xlfn.XLOOKUP(Log[[#This Row],[Item]],Calories[Name],Calories[Chol.])*Log[[#This Row],[Qty]])</f>
        <v>0</v>
      </c>
      <c r="M98" s="75" t="s">
        <v>59</v>
      </c>
      <c r="N98" s="75"/>
      <c r="O98" s="75"/>
    </row>
    <row r="99" spans="1:15" s="66" customFormat="1" ht="25.15" customHeight="1">
      <c r="A99" s="75"/>
      <c r="B99" s="96">
        <v>44810</v>
      </c>
      <c r="C99" s="78" t="s">
        <v>41</v>
      </c>
      <c r="D99" s="79">
        <v>150</v>
      </c>
      <c r="E99" s="76" t="str">
        <f>IF(ISBLANK(Log[[#This Row],[Item]]),"",_xlfn.XLOOKUP(Log[[#This Row],[Item]],Calories[Name],Calories[Unit]))</f>
        <v>g</v>
      </c>
      <c r="F99" s="65">
        <f>IF(ISBLANK(Log[[#This Row],[Item]]),"",_xlfn.XLOOKUP(Log[[#This Row],[Item]],Calories[Name],Calories[Cals])*Log[[#This Row],[Qty]])</f>
        <v>159</v>
      </c>
      <c r="G99" s="71">
        <f>IF(ISBLANK(Log[[#This Row],[Item]]),"",_xlfn.XLOOKUP(Log[[#This Row],[Item]],Calories[Name],Calories[Carbs])*Log[[#This Row],[Qty]])</f>
        <v>1.365</v>
      </c>
      <c r="H99" s="71">
        <f>IF(ISBLANK(Log[[#This Row],[Item]]),"",_xlfn.XLOOKUP(Log[[#This Row],[Item]],Calories[Name],Calories[Fibre])*Log[[#This Row],[Qty]])</f>
        <v>0</v>
      </c>
      <c r="I99" s="71">
        <f>IF(ISBLANK(Log[[#This Row],[Item]]),"",(Log[[#This Row],[Carbs]]-Log[[#This Row],[Fibre]]))</f>
        <v>1.365</v>
      </c>
      <c r="J99" s="103">
        <f>IF(ISBLANK(Log[[#This Row],[Item]]),"",_xlfn.XLOOKUP(Log[[#This Row],[Item]],Calories[Name],Calories[Sodium])*Log[[#This Row],[Qty]])</f>
        <v>222</v>
      </c>
      <c r="K99" s="71">
        <f>IF(ISBLANK(Log[[#This Row],[Item]]),"",_xlfn.XLOOKUP(Log[[#This Row],[Item]],Calories[Name],Calories[Protein])*Log[[#This Row],[Qty]])</f>
        <v>30.464999999999996</v>
      </c>
      <c r="L99" s="71">
        <f>IF(ISBLANK(Log[[#This Row],[Item]]),"",_xlfn.XLOOKUP(Log[[#This Row],[Item]],Calories[Name],Calories[Chol.])*Log[[#This Row],[Qty]])</f>
        <v>228</v>
      </c>
      <c r="M99" s="75"/>
      <c r="N99" s="75"/>
      <c r="O99" s="75"/>
    </row>
    <row r="100" spans="1:15" s="66" customFormat="1" ht="25.15" customHeight="1">
      <c r="A100" s="75"/>
      <c r="B100" s="96">
        <v>44810</v>
      </c>
      <c r="C100" s="78" t="s">
        <v>15</v>
      </c>
      <c r="D100" s="79">
        <v>2</v>
      </c>
      <c r="E100" s="76" t="str">
        <f>IF(ISBLANK(Log[[#This Row],[Item]]),"",_xlfn.XLOOKUP(Log[[#This Row],[Item]],Calories[Name],Calories[Unit]))</f>
        <v>tbsp</v>
      </c>
      <c r="F100" s="65">
        <f>IF(ISBLANK(Log[[#This Row],[Item]]),"",_xlfn.XLOOKUP(Log[[#This Row],[Item]],Calories[Name],Calories[Cals])*Log[[#This Row],[Qty]])</f>
        <v>240</v>
      </c>
      <c r="G100" s="71">
        <f>IF(ISBLANK(Log[[#This Row],[Item]]),"",_xlfn.XLOOKUP(Log[[#This Row],[Item]],Calories[Name],Calories[Carbs])*Log[[#This Row],[Qty]])</f>
        <v>0</v>
      </c>
      <c r="H100" s="71">
        <f>IF(ISBLANK(Log[[#This Row],[Item]]),"",_xlfn.XLOOKUP(Log[[#This Row],[Item]],Calories[Name],Calories[Fibre])*Log[[#This Row],[Qty]])</f>
        <v>0</v>
      </c>
      <c r="I100" s="71">
        <f>IF(ISBLANK(Log[[#This Row],[Item]]),"",(Log[[#This Row],[Carbs]]-Log[[#This Row],[Fibre]]))</f>
        <v>0</v>
      </c>
      <c r="J100" s="103">
        <f>IF(ISBLANK(Log[[#This Row],[Item]]),"",_xlfn.XLOOKUP(Log[[#This Row],[Item]],Calories[Name],Calories[Sodium])*Log[[#This Row],[Qty]])</f>
        <v>0</v>
      </c>
      <c r="K100" s="71">
        <f>IF(ISBLANK(Log[[#This Row],[Item]]),"",_xlfn.XLOOKUP(Log[[#This Row],[Item]],Calories[Name],Calories[Protein])*Log[[#This Row],[Qty]])</f>
        <v>0</v>
      </c>
      <c r="L100" s="71">
        <f>IF(ISBLANK(Log[[#This Row],[Item]]),"",_xlfn.XLOOKUP(Log[[#This Row],[Item]],Calories[Name],Calories[Chol.])*Log[[#This Row],[Qty]])</f>
        <v>0</v>
      </c>
      <c r="M100" s="75"/>
      <c r="N100" s="75"/>
      <c r="O100" s="75"/>
    </row>
    <row r="101" spans="1:15" s="66" customFormat="1" ht="25.15" customHeight="1">
      <c r="A101" s="75"/>
      <c r="B101" s="98">
        <v>44811</v>
      </c>
      <c r="C101" s="78" t="s">
        <v>52</v>
      </c>
      <c r="D101" s="79">
        <v>1</v>
      </c>
      <c r="E101" s="76" t="str">
        <f>IF(ISBLANK(Log[[#This Row],[Item]]),"",_xlfn.XLOOKUP(Log[[#This Row],[Item]],Calories[Name],Calories[Unit]))</f>
        <v>ea</v>
      </c>
      <c r="F101" s="65">
        <f>IF(ISBLANK(Log[[#This Row],[Item]]),"",_xlfn.XLOOKUP(Log[[#This Row],[Item]],Calories[Name],Calories[Cals])*Log[[#This Row],[Qty]])</f>
        <v>0</v>
      </c>
      <c r="G101" s="71">
        <f>IF(ISBLANK(Log[[#This Row],[Item]]),"",_xlfn.XLOOKUP(Log[[#This Row],[Item]],Calories[Name],Calories[Carbs])*Log[[#This Row],[Qty]])</f>
        <v>0</v>
      </c>
      <c r="H101" s="71">
        <f>IF(ISBLANK(Log[[#This Row],[Item]]),"",_xlfn.XLOOKUP(Log[[#This Row],[Item]],Calories[Name],Calories[Fibre])*Log[[#This Row],[Qty]])</f>
        <v>0</v>
      </c>
      <c r="I101" s="71">
        <f>IF(ISBLANK(Log[[#This Row],[Item]]),"",(Log[[#This Row],[Carbs]]-Log[[#This Row],[Fibre]]))</f>
        <v>0</v>
      </c>
      <c r="J101" s="103">
        <f>IF(ISBLANK(Log[[#This Row],[Item]]),"",_xlfn.XLOOKUP(Log[[#This Row],[Item]],Calories[Name],Calories[Sodium])*Log[[#This Row],[Qty]])</f>
        <v>0</v>
      </c>
      <c r="K101" s="71">
        <f>IF(ISBLANK(Log[[#This Row],[Item]]),"",_xlfn.XLOOKUP(Log[[#This Row],[Item]],Calories[Name],Calories[Protein])*Log[[#This Row],[Qty]])</f>
        <v>0</v>
      </c>
      <c r="L101" s="71">
        <f>IF(ISBLANK(Log[[#This Row],[Item]]),"",_xlfn.XLOOKUP(Log[[#This Row],[Item]],Calories[Name],Calories[Chol.])*Log[[#This Row],[Qty]])</f>
        <v>0</v>
      </c>
      <c r="M101" s="75"/>
      <c r="N101" s="75"/>
      <c r="O101" s="75"/>
    </row>
    <row r="102" spans="1:15" s="66" customFormat="1" ht="25.15" customHeight="1">
      <c r="A102" s="75"/>
      <c r="B102" s="98">
        <v>44811</v>
      </c>
      <c r="C102" s="78" t="s">
        <v>53</v>
      </c>
      <c r="D102" s="79">
        <v>1</v>
      </c>
      <c r="E102" s="76" t="str">
        <f>IF(ISBLANK(Log[[#This Row],[Item]]),"",_xlfn.XLOOKUP(Log[[#This Row],[Item]],Calories[Name],Calories[Unit]))</f>
        <v>ea</v>
      </c>
      <c r="F102" s="65">
        <f>IF(ISBLANK(Log[[#This Row],[Item]]),"",_xlfn.XLOOKUP(Log[[#This Row],[Item]],Calories[Name],Calories[Cals])*Log[[#This Row],[Qty]])</f>
        <v>0</v>
      </c>
      <c r="G102" s="71">
        <f>IF(ISBLANK(Log[[#This Row],[Item]]),"",_xlfn.XLOOKUP(Log[[#This Row],[Item]],Calories[Name],Calories[Carbs])*Log[[#This Row],[Qty]])</f>
        <v>0</v>
      </c>
      <c r="H102" s="71">
        <f>IF(ISBLANK(Log[[#This Row],[Item]]),"",_xlfn.XLOOKUP(Log[[#This Row],[Item]],Calories[Name],Calories[Fibre])*Log[[#This Row],[Qty]])</f>
        <v>0</v>
      </c>
      <c r="I102" s="71">
        <f>IF(ISBLANK(Log[[#This Row],[Item]]),"",(Log[[#This Row],[Carbs]]-Log[[#This Row],[Fibre]]))</f>
        <v>0</v>
      </c>
      <c r="J102" s="103">
        <f>IF(ISBLANK(Log[[#This Row],[Item]]),"",_xlfn.XLOOKUP(Log[[#This Row],[Item]],Calories[Name],Calories[Sodium])*Log[[#This Row],[Qty]])</f>
        <v>0</v>
      </c>
      <c r="K102" s="71">
        <f>IF(ISBLANK(Log[[#This Row],[Item]]),"",_xlfn.XLOOKUP(Log[[#This Row],[Item]],Calories[Name],Calories[Protein])*Log[[#This Row],[Qty]])</f>
        <v>0</v>
      </c>
      <c r="L102" s="71">
        <f>IF(ISBLANK(Log[[#This Row],[Item]]),"",_xlfn.XLOOKUP(Log[[#This Row],[Item]],Calories[Name],Calories[Chol.])*Log[[#This Row],[Qty]])</f>
        <v>0</v>
      </c>
      <c r="M102" s="75"/>
      <c r="N102" s="75"/>
      <c r="O102" s="75"/>
    </row>
    <row r="103" spans="1:15" s="66" customFormat="1" ht="25.15" customHeight="1">
      <c r="A103" s="75"/>
      <c r="B103" s="98">
        <v>44811</v>
      </c>
      <c r="C103" s="78" t="s">
        <v>54</v>
      </c>
      <c r="D103" s="79">
        <v>1</v>
      </c>
      <c r="E103" s="76" t="str">
        <f>IF(ISBLANK(Log[[#This Row],[Item]]),"",_xlfn.XLOOKUP(Log[[#This Row],[Item]],Calories[Name],Calories[Unit]))</f>
        <v>ea</v>
      </c>
      <c r="F103" s="65">
        <f>IF(ISBLANK(Log[[#This Row],[Item]]),"",_xlfn.XLOOKUP(Log[[#This Row],[Item]],Calories[Name],Calories[Cals])*Log[[#This Row],[Qty]])</f>
        <v>0</v>
      </c>
      <c r="G103" s="71">
        <f>IF(ISBLANK(Log[[#This Row],[Item]]),"",_xlfn.XLOOKUP(Log[[#This Row],[Item]],Calories[Name],Calories[Carbs])*Log[[#This Row],[Qty]])</f>
        <v>0</v>
      </c>
      <c r="H103" s="71">
        <f>IF(ISBLANK(Log[[#This Row],[Item]]),"",_xlfn.XLOOKUP(Log[[#This Row],[Item]],Calories[Name],Calories[Fibre])*Log[[#This Row],[Qty]])</f>
        <v>0</v>
      </c>
      <c r="I103" s="71">
        <f>IF(ISBLANK(Log[[#This Row],[Item]]),"",(Log[[#This Row],[Carbs]]-Log[[#This Row],[Fibre]]))</f>
        <v>0</v>
      </c>
      <c r="J103" s="103">
        <f>IF(ISBLANK(Log[[#This Row],[Item]]),"",_xlfn.XLOOKUP(Log[[#This Row],[Item]],Calories[Name],Calories[Sodium])*Log[[#This Row],[Qty]])</f>
        <v>0</v>
      </c>
      <c r="K103" s="71">
        <f>IF(ISBLANK(Log[[#This Row],[Item]]),"",_xlfn.XLOOKUP(Log[[#This Row],[Item]],Calories[Name],Calories[Protein])*Log[[#This Row],[Qty]])</f>
        <v>0</v>
      </c>
      <c r="L103" s="71">
        <f>IF(ISBLANK(Log[[#This Row],[Item]]),"",_xlfn.XLOOKUP(Log[[#This Row],[Item]],Calories[Name],Calories[Chol.])*Log[[#This Row],[Qty]])</f>
        <v>0</v>
      </c>
      <c r="M103" s="75"/>
      <c r="N103" s="75"/>
      <c r="O103" s="75"/>
    </row>
    <row r="104" spans="1:15" s="66" customFormat="1" ht="25.15" customHeight="1">
      <c r="A104" s="75"/>
      <c r="B104" s="98">
        <v>44811</v>
      </c>
      <c r="C104" s="78" t="s">
        <v>55</v>
      </c>
      <c r="D104" s="79">
        <v>1</v>
      </c>
      <c r="E104" s="76" t="str">
        <f>IF(ISBLANK(Log[[#This Row],[Item]]),"",_xlfn.XLOOKUP(Log[[#This Row],[Item]],Calories[Name],Calories[Unit]))</f>
        <v>ea</v>
      </c>
      <c r="F104" s="65">
        <f>IF(ISBLANK(Log[[#This Row],[Item]]),"",_xlfn.XLOOKUP(Log[[#This Row],[Item]],Calories[Name],Calories[Cals])*Log[[#This Row],[Qty]])</f>
        <v>0</v>
      </c>
      <c r="G104" s="71">
        <f>IF(ISBLANK(Log[[#This Row],[Item]]),"",_xlfn.XLOOKUP(Log[[#This Row],[Item]],Calories[Name],Calories[Carbs])*Log[[#This Row],[Qty]])</f>
        <v>0</v>
      </c>
      <c r="H104" s="71">
        <f>IF(ISBLANK(Log[[#This Row],[Item]]),"",_xlfn.XLOOKUP(Log[[#This Row],[Item]],Calories[Name],Calories[Fibre])*Log[[#This Row],[Qty]])</f>
        <v>0</v>
      </c>
      <c r="I104" s="71">
        <f>IF(ISBLANK(Log[[#This Row],[Item]]),"",(Log[[#This Row],[Carbs]]-Log[[#This Row],[Fibre]]))</f>
        <v>0</v>
      </c>
      <c r="J104" s="103">
        <f>IF(ISBLANK(Log[[#This Row],[Item]]),"",_xlfn.XLOOKUP(Log[[#This Row],[Item]],Calories[Name],Calories[Sodium])*Log[[#This Row],[Qty]])</f>
        <v>0</v>
      </c>
      <c r="K104" s="71">
        <f>IF(ISBLANK(Log[[#This Row],[Item]]),"",_xlfn.XLOOKUP(Log[[#This Row],[Item]],Calories[Name],Calories[Protein])*Log[[#This Row],[Qty]])</f>
        <v>0</v>
      </c>
      <c r="L104" s="71">
        <f>IF(ISBLANK(Log[[#This Row],[Item]]),"",_xlfn.XLOOKUP(Log[[#This Row],[Item]],Calories[Name],Calories[Chol.])*Log[[#This Row],[Qty]])</f>
        <v>0</v>
      </c>
      <c r="M104" s="75"/>
      <c r="N104" s="75"/>
      <c r="O104" s="75"/>
    </row>
    <row r="105" spans="1:15" s="66" customFormat="1" ht="25.15" customHeight="1">
      <c r="A105" s="75"/>
      <c r="B105" s="98">
        <v>44811</v>
      </c>
      <c r="C105" s="78" t="s">
        <v>13</v>
      </c>
      <c r="D105" s="79">
        <v>4</v>
      </c>
      <c r="E105" s="76" t="str">
        <f>IF(ISBLANK(Log[[#This Row],[Item]]),"",_xlfn.XLOOKUP(Log[[#This Row],[Item]],Calories[Name],Calories[Unit]))</f>
        <v>ea</v>
      </c>
      <c r="F105" s="65">
        <f>IF(ISBLANK(Log[[#This Row],[Item]]),"",_xlfn.XLOOKUP(Log[[#This Row],[Item]],Calories[Name],Calories[Cals])*Log[[#This Row],[Qty]])</f>
        <v>288</v>
      </c>
      <c r="G105" s="71">
        <f>IF(ISBLANK(Log[[#This Row],[Item]]),"",_xlfn.XLOOKUP(Log[[#This Row],[Item]],Calories[Name],Calories[Carbs])*Log[[#This Row],[Qty]])</f>
        <v>0</v>
      </c>
      <c r="H105" s="71">
        <f>IF(ISBLANK(Log[[#This Row],[Item]]),"",_xlfn.XLOOKUP(Log[[#This Row],[Item]],Calories[Name],Calories[Fibre])*Log[[#This Row],[Qty]])</f>
        <v>0</v>
      </c>
      <c r="I105" s="71">
        <f>IF(ISBLANK(Log[[#This Row],[Item]]),"",(Log[[#This Row],[Carbs]]-Log[[#This Row],[Fibre]]))</f>
        <v>0</v>
      </c>
      <c r="J105" s="103">
        <f>IF(ISBLANK(Log[[#This Row],[Item]]),"",_xlfn.XLOOKUP(Log[[#This Row],[Item]],Calories[Name],Calories[Sodium])*Log[[#This Row],[Qty]])</f>
        <v>280</v>
      </c>
      <c r="K105" s="71">
        <f>IF(ISBLANK(Log[[#This Row],[Item]]),"",_xlfn.XLOOKUP(Log[[#This Row],[Item]],Calories[Name],Calories[Protein])*Log[[#This Row],[Qty]])</f>
        <v>24</v>
      </c>
      <c r="L105" s="71">
        <f>IF(ISBLANK(Log[[#This Row],[Item]]),"",_xlfn.XLOOKUP(Log[[#This Row],[Item]],Calories[Name],Calories[Chol.])*Log[[#This Row],[Qty]])</f>
        <v>844</v>
      </c>
      <c r="M105" s="75"/>
      <c r="N105" s="75"/>
      <c r="O105" s="75"/>
    </row>
    <row r="106" spans="1:15" s="66" customFormat="1" ht="25.15" customHeight="1">
      <c r="A106" s="75"/>
      <c r="B106" s="98">
        <v>44811</v>
      </c>
      <c r="C106" s="78" t="s">
        <v>35</v>
      </c>
      <c r="D106" s="79">
        <v>3</v>
      </c>
      <c r="E106" s="76" t="str">
        <f>IF(ISBLANK(Log[[#This Row],[Item]]),"",_xlfn.XLOOKUP(Log[[#This Row],[Item]],Calories[Name],Calories[Unit]))</f>
        <v>tbsp</v>
      </c>
      <c r="F106" s="65">
        <f>IF(ISBLANK(Log[[#This Row],[Item]]),"",_xlfn.XLOOKUP(Log[[#This Row],[Item]],Calories[Name],Calories[Cals])*Log[[#This Row],[Qty]])</f>
        <v>270</v>
      </c>
      <c r="G106" s="71">
        <f>IF(ISBLANK(Log[[#This Row],[Item]]),"",_xlfn.XLOOKUP(Log[[#This Row],[Item]],Calories[Name],Calories[Carbs])*Log[[#This Row],[Qty]])</f>
        <v>0</v>
      </c>
      <c r="H106" s="71">
        <f>IF(ISBLANK(Log[[#This Row],[Item]]),"",_xlfn.XLOOKUP(Log[[#This Row],[Item]],Calories[Name],Calories[Fibre])*Log[[#This Row],[Qty]])</f>
        <v>0</v>
      </c>
      <c r="I106" s="71">
        <f>IF(ISBLANK(Log[[#This Row],[Item]]),"",(Log[[#This Row],[Carbs]]-Log[[#This Row],[Fibre]]))</f>
        <v>0</v>
      </c>
      <c r="J106" s="103">
        <f>IF(ISBLANK(Log[[#This Row],[Item]]),"",_xlfn.XLOOKUP(Log[[#This Row],[Item]],Calories[Name],Calories[Sodium])*Log[[#This Row],[Qty]])</f>
        <v>270</v>
      </c>
      <c r="K106" s="71">
        <f>IF(ISBLANK(Log[[#This Row],[Item]]),"",_xlfn.XLOOKUP(Log[[#This Row],[Item]],Calories[Name],Calories[Protein])*Log[[#This Row],[Qty]])</f>
        <v>0</v>
      </c>
      <c r="L106" s="71">
        <f>IF(ISBLANK(Log[[#This Row],[Item]]),"",_xlfn.XLOOKUP(Log[[#This Row],[Item]],Calories[Name],Calories[Chol.])*Log[[#This Row],[Qty]])</f>
        <v>15</v>
      </c>
      <c r="M106" s="75"/>
      <c r="N106" s="75"/>
      <c r="O106" s="75"/>
    </row>
    <row r="107" spans="1:15" s="66" customFormat="1" ht="25.15" customHeight="1">
      <c r="A107" s="75"/>
      <c r="B107" s="98">
        <v>44811</v>
      </c>
      <c r="C107" s="78" t="s">
        <v>60</v>
      </c>
      <c r="D107" s="79">
        <v>4</v>
      </c>
      <c r="E107" s="76" t="str">
        <f>IF(ISBLANK(Log[[#This Row],[Item]]),"",_xlfn.XLOOKUP(Log[[#This Row],[Item]],Calories[Name],Calories[Unit]))</f>
        <v>tbsp</v>
      </c>
      <c r="F107" s="65">
        <f>IF(ISBLANK(Log[[#This Row],[Item]]),"",_xlfn.XLOOKUP(Log[[#This Row],[Item]],Calories[Name],Calories[Cals])*Log[[#This Row],[Qty]])</f>
        <v>20</v>
      </c>
      <c r="G107" s="71">
        <f>IF(ISBLANK(Log[[#This Row],[Item]]),"",_xlfn.XLOOKUP(Log[[#This Row],[Item]],Calories[Name],Calories[Carbs])*Log[[#This Row],[Qty]])</f>
        <v>4</v>
      </c>
      <c r="H107" s="71">
        <f>IF(ISBLANK(Log[[#This Row],[Item]]),"",_xlfn.XLOOKUP(Log[[#This Row],[Item]],Calories[Name],Calories[Fibre])*Log[[#This Row],[Qty]])</f>
        <v>2</v>
      </c>
      <c r="I107" s="71">
        <f>IF(ISBLANK(Log[[#This Row],[Item]]),"",(Log[[#This Row],[Carbs]]-Log[[#This Row],[Fibre]]))</f>
        <v>2</v>
      </c>
      <c r="J107" s="103">
        <f>IF(ISBLANK(Log[[#This Row],[Item]]),"",_xlfn.XLOOKUP(Log[[#This Row],[Item]],Calories[Name],Calories[Sodium])*Log[[#This Row],[Qty]])</f>
        <v>560</v>
      </c>
      <c r="K107" s="71">
        <f>IF(ISBLANK(Log[[#This Row],[Item]]),"",_xlfn.XLOOKUP(Log[[#This Row],[Item]],Calories[Name],Calories[Protein])*Log[[#This Row],[Qty]])</f>
        <v>2</v>
      </c>
      <c r="L107" s="71">
        <f>IF(ISBLANK(Log[[#This Row],[Item]]),"",_xlfn.XLOOKUP(Log[[#This Row],[Item]],Calories[Name],Calories[Chol.])*Log[[#This Row],[Qty]])</f>
        <v>0</v>
      </c>
      <c r="M107" s="75"/>
      <c r="N107" s="75"/>
      <c r="O107" s="75"/>
    </row>
    <row r="108" spans="1:15" s="66" customFormat="1" ht="25.15" customHeight="1">
      <c r="A108" s="75"/>
      <c r="B108" s="98">
        <v>44811</v>
      </c>
      <c r="C108" s="78" t="s">
        <v>61</v>
      </c>
      <c r="D108" s="79">
        <v>2</v>
      </c>
      <c r="E108" s="76" t="str">
        <f>IF(ISBLANK(Log[[#This Row],[Item]]),"",_xlfn.XLOOKUP(Log[[#This Row],[Item]],Calories[Name],Calories[Unit]))</f>
        <v>leaf</v>
      </c>
      <c r="F108" s="65">
        <f>IF(ISBLANK(Log[[#This Row],[Item]]),"",_xlfn.XLOOKUP(Log[[#This Row],[Item]],Calories[Name],Calories[Cals])*Log[[#This Row],[Qty]])</f>
        <v>4</v>
      </c>
      <c r="G108" s="71">
        <f>IF(ISBLANK(Log[[#This Row],[Item]]),"",_xlfn.XLOOKUP(Log[[#This Row],[Item]],Calories[Name],Calories[Carbs])*Log[[#This Row],[Qty]])</f>
        <v>0.66</v>
      </c>
      <c r="H108" s="71">
        <f>IF(ISBLANK(Log[[#This Row],[Item]]),"",_xlfn.XLOOKUP(Log[[#This Row],[Item]],Calories[Name],Calories[Fibre])*Log[[#This Row],[Qty]])</f>
        <v>0.4</v>
      </c>
      <c r="I108" s="71">
        <f>IF(ISBLANK(Log[[#This Row],[Item]]),"",(Log[[#This Row],[Carbs]]-Log[[#This Row],[Fibre]]))</f>
        <v>0.26</v>
      </c>
      <c r="J108" s="103">
        <f>IF(ISBLANK(Log[[#This Row],[Item]]),"",_xlfn.XLOOKUP(Log[[#This Row],[Item]],Calories[Name],Calories[Sodium])*Log[[#This Row],[Qty]])</f>
        <v>2</v>
      </c>
      <c r="K108" s="71">
        <f>IF(ISBLANK(Log[[#This Row],[Item]]),"",_xlfn.XLOOKUP(Log[[#This Row],[Item]],Calories[Name],Calories[Protein])*Log[[#This Row],[Qty]])</f>
        <v>0.4</v>
      </c>
      <c r="L108" s="71">
        <f>IF(ISBLANK(Log[[#This Row],[Item]]),"",_xlfn.XLOOKUP(Log[[#This Row],[Item]],Calories[Name],Calories[Chol.])*Log[[#This Row],[Qty]])</f>
        <v>0</v>
      </c>
      <c r="M108" s="75"/>
      <c r="N108" s="75"/>
      <c r="O108" s="75"/>
    </row>
    <row r="109" spans="1:15" s="66" customFormat="1" ht="25.15" customHeight="1">
      <c r="A109" s="75"/>
      <c r="B109" s="98">
        <v>44811</v>
      </c>
      <c r="C109" s="78" t="s">
        <v>26</v>
      </c>
      <c r="D109" s="79">
        <v>85</v>
      </c>
      <c r="E109" s="76" t="str">
        <f>IF(ISBLANK(Log[[#This Row],[Item]]),"",_xlfn.XLOOKUP(Log[[#This Row],[Item]],Calories[Name],Calories[Unit]))</f>
        <v>g</v>
      </c>
      <c r="F109" s="65">
        <f>IF(ISBLANK(Log[[#This Row],[Item]]),"",_xlfn.XLOOKUP(Log[[#This Row],[Item]],Calories[Name],Calories[Cals])*Log[[#This Row],[Qty]])</f>
        <v>544</v>
      </c>
      <c r="G109" s="71">
        <f>IF(ISBLANK(Log[[#This Row],[Item]]),"",_xlfn.XLOOKUP(Log[[#This Row],[Item]],Calories[Name],Calories[Carbs])*Log[[#This Row],[Qty]])</f>
        <v>23.8</v>
      </c>
      <c r="H109" s="71">
        <f>IF(ISBLANK(Log[[#This Row],[Item]]),"",_xlfn.XLOOKUP(Log[[#This Row],[Item]],Calories[Name],Calories[Fibre])*Log[[#This Row],[Qty]])</f>
        <v>5.0999999999999996</v>
      </c>
      <c r="I109" s="71">
        <f>IF(ISBLANK(Log[[#This Row],[Item]]),"",(Log[[#This Row],[Carbs]]-Log[[#This Row],[Fibre]]))</f>
        <v>18.700000000000003</v>
      </c>
      <c r="J109" s="103">
        <f>IF(ISBLANK(Log[[#This Row],[Item]]),"",_xlfn.XLOOKUP(Log[[#This Row],[Item]],Calories[Name],Calories[Sodium])*Log[[#This Row],[Qty]])</f>
        <v>118.99999999999999</v>
      </c>
      <c r="K109" s="71">
        <f>IF(ISBLANK(Log[[#This Row],[Item]]),"",_xlfn.XLOOKUP(Log[[#This Row],[Item]],Calories[Name],Calories[Protein])*Log[[#This Row],[Qty]])</f>
        <v>15.299999999999999</v>
      </c>
      <c r="L109" s="71">
        <f>IF(ISBLANK(Log[[#This Row],[Item]]),"",_xlfn.XLOOKUP(Log[[#This Row],[Item]],Calories[Name],Calories[Chol.])*Log[[#This Row],[Qty]])</f>
        <v>0</v>
      </c>
      <c r="M109" s="75"/>
      <c r="N109" s="75"/>
      <c r="O109" s="75"/>
    </row>
    <row r="110" spans="1:15" s="66" customFormat="1" ht="25.15" customHeight="1">
      <c r="A110" s="75"/>
      <c r="B110" s="98">
        <v>44811</v>
      </c>
      <c r="C110" s="78" t="s">
        <v>62</v>
      </c>
      <c r="D110" s="79">
        <v>0.5</v>
      </c>
      <c r="E110" s="76" t="str">
        <f>IF(ISBLANK(Log[[#This Row],[Item]]),"",_xlfn.XLOOKUP(Log[[#This Row],[Item]],Calories[Name],Calories[Unit]))</f>
        <v>c</v>
      </c>
      <c r="F110" s="65">
        <f>IF(ISBLANK(Log[[#This Row],[Item]]),"",_xlfn.XLOOKUP(Log[[#This Row],[Item]],Calories[Name],Calories[Cals])*Log[[#This Row],[Qty]])</f>
        <v>240</v>
      </c>
      <c r="G110" s="71">
        <f>IF(ISBLANK(Log[[#This Row],[Item]]),"",_xlfn.XLOOKUP(Log[[#This Row],[Item]],Calories[Name],Calories[Carbs])*Log[[#This Row],[Qty]])</f>
        <v>44</v>
      </c>
      <c r="H110" s="71">
        <f>IF(ISBLANK(Log[[#This Row],[Item]]),"",_xlfn.XLOOKUP(Log[[#This Row],[Item]],Calories[Name],Calories[Fibre])*Log[[#This Row],[Qty]])</f>
        <v>8</v>
      </c>
      <c r="I110" s="71">
        <f>IF(ISBLANK(Log[[#This Row],[Item]]),"",(Log[[#This Row],[Carbs]]-Log[[#This Row],[Fibre]]))</f>
        <v>36</v>
      </c>
      <c r="J110" s="103">
        <f>IF(ISBLANK(Log[[#This Row],[Item]]),"",_xlfn.XLOOKUP(Log[[#This Row],[Item]],Calories[Name],Calories[Sodium])*Log[[#This Row],[Qty]])</f>
        <v>0</v>
      </c>
      <c r="K110" s="71">
        <f>IF(ISBLANK(Log[[#This Row],[Item]]),"",_xlfn.XLOOKUP(Log[[#This Row],[Item]],Calories[Name],Calories[Protein])*Log[[#This Row],[Qty]])</f>
        <v>18</v>
      </c>
      <c r="L110" s="71">
        <f>IF(ISBLANK(Log[[#This Row],[Item]]),"",_xlfn.XLOOKUP(Log[[#This Row],[Item]],Calories[Name],Calories[Chol.])*Log[[#This Row],[Qty]])</f>
        <v>0</v>
      </c>
      <c r="M110" s="75"/>
      <c r="N110" s="75"/>
      <c r="O110" s="75"/>
    </row>
    <row r="111" spans="1:15" s="66" customFormat="1" ht="25.15" customHeight="1">
      <c r="A111" s="75"/>
      <c r="B111" s="98">
        <v>44811</v>
      </c>
      <c r="C111" s="78" t="s">
        <v>63</v>
      </c>
      <c r="D111" s="79">
        <v>0.25</v>
      </c>
      <c r="E111" s="76" t="str">
        <f>IF(ISBLANK(Log[[#This Row],[Item]]),"",_xlfn.XLOOKUP(Log[[#This Row],[Item]],Calories[Name],Calories[Unit]))</f>
        <v>pkg</v>
      </c>
      <c r="F111" s="65">
        <f>IF(ISBLANK(Log[[#This Row],[Item]]),"",_xlfn.XLOOKUP(Log[[#This Row],[Item]],Calories[Name],Calories[Cals])*Log[[#This Row],[Qty]])</f>
        <v>130</v>
      </c>
      <c r="G111" s="71">
        <f>IF(ISBLANK(Log[[#This Row],[Item]]),"",_xlfn.XLOOKUP(Log[[#This Row],[Item]],Calories[Name],Calories[Carbs])*Log[[#This Row],[Qty]])</f>
        <v>3</v>
      </c>
      <c r="H111" s="71">
        <f>IF(ISBLANK(Log[[#This Row],[Item]]),"",_xlfn.XLOOKUP(Log[[#This Row],[Item]],Calories[Name],Calories[Fibre])*Log[[#This Row],[Qty]])</f>
        <v>0</v>
      </c>
      <c r="I111" s="71">
        <f>IF(ISBLANK(Log[[#This Row],[Item]]),"",(Log[[#This Row],[Carbs]]-Log[[#This Row],[Fibre]]))</f>
        <v>3</v>
      </c>
      <c r="J111" s="103">
        <f>IF(ISBLANK(Log[[#This Row],[Item]]),"",_xlfn.XLOOKUP(Log[[#This Row],[Item]],Calories[Name],Calories[Sodium])*Log[[#This Row],[Qty]])</f>
        <v>5</v>
      </c>
      <c r="K111" s="71">
        <f>IF(ISBLANK(Log[[#This Row],[Item]]),"",_xlfn.XLOOKUP(Log[[#This Row],[Item]],Calories[Name],Calories[Protein])*Log[[#This Row],[Qty]])</f>
        <v>14</v>
      </c>
      <c r="L111" s="71">
        <f>IF(ISBLANK(Log[[#This Row],[Item]]),"",_xlfn.XLOOKUP(Log[[#This Row],[Item]],Calories[Name],Calories[Chol.])*Log[[#This Row],[Qty]])</f>
        <v>0</v>
      </c>
      <c r="M111" s="75"/>
      <c r="N111" s="75"/>
      <c r="O111" s="75"/>
    </row>
    <row r="112" spans="1:15" s="66" customFormat="1" ht="25.15" customHeight="1">
      <c r="A112" s="75"/>
      <c r="B112" s="98">
        <v>44811</v>
      </c>
      <c r="C112" s="78" t="s">
        <v>14</v>
      </c>
      <c r="D112" s="79">
        <v>0.125</v>
      </c>
      <c r="E112" s="76" t="str">
        <f>IF(ISBLANK(Log[[#This Row],[Item]]),"",_xlfn.XLOOKUP(Log[[#This Row],[Item]],Calories[Name],Calories[Unit]))</f>
        <v>c</v>
      </c>
      <c r="F112" s="65">
        <f>IF(ISBLANK(Log[[#This Row],[Item]]),"",_xlfn.XLOOKUP(Log[[#This Row],[Item]],Calories[Name],Calories[Cals])*Log[[#This Row],[Qty]])</f>
        <v>8.375</v>
      </c>
      <c r="G112" s="71">
        <f>IF(ISBLANK(Log[[#This Row],[Item]]),"",_xlfn.XLOOKUP(Log[[#This Row],[Item]],Calories[Name],Calories[Carbs])*Log[[#This Row],[Qty]])</f>
        <v>2.0225</v>
      </c>
      <c r="H112" s="71">
        <f>IF(ISBLANK(Log[[#This Row],[Item]]),"",_xlfn.XLOOKUP(Log[[#This Row],[Item]],Calories[Name],Calories[Fibre])*Log[[#This Row],[Qty]])</f>
        <v>0.27500000000000002</v>
      </c>
      <c r="I112" s="71">
        <f>IF(ISBLANK(Log[[#This Row],[Item]]),"",(Log[[#This Row],[Carbs]]-Log[[#This Row],[Fibre]]))</f>
        <v>1.7475000000000001</v>
      </c>
      <c r="J112" s="103">
        <f>IF(ISBLANK(Log[[#This Row],[Item]]),"",_xlfn.XLOOKUP(Log[[#This Row],[Item]],Calories[Name],Calories[Sodium])*Log[[#This Row],[Qty]])</f>
        <v>0.625</v>
      </c>
      <c r="K112" s="71">
        <f>IF(ISBLANK(Log[[#This Row],[Item]]),"",_xlfn.XLOOKUP(Log[[#This Row],[Item]],Calories[Name],Calories[Protein])*Log[[#This Row],[Qty]])</f>
        <v>0.18375</v>
      </c>
      <c r="L112" s="71">
        <f>IF(ISBLANK(Log[[#This Row],[Item]]),"",_xlfn.XLOOKUP(Log[[#This Row],[Item]],Calories[Name],Calories[Chol.])*Log[[#This Row],[Qty]])</f>
        <v>0</v>
      </c>
      <c r="M112" s="75"/>
      <c r="N112" s="75"/>
      <c r="O112" s="75"/>
    </row>
    <row r="113" spans="1:15" s="66" customFormat="1" ht="25.15" customHeight="1">
      <c r="A113" s="75"/>
      <c r="B113" s="98">
        <v>44811</v>
      </c>
      <c r="C113" s="78" t="s">
        <v>15</v>
      </c>
      <c r="D113" s="79">
        <v>0.5</v>
      </c>
      <c r="E113" s="76" t="str">
        <f>IF(ISBLANK(Log[[#This Row],[Item]]),"",_xlfn.XLOOKUP(Log[[#This Row],[Item]],Calories[Name],Calories[Unit]))</f>
        <v>tbsp</v>
      </c>
      <c r="F113" s="65">
        <f>IF(ISBLANK(Log[[#This Row],[Item]]),"",_xlfn.XLOOKUP(Log[[#This Row],[Item]],Calories[Name],Calories[Cals])*Log[[#This Row],[Qty]])</f>
        <v>60</v>
      </c>
      <c r="G113" s="71">
        <f>IF(ISBLANK(Log[[#This Row],[Item]]),"",_xlfn.XLOOKUP(Log[[#This Row],[Item]],Calories[Name],Calories[Carbs])*Log[[#This Row],[Qty]])</f>
        <v>0</v>
      </c>
      <c r="H113" s="71">
        <f>IF(ISBLANK(Log[[#This Row],[Item]]),"",_xlfn.XLOOKUP(Log[[#This Row],[Item]],Calories[Name],Calories[Fibre])*Log[[#This Row],[Qty]])</f>
        <v>0</v>
      </c>
      <c r="I113" s="71">
        <f>IF(ISBLANK(Log[[#This Row],[Item]]),"",(Log[[#This Row],[Carbs]]-Log[[#This Row],[Fibre]]))</f>
        <v>0</v>
      </c>
      <c r="J113" s="103">
        <f>IF(ISBLANK(Log[[#This Row],[Item]]),"",_xlfn.XLOOKUP(Log[[#This Row],[Item]],Calories[Name],Calories[Sodium])*Log[[#This Row],[Qty]])</f>
        <v>0</v>
      </c>
      <c r="K113" s="71">
        <f>IF(ISBLANK(Log[[#This Row],[Item]]),"",_xlfn.XLOOKUP(Log[[#This Row],[Item]],Calories[Name],Calories[Protein])*Log[[#This Row],[Qty]])</f>
        <v>0</v>
      </c>
      <c r="L113" s="71">
        <f>IF(ISBLANK(Log[[#This Row],[Item]]),"",_xlfn.XLOOKUP(Log[[#This Row],[Item]],Calories[Name],Calories[Chol.])*Log[[#This Row],[Qty]])</f>
        <v>0</v>
      </c>
      <c r="M113" s="75"/>
      <c r="N113" s="75"/>
      <c r="O113" s="75"/>
    </row>
    <row r="114" spans="1:15" s="66" customFormat="1" ht="25.15" customHeight="1">
      <c r="A114" s="75"/>
      <c r="B114" s="98">
        <v>44811</v>
      </c>
      <c r="C114" s="78" t="s">
        <v>64</v>
      </c>
      <c r="D114" s="79">
        <v>0.5</v>
      </c>
      <c r="E114" s="76" t="str">
        <f>IF(ISBLANK(Log[[#This Row],[Item]]),"",_xlfn.XLOOKUP(Log[[#This Row],[Item]],Calories[Name],Calories[Unit]))</f>
        <v>c</v>
      </c>
      <c r="F114" s="65">
        <f>IF(ISBLANK(Log[[#This Row],[Item]]),"",_xlfn.XLOOKUP(Log[[#This Row],[Item]],Calories[Name],Calories[Cals])*Log[[#This Row],[Qty]])</f>
        <v>15.5</v>
      </c>
      <c r="G114" s="71">
        <f>IF(ISBLANK(Log[[#This Row],[Item]]),"",_xlfn.XLOOKUP(Log[[#This Row],[Item]],Calories[Name],Calories[Carbs])*Log[[#This Row],[Qty]])</f>
        <v>3.5150000000000001</v>
      </c>
      <c r="H114" s="71">
        <f>IF(ISBLANK(Log[[#This Row],[Item]]),"",_xlfn.XLOOKUP(Log[[#This Row],[Item]],Calories[Name],Calories[Fibre])*Log[[#This Row],[Qty]])</f>
        <v>1.6</v>
      </c>
      <c r="I114" s="71">
        <f>IF(ISBLANK(Log[[#This Row],[Item]]),"",(Log[[#This Row],[Carbs]]-Log[[#This Row],[Fibre]]))</f>
        <v>1.915</v>
      </c>
      <c r="J114" s="103">
        <f>IF(ISBLANK(Log[[#This Row],[Item]]),"",_xlfn.XLOOKUP(Log[[#This Row],[Item]],Calories[Name],Calories[Sodium])*Log[[#This Row],[Qty]])</f>
        <v>4</v>
      </c>
      <c r="K114" s="71">
        <f>IF(ISBLANK(Log[[#This Row],[Item]]),"",_xlfn.XLOOKUP(Log[[#This Row],[Item]],Calories[Name],Calories[Protein])*Log[[#This Row],[Qty]])</f>
        <v>1</v>
      </c>
      <c r="L114" s="71">
        <f>IF(ISBLANK(Log[[#This Row],[Item]]),"",_xlfn.XLOOKUP(Log[[#This Row],[Item]],Calories[Name],Calories[Chol.])*Log[[#This Row],[Qty]])</f>
        <v>0</v>
      </c>
      <c r="M114" s="75"/>
      <c r="N114" s="75"/>
      <c r="O114" s="75"/>
    </row>
    <row r="115" spans="1:15" s="66" customFormat="1" ht="25.15" customHeight="1">
      <c r="A115" s="75"/>
      <c r="B115" s="98">
        <v>44811</v>
      </c>
      <c r="C115" s="78" t="s">
        <v>45</v>
      </c>
      <c r="D115" s="79">
        <v>2</v>
      </c>
      <c r="E115" s="76" t="str">
        <f>IF(ISBLANK(Log[[#This Row],[Item]]),"",_xlfn.XLOOKUP(Log[[#This Row],[Item]],Calories[Name],Calories[Unit]))</f>
        <v>pinch</v>
      </c>
      <c r="F115" s="65">
        <f>IF(ISBLANK(Log[[#This Row],[Item]]),"",_xlfn.XLOOKUP(Log[[#This Row],[Item]],Calories[Name],Calories[Cals])*Log[[#This Row],[Qty]])</f>
        <v>0</v>
      </c>
      <c r="G115" s="71">
        <f>IF(ISBLANK(Log[[#This Row],[Item]]),"",_xlfn.XLOOKUP(Log[[#This Row],[Item]],Calories[Name],Calories[Carbs])*Log[[#This Row],[Qty]])</f>
        <v>0</v>
      </c>
      <c r="H115" s="71">
        <f>IF(ISBLANK(Log[[#This Row],[Item]]),"",_xlfn.XLOOKUP(Log[[#This Row],[Item]],Calories[Name],Calories[Fibre])*Log[[#This Row],[Qty]])</f>
        <v>0</v>
      </c>
      <c r="I115" s="71">
        <f>IF(ISBLANK(Log[[#This Row],[Item]]),"",(Log[[#This Row],[Carbs]]-Log[[#This Row],[Fibre]]))</f>
        <v>0</v>
      </c>
      <c r="J115" s="103">
        <f>IF(ISBLANK(Log[[#This Row],[Item]]),"",_xlfn.XLOOKUP(Log[[#This Row],[Item]],Calories[Name],Calories[Sodium])*Log[[#This Row],[Qty]])</f>
        <v>279.05759999999998</v>
      </c>
      <c r="K115" s="71">
        <f>IF(ISBLANK(Log[[#This Row],[Item]]),"",_xlfn.XLOOKUP(Log[[#This Row],[Item]],Calories[Name],Calories[Protein])*Log[[#This Row],[Qty]])</f>
        <v>0</v>
      </c>
      <c r="L115" s="71">
        <f>IF(ISBLANK(Log[[#This Row],[Item]]),"",_xlfn.XLOOKUP(Log[[#This Row],[Item]],Calories[Name],Calories[Chol.])*Log[[#This Row],[Qty]])</f>
        <v>0</v>
      </c>
      <c r="M115" s="75"/>
      <c r="N115" s="75"/>
      <c r="O115" s="75"/>
    </row>
    <row r="116" spans="1:15" s="66" customFormat="1" ht="25.15" customHeight="1">
      <c r="A116" s="75"/>
      <c r="B116" s="98">
        <v>44811</v>
      </c>
      <c r="C116" s="78" t="s">
        <v>47</v>
      </c>
      <c r="D116" s="79">
        <v>1</v>
      </c>
      <c r="E116" s="76" t="str">
        <f>IF(ISBLANK(Log[[#This Row],[Item]]),"",_xlfn.XLOOKUP(Log[[#This Row],[Item]],Calories[Name],Calories[Unit]))</f>
        <v>can</v>
      </c>
      <c r="F116" s="65">
        <f>IF(ISBLANK(Log[[#This Row],[Item]]),"",_xlfn.XLOOKUP(Log[[#This Row],[Item]],Calories[Name],Calories[Cals])*Log[[#This Row],[Qty]])</f>
        <v>130</v>
      </c>
      <c r="G116" s="71">
        <f>IF(ISBLANK(Log[[#This Row],[Item]]),"",_xlfn.XLOOKUP(Log[[#This Row],[Item]],Calories[Name],Calories[Carbs])*Log[[#This Row],[Qty]])</f>
        <v>2</v>
      </c>
      <c r="H116" s="71">
        <f>IF(ISBLANK(Log[[#This Row],[Item]]),"",_xlfn.XLOOKUP(Log[[#This Row],[Item]],Calories[Name],Calories[Fibre])*Log[[#This Row],[Qty]])</f>
        <v>0</v>
      </c>
      <c r="I116" s="71">
        <f>IF(ISBLANK(Log[[#This Row],[Item]]),"",(Log[[#This Row],[Carbs]]-Log[[#This Row],[Fibre]]))</f>
        <v>2</v>
      </c>
      <c r="J116" s="103">
        <f>IF(ISBLANK(Log[[#This Row],[Item]]),"",_xlfn.XLOOKUP(Log[[#This Row],[Item]],Calories[Name],Calories[Sodium])*Log[[#This Row],[Qty]])</f>
        <v>210</v>
      </c>
      <c r="K116" s="71">
        <f>IF(ISBLANK(Log[[#This Row],[Item]]),"",_xlfn.XLOOKUP(Log[[#This Row],[Item]],Calories[Name],Calories[Protein])*Log[[#This Row],[Qty]])</f>
        <v>13</v>
      </c>
      <c r="L116" s="71">
        <f>IF(ISBLANK(Log[[#This Row],[Item]]),"",_xlfn.XLOOKUP(Log[[#This Row],[Item]],Calories[Name],Calories[Chol.])*Log[[#This Row],[Qty]])</f>
        <v>75</v>
      </c>
      <c r="M116" s="75"/>
      <c r="N116" s="75"/>
      <c r="O116" s="75"/>
    </row>
    <row r="117" spans="1:15" s="66" customFormat="1" ht="25.15" customHeight="1">
      <c r="A117" s="75"/>
      <c r="B117" s="98">
        <v>44812</v>
      </c>
      <c r="C117" s="78" t="s">
        <v>52</v>
      </c>
      <c r="D117" s="79">
        <v>1</v>
      </c>
      <c r="E117" s="76" t="str">
        <f>IF(ISBLANK(Log[[#This Row],[Item]]),"",_xlfn.XLOOKUP(Log[[#This Row],[Item]],Calories[Name],Calories[Unit]))</f>
        <v>ea</v>
      </c>
      <c r="F117" s="65">
        <f>IF(ISBLANK(Log[[#This Row],[Item]]),"",_xlfn.XLOOKUP(Log[[#This Row],[Item]],Calories[Name],Calories[Cals])*Log[[#This Row],[Qty]])</f>
        <v>0</v>
      </c>
      <c r="G117" s="71">
        <f>IF(ISBLANK(Log[[#This Row],[Item]]),"",_xlfn.XLOOKUP(Log[[#This Row],[Item]],Calories[Name],Calories[Carbs])*Log[[#This Row],[Qty]])</f>
        <v>0</v>
      </c>
      <c r="H117" s="71">
        <f>IF(ISBLANK(Log[[#This Row],[Item]]),"",_xlfn.XLOOKUP(Log[[#This Row],[Item]],Calories[Name],Calories[Fibre])*Log[[#This Row],[Qty]])</f>
        <v>0</v>
      </c>
      <c r="I117" s="71">
        <f>IF(ISBLANK(Log[[#This Row],[Item]]),"",(Log[[#This Row],[Carbs]]-Log[[#This Row],[Fibre]]))</f>
        <v>0</v>
      </c>
      <c r="J117" s="103">
        <f>IF(ISBLANK(Log[[#This Row],[Item]]),"",_xlfn.XLOOKUP(Log[[#This Row],[Item]],Calories[Name],Calories[Sodium])*Log[[#This Row],[Qty]])</f>
        <v>0</v>
      </c>
      <c r="K117" s="71">
        <f>IF(ISBLANK(Log[[#This Row],[Item]]),"",_xlfn.XLOOKUP(Log[[#This Row],[Item]],Calories[Name],Calories[Protein])*Log[[#This Row],[Qty]])</f>
        <v>0</v>
      </c>
      <c r="L117" s="71">
        <f>IF(ISBLANK(Log[[#This Row],[Item]]),"",_xlfn.XLOOKUP(Log[[#This Row],[Item]],Calories[Name],Calories[Chol.])*Log[[#This Row],[Qty]])</f>
        <v>0</v>
      </c>
      <c r="M117" s="75"/>
      <c r="N117" s="75"/>
      <c r="O117" s="75"/>
    </row>
    <row r="118" spans="1:15" s="66" customFormat="1" ht="25.15" customHeight="1">
      <c r="A118" s="75"/>
      <c r="B118" s="98">
        <v>44812</v>
      </c>
      <c r="C118" s="78" t="s">
        <v>53</v>
      </c>
      <c r="D118" s="79">
        <v>1</v>
      </c>
      <c r="E118" s="76" t="str">
        <f>IF(ISBLANK(Log[[#This Row],[Item]]),"",_xlfn.XLOOKUP(Log[[#This Row],[Item]],Calories[Name],Calories[Unit]))</f>
        <v>ea</v>
      </c>
      <c r="F118" s="65">
        <f>IF(ISBLANK(Log[[#This Row],[Item]]),"",_xlfn.XLOOKUP(Log[[#This Row],[Item]],Calories[Name],Calories[Cals])*Log[[#This Row],[Qty]])</f>
        <v>0</v>
      </c>
      <c r="G118" s="71">
        <f>IF(ISBLANK(Log[[#This Row],[Item]]),"",_xlfn.XLOOKUP(Log[[#This Row],[Item]],Calories[Name],Calories[Carbs])*Log[[#This Row],[Qty]])</f>
        <v>0</v>
      </c>
      <c r="H118" s="71">
        <f>IF(ISBLANK(Log[[#This Row],[Item]]),"",_xlfn.XLOOKUP(Log[[#This Row],[Item]],Calories[Name],Calories[Fibre])*Log[[#This Row],[Qty]])</f>
        <v>0</v>
      </c>
      <c r="I118" s="71">
        <f>IF(ISBLANK(Log[[#This Row],[Item]]),"",(Log[[#This Row],[Carbs]]-Log[[#This Row],[Fibre]]))</f>
        <v>0</v>
      </c>
      <c r="J118" s="103">
        <f>IF(ISBLANK(Log[[#This Row],[Item]]),"",_xlfn.XLOOKUP(Log[[#This Row],[Item]],Calories[Name],Calories[Sodium])*Log[[#This Row],[Qty]])</f>
        <v>0</v>
      </c>
      <c r="K118" s="71">
        <f>IF(ISBLANK(Log[[#This Row],[Item]]),"",_xlfn.XLOOKUP(Log[[#This Row],[Item]],Calories[Name],Calories[Protein])*Log[[#This Row],[Qty]])</f>
        <v>0</v>
      </c>
      <c r="L118" s="71">
        <f>IF(ISBLANK(Log[[#This Row],[Item]]),"",_xlfn.XLOOKUP(Log[[#This Row],[Item]],Calories[Name],Calories[Chol.])*Log[[#This Row],[Qty]])</f>
        <v>0</v>
      </c>
      <c r="M118" s="75"/>
      <c r="N118" s="75"/>
      <c r="O118" s="75"/>
    </row>
    <row r="119" spans="1:15" s="66" customFormat="1" ht="25.15" customHeight="1">
      <c r="A119" s="75"/>
      <c r="B119" s="98">
        <v>44812</v>
      </c>
      <c r="C119" s="78" t="s">
        <v>54</v>
      </c>
      <c r="D119" s="79">
        <v>1</v>
      </c>
      <c r="E119" s="76" t="str">
        <f>IF(ISBLANK(Log[[#This Row],[Item]]),"",_xlfn.XLOOKUP(Log[[#This Row],[Item]],Calories[Name],Calories[Unit]))</f>
        <v>ea</v>
      </c>
      <c r="F119" s="65">
        <f>IF(ISBLANK(Log[[#This Row],[Item]]),"",_xlfn.XLOOKUP(Log[[#This Row],[Item]],Calories[Name],Calories[Cals])*Log[[#This Row],[Qty]])</f>
        <v>0</v>
      </c>
      <c r="G119" s="71">
        <f>IF(ISBLANK(Log[[#This Row],[Item]]),"",_xlfn.XLOOKUP(Log[[#This Row],[Item]],Calories[Name],Calories[Carbs])*Log[[#This Row],[Qty]])</f>
        <v>0</v>
      </c>
      <c r="H119" s="71">
        <f>IF(ISBLANK(Log[[#This Row],[Item]]),"",_xlfn.XLOOKUP(Log[[#This Row],[Item]],Calories[Name],Calories[Fibre])*Log[[#This Row],[Qty]])</f>
        <v>0</v>
      </c>
      <c r="I119" s="71">
        <f>IF(ISBLANK(Log[[#This Row],[Item]]),"",(Log[[#This Row],[Carbs]]-Log[[#This Row],[Fibre]]))</f>
        <v>0</v>
      </c>
      <c r="J119" s="103">
        <f>IF(ISBLANK(Log[[#This Row],[Item]]),"",_xlfn.XLOOKUP(Log[[#This Row],[Item]],Calories[Name],Calories[Sodium])*Log[[#This Row],[Qty]])</f>
        <v>0</v>
      </c>
      <c r="K119" s="71">
        <f>IF(ISBLANK(Log[[#This Row],[Item]]),"",_xlfn.XLOOKUP(Log[[#This Row],[Item]],Calories[Name],Calories[Protein])*Log[[#This Row],[Qty]])</f>
        <v>0</v>
      </c>
      <c r="L119" s="71">
        <f>IF(ISBLANK(Log[[#This Row],[Item]]),"",_xlfn.XLOOKUP(Log[[#This Row],[Item]],Calories[Name],Calories[Chol.])*Log[[#This Row],[Qty]])</f>
        <v>0</v>
      </c>
      <c r="M119" s="75"/>
      <c r="N119" s="75"/>
      <c r="O119" s="75"/>
    </row>
    <row r="120" spans="1:15" s="66" customFormat="1" ht="25.15" customHeight="1">
      <c r="A120" s="75"/>
      <c r="B120" s="98">
        <v>44812</v>
      </c>
      <c r="C120" s="78" t="s">
        <v>55</v>
      </c>
      <c r="D120" s="79">
        <v>1</v>
      </c>
      <c r="E120" s="76" t="str">
        <f>IF(ISBLANK(Log[[#This Row],[Item]]),"",_xlfn.XLOOKUP(Log[[#This Row],[Item]],Calories[Name],Calories[Unit]))</f>
        <v>ea</v>
      </c>
      <c r="F120" s="65">
        <f>IF(ISBLANK(Log[[#This Row],[Item]]),"",_xlfn.XLOOKUP(Log[[#This Row],[Item]],Calories[Name],Calories[Cals])*Log[[#This Row],[Qty]])</f>
        <v>0</v>
      </c>
      <c r="G120" s="71">
        <f>IF(ISBLANK(Log[[#This Row],[Item]]),"",_xlfn.XLOOKUP(Log[[#This Row],[Item]],Calories[Name],Calories[Carbs])*Log[[#This Row],[Qty]])</f>
        <v>0</v>
      </c>
      <c r="H120" s="71">
        <f>IF(ISBLANK(Log[[#This Row],[Item]]),"",_xlfn.XLOOKUP(Log[[#This Row],[Item]],Calories[Name],Calories[Fibre])*Log[[#This Row],[Qty]])</f>
        <v>0</v>
      </c>
      <c r="I120" s="71">
        <f>IF(ISBLANK(Log[[#This Row],[Item]]),"",(Log[[#This Row],[Carbs]]-Log[[#This Row],[Fibre]]))</f>
        <v>0</v>
      </c>
      <c r="J120" s="103">
        <f>IF(ISBLANK(Log[[#This Row],[Item]]),"",_xlfn.XLOOKUP(Log[[#This Row],[Item]],Calories[Name],Calories[Sodium])*Log[[#This Row],[Qty]])</f>
        <v>0</v>
      </c>
      <c r="K120" s="71">
        <f>IF(ISBLANK(Log[[#This Row],[Item]]),"",_xlfn.XLOOKUP(Log[[#This Row],[Item]],Calories[Name],Calories[Protein])*Log[[#This Row],[Qty]])</f>
        <v>0</v>
      </c>
      <c r="L120" s="71">
        <f>IF(ISBLANK(Log[[#This Row],[Item]]),"",_xlfn.XLOOKUP(Log[[#This Row],[Item]],Calories[Name],Calories[Chol.])*Log[[#This Row],[Qty]])</f>
        <v>0</v>
      </c>
      <c r="M120" s="75"/>
      <c r="N120" s="75"/>
      <c r="O120" s="75"/>
    </row>
    <row r="121" spans="1:15" s="66" customFormat="1" ht="25.15" customHeight="1">
      <c r="A121" s="75"/>
      <c r="B121" s="98">
        <v>44812</v>
      </c>
      <c r="C121" s="78" t="s">
        <v>13</v>
      </c>
      <c r="D121" s="79">
        <v>3</v>
      </c>
      <c r="E121" s="76" t="str">
        <f>IF(ISBLANK(Log[[#This Row],[Item]]),"",_xlfn.XLOOKUP(Log[[#This Row],[Item]],Calories[Name],Calories[Unit]))</f>
        <v>ea</v>
      </c>
      <c r="F121" s="65">
        <f>IF(ISBLANK(Log[[#This Row],[Item]]),"",_xlfn.XLOOKUP(Log[[#This Row],[Item]],Calories[Name],Calories[Cals])*Log[[#This Row],[Qty]])</f>
        <v>216</v>
      </c>
      <c r="G121" s="71">
        <f>IF(ISBLANK(Log[[#This Row],[Item]]),"",_xlfn.XLOOKUP(Log[[#This Row],[Item]],Calories[Name],Calories[Carbs])*Log[[#This Row],[Qty]])</f>
        <v>0</v>
      </c>
      <c r="H121" s="71">
        <f>IF(ISBLANK(Log[[#This Row],[Item]]),"",_xlfn.XLOOKUP(Log[[#This Row],[Item]],Calories[Name],Calories[Fibre])*Log[[#This Row],[Qty]])</f>
        <v>0</v>
      </c>
      <c r="I121" s="71">
        <f>IF(ISBLANK(Log[[#This Row],[Item]]),"",(Log[[#This Row],[Carbs]]-Log[[#This Row],[Fibre]]))</f>
        <v>0</v>
      </c>
      <c r="J121" s="103">
        <f>IF(ISBLANK(Log[[#This Row],[Item]]),"",_xlfn.XLOOKUP(Log[[#This Row],[Item]],Calories[Name],Calories[Sodium])*Log[[#This Row],[Qty]])</f>
        <v>210</v>
      </c>
      <c r="K121" s="71">
        <f>IF(ISBLANK(Log[[#This Row],[Item]]),"",_xlfn.XLOOKUP(Log[[#This Row],[Item]],Calories[Name],Calories[Protein])*Log[[#This Row],[Qty]])</f>
        <v>18</v>
      </c>
      <c r="L121" s="71">
        <f>IF(ISBLANK(Log[[#This Row],[Item]]),"",_xlfn.XLOOKUP(Log[[#This Row],[Item]],Calories[Name],Calories[Chol.])*Log[[#This Row],[Qty]])</f>
        <v>633</v>
      </c>
      <c r="M121" s="75"/>
      <c r="N121" s="75"/>
      <c r="O121" s="75"/>
    </row>
    <row r="122" spans="1:15" s="66" customFormat="1" ht="25.15" customHeight="1">
      <c r="A122" s="75"/>
      <c r="B122" s="98">
        <v>44812</v>
      </c>
      <c r="C122" s="78" t="s">
        <v>15</v>
      </c>
      <c r="D122" s="79">
        <v>0.5</v>
      </c>
      <c r="E122" s="76" t="str">
        <f>IF(ISBLANK(Log[[#This Row],[Item]]),"",_xlfn.XLOOKUP(Log[[#This Row],[Item]],Calories[Name],Calories[Unit]))</f>
        <v>tbsp</v>
      </c>
      <c r="F122" s="65">
        <f>IF(ISBLANK(Log[[#This Row],[Item]]),"",_xlfn.XLOOKUP(Log[[#This Row],[Item]],Calories[Name],Calories[Cals])*Log[[#This Row],[Qty]])</f>
        <v>60</v>
      </c>
      <c r="G122" s="71">
        <f>IF(ISBLANK(Log[[#This Row],[Item]]),"",_xlfn.XLOOKUP(Log[[#This Row],[Item]],Calories[Name],Calories[Carbs])*Log[[#This Row],[Qty]])</f>
        <v>0</v>
      </c>
      <c r="H122" s="71">
        <f>IF(ISBLANK(Log[[#This Row],[Item]]),"",_xlfn.XLOOKUP(Log[[#This Row],[Item]],Calories[Name],Calories[Fibre])*Log[[#This Row],[Qty]])</f>
        <v>0</v>
      </c>
      <c r="I122" s="71">
        <f>IF(ISBLANK(Log[[#This Row],[Item]]),"",(Log[[#This Row],[Carbs]]-Log[[#This Row],[Fibre]]))</f>
        <v>0</v>
      </c>
      <c r="J122" s="103">
        <f>IF(ISBLANK(Log[[#This Row],[Item]]),"",_xlfn.XLOOKUP(Log[[#This Row],[Item]],Calories[Name],Calories[Sodium])*Log[[#This Row],[Qty]])</f>
        <v>0</v>
      </c>
      <c r="K122" s="71">
        <f>IF(ISBLANK(Log[[#This Row],[Item]]),"",_xlfn.XLOOKUP(Log[[#This Row],[Item]],Calories[Name],Calories[Protein])*Log[[#This Row],[Qty]])</f>
        <v>0</v>
      </c>
      <c r="L122" s="71">
        <f>IF(ISBLANK(Log[[#This Row],[Item]]),"",_xlfn.XLOOKUP(Log[[#This Row],[Item]],Calories[Name],Calories[Chol.])*Log[[#This Row],[Qty]])</f>
        <v>0</v>
      </c>
      <c r="M122" s="75"/>
      <c r="N122" s="75"/>
      <c r="O122" s="75"/>
    </row>
    <row r="123" spans="1:15" s="66" customFormat="1" ht="25.15" customHeight="1">
      <c r="A123" s="75"/>
      <c r="B123" s="98">
        <v>44812</v>
      </c>
      <c r="C123" s="78" t="s">
        <v>62</v>
      </c>
      <c r="D123" s="79">
        <v>0.5</v>
      </c>
      <c r="E123" s="76" t="str">
        <f>IF(ISBLANK(Log[[#This Row],[Item]]),"",_xlfn.XLOOKUP(Log[[#This Row],[Item]],Calories[Name],Calories[Unit]))</f>
        <v>c</v>
      </c>
      <c r="F123" s="65">
        <f>IF(ISBLANK(Log[[#This Row],[Item]]),"",_xlfn.XLOOKUP(Log[[#This Row],[Item]],Calories[Name],Calories[Cals])*Log[[#This Row],[Qty]])</f>
        <v>240</v>
      </c>
      <c r="G123" s="71">
        <f>IF(ISBLANK(Log[[#This Row],[Item]]),"",_xlfn.XLOOKUP(Log[[#This Row],[Item]],Calories[Name],Calories[Carbs])*Log[[#This Row],[Qty]])</f>
        <v>44</v>
      </c>
      <c r="H123" s="71">
        <f>IF(ISBLANK(Log[[#This Row],[Item]]),"",_xlfn.XLOOKUP(Log[[#This Row],[Item]],Calories[Name],Calories[Fibre])*Log[[#This Row],[Qty]])</f>
        <v>8</v>
      </c>
      <c r="I123" s="71">
        <f>IF(ISBLANK(Log[[#This Row],[Item]]),"",(Log[[#This Row],[Carbs]]-Log[[#This Row],[Fibre]]))</f>
        <v>36</v>
      </c>
      <c r="J123" s="103">
        <f>IF(ISBLANK(Log[[#This Row],[Item]]),"",_xlfn.XLOOKUP(Log[[#This Row],[Item]],Calories[Name],Calories[Sodium])*Log[[#This Row],[Qty]])</f>
        <v>0</v>
      </c>
      <c r="K123" s="71">
        <f>IF(ISBLANK(Log[[#This Row],[Item]]),"",_xlfn.XLOOKUP(Log[[#This Row],[Item]],Calories[Name],Calories[Protein])*Log[[#This Row],[Qty]])</f>
        <v>18</v>
      </c>
      <c r="L123" s="71">
        <f>IF(ISBLANK(Log[[#This Row],[Item]]),"",_xlfn.XLOOKUP(Log[[#This Row],[Item]],Calories[Name],Calories[Chol.])*Log[[#This Row],[Qty]])</f>
        <v>0</v>
      </c>
      <c r="M123" s="75"/>
      <c r="N123" s="75"/>
      <c r="O123" s="75"/>
    </row>
    <row r="124" spans="1:15" s="66" customFormat="1" ht="25.15" customHeight="1">
      <c r="A124" s="75"/>
      <c r="B124" s="98">
        <v>44812</v>
      </c>
      <c r="C124" s="78" t="s">
        <v>63</v>
      </c>
      <c r="D124" s="79">
        <v>0.25</v>
      </c>
      <c r="E124" s="76" t="str">
        <f>IF(ISBLANK(Log[[#This Row],[Item]]),"",_xlfn.XLOOKUP(Log[[#This Row],[Item]],Calories[Name],Calories[Unit]))</f>
        <v>pkg</v>
      </c>
      <c r="F124" s="65">
        <f>IF(ISBLANK(Log[[#This Row],[Item]]),"",_xlfn.XLOOKUP(Log[[#This Row],[Item]],Calories[Name],Calories[Cals])*Log[[#This Row],[Qty]])</f>
        <v>130</v>
      </c>
      <c r="G124" s="71">
        <f>IF(ISBLANK(Log[[#This Row],[Item]]),"",_xlfn.XLOOKUP(Log[[#This Row],[Item]],Calories[Name],Calories[Carbs])*Log[[#This Row],[Qty]])</f>
        <v>3</v>
      </c>
      <c r="H124" s="71">
        <f>IF(ISBLANK(Log[[#This Row],[Item]]),"",_xlfn.XLOOKUP(Log[[#This Row],[Item]],Calories[Name],Calories[Fibre])*Log[[#This Row],[Qty]])</f>
        <v>0</v>
      </c>
      <c r="I124" s="71">
        <f>IF(ISBLANK(Log[[#This Row],[Item]]),"",(Log[[#This Row],[Carbs]]-Log[[#This Row],[Fibre]]))</f>
        <v>3</v>
      </c>
      <c r="J124" s="103">
        <f>IF(ISBLANK(Log[[#This Row],[Item]]),"",_xlfn.XLOOKUP(Log[[#This Row],[Item]],Calories[Name],Calories[Sodium])*Log[[#This Row],[Qty]])</f>
        <v>5</v>
      </c>
      <c r="K124" s="71">
        <f>IF(ISBLANK(Log[[#This Row],[Item]]),"",_xlfn.XLOOKUP(Log[[#This Row],[Item]],Calories[Name],Calories[Protein])*Log[[#This Row],[Qty]])</f>
        <v>14</v>
      </c>
      <c r="L124" s="71">
        <f>IF(ISBLANK(Log[[#This Row],[Item]]),"",_xlfn.XLOOKUP(Log[[#This Row],[Item]],Calories[Name],Calories[Chol.])*Log[[#This Row],[Qty]])</f>
        <v>0</v>
      </c>
      <c r="M124" s="75"/>
      <c r="N124" s="75"/>
      <c r="O124" s="75"/>
    </row>
    <row r="125" spans="1:15" s="66" customFormat="1" ht="25.15" customHeight="1">
      <c r="A125" s="75"/>
      <c r="B125" s="98">
        <v>44812</v>
      </c>
      <c r="C125" s="78" t="s">
        <v>14</v>
      </c>
      <c r="D125" s="79">
        <v>0.125</v>
      </c>
      <c r="E125" s="76" t="str">
        <f>IF(ISBLANK(Log[[#This Row],[Item]]),"",_xlfn.XLOOKUP(Log[[#This Row],[Item]],Calories[Name],Calories[Unit]))</f>
        <v>c</v>
      </c>
      <c r="F125" s="65">
        <f>IF(ISBLANK(Log[[#This Row],[Item]]),"",_xlfn.XLOOKUP(Log[[#This Row],[Item]],Calories[Name],Calories[Cals])*Log[[#This Row],[Qty]])</f>
        <v>8.375</v>
      </c>
      <c r="G125" s="71">
        <f>IF(ISBLANK(Log[[#This Row],[Item]]),"",_xlfn.XLOOKUP(Log[[#This Row],[Item]],Calories[Name],Calories[Carbs])*Log[[#This Row],[Qty]])</f>
        <v>2.0225</v>
      </c>
      <c r="H125" s="71">
        <f>IF(ISBLANK(Log[[#This Row],[Item]]),"",_xlfn.XLOOKUP(Log[[#This Row],[Item]],Calories[Name],Calories[Fibre])*Log[[#This Row],[Qty]])</f>
        <v>0.27500000000000002</v>
      </c>
      <c r="I125" s="71">
        <f>IF(ISBLANK(Log[[#This Row],[Item]]),"",(Log[[#This Row],[Carbs]]-Log[[#This Row],[Fibre]]))</f>
        <v>1.7475000000000001</v>
      </c>
      <c r="J125" s="103">
        <f>IF(ISBLANK(Log[[#This Row],[Item]]),"",_xlfn.XLOOKUP(Log[[#This Row],[Item]],Calories[Name],Calories[Sodium])*Log[[#This Row],[Qty]])</f>
        <v>0.625</v>
      </c>
      <c r="K125" s="71">
        <f>IF(ISBLANK(Log[[#This Row],[Item]]),"",_xlfn.XLOOKUP(Log[[#This Row],[Item]],Calories[Name],Calories[Protein])*Log[[#This Row],[Qty]])</f>
        <v>0.18375</v>
      </c>
      <c r="L125" s="71">
        <f>IF(ISBLANK(Log[[#This Row],[Item]]),"",_xlfn.XLOOKUP(Log[[#This Row],[Item]],Calories[Name],Calories[Chol.])*Log[[#This Row],[Qty]])</f>
        <v>0</v>
      </c>
      <c r="M125" s="75"/>
      <c r="N125" s="75"/>
      <c r="O125" s="75"/>
    </row>
    <row r="126" spans="1:15" s="66" customFormat="1" ht="25.15" customHeight="1">
      <c r="A126" s="75"/>
      <c r="B126" s="98">
        <v>44812</v>
      </c>
      <c r="C126" s="78" t="s">
        <v>15</v>
      </c>
      <c r="D126" s="79">
        <v>0.5</v>
      </c>
      <c r="E126" s="76" t="str">
        <f>IF(ISBLANK(Log[[#This Row],[Item]]),"",_xlfn.XLOOKUP(Log[[#This Row],[Item]],Calories[Name],Calories[Unit]))</f>
        <v>tbsp</v>
      </c>
      <c r="F126" s="65">
        <f>IF(ISBLANK(Log[[#This Row],[Item]]),"",_xlfn.XLOOKUP(Log[[#This Row],[Item]],Calories[Name],Calories[Cals])*Log[[#This Row],[Qty]])</f>
        <v>60</v>
      </c>
      <c r="G126" s="71">
        <f>IF(ISBLANK(Log[[#This Row],[Item]]),"",_xlfn.XLOOKUP(Log[[#This Row],[Item]],Calories[Name],Calories[Carbs])*Log[[#This Row],[Qty]])</f>
        <v>0</v>
      </c>
      <c r="H126" s="71">
        <f>IF(ISBLANK(Log[[#This Row],[Item]]),"",_xlfn.XLOOKUP(Log[[#This Row],[Item]],Calories[Name],Calories[Fibre])*Log[[#This Row],[Qty]])</f>
        <v>0</v>
      </c>
      <c r="I126" s="71">
        <f>IF(ISBLANK(Log[[#This Row],[Item]]),"",(Log[[#This Row],[Carbs]]-Log[[#This Row],[Fibre]]))</f>
        <v>0</v>
      </c>
      <c r="J126" s="103">
        <f>IF(ISBLANK(Log[[#This Row],[Item]]),"",_xlfn.XLOOKUP(Log[[#This Row],[Item]],Calories[Name],Calories[Sodium])*Log[[#This Row],[Qty]])</f>
        <v>0</v>
      </c>
      <c r="K126" s="71">
        <f>IF(ISBLANK(Log[[#This Row],[Item]]),"",_xlfn.XLOOKUP(Log[[#This Row],[Item]],Calories[Name],Calories[Protein])*Log[[#This Row],[Qty]])</f>
        <v>0</v>
      </c>
      <c r="L126" s="71">
        <f>IF(ISBLANK(Log[[#This Row],[Item]]),"",_xlfn.XLOOKUP(Log[[#This Row],[Item]],Calories[Name],Calories[Chol.])*Log[[#This Row],[Qty]])</f>
        <v>0</v>
      </c>
      <c r="M126" s="75"/>
      <c r="N126" s="75"/>
      <c r="O126" s="75"/>
    </row>
    <row r="127" spans="1:15" s="66" customFormat="1" ht="25.15" customHeight="1">
      <c r="A127" s="75"/>
      <c r="B127" s="98">
        <v>44812</v>
      </c>
      <c r="C127" s="78" t="s">
        <v>64</v>
      </c>
      <c r="D127" s="79">
        <v>0.5</v>
      </c>
      <c r="E127" s="76" t="str">
        <f>IF(ISBLANK(Log[[#This Row],[Item]]),"",_xlfn.XLOOKUP(Log[[#This Row],[Item]],Calories[Name],Calories[Unit]))</f>
        <v>c</v>
      </c>
      <c r="F127" s="65">
        <f>IF(ISBLANK(Log[[#This Row],[Item]]),"",_xlfn.XLOOKUP(Log[[#This Row],[Item]],Calories[Name],Calories[Cals])*Log[[#This Row],[Qty]])</f>
        <v>15.5</v>
      </c>
      <c r="G127" s="71">
        <f>IF(ISBLANK(Log[[#This Row],[Item]]),"",_xlfn.XLOOKUP(Log[[#This Row],[Item]],Calories[Name],Calories[Carbs])*Log[[#This Row],[Qty]])</f>
        <v>3.5150000000000001</v>
      </c>
      <c r="H127" s="71">
        <f>IF(ISBLANK(Log[[#This Row],[Item]]),"",_xlfn.XLOOKUP(Log[[#This Row],[Item]],Calories[Name],Calories[Fibre])*Log[[#This Row],[Qty]])</f>
        <v>1.6</v>
      </c>
      <c r="I127" s="71">
        <f>IF(ISBLANK(Log[[#This Row],[Item]]),"",(Log[[#This Row],[Carbs]]-Log[[#This Row],[Fibre]]))</f>
        <v>1.915</v>
      </c>
      <c r="J127" s="103">
        <f>IF(ISBLANK(Log[[#This Row],[Item]]),"",_xlfn.XLOOKUP(Log[[#This Row],[Item]],Calories[Name],Calories[Sodium])*Log[[#This Row],[Qty]])</f>
        <v>4</v>
      </c>
      <c r="K127" s="71">
        <f>IF(ISBLANK(Log[[#This Row],[Item]]),"",_xlfn.XLOOKUP(Log[[#This Row],[Item]],Calories[Name],Calories[Protein])*Log[[#This Row],[Qty]])</f>
        <v>1</v>
      </c>
      <c r="L127" s="71">
        <f>IF(ISBLANK(Log[[#This Row],[Item]]),"",_xlfn.XLOOKUP(Log[[#This Row],[Item]],Calories[Name],Calories[Chol.])*Log[[#This Row],[Qty]])</f>
        <v>0</v>
      </c>
      <c r="M127" s="75"/>
      <c r="N127" s="75"/>
      <c r="O127" s="75"/>
    </row>
    <row r="128" spans="1:15" s="66" customFormat="1" ht="25.15" customHeight="1">
      <c r="A128" s="75"/>
      <c r="B128" s="98">
        <v>44812</v>
      </c>
      <c r="C128" s="78" t="s">
        <v>45</v>
      </c>
      <c r="D128" s="79">
        <v>4</v>
      </c>
      <c r="E128" s="76" t="str">
        <f>IF(ISBLANK(Log[[#This Row],[Item]]),"",_xlfn.XLOOKUP(Log[[#This Row],[Item]],Calories[Name],Calories[Unit]))</f>
        <v>pinch</v>
      </c>
      <c r="F128" s="65">
        <f>IF(ISBLANK(Log[[#This Row],[Item]]),"",_xlfn.XLOOKUP(Log[[#This Row],[Item]],Calories[Name],Calories[Cals])*Log[[#This Row],[Qty]])</f>
        <v>0</v>
      </c>
      <c r="G128" s="71">
        <f>IF(ISBLANK(Log[[#This Row],[Item]]),"",_xlfn.XLOOKUP(Log[[#This Row],[Item]],Calories[Name],Calories[Carbs])*Log[[#This Row],[Qty]])</f>
        <v>0</v>
      </c>
      <c r="H128" s="71">
        <f>IF(ISBLANK(Log[[#This Row],[Item]]),"",_xlfn.XLOOKUP(Log[[#This Row],[Item]],Calories[Name],Calories[Fibre])*Log[[#This Row],[Qty]])</f>
        <v>0</v>
      </c>
      <c r="I128" s="71">
        <f>IF(ISBLANK(Log[[#This Row],[Item]]),"",(Log[[#This Row],[Carbs]]-Log[[#This Row],[Fibre]]))</f>
        <v>0</v>
      </c>
      <c r="J128" s="103">
        <f>IF(ISBLANK(Log[[#This Row],[Item]]),"",_xlfn.XLOOKUP(Log[[#This Row],[Item]],Calories[Name],Calories[Sodium])*Log[[#This Row],[Qty]])</f>
        <v>558.11519999999996</v>
      </c>
      <c r="K128" s="71">
        <f>IF(ISBLANK(Log[[#This Row],[Item]]),"",_xlfn.XLOOKUP(Log[[#This Row],[Item]],Calories[Name],Calories[Protein])*Log[[#This Row],[Qty]])</f>
        <v>0</v>
      </c>
      <c r="L128" s="71">
        <f>IF(ISBLANK(Log[[#This Row],[Item]]),"",_xlfn.XLOOKUP(Log[[#This Row],[Item]],Calories[Name],Calories[Chol.])*Log[[#This Row],[Qty]])</f>
        <v>0</v>
      </c>
      <c r="M128" s="75"/>
      <c r="N128" s="75"/>
      <c r="O128" s="75"/>
    </row>
    <row r="129" spans="1:15" s="66" customFormat="1" ht="25.15" customHeight="1">
      <c r="A129" s="75"/>
      <c r="B129" s="98">
        <v>44812</v>
      </c>
      <c r="C129" s="78" t="s">
        <v>65</v>
      </c>
      <c r="D129" s="79">
        <v>2</v>
      </c>
      <c r="E129" s="76" t="str">
        <f>IF(ISBLANK(Log[[#This Row],[Item]]),"",_xlfn.XLOOKUP(Log[[#This Row],[Item]],Calories[Name],Calories[Unit]))</f>
        <v>ea</v>
      </c>
      <c r="F129" s="65">
        <f>IF(ISBLANK(Log[[#This Row],[Item]]),"",_xlfn.XLOOKUP(Log[[#This Row],[Item]],Calories[Name],Calories[Cals])*Log[[#This Row],[Qty]])</f>
        <v>860</v>
      </c>
      <c r="G129" s="71">
        <f>IF(ISBLANK(Log[[#This Row],[Item]]),"",_xlfn.XLOOKUP(Log[[#This Row],[Item]],Calories[Name],Calories[Carbs])*Log[[#This Row],[Qty]])</f>
        <v>8</v>
      </c>
      <c r="H129" s="71">
        <f>IF(ISBLANK(Log[[#This Row],[Item]]),"",_xlfn.XLOOKUP(Log[[#This Row],[Item]],Calories[Name],Calories[Fibre])*Log[[#This Row],[Qty]])</f>
        <v>2</v>
      </c>
      <c r="I129" s="71">
        <f>IF(ISBLANK(Log[[#This Row],[Item]]),"",(Log[[#This Row],[Carbs]]-Log[[#This Row],[Fibre]]))</f>
        <v>6</v>
      </c>
      <c r="J129" s="103">
        <f>IF(ISBLANK(Log[[#This Row],[Item]]),"",_xlfn.XLOOKUP(Log[[#This Row],[Item]],Calories[Name],Calories[Sodium])*Log[[#This Row],[Qty]])</f>
        <v>2120</v>
      </c>
      <c r="K129" s="71">
        <f>IF(ISBLANK(Log[[#This Row],[Item]]),"",_xlfn.XLOOKUP(Log[[#This Row],[Item]],Calories[Name],Calories[Protein])*Log[[#This Row],[Qty]])</f>
        <v>44</v>
      </c>
      <c r="L129" s="71">
        <f>IF(ISBLANK(Log[[#This Row],[Item]]),"",_xlfn.XLOOKUP(Log[[#This Row],[Item]],Calories[Name],Calories[Chol.])*Log[[#This Row],[Qty]])</f>
        <v>170</v>
      </c>
      <c r="M129" s="75"/>
      <c r="N129" s="75"/>
      <c r="O129" s="75"/>
    </row>
    <row r="130" spans="1:15" s="66" customFormat="1" ht="25.15" customHeight="1">
      <c r="A130" s="75"/>
      <c r="B130" s="98">
        <v>44813</v>
      </c>
      <c r="C130" s="78" t="s">
        <v>52</v>
      </c>
      <c r="D130" s="79">
        <v>1</v>
      </c>
      <c r="E130" s="76" t="str">
        <f>IF(ISBLANK(Log[[#This Row],[Item]]),"",_xlfn.XLOOKUP(Log[[#This Row],[Item]],Calories[Name],Calories[Unit]))</f>
        <v>ea</v>
      </c>
      <c r="F130" s="65">
        <f>IF(ISBLANK(Log[[#This Row],[Item]]),"",_xlfn.XLOOKUP(Log[[#This Row],[Item]],Calories[Name],Calories[Cals])*Log[[#This Row],[Qty]])</f>
        <v>0</v>
      </c>
      <c r="G130" s="71">
        <f>IF(ISBLANK(Log[[#This Row],[Item]]),"",_xlfn.XLOOKUP(Log[[#This Row],[Item]],Calories[Name],Calories[Carbs])*Log[[#This Row],[Qty]])</f>
        <v>0</v>
      </c>
      <c r="H130" s="71">
        <f>IF(ISBLANK(Log[[#This Row],[Item]]),"",_xlfn.XLOOKUP(Log[[#This Row],[Item]],Calories[Name],Calories[Fibre])*Log[[#This Row],[Qty]])</f>
        <v>0</v>
      </c>
      <c r="I130" s="71">
        <f>IF(ISBLANK(Log[[#This Row],[Item]]),"",(Log[[#This Row],[Carbs]]-Log[[#This Row],[Fibre]]))</f>
        <v>0</v>
      </c>
      <c r="J130" s="103">
        <f>IF(ISBLANK(Log[[#This Row],[Item]]),"",_xlfn.XLOOKUP(Log[[#This Row],[Item]],Calories[Name],Calories[Sodium])*Log[[#This Row],[Qty]])</f>
        <v>0</v>
      </c>
      <c r="K130" s="71">
        <f>IF(ISBLANK(Log[[#This Row],[Item]]),"",_xlfn.XLOOKUP(Log[[#This Row],[Item]],Calories[Name],Calories[Protein])*Log[[#This Row],[Qty]])</f>
        <v>0</v>
      </c>
      <c r="L130" s="71">
        <f>IF(ISBLANK(Log[[#This Row],[Item]]),"",_xlfn.XLOOKUP(Log[[#This Row],[Item]],Calories[Name],Calories[Chol.])*Log[[#This Row],[Qty]])</f>
        <v>0</v>
      </c>
      <c r="M130" s="75"/>
      <c r="N130" s="75"/>
      <c r="O130" s="75"/>
    </row>
    <row r="131" spans="1:15" s="66" customFormat="1" ht="25.15" customHeight="1">
      <c r="A131" s="75"/>
      <c r="B131" s="98">
        <v>44813</v>
      </c>
      <c r="C131" s="78" t="s">
        <v>53</v>
      </c>
      <c r="D131" s="79">
        <v>1</v>
      </c>
      <c r="E131" s="76" t="str">
        <f>IF(ISBLANK(Log[[#This Row],[Item]]),"",_xlfn.XLOOKUP(Log[[#This Row],[Item]],Calories[Name],Calories[Unit]))</f>
        <v>ea</v>
      </c>
      <c r="F131" s="65">
        <f>IF(ISBLANK(Log[[#This Row],[Item]]),"",_xlfn.XLOOKUP(Log[[#This Row],[Item]],Calories[Name],Calories[Cals])*Log[[#This Row],[Qty]])</f>
        <v>0</v>
      </c>
      <c r="G131" s="71">
        <f>IF(ISBLANK(Log[[#This Row],[Item]]),"",_xlfn.XLOOKUP(Log[[#This Row],[Item]],Calories[Name],Calories[Carbs])*Log[[#This Row],[Qty]])</f>
        <v>0</v>
      </c>
      <c r="H131" s="71">
        <f>IF(ISBLANK(Log[[#This Row],[Item]]),"",_xlfn.XLOOKUP(Log[[#This Row],[Item]],Calories[Name],Calories[Fibre])*Log[[#This Row],[Qty]])</f>
        <v>0</v>
      </c>
      <c r="I131" s="71">
        <f>IF(ISBLANK(Log[[#This Row],[Item]]),"",(Log[[#This Row],[Carbs]]-Log[[#This Row],[Fibre]]))</f>
        <v>0</v>
      </c>
      <c r="J131" s="103">
        <f>IF(ISBLANK(Log[[#This Row],[Item]]),"",_xlfn.XLOOKUP(Log[[#This Row],[Item]],Calories[Name],Calories[Sodium])*Log[[#This Row],[Qty]])</f>
        <v>0</v>
      </c>
      <c r="K131" s="71">
        <f>IF(ISBLANK(Log[[#This Row],[Item]]),"",_xlfn.XLOOKUP(Log[[#This Row],[Item]],Calories[Name],Calories[Protein])*Log[[#This Row],[Qty]])</f>
        <v>0</v>
      </c>
      <c r="L131" s="71">
        <f>IF(ISBLANK(Log[[#This Row],[Item]]),"",_xlfn.XLOOKUP(Log[[#This Row],[Item]],Calories[Name],Calories[Chol.])*Log[[#This Row],[Qty]])</f>
        <v>0</v>
      </c>
      <c r="M131" s="75"/>
      <c r="N131" s="75"/>
      <c r="O131" s="75"/>
    </row>
    <row r="132" spans="1:15" s="66" customFormat="1" ht="25.15" customHeight="1">
      <c r="A132" s="75"/>
      <c r="B132" s="98">
        <v>44813</v>
      </c>
      <c r="C132" s="78" t="s">
        <v>54</v>
      </c>
      <c r="D132" s="79">
        <v>1</v>
      </c>
      <c r="E132" s="76" t="str">
        <f>IF(ISBLANK(Log[[#This Row],[Item]]),"",_xlfn.XLOOKUP(Log[[#This Row],[Item]],Calories[Name],Calories[Unit]))</f>
        <v>ea</v>
      </c>
      <c r="F132" s="65">
        <f>IF(ISBLANK(Log[[#This Row],[Item]]),"",_xlfn.XLOOKUP(Log[[#This Row],[Item]],Calories[Name],Calories[Cals])*Log[[#This Row],[Qty]])</f>
        <v>0</v>
      </c>
      <c r="G132" s="71">
        <f>IF(ISBLANK(Log[[#This Row],[Item]]),"",_xlfn.XLOOKUP(Log[[#This Row],[Item]],Calories[Name],Calories[Carbs])*Log[[#This Row],[Qty]])</f>
        <v>0</v>
      </c>
      <c r="H132" s="71">
        <f>IF(ISBLANK(Log[[#This Row],[Item]]),"",_xlfn.XLOOKUP(Log[[#This Row],[Item]],Calories[Name],Calories[Fibre])*Log[[#This Row],[Qty]])</f>
        <v>0</v>
      </c>
      <c r="I132" s="71">
        <f>IF(ISBLANK(Log[[#This Row],[Item]]),"",(Log[[#This Row],[Carbs]]-Log[[#This Row],[Fibre]]))</f>
        <v>0</v>
      </c>
      <c r="J132" s="103">
        <f>IF(ISBLANK(Log[[#This Row],[Item]]),"",_xlfn.XLOOKUP(Log[[#This Row],[Item]],Calories[Name],Calories[Sodium])*Log[[#This Row],[Qty]])</f>
        <v>0</v>
      </c>
      <c r="K132" s="71">
        <f>IF(ISBLANK(Log[[#This Row],[Item]]),"",_xlfn.XLOOKUP(Log[[#This Row],[Item]],Calories[Name],Calories[Protein])*Log[[#This Row],[Qty]])</f>
        <v>0</v>
      </c>
      <c r="L132" s="71">
        <f>IF(ISBLANK(Log[[#This Row],[Item]]),"",_xlfn.XLOOKUP(Log[[#This Row],[Item]],Calories[Name],Calories[Chol.])*Log[[#This Row],[Qty]])</f>
        <v>0</v>
      </c>
      <c r="M132" s="75"/>
      <c r="N132" s="75"/>
      <c r="O132" s="75"/>
    </row>
    <row r="133" spans="1:15" s="66" customFormat="1" ht="25.15" customHeight="1">
      <c r="A133" s="75"/>
      <c r="B133" s="98">
        <v>44813</v>
      </c>
      <c r="C133" s="78" t="s">
        <v>55</v>
      </c>
      <c r="D133" s="79">
        <v>1</v>
      </c>
      <c r="E133" s="76" t="str">
        <f>IF(ISBLANK(Log[[#This Row],[Item]]),"",_xlfn.XLOOKUP(Log[[#This Row],[Item]],Calories[Name],Calories[Unit]))</f>
        <v>ea</v>
      </c>
      <c r="F133" s="65">
        <f>IF(ISBLANK(Log[[#This Row],[Item]]),"",_xlfn.XLOOKUP(Log[[#This Row],[Item]],Calories[Name],Calories[Cals])*Log[[#This Row],[Qty]])</f>
        <v>0</v>
      </c>
      <c r="G133" s="71">
        <f>IF(ISBLANK(Log[[#This Row],[Item]]),"",_xlfn.XLOOKUP(Log[[#This Row],[Item]],Calories[Name],Calories[Carbs])*Log[[#This Row],[Qty]])</f>
        <v>0</v>
      </c>
      <c r="H133" s="71">
        <f>IF(ISBLANK(Log[[#This Row],[Item]]),"",_xlfn.XLOOKUP(Log[[#This Row],[Item]],Calories[Name],Calories[Fibre])*Log[[#This Row],[Qty]])</f>
        <v>0</v>
      </c>
      <c r="I133" s="71">
        <f>IF(ISBLANK(Log[[#This Row],[Item]]),"",(Log[[#This Row],[Carbs]]-Log[[#This Row],[Fibre]]))</f>
        <v>0</v>
      </c>
      <c r="J133" s="103">
        <f>IF(ISBLANK(Log[[#This Row],[Item]]),"",_xlfn.XLOOKUP(Log[[#This Row],[Item]],Calories[Name],Calories[Sodium])*Log[[#This Row],[Qty]])</f>
        <v>0</v>
      </c>
      <c r="K133" s="71">
        <f>IF(ISBLANK(Log[[#This Row],[Item]]),"",_xlfn.XLOOKUP(Log[[#This Row],[Item]],Calories[Name],Calories[Protein])*Log[[#This Row],[Qty]])</f>
        <v>0</v>
      </c>
      <c r="L133" s="71">
        <f>IF(ISBLANK(Log[[#This Row],[Item]]),"",_xlfn.XLOOKUP(Log[[#This Row],[Item]],Calories[Name],Calories[Chol.])*Log[[#This Row],[Qty]])</f>
        <v>0</v>
      </c>
      <c r="M133" s="75"/>
      <c r="N133" s="75"/>
      <c r="O133" s="75"/>
    </row>
    <row r="134" spans="1:15" s="66" customFormat="1" ht="25.15" customHeight="1">
      <c r="A134" s="75"/>
      <c r="B134" s="98">
        <v>44813</v>
      </c>
      <c r="C134" s="78" t="s">
        <v>66</v>
      </c>
      <c r="D134" s="79">
        <f>1042/3.94</f>
        <v>264.46700507614213</v>
      </c>
      <c r="E134" s="76" t="str">
        <f>IF(ISBLANK(Log[[#This Row],[Item]]),"",_xlfn.XLOOKUP(Log[[#This Row],[Item]],Calories[Name],Calories[Unit]))</f>
        <v>g</v>
      </c>
      <c r="F134" s="65">
        <f>IF(ISBLANK(Log[[#This Row],[Item]]),"",_xlfn.XLOOKUP(Log[[#This Row],[Item]],Calories[Name],Calories[Cals])*Log[[#This Row],[Qty]])</f>
        <v>424.60298980114561</v>
      </c>
      <c r="G134" s="71">
        <f>IF(ISBLANK(Log[[#This Row],[Item]]),"",_xlfn.XLOOKUP(Log[[#This Row],[Item]],Calories[Name],Calories[Carbs])*Log[[#This Row],[Qty]])</f>
        <v>0</v>
      </c>
      <c r="H134" s="71">
        <f>IF(ISBLANK(Log[[#This Row],[Item]]),"",_xlfn.XLOOKUP(Log[[#This Row],[Item]],Calories[Name],Calories[Fibre])*Log[[#This Row],[Qty]])</f>
        <v>0</v>
      </c>
      <c r="I134" s="71">
        <f>IF(ISBLANK(Log[[#This Row],[Item]]),"",(Log[[#This Row],[Carbs]]-Log[[#This Row],[Fibre]]))</f>
        <v>0</v>
      </c>
      <c r="J134" s="103">
        <f>IF(ISBLANK(Log[[#This Row],[Item]]),"",_xlfn.XLOOKUP(Log[[#This Row],[Item]],Calories[Name],Calories[Sodium])*Log[[#This Row],[Qty]])</f>
        <v>169.84119592045823</v>
      </c>
      <c r="K134" s="71">
        <f>IF(ISBLANK(Log[[#This Row],[Item]]),"",_xlfn.XLOOKUP(Log[[#This Row],[Item]],Calories[Name],Calories[Protein])*Log[[#This Row],[Qty]])</f>
        <v>56.924796434878857</v>
      </c>
      <c r="L134" s="71">
        <f>IF(ISBLANK(Log[[#This Row],[Item]]),"",_xlfn.XLOOKUP(Log[[#This Row],[Item]],Calories[Name],Calories[Chol.])*Log[[#This Row],[Qty]])</f>
        <v>126.91430024825451</v>
      </c>
      <c r="M134" s="75"/>
      <c r="N134" s="75"/>
      <c r="O134" s="75"/>
    </row>
    <row r="135" spans="1:15" s="66" customFormat="1" ht="25.15" customHeight="1">
      <c r="A135" s="75"/>
      <c r="B135" s="98">
        <v>44813</v>
      </c>
      <c r="C135" s="78" t="s">
        <v>67</v>
      </c>
      <c r="D135" s="79">
        <f>227*4/2.94</f>
        <v>308.84353741496597</v>
      </c>
      <c r="E135" s="76" t="str">
        <f>IF(ISBLANK(Log[[#This Row],[Item]]),"",_xlfn.XLOOKUP(Log[[#This Row],[Item]],Calories[Name],Calories[Unit]))</f>
        <v>g</v>
      </c>
      <c r="F135" s="65">
        <f>IF(ISBLANK(Log[[#This Row],[Item]]),"",_xlfn.XLOOKUP(Log[[#This Row],[Item]],Calories[Name],Calories[Cals])*Log[[#This Row],[Qty]])</f>
        <v>87.505668934240362</v>
      </c>
      <c r="G135" s="71">
        <f>IF(ISBLANK(Log[[#This Row],[Item]]),"",_xlfn.XLOOKUP(Log[[#This Row],[Item]],Calories[Name],Calories[Carbs])*Log[[#This Row],[Qty]])</f>
        <v>15.442176870748296</v>
      </c>
      <c r="H135" s="71">
        <f>IF(ISBLANK(Log[[#This Row],[Item]]),"",_xlfn.XLOOKUP(Log[[#This Row],[Item]],Calories[Name],Calories[Fibre])*Log[[#This Row],[Qty]])</f>
        <v>7.7210884353741482</v>
      </c>
      <c r="I135" s="71">
        <f>IF(ISBLANK(Log[[#This Row],[Item]]),"",(Log[[#This Row],[Carbs]]-Log[[#This Row],[Fibre]]))</f>
        <v>7.7210884353741482</v>
      </c>
      <c r="J135" s="103">
        <f>IF(ISBLANK(Log[[#This Row],[Item]]),"",_xlfn.XLOOKUP(Log[[#This Row],[Item]],Calories[Name],Calories[Sodium])*Log[[#This Row],[Qty]])</f>
        <v>5.1473922902494325</v>
      </c>
      <c r="K135" s="71">
        <f>IF(ISBLANK(Log[[#This Row],[Item]]),"",_xlfn.XLOOKUP(Log[[#This Row],[Item]],Calories[Name],Calories[Protein])*Log[[#This Row],[Qty]])</f>
        <v>7.7210884353741482</v>
      </c>
      <c r="L135" s="71">
        <f>IF(ISBLANK(Log[[#This Row],[Item]]),"",_xlfn.XLOOKUP(Log[[#This Row],[Item]],Calories[Name],Calories[Chol.])*Log[[#This Row],[Qty]])</f>
        <v>0</v>
      </c>
      <c r="M135" s="75"/>
      <c r="N135" s="75"/>
      <c r="O135" s="75"/>
    </row>
    <row r="136" spans="1:15" s="66" customFormat="1" ht="25.15" customHeight="1">
      <c r="A136" s="75"/>
      <c r="B136" s="98">
        <v>44813</v>
      </c>
      <c r="C136" s="78" t="s">
        <v>14</v>
      </c>
      <c r="D136" s="79">
        <f>0.5/3.94</f>
        <v>0.12690355329949238</v>
      </c>
      <c r="E136" s="76" t="str">
        <f>IF(ISBLANK(Log[[#This Row],[Item]]),"",_xlfn.XLOOKUP(Log[[#This Row],[Item]],Calories[Name],Calories[Unit]))</f>
        <v>c</v>
      </c>
      <c r="F136" s="65">
        <f>IF(ISBLANK(Log[[#This Row],[Item]]),"",_xlfn.XLOOKUP(Log[[#This Row],[Item]],Calories[Name],Calories[Cals])*Log[[#This Row],[Qty]])</f>
        <v>8.5025380710659899</v>
      </c>
      <c r="G136" s="71">
        <f>IF(ISBLANK(Log[[#This Row],[Item]]),"",_xlfn.XLOOKUP(Log[[#This Row],[Item]],Calories[Name],Calories[Carbs])*Log[[#This Row],[Qty]])</f>
        <v>2.0532994923857868</v>
      </c>
      <c r="H136" s="71">
        <f>IF(ISBLANK(Log[[#This Row],[Item]]),"",_xlfn.XLOOKUP(Log[[#This Row],[Item]],Calories[Name],Calories[Fibre])*Log[[#This Row],[Qty]])</f>
        <v>0.27918781725888325</v>
      </c>
      <c r="I136" s="71">
        <f>IF(ISBLANK(Log[[#This Row],[Item]]),"",(Log[[#This Row],[Carbs]]-Log[[#This Row],[Fibre]]))</f>
        <v>1.7741116751269035</v>
      </c>
      <c r="J136" s="103">
        <f>IF(ISBLANK(Log[[#This Row],[Item]]),"",_xlfn.XLOOKUP(Log[[#This Row],[Item]],Calories[Name],Calories[Sodium])*Log[[#This Row],[Qty]])</f>
        <v>0.63451776649746194</v>
      </c>
      <c r="K136" s="71">
        <f>IF(ISBLANK(Log[[#This Row],[Item]]),"",_xlfn.XLOOKUP(Log[[#This Row],[Item]],Calories[Name],Calories[Protein])*Log[[#This Row],[Qty]])</f>
        <v>0.18654822335025378</v>
      </c>
      <c r="L136" s="71">
        <f>IF(ISBLANK(Log[[#This Row],[Item]]),"",_xlfn.XLOOKUP(Log[[#This Row],[Item]],Calories[Name],Calories[Chol.])*Log[[#This Row],[Qty]])</f>
        <v>0</v>
      </c>
      <c r="M136" s="75"/>
      <c r="N136" s="75"/>
      <c r="O136" s="75"/>
    </row>
    <row r="137" spans="1:15" s="66" customFormat="1" ht="25.15" customHeight="1">
      <c r="A137" s="75"/>
      <c r="B137" s="98">
        <v>44813</v>
      </c>
      <c r="C137" s="78" t="s">
        <v>45</v>
      </c>
      <c r="D137" s="79">
        <f>15/3.94</f>
        <v>3.8071065989847717</v>
      </c>
      <c r="E137" s="76" t="str">
        <f>IF(ISBLANK(Log[[#This Row],[Item]]),"",_xlfn.XLOOKUP(Log[[#This Row],[Item]],Calories[Name],Calories[Unit]))</f>
        <v>pinch</v>
      </c>
      <c r="F137" s="65">
        <f>IF(ISBLANK(Log[[#This Row],[Item]]),"",_xlfn.XLOOKUP(Log[[#This Row],[Item]],Calories[Name],Calories[Cals])*Log[[#This Row],[Qty]])</f>
        <v>0</v>
      </c>
      <c r="G137" s="71">
        <f>IF(ISBLANK(Log[[#This Row],[Item]]),"",_xlfn.XLOOKUP(Log[[#This Row],[Item]],Calories[Name],Calories[Carbs])*Log[[#This Row],[Qty]])</f>
        <v>0</v>
      </c>
      <c r="H137" s="71">
        <f>IF(ISBLANK(Log[[#This Row],[Item]]),"",_xlfn.XLOOKUP(Log[[#This Row],[Item]],Calories[Name],Calories[Fibre])*Log[[#This Row],[Qty]])</f>
        <v>0</v>
      </c>
      <c r="I137" s="71">
        <f>IF(ISBLANK(Log[[#This Row],[Item]]),"",(Log[[#This Row],[Carbs]]-Log[[#This Row],[Fibre]]))</f>
        <v>0</v>
      </c>
      <c r="J137" s="103">
        <f>IF(ISBLANK(Log[[#This Row],[Item]]),"",_xlfn.XLOOKUP(Log[[#This Row],[Item]],Calories[Name],Calories[Sodium])*Log[[#This Row],[Qty]])</f>
        <v>531.2010152284264</v>
      </c>
      <c r="K137" s="71">
        <f>IF(ISBLANK(Log[[#This Row],[Item]]),"",_xlfn.XLOOKUP(Log[[#This Row],[Item]],Calories[Name],Calories[Protein])*Log[[#This Row],[Qty]])</f>
        <v>0</v>
      </c>
      <c r="L137" s="71">
        <f>IF(ISBLANK(Log[[#This Row],[Item]]),"",_xlfn.XLOOKUP(Log[[#This Row],[Item]],Calories[Name],Calories[Chol.])*Log[[#This Row],[Qty]])</f>
        <v>0</v>
      </c>
      <c r="M137" s="75"/>
      <c r="N137" s="75"/>
      <c r="O137" s="75"/>
    </row>
    <row r="138" spans="1:15" s="66" customFormat="1" ht="25.15" customHeight="1">
      <c r="A138" s="75"/>
      <c r="B138" s="98">
        <v>44813</v>
      </c>
      <c r="C138" s="78" t="s">
        <v>65</v>
      </c>
      <c r="D138" s="79">
        <f>2</f>
        <v>2</v>
      </c>
      <c r="E138" s="76" t="str">
        <f>IF(ISBLANK(Log[[#This Row],[Item]]),"",_xlfn.XLOOKUP(Log[[#This Row],[Item]],Calories[Name],Calories[Unit]))</f>
        <v>ea</v>
      </c>
      <c r="F138" s="65">
        <f>IF(ISBLANK(Log[[#This Row],[Item]]),"",_xlfn.XLOOKUP(Log[[#This Row],[Item]],Calories[Name],Calories[Cals])*Log[[#This Row],[Qty]])</f>
        <v>860</v>
      </c>
      <c r="G138" s="71">
        <f>IF(ISBLANK(Log[[#This Row],[Item]]),"",_xlfn.XLOOKUP(Log[[#This Row],[Item]],Calories[Name],Calories[Carbs])*Log[[#This Row],[Qty]])</f>
        <v>8</v>
      </c>
      <c r="H138" s="71">
        <f>IF(ISBLANK(Log[[#This Row],[Item]]),"",_xlfn.XLOOKUP(Log[[#This Row],[Item]],Calories[Name],Calories[Fibre])*Log[[#This Row],[Qty]])</f>
        <v>2</v>
      </c>
      <c r="I138" s="71">
        <f>IF(ISBLANK(Log[[#This Row],[Item]]),"",(Log[[#This Row],[Carbs]]-Log[[#This Row],[Fibre]]))</f>
        <v>6</v>
      </c>
      <c r="J138" s="103">
        <f>IF(ISBLANK(Log[[#This Row],[Item]]),"",_xlfn.XLOOKUP(Log[[#This Row],[Item]],Calories[Name],Calories[Sodium])*Log[[#This Row],[Qty]])</f>
        <v>2120</v>
      </c>
      <c r="K138" s="71">
        <f>IF(ISBLANK(Log[[#This Row],[Item]]),"",_xlfn.XLOOKUP(Log[[#This Row],[Item]],Calories[Name],Calories[Protein])*Log[[#This Row],[Qty]])</f>
        <v>44</v>
      </c>
      <c r="L138" s="71">
        <f>IF(ISBLANK(Log[[#This Row],[Item]]),"",_xlfn.XLOOKUP(Log[[#This Row],[Item]],Calories[Name],Calories[Chol.])*Log[[#This Row],[Qty]])</f>
        <v>170</v>
      </c>
      <c r="M138" s="75"/>
      <c r="N138" s="75"/>
      <c r="O138" s="75"/>
    </row>
    <row r="139" spans="1:15" s="66" customFormat="1" ht="25.15" customHeight="1">
      <c r="A139" s="75"/>
      <c r="B139" s="98">
        <v>44813</v>
      </c>
      <c r="C139" s="78" t="s">
        <v>51</v>
      </c>
      <c r="D139" s="79">
        <v>1</v>
      </c>
      <c r="E139" s="76" t="str">
        <f>IF(ISBLANK(Log[[#This Row],[Item]]),"",_xlfn.XLOOKUP(Log[[#This Row],[Item]],Calories[Name],Calories[Unit]))</f>
        <v>c</v>
      </c>
      <c r="F139" s="65">
        <f>IF(ISBLANK(Log[[#This Row],[Item]]),"",_xlfn.XLOOKUP(Log[[#This Row],[Item]],Calories[Name],Calories[Cals])*Log[[#This Row],[Qty]])</f>
        <v>46.2</v>
      </c>
      <c r="G139" s="71">
        <f>IF(ISBLANK(Log[[#This Row],[Item]]),"",_xlfn.XLOOKUP(Log[[#This Row],[Item]],Calories[Name],Calories[Carbs])*Log[[#This Row],[Qty]])</f>
        <v>9</v>
      </c>
      <c r="H139" s="71">
        <f>IF(ISBLANK(Log[[#This Row],[Item]]),"",_xlfn.XLOOKUP(Log[[#This Row],[Item]],Calories[Name],Calories[Fibre])*Log[[#This Row],[Qty]])</f>
        <v>3.1</v>
      </c>
      <c r="I139" s="71">
        <f>IF(ISBLANK(Log[[#This Row],[Item]]),"",(Log[[#This Row],[Carbs]]-Log[[#This Row],[Fibre]]))</f>
        <v>5.9</v>
      </c>
      <c r="J139" s="103">
        <f>IF(ISBLANK(Log[[#This Row],[Item]]),"",_xlfn.XLOOKUP(Log[[#This Row],[Item]],Calories[Name],Calories[Sodium])*Log[[#This Row],[Qty]])</f>
        <v>6</v>
      </c>
      <c r="K139" s="71">
        <f>IF(ISBLANK(Log[[#This Row],[Item]]),"",_xlfn.XLOOKUP(Log[[#This Row],[Item]],Calories[Name],Calories[Protein])*Log[[#This Row],[Qty]])</f>
        <v>1.5</v>
      </c>
      <c r="L139" s="71">
        <f>IF(ISBLANK(Log[[#This Row],[Item]]),"",_xlfn.XLOOKUP(Log[[#This Row],[Item]],Calories[Name],Calories[Chol.])*Log[[#This Row],[Qty]])</f>
        <v>0</v>
      </c>
      <c r="M139" s="75"/>
      <c r="N139" s="75"/>
      <c r="O139" s="75"/>
    </row>
    <row r="140" spans="1:15" s="66" customFormat="1" ht="25.15" customHeight="1">
      <c r="A140" s="75"/>
      <c r="B140" s="98">
        <v>44813</v>
      </c>
      <c r="C140" s="64" t="s">
        <v>21</v>
      </c>
      <c r="D140" s="79">
        <v>1</v>
      </c>
      <c r="E140" s="76" t="str">
        <f>IF(ISBLANK(Log[[#This Row],[Item]]),"",_xlfn.XLOOKUP(Log[[#This Row],[Item]],Calories[Name],Calories[Unit]))</f>
        <v>c</v>
      </c>
      <c r="F140" s="65">
        <f>IF(ISBLANK(Log[[#This Row],[Item]]),"",_xlfn.XLOOKUP(Log[[#This Row],[Item]],Calories[Name],Calories[Cals])*Log[[#This Row],[Qty]])</f>
        <v>25</v>
      </c>
      <c r="G140" s="71">
        <f>IF(ISBLANK(Log[[#This Row],[Item]]),"",_xlfn.XLOOKUP(Log[[#This Row],[Item]],Calories[Name],Calories[Carbs])*Log[[#This Row],[Qty]])</f>
        <v>5</v>
      </c>
      <c r="H140" s="71">
        <f>IF(ISBLANK(Log[[#This Row],[Item]]),"",_xlfn.XLOOKUP(Log[[#This Row],[Item]],Calories[Name],Calories[Fibre])*Log[[#This Row],[Qty]])</f>
        <v>3</v>
      </c>
      <c r="I140" s="71">
        <f>IF(ISBLANK(Log[[#This Row],[Item]]),"",(Log[[#This Row],[Carbs]]-Log[[#This Row],[Fibre]]))</f>
        <v>2</v>
      </c>
      <c r="J140" s="103">
        <f>IF(ISBLANK(Log[[#This Row],[Item]]),"",_xlfn.XLOOKUP(Log[[#This Row],[Item]],Calories[Name],Calories[Sodium])*Log[[#This Row],[Qty]])</f>
        <v>30</v>
      </c>
      <c r="K140" s="71">
        <f>IF(ISBLANK(Log[[#This Row],[Item]]),"",_xlfn.XLOOKUP(Log[[#This Row],[Item]],Calories[Name],Calories[Protein])*Log[[#This Row],[Qty]])</f>
        <v>2</v>
      </c>
      <c r="L140" s="71">
        <f>IF(ISBLANK(Log[[#This Row],[Item]]),"",_xlfn.XLOOKUP(Log[[#This Row],[Item]],Calories[Name],Calories[Chol.])*Log[[#This Row],[Qty]])</f>
        <v>0</v>
      </c>
      <c r="M140" s="75"/>
      <c r="N140" s="75"/>
      <c r="O140" s="75"/>
    </row>
    <row r="141" spans="1:15" s="66" customFormat="1" ht="25.15" customHeight="1">
      <c r="A141" s="75"/>
      <c r="B141" s="98">
        <v>44813</v>
      </c>
      <c r="C141" s="64" t="s">
        <v>68</v>
      </c>
      <c r="D141" s="79">
        <v>5</v>
      </c>
      <c r="E141" s="76" t="str">
        <f>IF(ISBLANK(Log[[#This Row],[Item]]),"",_xlfn.XLOOKUP(Log[[#This Row],[Item]],Calories[Name],Calories[Unit]))</f>
        <v>ea</v>
      </c>
      <c r="F141" s="65">
        <f>IF(ISBLANK(Log[[#This Row],[Item]]),"",_xlfn.XLOOKUP(Log[[#This Row],[Item]],Calories[Name],Calories[Cals])*Log[[#This Row],[Qty]])</f>
        <v>3.5</v>
      </c>
      <c r="G141" s="71">
        <f>IF(ISBLANK(Log[[#This Row],[Item]]),"",_xlfn.XLOOKUP(Log[[#This Row],[Item]],Calories[Name],Calories[Carbs])*Log[[#This Row],[Qty]])</f>
        <v>0.5</v>
      </c>
      <c r="H141" s="71">
        <f>IF(ISBLANK(Log[[#This Row],[Item]]),"",_xlfn.XLOOKUP(Log[[#This Row],[Item]],Calories[Name],Calories[Fibre])*Log[[#This Row],[Qty]])</f>
        <v>0.5</v>
      </c>
      <c r="I141" s="71">
        <f>IF(ISBLANK(Log[[#This Row],[Item]]),"",(Log[[#This Row],[Carbs]]-Log[[#This Row],[Fibre]]))</f>
        <v>0</v>
      </c>
      <c r="J141" s="103">
        <f>IF(ISBLANK(Log[[#This Row],[Item]]),"",_xlfn.XLOOKUP(Log[[#This Row],[Item]],Calories[Name],Calories[Sodium])*Log[[#This Row],[Qty]])</f>
        <v>9</v>
      </c>
      <c r="K141" s="71">
        <f>IF(ISBLANK(Log[[#This Row],[Item]]),"",_xlfn.XLOOKUP(Log[[#This Row],[Item]],Calories[Name],Calories[Protein])*Log[[#This Row],[Qty]])</f>
        <v>0</v>
      </c>
      <c r="L141" s="71">
        <f>IF(ISBLANK(Log[[#This Row],[Item]]),"",_xlfn.XLOOKUP(Log[[#This Row],[Item]],Calories[Name],Calories[Chol.])*Log[[#This Row],[Qty]])</f>
        <v>0</v>
      </c>
      <c r="M141" s="75"/>
      <c r="N141" s="75"/>
      <c r="O141" s="75"/>
    </row>
    <row r="142" spans="1:15" s="66" customFormat="1" ht="25.15" customHeight="1">
      <c r="A142" s="75"/>
      <c r="B142" s="98">
        <v>44813</v>
      </c>
      <c r="C142" s="78" t="s">
        <v>20</v>
      </c>
      <c r="D142" s="79">
        <v>250</v>
      </c>
      <c r="E142" s="76" t="str">
        <f>IF(ISBLANK(Log[[#This Row],[Item]]),"",_xlfn.XLOOKUP(Log[[#This Row],[Item]],Calories[Name],Calories[Unit]))</f>
        <v>mL</v>
      </c>
      <c r="F142" s="65">
        <f>IF(ISBLANK(Log[[#This Row],[Item]]),"",_xlfn.XLOOKUP(Log[[#This Row],[Item]],Calories[Name],Calories[Cals])*Log[[#This Row],[Qty]])</f>
        <v>416.66666666666669</v>
      </c>
      <c r="G142" s="71">
        <f>IF(ISBLANK(Log[[#This Row],[Item]]),"",_xlfn.XLOOKUP(Log[[#This Row],[Item]],Calories[Name],Calories[Carbs])*Log[[#This Row],[Qty]])</f>
        <v>16.666666666666668</v>
      </c>
      <c r="H142" s="71">
        <f>IF(ISBLANK(Log[[#This Row],[Item]]),"",_xlfn.XLOOKUP(Log[[#This Row],[Item]],Calories[Name],Calories[Fibre])*Log[[#This Row],[Qty]])</f>
        <v>0</v>
      </c>
      <c r="I142" s="71">
        <f>IF(ISBLANK(Log[[#This Row],[Item]]),"",(Log[[#This Row],[Carbs]]-Log[[#This Row],[Fibre]]))</f>
        <v>16.666666666666668</v>
      </c>
      <c r="J142" s="103">
        <f>IF(ISBLANK(Log[[#This Row],[Item]]),"",_xlfn.XLOOKUP(Log[[#This Row],[Item]],Calories[Name],Calories[Sodium])*Log[[#This Row],[Qty]])</f>
        <v>166.66666666666666</v>
      </c>
      <c r="K142" s="71">
        <f>IF(ISBLANK(Log[[#This Row],[Item]]),"",_xlfn.XLOOKUP(Log[[#This Row],[Item]],Calories[Name],Calories[Protein])*Log[[#This Row],[Qty]])</f>
        <v>8.3333333333333339</v>
      </c>
      <c r="L142" s="71">
        <f>IF(ISBLANK(Log[[#This Row],[Item]]),"",_xlfn.XLOOKUP(Log[[#This Row],[Item]],Calories[Name],Calories[Chol.])*Log[[#This Row],[Qty]])</f>
        <v>125</v>
      </c>
      <c r="M142" s="75"/>
      <c r="N142" s="75"/>
      <c r="O142" s="75"/>
    </row>
    <row r="143" spans="1:15" s="66" customFormat="1" ht="25.15" customHeight="1">
      <c r="A143" s="75"/>
      <c r="B143" s="98">
        <v>44814</v>
      </c>
      <c r="C143" s="78" t="s">
        <v>52</v>
      </c>
      <c r="D143" s="79">
        <v>1</v>
      </c>
      <c r="E143" s="76" t="str">
        <f>IF(ISBLANK(Log[[#This Row],[Item]]),"",_xlfn.XLOOKUP(Log[[#This Row],[Item]],Calories[Name],Calories[Unit]))</f>
        <v>ea</v>
      </c>
      <c r="F143" s="65">
        <f>IF(ISBLANK(Log[[#This Row],[Item]]),"",_xlfn.XLOOKUP(Log[[#This Row],[Item]],Calories[Name],Calories[Cals])*Log[[#This Row],[Qty]])</f>
        <v>0</v>
      </c>
      <c r="G143" s="71">
        <f>IF(ISBLANK(Log[[#This Row],[Item]]),"",_xlfn.XLOOKUP(Log[[#This Row],[Item]],Calories[Name],Calories[Carbs])*Log[[#This Row],[Qty]])</f>
        <v>0</v>
      </c>
      <c r="H143" s="71">
        <f>IF(ISBLANK(Log[[#This Row],[Item]]),"",_xlfn.XLOOKUP(Log[[#This Row],[Item]],Calories[Name],Calories[Fibre])*Log[[#This Row],[Qty]])</f>
        <v>0</v>
      </c>
      <c r="I143" s="71">
        <f>IF(ISBLANK(Log[[#This Row],[Item]]),"",(Log[[#This Row],[Carbs]]-Log[[#This Row],[Fibre]]))</f>
        <v>0</v>
      </c>
      <c r="J143" s="103">
        <f>IF(ISBLANK(Log[[#This Row],[Item]]),"",_xlfn.XLOOKUP(Log[[#This Row],[Item]],Calories[Name],Calories[Sodium])*Log[[#This Row],[Qty]])</f>
        <v>0</v>
      </c>
      <c r="K143" s="71">
        <f>IF(ISBLANK(Log[[#This Row],[Item]]),"",_xlfn.XLOOKUP(Log[[#This Row],[Item]],Calories[Name],Calories[Protein])*Log[[#This Row],[Qty]])</f>
        <v>0</v>
      </c>
      <c r="L143" s="71">
        <f>IF(ISBLANK(Log[[#This Row],[Item]]),"",_xlfn.XLOOKUP(Log[[#This Row],[Item]],Calories[Name],Calories[Chol.])*Log[[#This Row],[Qty]])</f>
        <v>0</v>
      </c>
      <c r="M143" s="75"/>
      <c r="N143" s="75"/>
      <c r="O143" s="75"/>
    </row>
    <row r="144" spans="1:15" s="66" customFormat="1" ht="25.15" customHeight="1">
      <c r="A144" s="75"/>
      <c r="B144" s="98">
        <v>44814</v>
      </c>
      <c r="C144" s="78" t="s">
        <v>53</v>
      </c>
      <c r="D144" s="79">
        <v>1</v>
      </c>
      <c r="E144" s="76" t="str">
        <f>IF(ISBLANK(Log[[#This Row],[Item]]),"",_xlfn.XLOOKUP(Log[[#This Row],[Item]],Calories[Name],Calories[Unit]))</f>
        <v>ea</v>
      </c>
      <c r="F144" s="65">
        <f>IF(ISBLANK(Log[[#This Row],[Item]]),"",_xlfn.XLOOKUP(Log[[#This Row],[Item]],Calories[Name],Calories[Cals])*Log[[#This Row],[Qty]])</f>
        <v>0</v>
      </c>
      <c r="G144" s="71">
        <f>IF(ISBLANK(Log[[#This Row],[Item]]),"",_xlfn.XLOOKUP(Log[[#This Row],[Item]],Calories[Name],Calories[Carbs])*Log[[#This Row],[Qty]])</f>
        <v>0</v>
      </c>
      <c r="H144" s="71">
        <f>IF(ISBLANK(Log[[#This Row],[Item]]),"",_xlfn.XLOOKUP(Log[[#This Row],[Item]],Calories[Name],Calories[Fibre])*Log[[#This Row],[Qty]])</f>
        <v>0</v>
      </c>
      <c r="I144" s="71">
        <f>IF(ISBLANK(Log[[#This Row],[Item]]),"",(Log[[#This Row],[Carbs]]-Log[[#This Row],[Fibre]]))</f>
        <v>0</v>
      </c>
      <c r="J144" s="103">
        <f>IF(ISBLANK(Log[[#This Row],[Item]]),"",_xlfn.XLOOKUP(Log[[#This Row],[Item]],Calories[Name],Calories[Sodium])*Log[[#This Row],[Qty]])</f>
        <v>0</v>
      </c>
      <c r="K144" s="71">
        <f>IF(ISBLANK(Log[[#This Row],[Item]]),"",_xlfn.XLOOKUP(Log[[#This Row],[Item]],Calories[Name],Calories[Protein])*Log[[#This Row],[Qty]])</f>
        <v>0</v>
      </c>
      <c r="L144" s="71">
        <f>IF(ISBLANK(Log[[#This Row],[Item]]),"",_xlfn.XLOOKUP(Log[[#This Row],[Item]],Calories[Name],Calories[Chol.])*Log[[#This Row],[Qty]])</f>
        <v>0</v>
      </c>
      <c r="M144" s="75"/>
      <c r="N144" s="75"/>
      <c r="O144" s="75"/>
    </row>
    <row r="145" spans="1:15" s="66" customFormat="1" ht="25.15" customHeight="1">
      <c r="A145" s="75"/>
      <c r="B145" s="98">
        <v>44814</v>
      </c>
      <c r="C145" s="78" t="s">
        <v>54</v>
      </c>
      <c r="D145" s="79">
        <v>1</v>
      </c>
      <c r="E145" s="76" t="str">
        <f>IF(ISBLANK(Log[[#This Row],[Item]]),"",_xlfn.XLOOKUP(Log[[#This Row],[Item]],Calories[Name],Calories[Unit]))</f>
        <v>ea</v>
      </c>
      <c r="F145" s="65">
        <f>IF(ISBLANK(Log[[#This Row],[Item]]),"",_xlfn.XLOOKUP(Log[[#This Row],[Item]],Calories[Name],Calories[Cals])*Log[[#This Row],[Qty]])</f>
        <v>0</v>
      </c>
      <c r="G145" s="71">
        <f>IF(ISBLANK(Log[[#This Row],[Item]]),"",_xlfn.XLOOKUP(Log[[#This Row],[Item]],Calories[Name],Calories[Carbs])*Log[[#This Row],[Qty]])</f>
        <v>0</v>
      </c>
      <c r="H145" s="71">
        <f>IF(ISBLANK(Log[[#This Row],[Item]]),"",_xlfn.XLOOKUP(Log[[#This Row],[Item]],Calories[Name],Calories[Fibre])*Log[[#This Row],[Qty]])</f>
        <v>0</v>
      </c>
      <c r="I145" s="71">
        <f>IF(ISBLANK(Log[[#This Row],[Item]]),"",(Log[[#This Row],[Carbs]]-Log[[#This Row],[Fibre]]))</f>
        <v>0</v>
      </c>
      <c r="J145" s="103">
        <f>IF(ISBLANK(Log[[#This Row],[Item]]),"",_xlfn.XLOOKUP(Log[[#This Row],[Item]],Calories[Name],Calories[Sodium])*Log[[#This Row],[Qty]])</f>
        <v>0</v>
      </c>
      <c r="K145" s="71">
        <f>IF(ISBLANK(Log[[#This Row],[Item]]),"",_xlfn.XLOOKUP(Log[[#This Row],[Item]],Calories[Name],Calories[Protein])*Log[[#This Row],[Qty]])</f>
        <v>0</v>
      </c>
      <c r="L145" s="71">
        <f>IF(ISBLANK(Log[[#This Row],[Item]]),"",_xlfn.XLOOKUP(Log[[#This Row],[Item]],Calories[Name],Calories[Chol.])*Log[[#This Row],[Qty]])</f>
        <v>0</v>
      </c>
      <c r="M145" s="75"/>
      <c r="N145" s="75"/>
      <c r="O145" s="75"/>
    </row>
    <row r="146" spans="1:15" s="66" customFormat="1" ht="25.15" customHeight="1">
      <c r="A146" s="75"/>
      <c r="B146" s="98">
        <v>44814</v>
      </c>
      <c r="C146" s="78" t="s">
        <v>55</v>
      </c>
      <c r="D146" s="79">
        <v>1</v>
      </c>
      <c r="E146" s="76" t="str">
        <f>IF(ISBLANK(Log[[#This Row],[Item]]),"",_xlfn.XLOOKUP(Log[[#This Row],[Item]],Calories[Name],Calories[Unit]))</f>
        <v>ea</v>
      </c>
      <c r="F146" s="65">
        <f>IF(ISBLANK(Log[[#This Row],[Item]]),"",_xlfn.XLOOKUP(Log[[#This Row],[Item]],Calories[Name],Calories[Cals])*Log[[#This Row],[Qty]])</f>
        <v>0</v>
      </c>
      <c r="G146" s="71">
        <f>IF(ISBLANK(Log[[#This Row],[Item]]),"",_xlfn.XLOOKUP(Log[[#This Row],[Item]],Calories[Name],Calories[Carbs])*Log[[#This Row],[Qty]])</f>
        <v>0</v>
      </c>
      <c r="H146" s="71">
        <f>IF(ISBLANK(Log[[#This Row],[Item]]),"",_xlfn.XLOOKUP(Log[[#This Row],[Item]],Calories[Name],Calories[Fibre])*Log[[#This Row],[Qty]])</f>
        <v>0</v>
      </c>
      <c r="I146" s="71">
        <f>IF(ISBLANK(Log[[#This Row],[Item]]),"",(Log[[#This Row],[Carbs]]-Log[[#This Row],[Fibre]]))</f>
        <v>0</v>
      </c>
      <c r="J146" s="103">
        <f>IF(ISBLANK(Log[[#This Row],[Item]]),"",_xlfn.XLOOKUP(Log[[#This Row],[Item]],Calories[Name],Calories[Sodium])*Log[[#This Row],[Qty]])</f>
        <v>0</v>
      </c>
      <c r="K146" s="71">
        <f>IF(ISBLANK(Log[[#This Row],[Item]]),"",_xlfn.XLOOKUP(Log[[#This Row],[Item]],Calories[Name],Calories[Protein])*Log[[#This Row],[Qty]])</f>
        <v>0</v>
      </c>
      <c r="L146" s="71">
        <f>IF(ISBLANK(Log[[#This Row],[Item]]),"",_xlfn.XLOOKUP(Log[[#This Row],[Item]],Calories[Name],Calories[Chol.])*Log[[#This Row],[Qty]])</f>
        <v>0</v>
      </c>
      <c r="M146" s="75"/>
      <c r="N146" s="75"/>
      <c r="O146" s="75"/>
    </row>
    <row r="147" spans="1:15" s="66" customFormat="1" ht="25.15" customHeight="1">
      <c r="A147" s="75"/>
      <c r="B147" s="98">
        <v>44814</v>
      </c>
      <c r="C147" s="78" t="s">
        <v>34</v>
      </c>
      <c r="D147" s="79">
        <v>65</v>
      </c>
      <c r="E147" s="76" t="str">
        <f>IF(ISBLANK(Log[[#This Row],[Item]]),"",_xlfn.XLOOKUP(Log[[#This Row],[Item]],Calories[Name],Calories[Unit]))</f>
        <v>g</v>
      </c>
      <c r="F147" s="65">
        <f>IF(ISBLANK(Log[[#This Row],[Item]]),"",_xlfn.XLOOKUP(Log[[#This Row],[Item]],Calories[Name],Calories[Cals])*Log[[#This Row],[Qty]])</f>
        <v>111.42857142857142</v>
      </c>
      <c r="G147" s="71">
        <f>IF(ISBLANK(Log[[#This Row],[Item]]),"",_xlfn.XLOOKUP(Log[[#This Row],[Item]],Calories[Name],Calories[Carbs])*Log[[#This Row],[Qty]])</f>
        <v>0</v>
      </c>
      <c r="H147" s="71">
        <f>IF(ISBLANK(Log[[#This Row],[Item]]),"",_xlfn.XLOOKUP(Log[[#This Row],[Item]],Calories[Name],Calories[Fibre])*Log[[#This Row],[Qty]])</f>
        <v>0</v>
      </c>
      <c r="I147" s="71">
        <f>IF(ISBLANK(Log[[#This Row],[Item]]),"",(Log[[#This Row],[Carbs]]-Log[[#This Row],[Fibre]]))</f>
        <v>0</v>
      </c>
      <c r="J147" s="103">
        <f>IF(ISBLANK(Log[[#This Row],[Item]]),"",_xlfn.XLOOKUP(Log[[#This Row],[Item]],Calories[Name],Calories[Sodium])*Log[[#This Row],[Qty]])</f>
        <v>260</v>
      </c>
      <c r="K147" s="71">
        <f>IF(ISBLANK(Log[[#This Row],[Item]]),"",_xlfn.XLOOKUP(Log[[#This Row],[Item]],Calories[Name],Calories[Protein])*Log[[#This Row],[Qty]])</f>
        <v>16.714285714285712</v>
      </c>
      <c r="L147" s="71">
        <f>IF(ISBLANK(Log[[#This Row],[Item]]),"",_xlfn.XLOOKUP(Log[[#This Row],[Item]],Calories[Name],Calories[Chol.])*Log[[#This Row],[Qty]])</f>
        <v>32.5</v>
      </c>
      <c r="M147" s="75"/>
      <c r="N147" s="75"/>
      <c r="O147" s="75"/>
    </row>
    <row r="148" spans="1:15" s="66" customFormat="1" ht="25.15" customHeight="1">
      <c r="A148" s="75"/>
      <c r="B148" s="98">
        <v>44814</v>
      </c>
      <c r="C148" s="78" t="s">
        <v>35</v>
      </c>
      <c r="D148" s="79">
        <v>2.5</v>
      </c>
      <c r="E148" s="76" t="str">
        <f>IF(ISBLANK(Log[[#This Row],[Item]]),"",_xlfn.XLOOKUP(Log[[#This Row],[Item]],Calories[Name],Calories[Unit]))</f>
        <v>tbsp</v>
      </c>
      <c r="F148" s="65">
        <f>IF(ISBLANK(Log[[#This Row],[Item]]),"",_xlfn.XLOOKUP(Log[[#This Row],[Item]],Calories[Name],Calories[Cals])*Log[[#This Row],[Qty]])</f>
        <v>225</v>
      </c>
      <c r="G148" s="71">
        <f>IF(ISBLANK(Log[[#This Row],[Item]]),"",_xlfn.XLOOKUP(Log[[#This Row],[Item]],Calories[Name],Calories[Carbs])*Log[[#This Row],[Qty]])</f>
        <v>0</v>
      </c>
      <c r="H148" s="71">
        <f>IF(ISBLANK(Log[[#This Row],[Item]]),"",_xlfn.XLOOKUP(Log[[#This Row],[Item]],Calories[Name],Calories[Fibre])*Log[[#This Row],[Qty]])</f>
        <v>0</v>
      </c>
      <c r="I148" s="71">
        <f>IF(ISBLANK(Log[[#This Row],[Item]]),"",(Log[[#This Row],[Carbs]]-Log[[#This Row],[Fibre]]))</f>
        <v>0</v>
      </c>
      <c r="J148" s="103">
        <f>IF(ISBLANK(Log[[#This Row],[Item]]),"",_xlfn.XLOOKUP(Log[[#This Row],[Item]],Calories[Name],Calories[Sodium])*Log[[#This Row],[Qty]])</f>
        <v>225</v>
      </c>
      <c r="K148" s="71">
        <f>IF(ISBLANK(Log[[#This Row],[Item]]),"",_xlfn.XLOOKUP(Log[[#This Row],[Item]],Calories[Name],Calories[Protein])*Log[[#This Row],[Qty]])</f>
        <v>0</v>
      </c>
      <c r="L148" s="71">
        <f>IF(ISBLANK(Log[[#This Row],[Item]]),"",_xlfn.XLOOKUP(Log[[#This Row],[Item]],Calories[Name],Calories[Chol.])*Log[[#This Row],[Qty]])</f>
        <v>12.5</v>
      </c>
      <c r="M148" s="75"/>
      <c r="N148" s="75"/>
      <c r="O148" s="75"/>
    </row>
    <row r="149" spans="1:15" s="66" customFormat="1" ht="25.15" customHeight="1">
      <c r="A149" s="75"/>
      <c r="B149" s="98">
        <v>44814</v>
      </c>
      <c r="C149" s="78" t="s">
        <v>36</v>
      </c>
      <c r="D149" s="79">
        <v>1</v>
      </c>
      <c r="E149" s="76" t="str">
        <f>IF(ISBLANK(Log[[#This Row],[Item]]),"",_xlfn.XLOOKUP(Log[[#This Row],[Item]],Calories[Name],Calories[Unit]))</f>
        <v>ea</v>
      </c>
      <c r="F149" s="65">
        <f>IF(ISBLANK(Log[[#This Row],[Item]]),"",_xlfn.XLOOKUP(Log[[#This Row],[Item]],Calories[Name],Calories[Cals])*Log[[#This Row],[Qty]])</f>
        <v>240</v>
      </c>
      <c r="G149" s="71">
        <f>IF(ISBLANK(Log[[#This Row],[Item]]),"",_xlfn.XLOOKUP(Log[[#This Row],[Item]],Calories[Name],Calories[Carbs])*Log[[#This Row],[Qty]])</f>
        <v>13</v>
      </c>
      <c r="H149" s="71">
        <f>IF(ISBLANK(Log[[#This Row],[Item]]),"",_xlfn.XLOOKUP(Log[[#This Row],[Item]],Calories[Name],Calories[Fibre])*Log[[#This Row],[Qty]])</f>
        <v>10</v>
      </c>
      <c r="I149" s="71">
        <f>IF(ISBLANK(Log[[#This Row],[Item]]),"",(Log[[#This Row],[Carbs]]-Log[[#This Row],[Fibre]]))</f>
        <v>3</v>
      </c>
      <c r="J149" s="103">
        <f>IF(ISBLANK(Log[[#This Row],[Item]]),"",_xlfn.XLOOKUP(Log[[#This Row],[Item]],Calories[Name],Calories[Sodium])*Log[[#This Row],[Qty]])</f>
        <v>11</v>
      </c>
      <c r="K149" s="71">
        <f>IF(ISBLANK(Log[[#This Row],[Item]]),"",_xlfn.XLOOKUP(Log[[#This Row],[Item]],Calories[Name],Calories[Protein])*Log[[#This Row],[Qty]])</f>
        <v>3</v>
      </c>
      <c r="L149" s="71">
        <f>IF(ISBLANK(Log[[#This Row],[Item]]),"",_xlfn.XLOOKUP(Log[[#This Row],[Item]],Calories[Name],Calories[Chol.])*Log[[#This Row],[Qty]])</f>
        <v>0</v>
      </c>
      <c r="M149" s="75"/>
      <c r="N149" s="75"/>
      <c r="O149" s="75"/>
    </row>
    <row r="150" spans="1:15" s="66" customFormat="1" ht="25.15" customHeight="1">
      <c r="A150" s="75"/>
      <c r="B150" s="98">
        <v>44814</v>
      </c>
      <c r="C150" s="78" t="s">
        <v>60</v>
      </c>
      <c r="D150" s="79">
        <v>1.5</v>
      </c>
      <c r="E150" s="76" t="str">
        <f>IF(ISBLANK(Log[[#This Row],[Item]]),"",_xlfn.XLOOKUP(Log[[#This Row],[Item]],Calories[Name],Calories[Unit]))</f>
        <v>tbsp</v>
      </c>
      <c r="F150" s="65">
        <f>IF(ISBLANK(Log[[#This Row],[Item]]),"",_xlfn.XLOOKUP(Log[[#This Row],[Item]],Calories[Name],Calories[Cals])*Log[[#This Row],[Qty]])</f>
        <v>7.5</v>
      </c>
      <c r="G150" s="71">
        <f>IF(ISBLANK(Log[[#This Row],[Item]]),"",_xlfn.XLOOKUP(Log[[#This Row],[Item]],Calories[Name],Calories[Carbs])*Log[[#This Row],[Qty]])</f>
        <v>1.5</v>
      </c>
      <c r="H150" s="71">
        <f>IF(ISBLANK(Log[[#This Row],[Item]]),"",_xlfn.XLOOKUP(Log[[#This Row],[Item]],Calories[Name],Calories[Fibre])*Log[[#This Row],[Qty]])</f>
        <v>0.75</v>
      </c>
      <c r="I150" s="71">
        <f>IF(ISBLANK(Log[[#This Row],[Item]]),"",(Log[[#This Row],[Carbs]]-Log[[#This Row],[Fibre]]))</f>
        <v>0.75</v>
      </c>
      <c r="J150" s="103">
        <f>IF(ISBLANK(Log[[#This Row],[Item]]),"",_xlfn.XLOOKUP(Log[[#This Row],[Item]],Calories[Name],Calories[Sodium])*Log[[#This Row],[Qty]])</f>
        <v>210</v>
      </c>
      <c r="K150" s="71">
        <f>IF(ISBLANK(Log[[#This Row],[Item]]),"",_xlfn.XLOOKUP(Log[[#This Row],[Item]],Calories[Name],Calories[Protein])*Log[[#This Row],[Qty]])</f>
        <v>0.75</v>
      </c>
      <c r="L150" s="71">
        <f>IF(ISBLANK(Log[[#This Row],[Item]]),"",_xlfn.XLOOKUP(Log[[#This Row],[Item]],Calories[Name],Calories[Chol.])*Log[[#This Row],[Qty]])</f>
        <v>0</v>
      </c>
      <c r="M150" s="75"/>
      <c r="N150" s="75"/>
      <c r="O150" s="75"/>
    </row>
    <row r="151" spans="1:15" s="66" customFormat="1" ht="25.15" customHeight="1">
      <c r="A151" s="75"/>
      <c r="B151" s="98">
        <v>44814</v>
      </c>
      <c r="C151" s="78" t="s">
        <v>44</v>
      </c>
      <c r="D151" s="79">
        <v>2</v>
      </c>
      <c r="E151" s="76" t="str">
        <f>IF(ISBLANK(Log[[#This Row],[Item]]),"",_xlfn.XLOOKUP(Log[[#This Row],[Item]],Calories[Name],Calories[Unit]))</f>
        <v>ea</v>
      </c>
      <c r="F151" s="65">
        <f>IF(ISBLANK(Log[[#This Row],[Item]]),"",_xlfn.XLOOKUP(Log[[#This Row],[Item]],Calories[Name],Calories[Cals])*Log[[#This Row],[Qty]])</f>
        <v>80</v>
      </c>
      <c r="G151" s="71">
        <f>IF(ISBLANK(Log[[#This Row],[Item]]),"",_xlfn.XLOOKUP(Log[[#This Row],[Item]],Calories[Name],Calories[Carbs])*Log[[#This Row],[Qty]])</f>
        <v>12</v>
      </c>
      <c r="H151" s="71">
        <f>IF(ISBLANK(Log[[#This Row],[Item]]),"",_xlfn.XLOOKUP(Log[[#This Row],[Item]],Calories[Name],Calories[Fibre])*Log[[#This Row],[Qty]])</f>
        <v>4</v>
      </c>
      <c r="I151" s="71">
        <f>IF(ISBLANK(Log[[#This Row],[Item]]),"",(Log[[#This Row],[Carbs]]-Log[[#This Row],[Fibre]]))</f>
        <v>8</v>
      </c>
      <c r="J151" s="103">
        <f>IF(ISBLANK(Log[[#This Row],[Item]]),"",_xlfn.XLOOKUP(Log[[#This Row],[Item]],Calories[Name],Calories[Sodium])*Log[[#This Row],[Qty]])</f>
        <v>40</v>
      </c>
      <c r="K151" s="71">
        <f>IF(ISBLANK(Log[[#This Row],[Item]]),"",_xlfn.XLOOKUP(Log[[#This Row],[Item]],Calories[Name],Calories[Protein])*Log[[#This Row],[Qty]])</f>
        <v>3</v>
      </c>
      <c r="L151" s="71">
        <f>IF(ISBLANK(Log[[#This Row],[Item]]),"",_xlfn.XLOOKUP(Log[[#This Row],[Item]],Calories[Name],Calories[Chol.])*Log[[#This Row],[Qty]])</f>
        <v>0</v>
      </c>
      <c r="M151" s="75"/>
      <c r="N151" s="75"/>
      <c r="O151" s="75"/>
    </row>
    <row r="152" spans="1:15" s="66" customFormat="1" ht="25.15" customHeight="1">
      <c r="A152" s="75"/>
      <c r="B152" s="98">
        <v>44814</v>
      </c>
      <c r="C152" s="78" t="s">
        <v>15</v>
      </c>
      <c r="D152" s="79">
        <v>1</v>
      </c>
      <c r="E152" s="76" t="str">
        <f>IF(ISBLANK(Log[[#This Row],[Item]]),"",_xlfn.XLOOKUP(Log[[#This Row],[Item]],Calories[Name],Calories[Unit]))</f>
        <v>tbsp</v>
      </c>
      <c r="F152" s="65">
        <f>IF(ISBLANK(Log[[#This Row],[Item]]),"",_xlfn.XLOOKUP(Log[[#This Row],[Item]],Calories[Name],Calories[Cals])*Log[[#This Row],[Qty]])</f>
        <v>120</v>
      </c>
      <c r="G152" s="71">
        <f>IF(ISBLANK(Log[[#This Row],[Item]]),"",_xlfn.XLOOKUP(Log[[#This Row],[Item]],Calories[Name],Calories[Carbs])*Log[[#This Row],[Qty]])</f>
        <v>0</v>
      </c>
      <c r="H152" s="71">
        <f>IF(ISBLANK(Log[[#This Row],[Item]]),"",_xlfn.XLOOKUP(Log[[#This Row],[Item]],Calories[Name],Calories[Fibre])*Log[[#This Row],[Qty]])</f>
        <v>0</v>
      </c>
      <c r="I152" s="71">
        <f>IF(ISBLANK(Log[[#This Row],[Item]]),"",(Log[[#This Row],[Carbs]]-Log[[#This Row],[Fibre]]))</f>
        <v>0</v>
      </c>
      <c r="J152" s="103">
        <f>IF(ISBLANK(Log[[#This Row],[Item]]),"",_xlfn.XLOOKUP(Log[[#This Row],[Item]],Calories[Name],Calories[Sodium])*Log[[#This Row],[Qty]])</f>
        <v>0</v>
      </c>
      <c r="K152" s="71">
        <f>IF(ISBLANK(Log[[#This Row],[Item]]),"",_xlfn.XLOOKUP(Log[[#This Row],[Item]],Calories[Name],Calories[Protein])*Log[[#This Row],[Qty]])</f>
        <v>0</v>
      </c>
      <c r="L152" s="71">
        <f>IF(ISBLANK(Log[[#This Row],[Item]]),"",_xlfn.XLOOKUP(Log[[#This Row],[Item]],Calories[Name],Calories[Chol.])*Log[[#This Row],[Qty]])</f>
        <v>0</v>
      </c>
      <c r="M152" s="75"/>
      <c r="N152" s="75"/>
      <c r="O152" s="75"/>
    </row>
    <row r="153" spans="1:15" s="66" customFormat="1" ht="25.15" customHeight="1">
      <c r="A153" s="75"/>
      <c r="B153" s="98">
        <v>44814</v>
      </c>
      <c r="C153" s="78" t="s">
        <v>69</v>
      </c>
      <c r="D153" s="79">
        <v>6</v>
      </c>
      <c r="E153" s="76" t="str">
        <f>IF(ISBLANK(Log[[#This Row],[Item]]),"",_xlfn.XLOOKUP(Log[[#This Row],[Item]],Calories[Name],Calories[Unit]))</f>
        <v>clove</v>
      </c>
      <c r="F153" s="65">
        <f>IF(ISBLANK(Log[[#This Row],[Item]]),"",_xlfn.XLOOKUP(Log[[#This Row],[Item]],Calories[Name],Calories[Cals])*Log[[#This Row],[Qty]])</f>
        <v>24</v>
      </c>
      <c r="G153" s="71">
        <f>IF(ISBLANK(Log[[#This Row],[Item]]),"",_xlfn.XLOOKUP(Log[[#This Row],[Item]],Calories[Name],Calories[Carbs])*Log[[#This Row],[Qty]])</f>
        <v>6</v>
      </c>
      <c r="H153" s="71">
        <f>IF(ISBLANK(Log[[#This Row],[Item]]),"",_xlfn.XLOOKUP(Log[[#This Row],[Item]],Calories[Name],Calories[Fibre])*Log[[#This Row],[Qty]])</f>
        <v>0.3970588235294118</v>
      </c>
      <c r="I153" s="71">
        <f>IF(ISBLANK(Log[[#This Row],[Item]]),"",(Log[[#This Row],[Carbs]]-Log[[#This Row],[Fibre]]))</f>
        <v>5.6029411764705879</v>
      </c>
      <c r="J153" s="103">
        <f>IF(ISBLANK(Log[[#This Row],[Item]]),"",_xlfn.XLOOKUP(Log[[#This Row],[Item]],Calories[Name],Calories[Sodium])*Log[[#This Row],[Qty]])</f>
        <v>6</v>
      </c>
      <c r="K153" s="71">
        <f>IF(ISBLANK(Log[[#This Row],[Item]]),"",_xlfn.XLOOKUP(Log[[#This Row],[Item]],Calories[Name],Calories[Protein])*Log[[#This Row],[Qty]])</f>
        <v>0</v>
      </c>
      <c r="L153" s="71">
        <f>IF(ISBLANK(Log[[#This Row],[Item]]),"",_xlfn.XLOOKUP(Log[[#This Row],[Item]],Calories[Name],Calories[Chol.])*Log[[#This Row],[Qty]])</f>
        <v>0</v>
      </c>
      <c r="M153" s="75"/>
      <c r="N153" s="75"/>
      <c r="O153" s="75"/>
    </row>
    <row r="154" spans="1:15" s="66" customFormat="1" ht="25.15" customHeight="1">
      <c r="A154" s="75"/>
      <c r="B154" s="98">
        <v>44814</v>
      </c>
      <c r="C154" s="78" t="s">
        <v>26</v>
      </c>
      <c r="D154" s="79">
        <v>200</v>
      </c>
      <c r="E154" s="76" t="str">
        <f>IF(ISBLANK(Log[[#This Row],[Item]]),"",_xlfn.XLOOKUP(Log[[#This Row],[Item]],Calories[Name],Calories[Unit]))</f>
        <v>g</v>
      </c>
      <c r="F154" s="65">
        <f>IF(ISBLANK(Log[[#This Row],[Item]]),"",_xlfn.XLOOKUP(Log[[#This Row],[Item]],Calories[Name],Calories[Cals])*Log[[#This Row],[Qty]])</f>
        <v>1280</v>
      </c>
      <c r="G154" s="71">
        <f>IF(ISBLANK(Log[[#This Row],[Item]]),"",_xlfn.XLOOKUP(Log[[#This Row],[Item]],Calories[Name],Calories[Carbs])*Log[[#This Row],[Qty]])</f>
        <v>56.000000000000007</v>
      </c>
      <c r="H154" s="71">
        <f>IF(ISBLANK(Log[[#This Row],[Item]]),"",_xlfn.XLOOKUP(Log[[#This Row],[Item]],Calories[Name],Calories[Fibre])*Log[[#This Row],[Qty]])</f>
        <v>12</v>
      </c>
      <c r="I154" s="71">
        <f>IF(ISBLANK(Log[[#This Row],[Item]]),"",(Log[[#This Row],[Carbs]]-Log[[#This Row],[Fibre]]))</f>
        <v>44.000000000000007</v>
      </c>
      <c r="J154" s="103">
        <f>IF(ISBLANK(Log[[#This Row],[Item]]),"",_xlfn.XLOOKUP(Log[[#This Row],[Item]],Calories[Name],Calories[Sodium])*Log[[#This Row],[Qty]])</f>
        <v>280</v>
      </c>
      <c r="K154" s="71">
        <f>IF(ISBLANK(Log[[#This Row],[Item]]),"",_xlfn.XLOOKUP(Log[[#This Row],[Item]],Calories[Name],Calories[Protein])*Log[[#This Row],[Qty]])</f>
        <v>36</v>
      </c>
      <c r="L154" s="71">
        <f>IF(ISBLANK(Log[[#This Row],[Item]]),"",_xlfn.XLOOKUP(Log[[#This Row],[Item]],Calories[Name],Calories[Chol.])*Log[[#This Row],[Qty]])</f>
        <v>0</v>
      </c>
      <c r="M154" s="75"/>
      <c r="N154" s="75"/>
      <c r="O154" s="75"/>
    </row>
    <row r="155" spans="1:15" s="66" customFormat="1" ht="25.15" customHeight="1">
      <c r="A155" s="75"/>
      <c r="B155" s="98">
        <v>44814</v>
      </c>
      <c r="C155" s="78" t="s">
        <v>64</v>
      </c>
      <c r="D155" s="79">
        <v>2</v>
      </c>
      <c r="E155" s="76" t="str">
        <f>IF(ISBLANK(Log[[#This Row],[Item]]),"",_xlfn.XLOOKUP(Log[[#This Row],[Item]],Calories[Name],Calories[Unit]))</f>
        <v>c</v>
      </c>
      <c r="F155" s="65">
        <f>IF(ISBLANK(Log[[#This Row],[Item]]),"",_xlfn.XLOOKUP(Log[[#This Row],[Item]],Calories[Name],Calories[Cals])*Log[[#This Row],[Qty]])</f>
        <v>62</v>
      </c>
      <c r="G155" s="71">
        <f>IF(ISBLANK(Log[[#This Row],[Item]]),"",_xlfn.XLOOKUP(Log[[#This Row],[Item]],Calories[Name],Calories[Carbs])*Log[[#This Row],[Qty]])</f>
        <v>14.06</v>
      </c>
      <c r="H155" s="71">
        <f>IF(ISBLANK(Log[[#This Row],[Item]]),"",_xlfn.XLOOKUP(Log[[#This Row],[Item]],Calories[Name],Calories[Fibre])*Log[[#This Row],[Qty]])</f>
        <v>6.4</v>
      </c>
      <c r="I155" s="71">
        <f>IF(ISBLANK(Log[[#This Row],[Item]]),"",(Log[[#This Row],[Carbs]]-Log[[#This Row],[Fibre]]))</f>
        <v>7.66</v>
      </c>
      <c r="J155" s="103">
        <f>IF(ISBLANK(Log[[#This Row],[Item]]),"",_xlfn.XLOOKUP(Log[[#This Row],[Item]],Calories[Name],Calories[Sodium])*Log[[#This Row],[Qty]])</f>
        <v>16</v>
      </c>
      <c r="K155" s="71">
        <f>IF(ISBLANK(Log[[#This Row],[Item]]),"",_xlfn.XLOOKUP(Log[[#This Row],[Item]],Calories[Name],Calories[Protein])*Log[[#This Row],[Qty]])</f>
        <v>4</v>
      </c>
      <c r="L155" s="71">
        <f>IF(ISBLANK(Log[[#This Row],[Item]]),"",_xlfn.XLOOKUP(Log[[#This Row],[Item]],Calories[Name],Calories[Chol.])*Log[[#This Row],[Qty]])</f>
        <v>0</v>
      </c>
      <c r="M155" s="75"/>
      <c r="N155" s="75"/>
      <c r="O155" s="75"/>
    </row>
    <row r="156" spans="1:15" s="66" customFormat="1" ht="25.15" customHeight="1">
      <c r="A156" s="75"/>
      <c r="B156" s="98">
        <v>44814</v>
      </c>
      <c r="C156" s="78" t="s">
        <v>70</v>
      </c>
      <c r="D156" s="79">
        <v>4</v>
      </c>
      <c r="E156" s="76" t="str">
        <f>IF(ISBLANK(Log[[#This Row],[Item]]),"",_xlfn.XLOOKUP(Log[[#This Row],[Item]],Calories[Name],Calories[Unit]))</f>
        <v>tbsp</v>
      </c>
      <c r="F156" s="65">
        <f>IF(ISBLANK(Log[[#This Row],[Item]]),"",_xlfn.XLOOKUP(Log[[#This Row],[Item]],Calories[Name],Calories[Cals])*Log[[#This Row],[Qty]])</f>
        <v>240</v>
      </c>
      <c r="G156" s="71">
        <f>IF(ISBLANK(Log[[#This Row],[Item]]),"",_xlfn.XLOOKUP(Log[[#This Row],[Item]],Calories[Name],Calories[Carbs])*Log[[#This Row],[Qty]])</f>
        <v>4</v>
      </c>
      <c r="H156" s="71">
        <f>IF(ISBLANK(Log[[#This Row],[Item]]),"",_xlfn.XLOOKUP(Log[[#This Row],[Item]],Calories[Name],Calories[Fibre])*Log[[#This Row],[Qty]])</f>
        <v>0</v>
      </c>
      <c r="I156" s="71">
        <f>IF(ISBLANK(Log[[#This Row],[Item]]),"",(Log[[#This Row],[Carbs]]-Log[[#This Row],[Fibre]]))</f>
        <v>4</v>
      </c>
      <c r="J156" s="103">
        <f>IF(ISBLANK(Log[[#This Row],[Item]]),"",_xlfn.XLOOKUP(Log[[#This Row],[Item]],Calories[Name],Calories[Sodium])*Log[[#This Row],[Qty]])</f>
        <v>520</v>
      </c>
      <c r="K156" s="71">
        <f>IF(ISBLANK(Log[[#This Row],[Item]]),"",_xlfn.XLOOKUP(Log[[#This Row],[Item]],Calories[Name],Calories[Protein])*Log[[#This Row],[Qty]])</f>
        <v>0</v>
      </c>
      <c r="L156" s="71">
        <f>IF(ISBLANK(Log[[#This Row],[Item]]),"",_xlfn.XLOOKUP(Log[[#This Row],[Item]],Calories[Name],Calories[Chol.])*Log[[#This Row],[Qty]])</f>
        <v>10</v>
      </c>
      <c r="M156" s="75"/>
      <c r="N156" s="75"/>
      <c r="O156" s="75"/>
    </row>
    <row r="157" spans="1:15" s="66" customFormat="1" ht="25.15" customHeight="1">
      <c r="A157" s="75"/>
      <c r="B157" s="98">
        <v>44815</v>
      </c>
      <c r="C157" s="78" t="s">
        <v>52</v>
      </c>
      <c r="D157" s="79">
        <v>1</v>
      </c>
      <c r="E157" s="76" t="str">
        <f>IF(ISBLANK(Log[[#This Row],[Item]]),"",_xlfn.XLOOKUP(Log[[#This Row],[Item]],Calories[Name],Calories[Unit]))</f>
        <v>ea</v>
      </c>
      <c r="F157" s="65">
        <f>IF(ISBLANK(Log[[#This Row],[Item]]),"",_xlfn.XLOOKUP(Log[[#This Row],[Item]],Calories[Name],Calories[Cals])*Log[[#This Row],[Qty]])</f>
        <v>0</v>
      </c>
      <c r="G157" s="71">
        <f>IF(ISBLANK(Log[[#This Row],[Item]]),"",_xlfn.XLOOKUP(Log[[#This Row],[Item]],Calories[Name],Calories[Carbs])*Log[[#This Row],[Qty]])</f>
        <v>0</v>
      </c>
      <c r="H157" s="71">
        <f>IF(ISBLANK(Log[[#This Row],[Item]]),"",_xlfn.XLOOKUP(Log[[#This Row],[Item]],Calories[Name],Calories[Fibre])*Log[[#This Row],[Qty]])</f>
        <v>0</v>
      </c>
      <c r="I157" s="71">
        <f>IF(ISBLANK(Log[[#This Row],[Item]]),"",(Log[[#This Row],[Carbs]]-Log[[#This Row],[Fibre]]))</f>
        <v>0</v>
      </c>
      <c r="J157" s="103">
        <f>IF(ISBLANK(Log[[#This Row],[Item]]),"",_xlfn.XLOOKUP(Log[[#This Row],[Item]],Calories[Name],Calories[Sodium])*Log[[#This Row],[Qty]])</f>
        <v>0</v>
      </c>
      <c r="K157" s="71">
        <f>IF(ISBLANK(Log[[#This Row],[Item]]),"",_xlfn.XLOOKUP(Log[[#This Row],[Item]],Calories[Name],Calories[Protein])*Log[[#This Row],[Qty]])</f>
        <v>0</v>
      </c>
      <c r="L157" s="71">
        <f>IF(ISBLANK(Log[[#This Row],[Item]]),"",_xlfn.XLOOKUP(Log[[#This Row],[Item]],Calories[Name],Calories[Chol.])*Log[[#This Row],[Qty]])</f>
        <v>0</v>
      </c>
      <c r="M157" s="75"/>
      <c r="N157" s="75"/>
      <c r="O157" s="75"/>
    </row>
    <row r="158" spans="1:15" s="66" customFormat="1" ht="25.15" customHeight="1">
      <c r="A158" s="75"/>
      <c r="B158" s="98">
        <v>44815</v>
      </c>
      <c r="C158" s="78" t="s">
        <v>53</v>
      </c>
      <c r="D158" s="79">
        <v>1</v>
      </c>
      <c r="E158" s="76" t="str">
        <f>IF(ISBLANK(Log[[#This Row],[Item]]),"",_xlfn.XLOOKUP(Log[[#This Row],[Item]],Calories[Name],Calories[Unit]))</f>
        <v>ea</v>
      </c>
      <c r="F158" s="65">
        <f>IF(ISBLANK(Log[[#This Row],[Item]]),"",_xlfn.XLOOKUP(Log[[#This Row],[Item]],Calories[Name],Calories[Cals])*Log[[#This Row],[Qty]])</f>
        <v>0</v>
      </c>
      <c r="G158" s="71">
        <f>IF(ISBLANK(Log[[#This Row],[Item]]),"",_xlfn.XLOOKUP(Log[[#This Row],[Item]],Calories[Name],Calories[Carbs])*Log[[#This Row],[Qty]])</f>
        <v>0</v>
      </c>
      <c r="H158" s="71">
        <f>IF(ISBLANK(Log[[#This Row],[Item]]),"",_xlfn.XLOOKUP(Log[[#This Row],[Item]],Calories[Name],Calories[Fibre])*Log[[#This Row],[Qty]])</f>
        <v>0</v>
      </c>
      <c r="I158" s="71">
        <f>IF(ISBLANK(Log[[#This Row],[Item]]),"",(Log[[#This Row],[Carbs]]-Log[[#This Row],[Fibre]]))</f>
        <v>0</v>
      </c>
      <c r="J158" s="103">
        <f>IF(ISBLANK(Log[[#This Row],[Item]]),"",_xlfn.XLOOKUP(Log[[#This Row],[Item]],Calories[Name],Calories[Sodium])*Log[[#This Row],[Qty]])</f>
        <v>0</v>
      </c>
      <c r="K158" s="71">
        <f>IF(ISBLANK(Log[[#This Row],[Item]]),"",_xlfn.XLOOKUP(Log[[#This Row],[Item]],Calories[Name],Calories[Protein])*Log[[#This Row],[Qty]])</f>
        <v>0</v>
      </c>
      <c r="L158" s="71">
        <f>IF(ISBLANK(Log[[#This Row],[Item]]),"",_xlfn.XLOOKUP(Log[[#This Row],[Item]],Calories[Name],Calories[Chol.])*Log[[#This Row],[Qty]])</f>
        <v>0</v>
      </c>
      <c r="M158" s="75"/>
      <c r="N158" s="75"/>
      <c r="O158" s="75"/>
    </row>
    <row r="159" spans="1:15" s="66" customFormat="1" ht="25.15" customHeight="1">
      <c r="A159" s="75"/>
      <c r="B159" s="98">
        <v>44815</v>
      </c>
      <c r="C159" s="78" t="s">
        <v>54</v>
      </c>
      <c r="D159" s="79">
        <v>1</v>
      </c>
      <c r="E159" s="76" t="str">
        <f>IF(ISBLANK(Log[[#This Row],[Item]]),"",_xlfn.XLOOKUP(Log[[#This Row],[Item]],Calories[Name],Calories[Unit]))</f>
        <v>ea</v>
      </c>
      <c r="F159" s="65">
        <f>IF(ISBLANK(Log[[#This Row],[Item]]),"",_xlfn.XLOOKUP(Log[[#This Row],[Item]],Calories[Name],Calories[Cals])*Log[[#This Row],[Qty]])</f>
        <v>0</v>
      </c>
      <c r="G159" s="71">
        <f>IF(ISBLANK(Log[[#This Row],[Item]]),"",_xlfn.XLOOKUP(Log[[#This Row],[Item]],Calories[Name],Calories[Carbs])*Log[[#This Row],[Qty]])</f>
        <v>0</v>
      </c>
      <c r="H159" s="71">
        <f>IF(ISBLANK(Log[[#This Row],[Item]]),"",_xlfn.XLOOKUP(Log[[#This Row],[Item]],Calories[Name],Calories[Fibre])*Log[[#This Row],[Qty]])</f>
        <v>0</v>
      </c>
      <c r="I159" s="71">
        <f>IF(ISBLANK(Log[[#This Row],[Item]]),"",(Log[[#This Row],[Carbs]]-Log[[#This Row],[Fibre]]))</f>
        <v>0</v>
      </c>
      <c r="J159" s="103">
        <f>IF(ISBLANK(Log[[#This Row],[Item]]),"",_xlfn.XLOOKUP(Log[[#This Row],[Item]],Calories[Name],Calories[Sodium])*Log[[#This Row],[Qty]])</f>
        <v>0</v>
      </c>
      <c r="K159" s="71">
        <f>IF(ISBLANK(Log[[#This Row],[Item]]),"",_xlfn.XLOOKUP(Log[[#This Row],[Item]],Calories[Name],Calories[Protein])*Log[[#This Row],[Qty]])</f>
        <v>0</v>
      </c>
      <c r="L159" s="71">
        <f>IF(ISBLANK(Log[[#This Row],[Item]]),"",_xlfn.XLOOKUP(Log[[#This Row],[Item]],Calories[Name],Calories[Chol.])*Log[[#This Row],[Qty]])</f>
        <v>0</v>
      </c>
      <c r="M159" s="75"/>
      <c r="N159" s="75"/>
      <c r="O159" s="75"/>
    </row>
    <row r="160" spans="1:15" s="66" customFormat="1" ht="25.15" customHeight="1">
      <c r="A160" s="75"/>
      <c r="B160" s="98">
        <v>44815</v>
      </c>
      <c r="C160" s="78" t="s">
        <v>55</v>
      </c>
      <c r="D160" s="79">
        <v>1</v>
      </c>
      <c r="E160" s="76" t="str">
        <f>IF(ISBLANK(Log[[#This Row],[Item]]),"",_xlfn.XLOOKUP(Log[[#This Row],[Item]],Calories[Name],Calories[Unit]))</f>
        <v>ea</v>
      </c>
      <c r="F160" s="65">
        <f>IF(ISBLANK(Log[[#This Row],[Item]]),"",_xlfn.XLOOKUP(Log[[#This Row],[Item]],Calories[Name],Calories[Cals])*Log[[#This Row],[Qty]])</f>
        <v>0</v>
      </c>
      <c r="G160" s="71">
        <f>IF(ISBLANK(Log[[#This Row],[Item]]),"",_xlfn.XLOOKUP(Log[[#This Row],[Item]],Calories[Name],Calories[Carbs])*Log[[#This Row],[Qty]])</f>
        <v>0</v>
      </c>
      <c r="H160" s="71">
        <f>IF(ISBLANK(Log[[#This Row],[Item]]),"",_xlfn.XLOOKUP(Log[[#This Row],[Item]],Calories[Name],Calories[Fibre])*Log[[#This Row],[Qty]])</f>
        <v>0</v>
      </c>
      <c r="I160" s="71">
        <f>IF(ISBLANK(Log[[#This Row],[Item]]),"",(Log[[#This Row],[Carbs]]-Log[[#This Row],[Fibre]]))</f>
        <v>0</v>
      </c>
      <c r="J160" s="103">
        <f>IF(ISBLANK(Log[[#This Row],[Item]]),"",_xlfn.XLOOKUP(Log[[#This Row],[Item]],Calories[Name],Calories[Sodium])*Log[[#This Row],[Qty]])</f>
        <v>0</v>
      </c>
      <c r="K160" s="71">
        <f>IF(ISBLANK(Log[[#This Row],[Item]]),"",_xlfn.XLOOKUP(Log[[#This Row],[Item]],Calories[Name],Calories[Protein])*Log[[#This Row],[Qty]])</f>
        <v>0</v>
      </c>
      <c r="L160" s="71">
        <f>IF(ISBLANK(Log[[#This Row],[Item]]),"",_xlfn.XLOOKUP(Log[[#This Row],[Item]],Calories[Name],Calories[Chol.])*Log[[#This Row],[Qty]])</f>
        <v>0</v>
      </c>
      <c r="M160" s="75"/>
      <c r="N160" s="75"/>
      <c r="O160" s="75"/>
    </row>
    <row r="161" spans="1:15" s="66" customFormat="1" ht="25.15" customHeight="1">
      <c r="A161" s="75"/>
      <c r="B161" s="98">
        <v>44815</v>
      </c>
      <c r="C161" s="78" t="s">
        <v>66</v>
      </c>
      <c r="D161" s="79">
        <f>1042/3.94</f>
        <v>264.46700507614213</v>
      </c>
      <c r="E161" s="76" t="str">
        <f>IF(ISBLANK(Log[[#This Row],[Item]]),"",_xlfn.XLOOKUP(Log[[#This Row],[Item]],Calories[Name],Calories[Unit]))</f>
        <v>g</v>
      </c>
      <c r="F161" s="65">
        <f>IF(ISBLANK(Log[[#This Row],[Item]]),"",_xlfn.XLOOKUP(Log[[#This Row],[Item]],Calories[Name],Calories[Cals])*Log[[#This Row],[Qty]])</f>
        <v>424.60298980114561</v>
      </c>
      <c r="G161" s="71">
        <f>IF(ISBLANK(Log[[#This Row],[Item]]),"",_xlfn.XLOOKUP(Log[[#This Row],[Item]],Calories[Name],Calories[Carbs])*Log[[#This Row],[Qty]])</f>
        <v>0</v>
      </c>
      <c r="H161" s="71">
        <f>IF(ISBLANK(Log[[#This Row],[Item]]),"",_xlfn.XLOOKUP(Log[[#This Row],[Item]],Calories[Name],Calories[Fibre])*Log[[#This Row],[Qty]])</f>
        <v>0</v>
      </c>
      <c r="I161" s="71">
        <f>IF(ISBLANK(Log[[#This Row],[Item]]),"",(Log[[#This Row],[Carbs]]-Log[[#This Row],[Fibre]]))</f>
        <v>0</v>
      </c>
      <c r="J161" s="103">
        <f>IF(ISBLANK(Log[[#This Row],[Item]]),"",_xlfn.XLOOKUP(Log[[#This Row],[Item]],Calories[Name],Calories[Sodium])*Log[[#This Row],[Qty]])</f>
        <v>169.84119592045823</v>
      </c>
      <c r="K161" s="71">
        <f>IF(ISBLANK(Log[[#This Row],[Item]]),"",_xlfn.XLOOKUP(Log[[#This Row],[Item]],Calories[Name],Calories[Protein])*Log[[#This Row],[Qty]])</f>
        <v>56.924796434878857</v>
      </c>
      <c r="L161" s="71">
        <f>IF(ISBLANK(Log[[#This Row],[Item]]),"",_xlfn.XLOOKUP(Log[[#This Row],[Item]],Calories[Name],Calories[Chol.])*Log[[#This Row],[Qty]])</f>
        <v>126.91430024825451</v>
      </c>
      <c r="M161" s="75"/>
      <c r="N161" s="75"/>
      <c r="O161" s="75"/>
    </row>
    <row r="162" spans="1:15" s="66" customFormat="1" ht="25.15" customHeight="1">
      <c r="A162" s="75"/>
      <c r="B162" s="98">
        <v>44815</v>
      </c>
      <c r="C162" s="78" t="s">
        <v>67</v>
      </c>
      <c r="D162" s="79">
        <f>227*4/2.94</f>
        <v>308.84353741496597</v>
      </c>
      <c r="E162" s="76" t="str">
        <f>IF(ISBLANK(Log[[#This Row],[Item]]),"",_xlfn.XLOOKUP(Log[[#This Row],[Item]],Calories[Name],Calories[Unit]))</f>
        <v>g</v>
      </c>
      <c r="F162" s="65">
        <f>IF(ISBLANK(Log[[#This Row],[Item]]),"",_xlfn.XLOOKUP(Log[[#This Row],[Item]],Calories[Name],Calories[Cals])*Log[[#This Row],[Qty]])</f>
        <v>87.505668934240362</v>
      </c>
      <c r="G162" s="71">
        <f>IF(ISBLANK(Log[[#This Row],[Item]]),"",_xlfn.XLOOKUP(Log[[#This Row],[Item]],Calories[Name],Calories[Carbs])*Log[[#This Row],[Qty]])</f>
        <v>15.442176870748296</v>
      </c>
      <c r="H162" s="71">
        <f>IF(ISBLANK(Log[[#This Row],[Item]]),"",_xlfn.XLOOKUP(Log[[#This Row],[Item]],Calories[Name],Calories[Fibre])*Log[[#This Row],[Qty]])</f>
        <v>7.7210884353741482</v>
      </c>
      <c r="I162" s="71">
        <f>IF(ISBLANK(Log[[#This Row],[Item]]),"",(Log[[#This Row],[Carbs]]-Log[[#This Row],[Fibre]]))</f>
        <v>7.7210884353741482</v>
      </c>
      <c r="J162" s="103">
        <f>IF(ISBLANK(Log[[#This Row],[Item]]),"",_xlfn.XLOOKUP(Log[[#This Row],[Item]],Calories[Name],Calories[Sodium])*Log[[#This Row],[Qty]])</f>
        <v>5.1473922902494325</v>
      </c>
      <c r="K162" s="71">
        <f>IF(ISBLANK(Log[[#This Row],[Item]]),"",_xlfn.XLOOKUP(Log[[#This Row],[Item]],Calories[Name],Calories[Protein])*Log[[#This Row],[Qty]])</f>
        <v>7.7210884353741482</v>
      </c>
      <c r="L162" s="71">
        <f>IF(ISBLANK(Log[[#This Row],[Item]]),"",_xlfn.XLOOKUP(Log[[#This Row],[Item]],Calories[Name],Calories[Chol.])*Log[[#This Row],[Qty]])</f>
        <v>0</v>
      </c>
      <c r="M162" s="75"/>
      <c r="N162" s="75"/>
      <c r="O162" s="75"/>
    </row>
    <row r="163" spans="1:15" s="66" customFormat="1" ht="25.15" customHeight="1">
      <c r="A163" s="75"/>
      <c r="B163" s="98">
        <v>44815</v>
      </c>
      <c r="C163" s="78" t="s">
        <v>14</v>
      </c>
      <c r="D163" s="79">
        <f>0.5/3.94</f>
        <v>0.12690355329949238</v>
      </c>
      <c r="E163" s="76" t="str">
        <f>IF(ISBLANK(Log[[#This Row],[Item]]),"",_xlfn.XLOOKUP(Log[[#This Row],[Item]],Calories[Name],Calories[Unit]))</f>
        <v>c</v>
      </c>
      <c r="F163" s="65">
        <f>IF(ISBLANK(Log[[#This Row],[Item]]),"",_xlfn.XLOOKUP(Log[[#This Row],[Item]],Calories[Name],Calories[Cals])*Log[[#This Row],[Qty]])</f>
        <v>8.5025380710659899</v>
      </c>
      <c r="G163" s="71">
        <f>IF(ISBLANK(Log[[#This Row],[Item]]),"",_xlfn.XLOOKUP(Log[[#This Row],[Item]],Calories[Name],Calories[Carbs])*Log[[#This Row],[Qty]])</f>
        <v>2.0532994923857868</v>
      </c>
      <c r="H163" s="71">
        <f>IF(ISBLANK(Log[[#This Row],[Item]]),"",_xlfn.XLOOKUP(Log[[#This Row],[Item]],Calories[Name],Calories[Fibre])*Log[[#This Row],[Qty]])</f>
        <v>0.27918781725888325</v>
      </c>
      <c r="I163" s="71">
        <f>IF(ISBLANK(Log[[#This Row],[Item]]),"",(Log[[#This Row],[Carbs]]-Log[[#This Row],[Fibre]]))</f>
        <v>1.7741116751269035</v>
      </c>
      <c r="J163" s="103">
        <f>IF(ISBLANK(Log[[#This Row],[Item]]),"",_xlfn.XLOOKUP(Log[[#This Row],[Item]],Calories[Name],Calories[Sodium])*Log[[#This Row],[Qty]])</f>
        <v>0.63451776649746194</v>
      </c>
      <c r="K163" s="71">
        <f>IF(ISBLANK(Log[[#This Row],[Item]]),"",_xlfn.XLOOKUP(Log[[#This Row],[Item]],Calories[Name],Calories[Protein])*Log[[#This Row],[Qty]])</f>
        <v>0.18654822335025378</v>
      </c>
      <c r="L163" s="71">
        <f>IF(ISBLANK(Log[[#This Row],[Item]]),"",_xlfn.XLOOKUP(Log[[#This Row],[Item]],Calories[Name],Calories[Chol.])*Log[[#This Row],[Qty]])</f>
        <v>0</v>
      </c>
      <c r="M163" s="75"/>
      <c r="N163" s="75"/>
      <c r="O163" s="75"/>
    </row>
    <row r="164" spans="1:15" s="66" customFormat="1" ht="25.15" customHeight="1">
      <c r="A164" s="75"/>
      <c r="B164" s="98">
        <v>44815</v>
      </c>
      <c r="C164" s="78" t="s">
        <v>45</v>
      </c>
      <c r="D164" s="79">
        <f>15/3.94</f>
        <v>3.8071065989847717</v>
      </c>
      <c r="E164" s="76" t="str">
        <f>IF(ISBLANK(Log[[#This Row],[Item]]),"",_xlfn.XLOOKUP(Log[[#This Row],[Item]],Calories[Name],Calories[Unit]))</f>
        <v>pinch</v>
      </c>
      <c r="F164" s="65">
        <f>IF(ISBLANK(Log[[#This Row],[Item]]),"",_xlfn.XLOOKUP(Log[[#This Row],[Item]],Calories[Name],Calories[Cals])*Log[[#This Row],[Qty]])</f>
        <v>0</v>
      </c>
      <c r="G164" s="71">
        <f>IF(ISBLANK(Log[[#This Row],[Item]]),"",_xlfn.XLOOKUP(Log[[#This Row],[Item]],Calories[Name],Calories[Carbs])*Log[[#This Row],[Qty]])</f>
        <v>0</v>
      </c>
      <c r="H164" s="71">
        <f>IF(ISBLANK(Log[[#This Row],[Item]]),"",_xlfn.XLOOKUP(Log[[#This Row],[Item]],Calories[Name],Calories[Fibre])*Log[[#This Row],[Qty]])</f>
        <v>0</v>
      </c>
      <c r="I164" s="71">
        <f>IF(ISBLANK(Log[[#This Row],[Item]]),"",(Log[[#This Row],[Carbs]]-Log[[#This Row],[Fibre]]))</f>
        <v>0</v>
      </c>
      <c r="J164" s="103">
        <f>IF(ISBLANK(Log[[#This Row],[Item]]),"",_xlfn.XLOOKUP(Log[[#This Row],[Item]],Calories[Name],Calories[Sodium])*Log[[#This Row],[Qty]])</f>
        <v>531.2010152284264</v>
      </c>
      <c r="K164" s="71">
        <f>IF(ISBLANK(Log[[#This Row],[Item]]),"",_xlfn.XLOOKUP(Log[[#This Row],[Item]],Calories[Name],Calories[Protein])*Log[[#This Row],[Qty]])</f>
        <v>0</v>
      </c>
      <c r="L164" s="71">
        <f>IF(ISBLANK(Log[[#This Row],[Item]]),"",_xlfn.XLOOKUP(Log[[#This Row],[Item]],Calories[Name],Calories[Chol.])*Log[[#This Row],[Qty]])</f>
        <v>0</v>
      </c>
      <c r="M164" s="75"/>
      <c r="N164" s="75"/>
      <c r="O164" s="75"/>
    </row>
    <row r="165" spans="1:15" s="66" customFormat="1" ht="25.15" customHeight="1">
      <c r="A165" s="75"/>
      <c r="B165" s="98">
        <v>44815</v>
      </c>
      <c r="C165" s="78" t="s">
        <v>20</v>
      </c>
      <c r="D165" s="79">
        <f>14*3</f>
        <v>42</v>
      </c>
      <c r="E165" s="76" t="str">
        <f>IF(ISBLANK(Log[[#This Row],[Item]]),"",_xlfn.XLOOKUP(Log[[#This Row],[Item]],Calories[Name],Calories[Unit]))</f>
        <v>mL</v>
      </c>
      <c r="F165" s="65">
        <f>IF(ISBLANK(Log[[#This Row],[Item]]),"",_xlfn.XLOOKUP(Log[[#This Row],[Item]],Calories[Name],Calories[Cals])*Log[[#This Row],[Qty]])</f>
        <v>70</v>
      </c>
      <c r="G165" s="71">
        <f>IF(ISBLANK(Log[[#This Row],[Item]]),"",_xlfn.XLOOKUP(Log[[#This Row],[Item]],Calories[Name],Calories[Carbs])*Log[[#This Row],[Qty]])</f>
        <v>2.8</v>
      </c>
      <c r="H165" s="71">
        <f>IF(ISBLANK(Log[[#This Row],[Item]]),"",_xlfn.XLOOKUP(Log[[#This Row],[Item]],Calories[Name],Calories[Fibre])*Log[[#This Row],[Qty]])</f>
        <v>0</v>
      </c>
      <c r="I165" s="71">
        <f>IF(ISBLANK(Log[[#This Row],[Item]]),"",(Log[[#This Row],[Carbs]]-Log[[#This Row],[Fibre]]))</f>
        <v>2.8</v>
      </c>
      <c r="J165" s="103">
        <f>IF(ISBLANK(Log[[#This Row],[Item]]),"",_xlfn.XLOOKUP(Log[[#This Row],[Item]],Calories[Name],Calories[Sodium])*Log[[#This Row],[Qty]])</f>
        <v>28</v>
      </c>
      <c r="K165" s="71">
        <f>IF(ISBLANK(Log[[#This Row],[Item]]),"",_xlfn.XLOOKUP(Log[[#This Row],[Item]],Calories[Name],Calories[Protein])*Log[[#This Row],[Qty]])</f>
        <v>1.4</v>
      </c>
      <c r="L165" s="71">
        <f>IF(ISBLANK(Log[[#This Row],[Item]]),"",_xlfn.XLOOKUP(Log[[#This Row],[Item]],Calories[Name],Calories[Chol.])*Log[[#This Row],[Qty]])</f>
        <v>21</v>
      </c>
      <c r="M165" s="75"/>
      <c r="N165" s="75"/>
      <c r="O165" s="75"/>
    </row>
    <row r="166" spans="1:15" s="66" customFormat="1" ht="25.15" customHeight="1">
      <c r="A166" s="75"/>
      <c r="B166" s="98">
        <v>44815</v>
      </c>
      <c r="C166" s="78" t="s">
        <v>63</v>
      </c>
      <c r="D166" s="79">
        <v>1</v>
      </c>
      <c r="E166" s="76" t="str">
        <f>IF(ISBLANK(Log[[#This Row],[Item]]),"",_xlfn.XLOOKUP(Log[[#This Row],[Item]],Calories[Name],Calories[Unit]))</f>
        <v>pkg</v>
      </c>
      <c r="F166" s="65">
        <f>IF(ISBLANK(Log[[#This Row],[Item]]),"",_xlfn.XLOOKUP(Log[[#This Row],[Item]],Calories[Name],Calories[Cals])*Log[[#This Row],[Qty]])</f>
        <v>520</v>
      </c>
      <c r="G166" s="71">
        <f>IF(ISBLANK(Log[[#This Row],[Item]]),"",_xlfn.XLOOKUP(Log[[#This Row],[Item]],Calories[Name],Calories[Carbs])*Log[[#This Row],[Qty]])</f>
        <v>12</v>
      </c>
      <c r="H166" s="71">
        <f>IF(ISBLANK(Log[[#This Row],[Item]]),"",_xlfn.XLOOKUP(Log[[#This Row],[Item]],Calories[Name],Calories[Fibre])*Log[[#This Row],[Qty]])</f>
        <v>0</v>
      </c>
      <c r="I166" s="71">
        <f>IF(ISBLANK(Log[[#This Row],[Item]]),"",(Log[[#This Row],[Carbs]]-Log[[#This Row],[Fibre]]))</f>
        <v>12</v>
      </c>
      <c r="J166" s="103">
        <f>IF(ISBLANK(Log[[#This Row],[Item]]),"",_xlfn.XLOOKUP(Log[[#This Row],[Item]],Calories[Name],Calories[Sodium])*Log[[#This Row],[Qty]])</f>
        <v>20</v>
      </c>
      <c r="K166" s="71">
        <f>IF(ISBLANK(Log[[#This Row],[Item]]),"",_xlfn.XLOOKUP(Log[[#This Row],[Item]],Calories[Name],Calories[Protein])*Log[[#This Row],[Qty]])</f>
        <v>56</v>
      </c>
      <c r="L166" s="71">
        <f>IF(ISBLANK(Log[[#This Row],[Item]]),"",_xlfn.XLOOKUP(Log[[#This Row],[Item]],Calories[Name],Calories[Chol.])*Log[[#This Row],[Qty]])</f>
        <v>0</v>
      </c>
      <c r="M166" s="75"/>
      <c r="N166" s="75"/>
      <c r="O166" s="75"/>
    </row>
    <row r="167" spans="1:15" s="66" customFormat="1" ht="25.15" customHeight="1">
      <c r="A167" s="75"/>
      <c r="B167" s="98">
        <v>44815</v>
      </c>
      <c r="C167" s="78" t="s">
        <v>15</v>
      </c>
      <c r="D167" s="79">
        <v>0.75</v>
      </c>
      <c r="E167" s="76" t="str">
        <f>IF(ISBLANK(Log[[#This Row],[Item]]),"",_xlfn.XLOOKUP(Log[[#This Row],[Item]],Calories[Name],Calories[Unit]))</f>
        <v>tbsp</v>
      </c>
      <c r="F167" s="65">
        <f>IF(ISBLANK(Log[[#This Row],[Item]]),"",_xlfn.XLOOKUP(Log[[#This Row],[Item]],Calories[Name],Calories[Cals])*Log[[#This Row],[Qty]])</f>
        <v>90</v>
      </c>
      <c r="G167" s="71">
        <f>IF(ISBLANK(Log[[#This Row],[Item]]),"",_xlfn.XLOOKUP(Log[[#This Row],[Item]],Calories[Name],Calories[Carbs])*Log[[#This Row],[Qty]])</f>
        <v>0</v>
      </c>
      <c r="H167" s="71">
        <f>IF(ISBLANK(Log[[#This Row],[Item]]),"",_xlfn.XLOOKUP(Log[[#This Row],[Item]],Calories[Name],Calories[Fibre])*Log[[#This Row],[Qty]])</f>
        <v>0</v>
      </c>
      <c r="I167" s="71">
        <f>IF(ISBLANK(Log[[#This Row],[Item]]),"",(Log[[#This Row],[Carbs]]-Log[[#This Row],[Fibre]]))</f>
        <v>0</v>
      </c>
      <c r="J167" s="103">
        <f>IF(ISBLANK(Log[[#This Row],[Item]]),"",_xlfn.XLOOKUP(Log[[#This Row],[Item]],Calories[Name],Calories[Sodium])*Log[[#This Row],[Qty]])</f>
        <v>0</v>
      </c>
      <c r="K167" s="71">
        <f>IF(ISBLANK(Log[[#This Row],[Item]]),"",_xlfn.XLOOKUP(Log[[#This Row],[Item]],Calories[Name],Calories[Protein])*Log[[#This Row],[Qty]])</f>
        <v>0</v>
      </c>
      <c r="L167" s="71">
        <f>IF(ISBLANK(Log[[#This Row],[Item]]),"",_xlfn.XLOOKUP(Log[[#This Row],[Item]],Calories[Name],Calories[Chol.])*Log[[#This Row],[Qty]])</f>
        <v>0</v>
      </c>
      <c r="M167" s="75"/>
      <c r="N167" s="75"/>
      <c r="O167" s="75"/>
    </row>
    <row r="168" spans="1:15" s="66" customFormat="1" ht="25.15" customHeight="1">
      <c r="A168" s="75"/>
      <c r="B168" s="98">
        <v>44815</v>
      </c>
      <c r="C168" s="78" t="s">
        <v>71</v>
      </c>
      <c r="D168" s="79">
        <v>118</v>
      </c>
      <c r="E168" s="76" t="str">
        <f>IF(ISBLANK(Log[[#This Row],[Item]]),"",_xlfn.XLOOKUP(Log[[#This Row],[Item]],Calories[Name],Calories[Unit]))</f>
        <v>g</v>
      </c>
      <c r="F168" s="65">
        <f>IF(ISBLANK(Log[[#This Row],[Item]]),"",_xlfn.XLOOKUP(Log[[#This Row],[Item]],Calories[Name],Calories[Cals])*Log[[#This Row],[Qty]])</f>
        <v>36.58</v>
      </c>
      <c r="G168" s="71">
        <f>IF(ISBLANK(Log[[#This Row],[Item]]),"",_xlfn.XLOOKUP(Log[[#This Row],[Item]],Calories[Name],Calories[Carbs])*Log[[#This Row],[Qty]])</f>
        <v>8.2954000000000008</v>
      </c>
      <c r="H168" s="71">
        <f>IF(ISBLANK(Log[[#This Row],[Item]]),"",_xlfn.XLOOKUP(Log[[#This Row],[Item]],Calories[Name],Calories[Fibre])*Log[[#This Row],[Qty]])</f>
        <v>3.7760000000000002</v>
      </c>
      <c r="I168" s="71">
        <f>IF(ISBLANK(Log[[#This Row],[Item]]),"",(Log[[#This Row],[Carbs]]-Log[[#This Row],[Fibre]]))</f>
        <v>4.519400000000001</v>
      </c>
      <c r="J168" s="103">
        <f>IF(ISBLANK(Log[[#This Row],[Item]]),"",_xlfn.XLOOKUP(Log[[#This Row],[Item]],Calories[Name],Calories[Sodium])*Log[[#This Row],[Qty]])</f>
        <v>9.44</v>
      </c>
      <c r="K168" s="71">
        <f>IF(ISBLANK(Log[[#This Row],[Item]]),"",_xlfn.XLOOKUP(Log[[#This Row],[Item]],Calories[Name],Calories[Protein])*Log[[#This Row],[Qty]])</f>
        <v>2.36</v>
      </c>
      <c r="L168" s="71">
        <f>IF(ISBLANK(Log[[#This Row],[Item]]),"",_xlfn.XLOOKUP(Log[[#This Row],[Item]],Calories[Name],Calories[Chol.])*Log[[#This Row],[Qty]])</f>
        <v>0</v>
      </c>
      <c r="M168" s="75"/>
      <c r="N168" s="75"/>
      <c r="O168" s="75"/>
    </row>
    <row r="169" spans="1:15" s="66" customFormat="1" ht="25.15" customHeight="1">
      <c r="A169" s="75"/>
      <c r="B169" s="98">
        <v>44816</v>
      </c>
      <c r="C169" s="78" t="s">
        <v>52</v>
      </c>
      <c r="D169" s="79">
        <v>1</v>
      </c>
      <c r="E169" s="76" t="str">
        <f>IF(ISBLANK(Log[[#This Row],[Item]]),"",_xlfn.XLOOKUP(Log[[#This Row],[Item]],Calories[Name],Calories[Unit]))</f>
        <v>ea</v>
      </c>
      <c r="F169" s="65">
        <f>IF(ISBLANK(Log[[#This Row],[Item]]),"",_xlfn.XLOOKUP(Log[[#This Row],[Item]],Calories[Name],Calories[Cals])*Log[[#This Row],[Qty]])</f>
        <v>0</v>
      </c>
      <c r="G169" s="71">
        <f>IF(ISBLANK(Log[[#This Row],[Item]]),"",_xlfn.XLOOKUP(Log[[#This Row],[Item]],Calories[Name],Calories[Carbs])*Log[[#This Row],[Qty]])</f>
        <v>0</v>
      </c>
      <c r="H169" s="71">
        <f>IF(ISBLANK(Log[[#This Row],[Item]]),"",_xlfn.XLOOKUP(Log[[#This Row],[Item]],Calories[Name],Calories[Fibre])*Log[[#This Row],[Qty]])</f>
        <v>0</v>
      </c>
      <c r="I169" s="71">
        <f>IF(ISBLANK(Log[[#This Row],[Item]]),"",(Log[[#This Row],[Carbs]]-Log[[#This Row],[Fibre]]))</f>
        <v>0</v>
      </c>
      <c r="J169" s="103">
        <f>IF(ISBLANK(Log[[#This Row],[Item]]),"",_xlfn.XLOOKUP(Log[[#This Row],[Item]],Calories[Name],Calories[Sodium])*Log[[#This Row],[Qty]])</f>
        <v>0</v>
      </c>
      <c r="K169" s="71">
        <f>IF(ISBLANK(Log[[#This Row],[Item]]),"",_xlfn.XLOOKUP(Log[[#This Row],[Item]],Calories[Name],Calories[Protein])*Log[[#This Row],[Qty]])</f>
        <v>0</v>
      </c>
      <c r="L169" s="71">
        <f>IF(ISBLANK(Log[[#This Row],[Item]]),"",_xlfn.XLOOKUP(Log[[#This Row],[Item]],Calories[Name],Calories[Chol.])*Log[[#This Row],[Qty]])</f>
        <v>0</v>
      </c>
      <c r="M169" s="75"/>
      <c r="N169" s="75"/>
      <c r="O169" s="75"/>
    </row>
    <row r="170" spans="1:15" s="66" customFormat="1" ht="25.15" customHeight="1">
      <c r="A170" s="75"/>
      <c r="B170" s="98">
        <v>44816</v>
      </c>
      <c r="C170" s="78" t="s">
        <v>53</v>
      </c>
      <c r="D170" s="79">
        <v>1</v>
      </c>
      <c r="E170" s="76" t="str">
        <f>IF(ISBLANK(Log[[#This Row],[Item]]),"",_xlfn.XLOOKUP(Log[[#This Row],[Item]],Calories[Name],Calories[Unit]))</f>
        <v>ea</v>
      </c>
      <c r="F170" s="65">
        <f>IF(ISBLANK(Log[[#This Row],[Item]]),"",_xlfn.XLOOKUP(Log[[#This Row],[Item]],Calories[Name],Calories[Cals])*Log[[#This Row],[Qty]])</f>
        <v>0</v>
      </c>
      <c r="G170" s="71">
        <f>IF(ISBLANK(Log[[#This Row],[Item]]),"",_xlfn.XLOOKUP(Log[[#This Row],[Item]],Calories[Name],Calories[Carbs])*Log[[#This Row],[Qty]])</f>
        <v>0</v>
      </c>
      <c r="H170" s="71">
        <f>IF(ISBLANK(Log[[#This Row],[Item]]),"",_xlfn.XLOOKUP(Log[[#This Row],[Item]],Calories[Name],Calories[Fibre])*Log[[#This Row],[Qty]])</f>
        <v>0</v>
      </c>
      <c r="I170" s="71">
        <f>IF(ISBLANK(Log[[#This Row],[Item]]),"",(Log[[#This Row],[Carbs]]-Log[[#This Row],[Fibre]]))</f>
        <v>0</v>
      </c>
      <c r="J170" s="103">
        <f>IF(ISBLANK(Log[[#This Row],[Item]]),"",_xlfn.XLOOKUP(Log[[#This Row],[Item]],Calories[Name],Calories[Sodium])*Log[[#This Row],[Qty]])</f>
        <v>0</v>
      </c>
      <c r="K170" s="71">
        <f>IF(ISBLANK(Log[[#This Row],[Item]]),"",_xlfn.XLOOKUP(Log[[#This Row],[Item]],Calories[Name],Calories[Protein])*Log[[#This Row],[Qty]])</f>
        <v>0</v>
      </c>
      <c r="L170" s="71">
        <f>IF(ISBLANK(Log[[#This Row],[Item]]),"",_xlfn.XLOOKUP(Log[[#This Row],[Item]],Calories[Name],Calories[Chol.])*Log[[#This Row],[Qty]])</f>
        <v>0</v>
      </c>
      <c r="M170" s="75"/>
      <c r="N170" s="75"/>
      <c r="O170" s="75"/>
    </row>
    <row r="171" spans="1:15" s="66" customFormat="1" ht="25.15" customHeight="1">
      <c r="A171" s="75"/>
      <c r="B171" s="98">
        <v>44816</v>
      </c>
      <c r="C171" s="78" t="s">
        <v>54</v>
      </c>
      <c r="D171" s="79">
        <v>1</v>
      </c>
      <c r="E171" s="76" t="str">
        <f>IF(ISBLANK(Log[[#This Row],[Item]]),"",_xlfn.XLOOKUP(Log[[#This Row],[Item]],Calories[Name],Calories[Unit]))</f>
        <v>ea</v>
      </c>
      <c r="F171" s="65">
        <f>IF(ISBLANK(Log[[#This Row],[Item]]),"",_xlfn.XLOOKUP(Log[[#This Row],[Item]],Calories[Name],Calories[Cals])*Log[[#This Row],[Qty]])</f>
        <v>0</v>
      </c>
      <c r="G171" s="71">
        <f>IF(ISBLANK(Log[[#This Row],[Item]]),"",_xlfn.XLOOKUP(Log[[#This Row],[Item]],Calories[Name],Calories[Carbs])*Log[[#This Row],[Qty]])</f>
        <v>0</v>
      </c>
      <c r="H171" s="71">
        <f>IF(ISBLANK(Log[[#This Row],[Item]]),"",_xlfn.XLOOKUP(Log[[#This Row],[Item]],Calories[Name],Calories[Fibre])*Log[[#This Row],[Qty]])</f>
        <v>0</v>
      </c>
      <c r="I171" s="71">
        <f>IF(ISBLANK(Log[[#This Row],[Item]]),"",(Log[[#This Row],[Carbs]]-Log[[#This Row],[Fibre]]))</f>
        <v>0</v>
      </c>
      <c r="J171" s="103">
        <f>IF(ISBLANK(Log[[#This Row],[Item]]),"",_xlfn.XLOOKUP(Log[[#This Row],[Item]],Calories[Name],Calories[Sodium])*Log[[#This Row],[Qty]])</f>
        <v>0</v>
      </c>
      <c r="K171" s="71">
        <f>IF(ISBLANK(Log[[#This Row],[Item]]),"",_xlfn.XLOOKUP(Log[[#This Row],[Item]],Calories[Name],Calories[Protein])*Log[[#This Row],[Qty]])</f>
        <v>0</v>
      </c>
      <c r="L171" s="71">
        <f>IF(ISBLANK(Log[[#This Row],[Item]]),"",_xlfn.XLOOKUP(Log[[#This Row],[Item]],Calories[Name],Calories[Chol.])*Log[[#This Row],[Qty]])</f>
        <v>0</v>
      </c>
      <c r="M171" s="75"/>
      <c r="N171" s="75"/>
      <c r="O171" s="75"/>
    </row>
    <row r="172" spans="1:15" s="66" customFormat="1" ht="25.15" customHeight="1">
      <c r="A172" s="75"/>
      <c r="B172" s="98">
        <v>44816</v>
      </c>
      <c r="C172" s="78" t="s">
        <v>55</v>
      </c>
      <c r="D172" s="79">
        <v>1</v>
      </c>
      <c r="E172" s="76" t="str">
        <f>IF(ISBLANK(Log[[#This Row],[Item]]),"",_xlfn.XLOOKUP(Log[[#This Row],[Item]],Calories[Name],Calories[Unit]))</f>
        <v>ea</v>
      </c>
      <c r="F172" s="65">
        <f>IF(ISBLANK(Log[[#This Row],[Item]]),"",_xlfn.XLOOKUP(Log[[#This Row],[Item]],Calories[Name],Calories[Cals])*Log[[#This Row],[Qty]])</f>
        <v>0</v>
      </c>
      <c r="G172" s="71">
        <f>IF(ISBLANK(Log[[#This Row],[Item]]),"",_xlfn.XLOOKUP(Log[[#This Row],[Item]],Calories[Name],Calories[Carbs])*Log[[#This Row],[Qty]])</f>
        <v>0</v>
      </c>
      <c r="H172" s="71">
        <f>IF(ISBLANK(Log[[#This Row],[Item]]),"",_xlfn.XLOOKUP(Log[[#This Row],[Item]],Calories[Name],Calories[Fibre])*Log[[#This Row],[Qty]])</f>
        <v>0</v>
      </c>
      <c r="I172" s="71">
        <f>IF(ISBLANK(Log[[#This Row],[Item]]),"",(Log[[#This Row],[Carbs]]-Log[[#This Row],[Fibre]]))</f>
        <v>0</v>
      </c>
      <c r="J172" s="103">
        <f>IF(ISBLANK(Log[[#This Row],[Item]]),"",_xlfn.XLOOKUP(Log[[#This Row],[Item]],Calories[Name],Calories[Sodium])*Log[[#This Row],[Qty]])</f>
        <v>0</v>
      </c>
      <c r="K172" s="71">
        <f>IF(ISBLANK(Log[[#This Row],[Item]]),"",_xlfn.XLOOKUP(Log[[#This Row],[Item]],Calories[Name],Calories[Protein])*Log[[#This Row],[Qty]])</f>
        <v>0</v>
      </c>
      <c r="L172" s="71">
        <f>IF(ISBLANK(Log[[#This Row],[Item]]),"",_xlfn.XLOOKUP(Log[[#This Row],[Item]],Calories[Name],Calories[Chol.])*Log[[#This Row],[Qty]])</f>
        <v>0</v>
      </c>
      <c r="M172" s="75"/>
      <c r="N172" s="75"/>
      <c r="O172" s="75"/>
    </row>
    <row r="173" spans="1:15" s="66" customFormat="1" ht="25.15" customHeight="1">
      <c r="A173" s="75"/>
      <c r="B173" s="98">
        <v>44816</v>
      </c>
      <c r="C173" s="78" t="s">
        <v>66</v>
      </c>
      <c r="D173" s="79">
        <f>1042/3.94</f>
        <v>264.46700507614213</v>
      </c>
      <c r="E173" s="76" t="str">
        <f>IF(ISBLANK(Log[[#This Row],[Item]]),"",_xlfn.XLOOKUP(Log[[#This Row],[Item]],Calories[Name],Calories[Unit]))</f>
        <v>g</v>
      </c>
      <c r="F173" s="65">
        <f>IF(ISBLANK(Log[[#This Row],[Item]]),"",_xlfn.XLOOKUP(Log[[#This Row],[Item]],Calories[Name],Calories[Cals])*Log[[#This Row],[Qty]])</f>
        <v>424.60298980114561</v>
      </c>
      <c r="G173" s="71">
        <f>IF(ISBLANK(Log[[#This Row],[Item]]),"",_xlfn.XLOOKUP(Log[[#This Row],[Item]],Calories[Name],Calories[Carbs])*Log[[#This Row],[Qty]])</f>
        <v>0</v>
      </c>
      <c r="H173" s="71">
        <f>IF(ISBLANK(Log[[#This Row],[Item]]),"",_xlfn.XLOOKUP(Log[[#This Row],[Item]],Calories[Name],Calories[Fibre])*Log[[#This Row],[Qty]])</f>
        <v>0</v>
      </c>
      <c r="I173" s="71">
        <f>IF(ISBLANK(Log[[#This Row],[Item]]),"",(Log[[#This Row],[Carbs]]-Log[[#This Row],[Fibre]]))</f>
        <v>0</v>
      </c>
      <c r="J173" s="103">
        <f>IF(ISBLANK(Log[[#This Row],[Item]]),"",_xlfn.XLOOKUP(Log[[#This Row],[Item]],Calories[Name],Calories[Sodium])*Log[[#This Row],[Qty]])</f>
        <v>169.84119592045823</v>
      </c>
      <c r="K173" s="71">
        <f>IF(ISBLANK(Log[[#This Row],[Item]]),"",_xlfn.XLOOKUP(Log[[#This Row],[Item]],Calories[Name],Calories[Protein])*Log[[#This Row],[Qty]])</f>
        <v>56.924796434878857</v>
      </c>
      <c r="L173" s="71">
        <f>IF(ISBLANK(Log[[#This Row],[Item]]),"",_xlfn.XLOOKUP(Log[[#This Row],[Item]],Calories[Name],Calories[Chol.])*Log[[#This Row],[Qty]])</f>
        <v>126.91430024825451</v>
      </c>
      <c r="M173" s="75"/>
      <c r="N173" s="75"/>
      <c r="O173" s="75"/>
    </row>
    <row r="174" spans="1:15" s="66" customFormat="1" ht="25.15" customHeight="1">
      <c r="A174" s="75"/>
      <c r="B174" s="98">
        <v>44816</v>
      </c>
      <c r="C174" s="78" t="s">
        <v>67</v>
      </c>
      <c r="D174" s="79">
        <f>227*4/2.94</f>
        <v>308.84353741496597</v>
      </c>
      <c r="E174" s="76" t="str">
        <f>IF(ISBLANK(Log[[#This Row],[Item]]),"",_xlfn.XLOOKUP(Log[[#This Row],[Item]],Calories[Name],Calories[Unit]))</f>
        <v>g</v>
      </c>
      <c r="F174" s="65">
        <f>IF(ISBLANK(Log[[#This Row],[Item]]),"",_xlfn.XLOOKUP(Log[[#This Row],[Item]],Calories[Name],Calories[Cals])*Log[[#This Row],[Qty]])</f>
        <v>87.505668934240362</v>
      </c>
      <c r="G174" s="71">
        <f>IF(ISBLANK(Log[[#This Row],[Item]]),"",_xlfn.XLOOKUP(Log[[#This Row],[Item]],Calories[Name],Calories[Carbs])*Log[[#This Row],[Qty]])</f>
        <v>15.442176870748296</v>
      </c>
      <c r="H174" s="71">
        <f>IF(ISBLANK(Log[[#This Row],[Item]]),"",_xlfn.XLOOKUP(Log[[#This Row],[Item]],Calories[Name],Calories[Fibre])*Log[[#This Row],[Qty]])</f>
        <v>7.7210884353741482</v>
      </c>
      <c r="I174" s="71">
        <f>IF(ISBLANK(Log[[#This Row],[Item]]),"",(Log[[#This Row],[Carbs]]-Log[[#This Row],[Fibre]]))</f>
        <v>7.7210884353741482</v>
      </c>
      <c r="J174" s="103">
        <f>IF(ISBLANK(Log[[#This Row],[Item]]),"",_xlfn.XLOOKUP(Log[[#This Row],[Item]],Calories[Name],Calories[Sodium])*Log[[#This Row],[Qty]])</f>
        <v>5.1473922902494325</v>
      </c>
      <c r="K174" s="71">
        <f>IF(ISBLANK(Log[[#This Row],[Item]]),"",_xlfn.XLOOKUP(Log[[#This Row],[Item]],Calories[Name],Calories[Protein])*Log[[#This Row],[Qty]])</f>
        <v>7.7210884353741482</v>
      </c>
      <c r="L174" s="71">
        <f>IF(ISBLANK(Log[[#This Row],[Item]]),"",_xlfn.XLOOKUP(Log[[#This Row],[Item]],Calories[Name],Calories[Chol.])*Log[[#This Row],[Qty]])</f>
        <v>0</v>
      </c>
      <c r="M174" s="75"/>
      <c r="N174" s="75"/>
      <c r="O174" s="75"/>
    </row>
    <row r="175" spans="1:15" s="66" customFormat="1" ht="25.15" customHeight="1">
      <c r="A175" s="75"/>
      <c r="B175" s="98">
        <v>44816</v>
      </c>
      <c r="C175" s="78" t="s">
        <v>14</v>
      </c>
      <c r="D175" s="79">
        <f>0.5/3.94</f>
        <v>0.12690355329949238</v>
      </c>
      <c r="E175" s="76" t="str">
        <f>IF(ISBLANK(Log[[#This Row],[Item]]),"",_xlfn.XLOOKUP(Log[[#This Row],[Item]],Calories[Name],Calories[Unit]))</f>
        <v>c</v>
      </c>
      <c r="F175" s="65">
        <f>IF(ISBLANK(Log[[#This Row],[Item]]),"",_xlfn.XLOOKUP(Log[[#This Row],[Item]],Calories[Name],Calories[Cals])*Log[[#This Row],[Qty]])</f>
        <v>8.5025380710659899</v>
      </c>
      <c r="G175" s="71">
        <f>IF(ISBLANK(Log[[#This Row],[Item]]),"",_xlfn.XLOOKUP(Log[[#This Row],[Item]],Calories[Name],Calories[Carbs])*Log[[#This Row],[Qty]])</f>
        <v>2.0532994923857868</v>
      </c>
      <c r="H175" s="71">
        <f>IF(ISBLANK(Log[[#This Row],[Item]]),"",_xlfn.XLOOKUP(Log[[#This Row],[Item]],Calories[Name],Calories[Fibre])*Log[[#This Row],[Qty]])</f>
        <v>0.27918781725888325</v>
      </c>
      <c r="I175" s="71">
        <f>IF(ISBLANK(Log[[#This Row],[Item]]),"",(Log[[#This Row],[Carbs]]-Log[[#This Row],[Fibre]]))</f>
        <v>1.7741116751269035</v>
      </c>
      <c r="J175" s="103">
        <f>IF(ISBLANK(Log[[#This Row],[Item]]),"",_xlfn.XLOOKUP(Log[[#This Row],[Item]],Calories[Name],Calories[Sodium])*Log[[#This Row],[Qty]])</f>
        <v>0.63451776649746194</v>
      </c>
      <c r="K175" s="71">
        <f>IF(ISBLANK(Log[[#This Row],[Item]]),"",_xlfn.XLOOKUP(Log[[#This Row],[Item]],Calories[Name],Calories[Protein])*Log[[#This Row],[Qty]])</f>
        <v>0.18654822335025378</v>
      </c>
      <c r="L175" s="71">
        <f>IF(ISBLANK(Log[[#This Row],[Item]]),"",_xlfn.XLOOKUP(Log[[#This Row],[Item]],Calories[Name],Calories[Chol.])*Log[[#This Row],[Qty]])</f>
        <v>0</v>
      </c>
      <c r="M175" s="75"/>
      <c r="N175" s="75"/>
      <c r="O175" s="75"/>
    </row>
    <row r="176" spans="1:15" s="66" customFormat="1" ht="25.15" customHeight="1">
      <c r="A176" s="75"/>
      <c r="B176" s="98">
        <v>44816</v>
      </c>
      <c r="C176" s="78" t="s">
        <v>45</v>
      </c>
      <c r="D176" s="79">
        <f>15/3.94</f>
        <v>3.8071065989847717</v>
      </c>
      <c r="E176" s="76" t="str">
        <f>IF(ISBLANK(Log[[#This Row],[Item]]),"",_xlfn.XLOOKUP(Log[[#This Row],[Item]],Calories[Name],Calories[Unit]))</f>
        <v>pinch</v>
      </c>
      <c r="F176" s="65">
        <f>IF(ISBLANK(Log[[#This Row],[Item]]),"",_xlfn.XLOOKUP(Log[[#This Row],[Item]],Calories[Name],Calories[Cals])*Log[[#This Row],[Qty]])</f>
        <v>0</v>
      </c>
      <c r="G176" s="71">
        <f>IF(ISBLANK(Log[[#This Row],[Item]]),"",_xlfn.XLOOKUP(Log[[#This Row],[Item]],Calories[Name],Calories[Carbs])*Log[[#This Row],[Qty]])</f>
        <v>0</v>
      </c>
      <c r="H176" s="71">
        <f>IF(ISBLANK(Log[[#This Row],[Item]]),"",_xlfn.XLOOKUP(Log[[#This Row],[Item]],Calories[Name],Calories[Fibre])*Log[[#This Row],[Qty]])</f>
        <v>0</v>
      </c>
      <c r="I176" s="71">
        <f>IF(ISBLANK(Log[[#This Row],[Item]]),"",(Log[[#This Row],[Carbs]]-Log[[#This Row],[Fibre]]))</f>
        <v>0</v>
      </c>
      <c r="J176" s="103">
        <f>IF(ISBLANK(Log[[#This Row],[Item]]),"",_xlfn.XLOOKUP(Log[[#This Row],[Item]],Calories[Name],Calories[Sodium])*Log[[#This Row],[Qty]])</f>
        <v>531.2010152284264</v>
      </c>
      <c r="K176" s="71">
        <f>IF(ISBLANK(Log[[#This Row],[Item]]),"",_xlfn.XLOOKUP(Log[[#This Row],[Item]],Calories[Name],Calories[Protein])*Log[[#This Row],[Qty]])</f>
        <v>0</v>
      </c>
      <c r="L176" s="71">
        <f>IF(ISBLANK(Log[[#This Row],[Item]]),"",_xlfn.XLOOKUP(Log[[#This Row],[Item]],Calories[Name],Calories[Chol.])*Log[[#This Row],[Qty]])</f>
        <v>0</v>
      </c>
      <c r="M176" s="75"/>
      <c r="N176" s="75"/>
      <c r="O176" s="75"/>
    </row>
    <row r="177" spans="1:15" s="66" customFormat="1" ht="25.15" customHeight="1">
      <c r="A177" s="75"/>
      <c r="B177" s="98">
        <v>44816</v>
      </c>
      <c r="C177" s="78" t="s">
        <v>31</v>
      </c>
      <c r="D177" s="79">
        <v>3</v>
      </c>
      <c r="E177" s="76" t="str">
        <f>IF(ISBLANK(Log[[#This Row],[Item]]),"",_xlfn.XLOOKUP(Log[[#This Row],[Item]],Calories[Name],Calories[Unit]))</f>
        <v>tbsp</v>
      </c>
      <c r="F177" s="65">
        <f>IF(ISBLANK(Log[[#This Row],[Item]]),"",_xlfn.XLOOKUP(Log[[#This Row],[Item]],Calories[Name],Calories[Cals])*Log[[#This Row],[Qty]])</f>
        <v>75</v>
      </c>
      <c r="G177" s="71">
        <f>IF(ISBLANK(Log[[#This Row],[Item]]),"",_xlfn.XLOOKUP(Log[[#This Row],[Item]],Calories[Name],Calories[Carbs])*Log[[#This Row],[Qty]])</f>
        <v>3</v>
      </c>
      <c r="H177" s="71">
        <f>IF(ISBLANK(Log[[#This Row],[Item]]),"",_xlfn.XLOOKUP(Log[[#This Row],[Item]],Calories[Name],Calories[Fibre])*Log[[#This Row],[Qty]])</f>
        <v>0</v>
      </c>
      <c r="I177" s="71">
        <f>IF(ISBLANK(Log[[#This Row],[Item]]),"",(Log[[#This Row],[Carbs]]-Log[[#This Row],[Fibre]]))</f>
        <v>3</v>
      </c>
      <c r="J177" s="103">
        <f>IF(ISBLANK(Log[[#This Row],[Item]]),"",_xlfn.XLOOKUP(Log[[#This Row],[Item]],Calories[Name],Calories[Sodium])*Log[[#This Row],[Qty]])</f>
        <v>30</v>
      </c>
      <c r="K177" s="71">
        <f>IF(ISBLANK(Log[[#This Row],[Item]]),"",_xlfn.XLOOKUP(Log[[#This Row],[Item]],Calories[Name],Calories[Protein])*Log[[#This Row],[Qty]])</f>
        <v>1.5</v>
      </c>
      <c r="L177" s="71">
        <f>IF(ISBLANK(Log[[#This Row],[Item]]),"",_xlfn.XLOOKUP(Log[[#This Row],[Item]],Calories[Name],Calories[Chol.])*Log[[#This Row],[Qty]])</f>
        <v>22.5</v>
      </c>
      <c r="M177" s="75"/>
      <c r="N177" s="75"/>
      <c r="O177" s="75"/>
    </row>
    <row r="178" spans="1:15" s="66" customFormat="1" ht="25.15" customHeight="1">
      <c r="A178" s="75"/>
      <c r="B178" s="98">
        <v>44816</v>
      </c>
      <c r="C178" s="78" t="s">
        <v>72</v>
      </c>
      <c r="D178" s="79">
        <v>171</v>
      </c>
      <c r="E178" s="76" t="str">
        <f>IF(ISBLANK(Log[[#This Row],[Item]]),"",_xlfn.XLOOKUP(Log[[#This Row],[Item]],Calories[Name],Calories[Unit]))</f>
        <v>g</v>
      </c>
      <c r="F178" s="65">
        <f>IF(ISBLANK(Log[[#This Row],[Item]]),"",_xlfn.XLOOKUP(Log[[#This Row],[Item]],Calories[Name],Calories[Cals])*Log[[#This Row],[Qty]])</f>
        <v>25.65</v>
      </c>
      <c r="G178" s="71">
        <f>IF(ISBLANK(Log[[#This Row],[Item]]),"",_xlfn.XLOOKUP(Log[[#This Row],[Item]],Calories[Name],Calories[Carbs])*Log[[#This Row],[Qty]])</f>
        <v>6.1560000000000006</v>
      </c>
      <c r="H178" s="71">
        <f>IF(ISBLANK(Log[[#This Row],[Item]]),"",_xlfn.XLOOKUP(Log[[#This Row],[Item]],Calories[Name],Calories[Fibre])*Log[[#This Row],[Qty]])</f>
        <v>0.85499999999999998</v>
      </c>
      <c r="I178" s="71">
        <f>IF(ISBLANK(Log[[#This Row],[Item]]),"",(Log[[#This Row],[Carbs]]-Log[[#This Row],[Fibre]]))</f>
        <v>5.3010000000000002</v>
      </c>
      <c r="J178" s="103">
        <f>IF(ISBLANK(Log[[#This Row],[Item]]),"",_xlfn.XLOOKUP(Log[[#This Row],[Item]],Calories[Name],Calories[Sodium])*Log[[#This Row],[Qty]])</f>
        <v>3.42</v>
      </c>
      <c r="K178" s="71">
        <f>IF(ISBLANK(Log[[#This Row],[Item]]),"",_xlfn.XLOOKUP(Log[[#This Row],[Item]],Calories[Name],Calories[Protein])*Log[[#This Row],[Qty]])</f>
        <v>1.1969999999999998</v>
      </c>
      <c r="L178" s="71">
        <f>IF(ISBLANK(Log[[#This Row],[Item]]),"",_xlfn.XLOOKUP(Log[[#This Row],[Item]],Calories[Name],Calories[Chol.])*Log[[#This Row],[Qty]])</f>
        <v>0</v>
      </c>
      <c r="M178" s="75"/>
      <c r="N178" s="75"/>
      <c r="O178" s="75"/>
    </row>
    <row r="179" spans="1:15" s="66" customFormat="1" ht="25.15" customHeight="1">
      <c r="A179" s="75"/>
      <c r="B179" s="98">
        <v>44816</v>
      </c>
      <c r="C179" s="78" t="s">
        <v>30</v>
      </c>
      <c r="D179" s="79">
        <v>60</v>
      </c>
      <c r="E179" s="76" t="str">
        <f>IF(ISBLANK(Log[[#This Row],[Item]]),"",_xlfn.XLOOKUP(Log[[#This Row],[Item]],Calories[Name],Calories[Unit]))</f>
        <v>g</v>
      </c>
      <c r="F179" s="65">
        <f>IF(ISBLANK(Log[[#This Row],[Item]]),"",_xlfn.XLOOKUP(Log[[#This Row],[Item]],Calories[Name],Calories[Cals])*Log[[#This Row],[Qty]])</f>
        <v>100</v>
      </c>
      <c r="G179" s="71">
        <f>IF(ISBLANK(Log[[#This Row],[Item]]),"",_xlfn.XLOOKUP(Log[[#This Row],[Item]],Calories[Name],Calories[Carbs])*Log[[#This Row],[Qty]])</f>
        <v>0</v>
      </c>
      <c r="H179" s="71">
        <f>IF(ISBLANK(Log[[#This Row],[Item]]),"",_xlfn.XLOOKUP(Log[[#This Row],[Item]],Calories[Name],Calories[Fibre])*Log[[#This Row],[Qty]])</f>
        <v>0</v>
      </c>
      <c r="I179" s="71">
        <f>IF(ISBLANK(Log[[#This Row],[Item]]),"",(Log[[#This Row],[Carbs]]-Log[[#This Row],[Fibre]]))</f>
        <v>0</v>
      </c>
      <c r="J179" s="103">
        <f>IF(ISBLANK(Log[[#This Row],[Item]]),"",_xlfn.XLOOKUP(Log[[#This Row],[Item]],Calories[Name],Calories[Sodium])*Log[[#This Row],[Qty]])</f>
        <v>578.94736842105272</v>
      </c>
      <c r="K179" s="71">
        <f>IF(ISBLANK(Log[[#This Row],[Item]]),"",_xlfn.XLOOKUP(Log[[#This Row],[Item]],Calories[Name],Calories[Protein])*Log[[#This Row],[Qty]])</f>
        <v>11.578947368421051</v>
      </c>
      <c r="L179" s="71">
        <f>IF(ISBLANK(Log[[#This Row],[Item]]),"",_xlfn.XLOOKUP(Log[[#This Row],[Item]],Calories[Name],Calories[Chol.])*Log[[#This Row],[Qty]])</f>
        <v>21.052631578947366</v>
      </c>
      <c r="M179" s="75"/>
      <c r="N179" s="75"/>
      <c r="O179" s="75"/>
    </row>
    <row r="180" spans="1:15" s="66" customFormat="1" ht="25.15" customHeight="1">
      <c r="A180" s="75"/>
      <c r="B180" s="98">
        <v>44816</v>
      </c>
      <c r="C180" s="78" t="s">
        <v>31</v>
      </c>
      <c r="D180" s="79">
        <v>4</v>
      </c>
      <c r="E180" s="76" t="str">
        <f>IF(ISBLANK(Log[[#This Row],[Item]]),"",_xlfn.XLOOKUP(Log[[#This Row],[Item]],Calories[Name],Calories[Unit]))</f>
        <v>tbsp</v>
      </c>
      <c r="F180" s="65">
        <f>IF(ISBLANK(Log[[#This Row],[Item]]),"",_xlfn.XLOOKUP(Log[[#This Row],[Item]],Calories[Name],Calories[Cals])*Log[[#This Row],[Qty]])</f>
        <v>100</v>
      </c>
      <c r="G180" s="71">
        <f>IF(ISBLANK(Log[[#This Row],[Item]]),"",_xlfn.XLOOKUP(Log[[#This Row],[Item]],Calories[Name],Calories[Carbs])*Log[[#This Row],[Qty]])</f>
        <v>4</v>
      </c>
      <c r="H180" s="71">
        <f>IF(ISBLANK(Log[[#This Row],[Item]]),"",_xlfn.XLOOKUP(Log[[#This Row],[Item]],Calories[Name],Calories[Fibre])*Log[[#This Row],[Qty]])</f>
        <v>0</v>
      </c>
      <c r="I180" s="71">
        <f>IF(ISBLANK(Log[[#This Row],[Item]]),"",(Log[[#This Row],[Carbs]]-Log[[#This Row],[Fibre]]))</f>
        <v>4</v>
      </c>
      <c r="J180" s="103">
        <f>IF(ISBLANK(Log[[#This Row],[Item]]),"",_xlfn.XLOOKUP(Log[[#This Row],[Item]],Calories[Name],Calories[Sodium])*Log[[#This Row],[Qty]])</f>
        <v>40</v>
      </c>
      <c r="K180" s="71">
        <f>IF(ISBLANK(Log[[#This Row],[Item]]),"",_xlfn.XLOOKUP(Log[[#This Row],[Item]],Calories[Name],Calories[Protein])*Log[[#This Row],[Qty]])</f>
        <v>2</v>
      </c>
      <c r="L180" s="71">
        <f>IF(ISBLANK(Log[[#This Row],[Item]]),"",_xlfn.XLOOKUP(Log[[#This Row],[Item]],Calories[Name],Calories[Chol.])*Log[[#This Row],[Qty]])</f>
        <v>30</v>
      </c>
      <c r="M180" s="75"/>
      <c r="N180" s="75"/>
      <c r="O180" s="75"/>
    </row>
    <row r="181" spans="1:15" s="66" customFormat="1" ht="25.15" customHeight="1">
      <c r="A181" s="75"/>
      <c r="B181" s="98">
        <v>44816</v>
      </c>
      <c r="C181" s="78" t="s">
        <v>32</v>
      </c>
      <c r="D181" s="79">
        <v>1.5</v>
      </c>
      <c r="E181" s="76" t="str">
        <f>IF(ISBLANK(Log[[#This Row],[Item]]),"",_xlfn.XLOOKUP(Log[[#This Row],[Item]],Calories[Name],Calories[Unit]))</f>
        <v>tbsp</v>
      </c>
      <c r="F181" s="65">
        <f>IF(ISBLANK(Log[[#This Row],[Item]]),"",_xlfn.XLOOKUP(Log[[#This Row],[Item]],Calories[Name],Calories[Cals])*Log[[#This Row],[Qty]])</f>
        <v>3</v>
      </c>
      <c r="G181" s="71">
        <f>IF(ISBLANK(Log[[#This Row],[Item]]),"",_xlfn.XLOOKUP(Log[[#This Row],[Item]],Calories[Name],Calories[Carbs])*Log[[#This Row],[Qty]])</f>
        <v>0.60000000000000009</v>
      </c>
      <c r="H181" s="71">
        <f>IF(ISBLANK(Log[[#This Row],[Item]]),"",_xlfn.XLOOKUP(Log[[#This Row],[Item]],Calories[Name],Calories[Fibre])*Log[[#This Row],[Qty]])</f>
        <v>0.44999999999999996</v>
      </c>
      <c r="I181" s="71">
        <f>IF(ISBLANK(Log[[#This Row],[Item]]),"",(Log[[#This Row],[Carbs]]-Log[[#This Row],[Fibre]]))</f>
        <v>0.15000000000000013</v>
      </c>
      <c r="J181" s="103">
        <f>IF(ISBLANK(Log[[#This Row],[Item]]),"",_xlfn.XLOOKUP(Log[[#This Row],[Item]],Calories[Name],Calories[Sodium])*Log[[#This Row],[Qty]])</f>
        <v>382.5</v>
      </c>
      <c r="K181" s="71">
        <f>IF(ISBLANK(Log[[#This Row],[Item]]),"",_xlfn.XLOOKUP(Log[[#This Row],[Item]],Calories[Name],Calories[Protein])*Log[[#This Row],[Qty]])</f>
        <v>0.30000000000000004</v>
      </c>
      <c r="L181" s="71">
        <f>IF(ISBLANK(Log[[#This Row],[Item]]),"",_xlfn.XLOOKUP(Log[[#This Row],[Item]],Calories[Name],Calories[Chol.])*Log[[#This Row],[Qty]])</f>
        <v>0</v>
      </c>
      <c r="M181" s="75"/>
      <c r="N181" s="75"/>
      <c r="O181" s="75"/>
    </row>
    <row r="182" spans="1:15" s="66" customFormat="1" ht="25.15" customHeight="1">
      <c r="A182" s="75"/>
      <c r="B182" s="98">
        <v>44816</v>
      </c>
      <c r="C182" s="78" t="s">
        <v>41</v>
      </c>
      <c r="D182" s="79">
        <v>150</v>
      </c>
      <c r="E182" s="76" t="str">
        <f>IF(ISBLANK(Log[[#This Row],[Item]]),"",_xlfn.XLOOKUP(Log[[#This Row],[Item]],Calories[Name],Calories[Unit]))</f>
        <v>g</v>
      </c>
      <c r="F182" s="65">
        <f>IF(ISBLANK(Log[[#This Row],[Item]]),"",_xlfn.XLOOKUP(Log[[#This Row],[Item]],Calories[Name],Calories[Cals])*Log[[#This Row],[Qty]])</f>
        <v>159</v>
      </c>
      <c r="G182" s="71">
        <f>IF(ISBLANK(Log[[#This Row],[Item]]),"",_xlfn.XLOOKUP(Log[[#This Row],[Item]],Calories[Name],Calories[Carbs])*Log[[#This Row],[Qty]])</f>
        <v>1.365</v>
      </c>
      <c r="H182" s="71">
        <f>IF(ISBLANK(Log[[#This Row],[Item]]),"",_xlfn.XLOOKUP(Log[[#This Row],[Item]],Calories[Name],Calories[Fibre])*Log[[#This Row],[Qty]])</f>
        <v>0</v>
      </c>
      <c r="I182" s="71">
        <f>IF(ISBLANK(Log[[#This Row],[Item]]),"",(Log[[#This Row],[Carbs]]-Log[[#This Row],[Fibre]]))</f>
        <v>1.365</v>
      </c>
      <c r="J182" s="103">
        <f>IF(ISBLANK(Log[[#This Row],[Item]]),"",_xlfn.XLOOKUP(Log[[#This Row],[Item]],Calories[Name],Calories[Sodium])*Log[[#This Row],[Qty]])</f>
        <v>222</v>
      </c>
      <c r="K182" s="71">
        <f>IF(ISBLANK(Log[[#This Row],[Item]]),"",_xlfn.XLOOKUP(Log[[#This Row],[Item]],Calories[Name],Calories[Protein])*Log[[#This Row],[Qty]])</f>
        <v>30.464999999999996</v>
      </c>
      <c r="L182" s="71">
        <f>IF(ISBLANK(Log[[#This Row],[Item]]),"",_xlfn.XLOOKUP(Log[[#This Row],[Item]],Calories[Name],Calories[Chol.])*Log[[#This Row],[Qty]])</f>
        <v>228</v>
      </c>
      <c r="M182" s="75"/>
      <c r="N182" s="75"/>
      <c r="O182" s="75"/>
    </row>
    <row r="183" spans="1:15" s="66" customFormat="1" ht="25.15" customHeight="1">
      <c r="A183" s="75"/>
      <c r="B183" s="98">
        <v>44816</v>
      </c>
      <c r="C183" s="78" t="s">
        <v>36</v>
      </c>
      <c r="D183" s="79">
        <v>1</v>
      </c>
      <c r="E183" s="76" t="str">
        <f>IF(ISBLANK(Log[[#This Row],[Item]]),"",_xlfn.XLOOKUP(Log[[#This Row],[Item]],Calories[Name],Calories[Unit]))</f>
        <v>ea</v>
      </c>
      <c r="F183" s="65">
        <f>IF(ISBLANK(Log[[#This Row],[Item]]),"",_xlfn.XLOOKUP(Log[[#This Row],[Item]],Calories[Name],Calories[Cals])*Log[[#This Row],[Qty]])</f>
        <v>240</v>
      </c>
      <c r="G183" s="71">
        <f>IF(ISBLANK(Log[[#This Row],[Item]]),"",_xlfn.XLOOKUP(Log[[#This Row],[Item]],Calories[Name],Calories[Carbs])*Log[[#This Row],[Qty]])</f>
        <v>13</v>
      </c>
      <c r="H183" s="71">
        <f>IF(ISBLANK(Log[[#This Row],[Item]]),"",_xlfn.XLOOKUP(Log[[#This Row],[Item]],Calories[Name],Calories[Fibre])*Log[[#This Row],[Qty]])</f>
        <v>10</v>
      </c>
      <c r="I183" s="71">
        <f>IF(ISBLANK(Log[[#This Row],[Item]]),"",(Log[[#This Row],[Carbs]]-Log[[#This Row],[Fibre]]))</f>
        <v>3</v>
      </c>
      <c r="J183" s="103">
        <f>IF(ISBLANK(Log[[#This Row],[Item]]),"",_xlfn.XLOOKUP(Log[[#This Row],[Item]],Calories[Name],Calories[Sodium])*Log[[#This Row],[Qty]])</f>
        <v>11</v>
      </c>
      <c r="K183" s="71">
        <f>IF(ISBLANK(Log[[#This Row],[Item]]),"",_xlfn.XLOOKUP(Log[[#This Row],[Item]],Calories[Name],Calories[Protein])*Log[[#This Row],[Qty]])</f>
        <v>3</v>
      </c>
      <c r="L183" s="71">
        <f>IF(ISBLANK(Log[[#This Row],[Item]]),"",_xlfn.XLOOKUP(Log[[#This Row],[Item]],Calories[Name],Calories[Chol.])*Log[[#This Row],[Qty]])</f>
        <v>0</v>
      </c>
      <c r="M183" s="75"/>
      <c r="N183" s="75"/>
      <c r="O183" s="75"/>
    </row>
    <row r="184" spans="1:15" s="66" customFormat="1" ht="25.15" customHeight="1">
      <c r="A184" s="75"/>
      <c r="B184" s="98">
        <v>44816</v>
      </c>
      <c r="C184" s="78" t="s">
        <v>61</v>
      </c>
      <c r="D184" s="79">
        <v>2</v>
      </c>
      <c r="E184" s="76" t="str">
        <f>IF(ISBLANK(Log[[#This Row],[Item]]),"",_xlfn.XLOOKUP(Log[[#This Row],[Item]],Calories[Name],Calories[Unit]))</f>
        <v>leaf</v>
      </c>
      <c r="F184" s="65">
        <f>IF(ISBLANK(Log[[#This Row],[Item]]),"",_xlfn.XLOOKUP(Log[[#This Row],[Item]],Calories[Name],Calories[Cals])*Log[[#This Row],[Qty]])</f>
        <v>4</v>
      </c>
      <c r="G184" s="71">
        <f>IF(ISBLANK(Log[[#This Row],[Item]]),"",_xlfn.XLOOKUP(Log[[#This Row],[Item]],Calories[Name],Calories[Carbs])*Log[[#This Row],[Qty]])</f>
        <v>0.66</v>
      </c>
      <c r="H184" s="71">
        <f>IF(ISBLANK(Log[[#This Row],[Item]]),"",_xlfn.XLOOKUP(Log[[#This Row],[Item]],Calories[Name],Calories[Fibre])*Log[[#This Row],[Qty]])</f>
        <v>0.4</v>
      </c>
      <c r="I184" s="71">
        <f>IF(ISBLANK(Log[[#This Row],[Item]]),"",(Log[[#This Row],[Carbs]]-Log[[#This Row],[Fibre]]))</f>
        <v>0.26</v>
      </c>
      <c r="J184" s="103">
        <f>IF(ISBLANK(Log[[#This Row],[Item]]),"",_xlfn.XLOOKUP(Log[[#This Row],[Item]],Calories[Name],Calories[Sodium])*Log[[#This Row],[Qty]])</f>
        <v>2</v>
      </c>
      <c r="K184" s="71">
        <f>IF(ISBLANK(Log[[#This Row],[Item]]),"",_xlfn.XLOOKUP(Log[[#This Row],[Item]],Calories[Name],Calories[Protein])*Log[[#This Row],[Qty]])</f>
        <v>0.4</v>
      </c>
      <c r="L184" s="71">
        <f>IF(ISBLANK(Log[[#This Row],[Item]]),"",_xlfn.XLOOKUP(Log[[#This Row],[Item]],Calories[Name],Calories[Chol.])*Log[[#This Row],[Qty]])</f>
        <v>0</v>
      </c>
      <c r="M184" s="75"/>
      <c r="N184" s="75"/>
      <c r="O184" s="75"/>
    </row>
    <row r="185" spans="1:15" s="66" customFormat="1" ht="25.15" customHeight="1">
      <c r="A185" s="75"/>
      <c r="B185" s="98">
        <v>44816</v>
      </c>
      <c r="C185" s="78" t="s">
        <v>47</v>
      </c>
      <c r="D185" s="79">
        <v>1</v>
      </c>
      <c r="E185" s="76" t="str">
        <f>IF(ISBLANK(Log[[#This Row],[Item]]),"",_xlfn.XLOOKUP(Log[[#This Row],[Item]],Calories[Name],Calories[Unit]))</f>
        <v>can</v>
      </c>
      <c r="F185" s="65">
        <f>IF(ISBLANK(Log[[#This Row],[Item]]),"",_xlfn.XLOOKUP(Log[[#This Row],[Item]],Calories[Name],Calories[Cals])*Log[[#This Row],[Qty]])</f>
        <v>130</v>
      </c>
      <c r="G185" s="71">
        <f>IF(ISBLANK(Log[[#This Row],[Item]]),"",_xlfn.XLOOKUP(Log[[#This Row],[Item]],Calories[Name],Calories[Carbs])*Log[[#This Row],[Qty]])</f>
        <v>2</v>
      </c>
      <c r="H185" s="71">
        <f>IF(ISBLANK(Log[[#This Row],[Item]]),"",_xlfn.XLOOKUP(Log[[#This Row],[Item]],Calories[Name],Calories[Fibre])*Log[[#This Row],[Qty]])</f>
        <v>0</v>
      </c>
      <c r="I185" s="71">
        <f>IF(ISBLANK(Log[[#This Row],[Item]]),"",(Log[[#This Row],[Carbs]]-Log[[#This Row],[Fibre]]))</f>
        <v>2</v>
      </c>
      <c r="J185" s="103">
        <f>IF(ISBLANK(Log[[#This Row],[Item]]),"",_xlfn.XLOOKUP(Log[[#This Row],[Item]],Calories[Name],Calories[Sodium])*Log[[#This Row],[Qty]])</f>
        <v>210</v>
      </c>
      <c r="K185" s="71">
        <f>IF(ISBLANK(Log[[#This Row],[Item]]),"",_xlfn.XLOOKUP(Log[[#This Row],[Item]],Calories[Name],Calories[Protein])*Log[[#This Row],[Qty]])</f>
        <v>13</v>
      </c>
      <c r="L185" s="71">
        <f>IF(ISBLANK(Log[[#This Row],[Item]]),"",_xlfn.XLOOKUP(Log[[#This Row],[Item]],Calories[Name],Calories[Chol.])*Log[[#This Row],[Qty]])</f>
        <v>75</v>
      </c>
      <c r="M185" s="75"/>
      <c r="N185" s="75"/>
      <c r="O185" s="75"/>
    </row>
    <row r="186" spans="1:15" s="66" customFormat="1" ht="25.15" customHeight="1">
      <c r="A186" s="75"/>
      <c r="B186" s="98">
        <v>44817</v>
      </c>
      <c r="C186" s="78" t="s">
        <v>52</v>
      </c>
      <c r="D186" s="79">
        <v>1</v>
      </c>
      <c r="E186" s="76" t="str">
        <f>IF(ISBLANK(Log[[#This Row],[Item]]),"",_xlfn.XLOOKUP(Log[[#This Row],[Item]],Calories[Name],Calories[Unit]))</f>
        <v>ea</v>
      </c>
      <c r="F186" s="65">
        <f>IF(ISBLANK(Log[[#This Row],[Item]]),"",_xlfn.XLOOKUP(Log[[#This Row],[Item]],Calories[Name],Calories[Cals])*Log[[#This Row],[Qty]])</f>
        <v>0</v>
      </c>
      <c r="G186" s="71">
        <f>IF(ISBLANK(Log[[#This Row],[Item]]),"",_xlfn.XLOOKUP(Log[[#This Row],[Item]],Calories[Name],Calories[Carbs])*Log[[#This Row],[Qty]])</f>
        <v>0</v>
      </c>
      <c r="H186" s="71">
        <f>IF(ISBLANK(Log[[#This Row],[Item]]),"",_xlfn.XLOOKUP(Log[[#This Row],[Item]],Calories[Name],Calories[Fibre])*Log[[#This Row],[Qty]])</f>
        <v>0</v>
      </c>
      <c r="I186" s="71">
        <f>IF(ISBLANK(Log[[#This Row],[Item]]),"",(Log[[#This Row],[Carbs]]-Log[[#This Row],[Fibre]]))</f>
        <v>0</v>
      </c>
      <c r="J186" s="103">
        <f>IF(ISBLANK(Log[[#This Row],[Item]]),"",_xlfn.XLOOKUP(Log[[#This Row],[Item]],Calories[Name],Calories[Sodium])*Log[[#This Row],[Qty]])</f>
        <v>0</v>
      </c>
      <c r="K186" s="71">
        <f>IF(ISBLANK(Log[[#This Row],[Item]]),"",_xlfn.XLOOKUP(Log[[#This Row],[Item]],Calories[Name],Calories[Protein])*Log[[#This Row],[Qty]])</f>
        <v>0</v>
      </c>
      <c r="L186" s="71">
        <f>IF(ISBLANK(Log[[#This Row],[Item]]),"",_xlfn.XLOOKUP(Log[[#This Row],[Item]],Calories[Name],Calories[Chol.])*Log[[#This Row],[Qty]])</f>
        <v>0</v>
      </c>
      <c r="M186" s="75"/>
      <c r="N186" s="75"/>
      <c r="O186" s="75"/>
    </row>
    <row r="187" spans="1:15" s="66" customFormat="1" ht="25.15" customHeight="1">
      <c r="A187" s="75"/>
      <c r="B187" s="98">
        <v>44817</v>
      </c>
      <c r="C187" s="78" t="s">
        <v>53</v>
      </c>
      <c r="D187" s="79">
        <v>1</v>
      </c>
      <c r="E187" s="76" t="str">
        <f>IF(ISBLANK(Log[[#This Row],[Item]]),"",_xlfn.XLOOKUP(Log[[#This Row],[Item]],Calories[Name],Calories[Unit]))</f>
        <v>ea</v>
      </c>
      <c r="F187" s="65">
        <f>IF(ISBLANK(Log[[#This Row],[Item]]),"",_xlfn.XLOOKUP(Log[[#This Row],[Item]],Calories[Name],Calories[Cals])*Log[[#This Row],[Qty]])</f>
        <v>0</v>
      </c>
      <c r="G187" s="71">
        <f>IF(ISBLANK(Log[[#This Row],[Item]]),"",_xlfn.XLOOKUP(Log[[#This Row],[Item]],Calories[Name],Calories[Carbs])*Log[[#This Row],[Qty]])</f>
        <v>0</v>
      </c>
      <c r="H187" s="71">
        <f>IF(ISBLANK(Log[[#This Row],[Item]]),"",_xlfn.XLOOKUP(Log[[#This Row],[Item]],Calories[Name],Calories[Fibre])*Log[[#This Row],[Qty]])</f>
        <v>0</v>
      </c>
      <c r="I187" s="71">
        <f>IF(ISBLANK(Log[[#This Row],[Item]]),"",(Log[[#This Row],[Carbs]]-Log[[#This Row],[Fibre]]))</f>
        <v>0</v>
      </c>
      <c r="J187" s="103">
        <f>IF(ISBLANK(Log[[#This Row],[Item]]),"",_xlfn.XLOOKUP(Log[[#This Row],[Item]],Calories[Name],Calories[Sodium])*Log[[#This Row],[Qty]])</f>
        <v>0</v>
      </c>
      <c r="K187" s="71">
        <f>IF(ISBLANK(Log[[#This Row],[Item]]),"",_xlfn.XLOOKUP(Log[[#This Row],[Item]],Calories[Name],Calories[Protein])*Log[[#This Row],[Qty]])</f>
        <v>0</v>
      </c>
      <c r="L187" s="71">
        <f>IF(ISBLANK(Log[[#This Row],[Item]]),"",_xlfn.XLOOKUP(Log[[#This Row],[Item]],Calories[Name],Calories[Chol.])*Log[[#This Row],[Qty]])</f>
        <v>0</v>
      </c>
      <c r="M187" s="75"/>
      <c r="N187" s="75"/>
      <c r="O187" s="75"/>
    </row>
    <row r="188" spans="1:15" s="66" customFormat="1" ht="25.15" customHeight="1">
      <c r="A188" s="75"/>
      <c r="B188" s="98">
        <v>44817</v>
      </c>
      <c r="C188" s="78" t="s">
        <v>54</v>
      </c>
      <c r="D188" s="79">
        <v>1</v>
      </c>
      <c r="E188" s="76" t="str">
        <f>IF(ISBLANK(Log[[#This Row],[Item]]),"",_xlfn.XLOOKUP(Log[[#This Row],[Item]],Calories[Name],Calories[Unit]))</f>
        <v>ea</v>
      </c>
      <c r="F188" s="65">
        <f>IF(ISBLANK(Log[[#This Row],[Item]]),"",_xlfn.XLOOKUP(Log[[#This Row],[Item]],Calories[Name],Calories[Cals])*Log[[#This Row],[Qty]])</f>
        <v>0</v>
      </c>
      <c r="G188" s="71">
        <f>IF(ISBLANK(Log[[#This Row],[Item]]),"",_xlfn.XLOOKUP(Log[[#This Row],[Item]],Calories[Name],Calories[Carbs])*Log[[#This Row],[Qty]])</f>
        <v>0</v>
      </c>
      <c r="H188" s="71">
        <f>IF(ISBLANK(Log[[#This Row],[Item]]),"",_xlfn.XLOOKUP(Log[[#This Row],[Item]],Calories[Name],Calories[Fibre])*Log[[#This Row],[Qty]])</f>
        <v>0</v>
      </c>
      <c r="I188" s="71">
        <f>IF(ISBLANK(Log[[#This Row],[Item]]),"",(Log[[#This Row],[Carbs]]-Log[[#This Row],[Fibre]]))</f>
        <v>0</v>
      </c>
      <c r="J188" s="103">
        <f>IF(ISBLANK(Log[[#This Row],[Item]]),"",_xlfn.XLOOKUP(Log[[#This Row],[Item]],Calories[Name],Calories[Sodium])*Log[[#This Row],[Qty]])</f>
        <v>0</v>
      </c>
      <c r="K188" s="71">
        <f>IF(ISBLANK(Log[[#This Row],[Item]]),"",_xlfn.XLOOKUP(Log[[#This Row],[Item]],Calories[Name],Calories[Protein])*Log[[#This Row],[Qty]])</f>
        <v>0</v>
      </c>
      <c r="L188" s="71">
        <f>IF(ISBLANK(Log[[#This Row],[Item]]),"",_xlfn.XLOOKUP(Log[[#This Row],[Item]],Calories[Name],Calories[Chol.])*Log[[#This Row],[Qty]])</f>
        <v>0</v>
      </c>
      <c r="M188" s="75"/>
      <c r="N188" s="75"/>
      <c r="O188" s="75"/>
    </row>
    <row r="189" spans="1:15" s="66" customFormat="1" ht="25.15" customHeight="1">
      <c r="A189" s="75"/>
      <c r="B189" s="98">
        <v>44817</v>
      </c>
      <c r="C189" s="78" t="s">
        <v>55</v>
      </c>
      <c r="D189" s="79">
        <v>1</v>
      </c>
      <c r="E189" s="76" t="str">
        <f>IF(ISBLANK(Log[[#This Row],[Item]]),"",_xlfn.XLOOKUP(Log[[#This Row],[Item]],Calories[Name],Calories[Unit]))</f>
        <v>ea</v>
      </c>
      <c r="F189" s="65">
        <f>IF(ISBLANK(Log[[#This Row],[Item]]),"",_xlfn.XLOOKUP(Log[[#This Row],[Item]],Calories[Name],Calories[Cals])*Log[[#This Row],[Qty]])</f>
        <v>0</v>
      </c>
      <c r="G189" s="71">
        <f>IF(ISBLANK(Log[[#This Row],[Item]]),"",_xlfn.XLOOKUP(Log[[#This Row],[Item]],Calories[Name],Calories[Carbs])*Log[[#This Row],[Qty]])</f>
        <v>0</v>
      </c>
      <c r="H189" s="71">
        <f>IF(ISBLANK(Log[[#This Row],[Item]]),"",_xlfn.XLOOKUP(Log[[#This Row],[Item]],Calories[Name],Calories[Fibre])*Log[[#This Row],[Qty]])</f>
        <v>0</v>
      </c>
      <c r="I189" s="71">
        <f>IF(ISBLANK(Log[[#This Row],[Item]]),"",(Log[[#This Row],[Carbs]]-Log[[#This Row],[Fibre]]))</f>
        <v>0</v>
      </c>
      <c r="J189" s="103">
        <f>IF(ISBLANK(Log[[#This Row],[Item]]),"",_xlfn.XLOOKUP(Log[[#This Row],[Item]],Calories[Name],Calories[Sodium])*Log[[#This Row],[Qty]])</f>
        <v>0</v>
      </c>
      <c r="K189" s="71">
        <f>IF(ISBLANK(Log[[#This Row],[Item]]),"",_xlfn.XLOOKUP(Log[[#This Row],[Item]],Calories[Name],Calories[Protein])*Log[[#This Row],[Qty]])</f>
        <v>0</v>
      </c>
      <c r="L189" s="71">
        <f>IF(ISBLANK(Log[[#This Row],[Item]]),"",_xlfn.XLOOKUP(Log[[#This Row],[Item]],Calories[Name],Calories[Chol.])*Log[[#This Row],[Qty]])</f>
        <v>0</v>
      </c>
      <c r="M189" s="75"/>
      <c r="N189" s="75"/>
      <c r="O189" s="75"/>
    </row>
    <row r="190" spans="1:15" s="66" customFormat="1" ht="25.15" customHeight="1">
      <c r="A190" s="75"/>
      <c r="B190" s="98">
        <v>44817</v>
      </c>
      <c r="C190" s="78" t="s">
        <v>66</v>
      </c>
      <c r="D190" s="79">
        <f>1042/3.94</f>
        <v>264.46700507614213</v>
      </c>
      <c r="E190" s="76" t="str">
        <f>IF(ISBLANK(Log[[#This Row],[Item]]),"",_xlfn.XLOOKUP(Log[[#This Row],[Item]],Calories[Name],Calories[Unit]))</f>
        <v>g</v>
      </c>
      <c r="F190" s="65">
        <f>IF(ISBLANK(Log[[#This Row],[Item]]),"",_xlfn.XLOOKUP(Log[[#This Row],[Item]],Calories[Name],Calories[Cals])*Log[[#This Row],[Qty]])</f>
        <v>424.60298980114561</v>
      </c>
      <c r="G190" s="71">
        <f>IF(ISBLANK(Log[[#This Row],[Item]]),"",_xlfn.XLOOKUP(Log[[#This Row],[Item]],Calories[Name],Calories[Carbs])*Log[[#This Row],[Qty]])</f>
        <v>0</v>
      </c>
      <c r="H190" s="71">
        <f>IF(ISBLANK(Log[[#This Row],[Item]]),"",_xlfn.XLOOKUP(Log[[#This Row],[Item]],Calories[Name],Calories[Fibre])*Log[[#This Row],[Qty]])</f>
        <v>0</v>
      </c>
      <c r="I190" s="71">
        <f>IF(ISBLANK(Log[[#This Row],[Item]]),"",(Log[[#This Row],[Carbs]]-Log[[#This Row],[Fibre]]))</f>
        <v>0</v>
      </c>
      <c r="J190" s="103">
        <f>IF(ISBLANK(Log[[#This Row],[Item]]),"",_xlfn.XLOOKUP(Log[[#This Row],[Item]],Calories[Name],Calories[Sodium])*Log[[#This Row],[Qty]])</f>
        <v>169.84119592045823</v>
      </c>
      <c r="K190" s="71">
        <f>IF(ISBLANK(Log[[#This Row],[Item]]),"",_xlfn.XLOOKUP(Log[[#This Row],[Item]],Calories[Name],Calories[Protein])*Log[[#This Row],[Qty]])</f>
        <v>56.924796434878857</v>
      </c>
      <c r="L190" s="71">
        <f>IF(ISBLANK(Log[[#This Row],[Item]]),"",_xlfn.XLOOKUP(Log[[#This Row],[Item]],Calories[Name],Calories[Chol.])*Log[[#This Row],[Qty]])</f>
        <v>126.91430024825451</v>
      </c>
      <c r="M190" s="75"/>
      <c r="N190" s="75"/>
      <c r="O190" s="75"/>
    </row>
    <row r="191" spans="1:15" s="66" customFormat="1" ht="25.15" customHeight="1">
      <c r="A191" s="75"/>
      <c r="B191" s="98">
        <v>44817</v>
      </c>
      <c r="C191" s="78" t="s">
        <v>67</v>
      </c>
      <c r="D191" s="79">
        <f>227*4/2.94</f>
        <v>308.84353741496597</v>
      </c>
      <c r="E191" s="76" t="str">
        <f>IF(ISBLANK(Log[[#This Row],[Item]]),"",_xlfn.XLOOKUP(Log[[#This Row],[Item]],Calories[Name],Calories[Unit]))</f>
        <v>g</v>
      </c>
      <c r="F191" s="65">
        <f>IF(ISBLANK(Log[[#This Row],[Item]]),"",_xlfn.XLOOKUP(Log[[#This Row],[Item]],Calories[Name],Calories[Cals])*Log[[#This Row],[Qty]])</f>
        <v>87.505668934240362</v>
      </c>
      <c r="G191" s="71">
        <f>IF(ISBLANK(Log[[#This Row],[Item]]),"",_xlfn.XLOOKUP(Log[[#This Row],[Item]],Calories[Name],Calories[Carbs])*Log[[#This Row],[Qty]])</f>
        <v>15.442176870748296</v>
      </c>
      <c r="H191" s="71">
        <f>IF(ISBLANK(Log[[#This Row],[Item]]),"",_xlfn.XLOOKUP(Log[[#This Row],[Item]],Calories[Name],Calories[Fibre])*Log[[#This Row],[Qty]])</f>
        <v>7.7210884353741482</v>
      </c>
      <c r="I191" s="71">
        <f>IF(ISBLANK(Log[[#This Row],[Item]]),"",(Log[[#This Row],[Carbs]]-Log[[#This Row],[Fibre]]))</f>
        <v>7.7210884353741482</v>
      </c>
      <c r="J191" s="103">
        <f>IF(ISBLANK(Log[[#This Row],[Item]]),"",_xlfn.XLOOKUP(Log[[#This Row],[Item]],Calories[Name],Calories[Sodium])*Log[[#This Row],[Qty]])</f>
        <v>5.1473922902494325</v>
      </c>
      <c r="K191" s="71">
        <f>IF(ISBLANK(Log[[#This Row],[Item]]),"",_xlfn.XLOOKUP(Log[[#This Row],[Item]],Calories[Name],Calories[Protein])*Log[[#This Row],[Qty]])</f>
        <v>7.7210884353741482</v>
      </c>
      <c r="L191" s="71">
        <f>IF(ISBLANK(Log[[#This Row],[Item]]),"",_xlfn.XLOOKUP(Log[[#This Row],[Item]],Calories[Name],Calories[Chol.])*Log[[#This Row],[Qty]])</f>
        <v>0</v>
      </c>
      <c r="M191" s="75"/>
      <c r="N191" s="75"/>
      <c r="O191" s="75"/>
    </row>
    <row r="192" spans="1:15" s="66" customFormat="1" ht="25.15" customHeight="1">
      <c r="A192" s="75"/>
      <c r="B192" s="98">
        <v>44817</v>
      </c>
      <c r="C192" s="78" t="s">
        <v>14</v>
      </c>
      <c r="D192" s="79">
        <f>0.5/3.94</f>
        <v>0.12690355329949238</v>
      </c>
      <c r="E192" s="76" t="str">
        <f>IF(ISBLANK(Log[[#This Row],[Item]]),"",_xlfn.XLOOKUP(Log[[#This Row],[Item]],Calories[Name],Calories[Unit]))</f>
        <v>c</v>
      </c>
      <c r="F192" s="65">
        <f>IF(ISBLANK(Log[[#This Row],[Item]]),"",_xlfn.XLOOKUP(Log[[#This Row],[Item]],Calories[Name],Calories[Cals])*Log[[#This Row],[Qty]])</f>
        <v>8.5025380710659899</v>
      </c>
      <c r="G192" s="71">
        <f>IF(ISBLANK(Log[[#This Row],[Item]]),"",_xlfn.XLOOKUP(Log[[#This Row],[Item]],Calories[Name],Calories[Carbs])*Log[[#This Row],[Qty]])</f>
        <v>2.0532994923857868</v>
      </c>
      <c r="H192" s="71">
        <f>IF(ISBLANK(Log[[#This Row],[Item]]),"",_xlfn.XLOOKUP(Log[[#This Row],[Item]],Calories[Name],Calories[Fibre])*Log[[#This Row],[Qty]])</f>
        <v>0.27918781725888325</v>
      </c>
      <c r="I192" s="71">
        <f>IF(ISBLANK(Log[[#This Row],[Item]]),"",(Log[[#This Row],[Carbs]]-Log[[#This Row],[Fibre]]))</f>
        <v>1.7741116751269035</v>
      </c>
      <c r="J192" s="103">
        <f>IF(ISBLANK(Log[[#This Row],[Item]]),"",_xlfn.XLOOKUP(Log[[#This Row],[Item]],Calories[Name],Calories[Sodium])*Log[[#This Row],[Qty]])</f>
        <v>0.63451776649746194</v>
      </c>
      <c r="K192" s="71">
        <f>IF(ISBLANK(Log[[#This Row],[Item]]),"",_xlfn.XLOOKUP(Log[[#This Row],[Item]],Calories[Name],Calories[Protein])*Log[[#This Row],[Qty]])</f>
        <v>0.18654822335025378</v>
      </c>
      <c r="L192" s="71">
        <f>IF(ISBLANK(Log[[#This Row],[Item]]),"",_xlfn.XLOOKUP(Log[[#This Row],[Item]],Calories[Name],Calories[Chol.])*Log[[#This Row],[Qty]])</f>
        <v>0</v>
      </c>
      <c r="M192" s="75"/>
      <c r="N192" s="75"/>
      <c r="O192" s="75"/>
    </row>
    <row r="193" spans="1:15" s="66" customFormat="1" ht="25.15" customHeight="1">
      <c r="A193" s="75"/>
      <c r="B193" s="98">
        <v>44817</v>
      </c>
      <c r="C193" s="78" t="s">
        <v>45</v>
      </c>
      <c r="D193" s="79">
        <f>15/3.94</f>
        <v>3.8071065989847717</v>
      </c>
      <c r="E193" s="76" t="str">
        <f>IF(ISBLANK(Log[[#This Row],[Item]]),"",_xlfn.XLOOKUP(Log[[#This Row],[Item]],Calories[Name],Calories[Unit]))</f>
        <v>pinch</v>
      </c>
      <c r="F193" s="65">
        <f>IF(ISBLANK(Log[[#This Row],[Item]]),"",_xlfn.XLOOKUP(Log[[#This Row],[Item]],Calories[Name],Calories[Cals])*Log[[#This Row],[Qty]])</f>
        <v>0</v>
      </c>
      <c r="G193" s="71">
        <f>IF(ISBLANK(Log[[#This Row],[Item]]),"",_xlfn.XLOOKUP(Log[[#This Row],[Item]],Calories[Name],Calories[Carbs])*Log[[#This Row],[Qty]])</f>
        <v>0</v>
      </c>
      <c r="H193" s="71">
        <f>IF(ISBLANK(Log[[#This Row],[Item]]),"",_xlfn.XLOOKUP(Log[[#This Row],[Item]],Calories[Name],Calories[Fibre])*Log[[#This Row],[Qty]])</f>
        <v>0</v>
      </c>
      <c r="I193" s="71">
        <f>IF(ISBLANK(Log[[#This Row],[Item]]),"",(Log[[#This Row],[Carbs]]-Log[[#This Row],[Fibre]]))</f>
        <v>0</v>
      </c>
      <c r="J193" s="103">
        <f>IF(ISBLANK(Log[[#This Row],[Item]]),"",_xlfn.XLOOKUP(Log[[#This Row],[Item]],Calories[Name],Calories[Sodium])*Log[[#This Row],[Qty]])</f>
        <v>531.2010152284264</v>
      </c>
      <c r="K193" s="71">
        <f>IF(ISBLANK(Log[[#This Row],[Item]]),"",_xlfn.XLOOKUP(Log[[#This Row],[Item]],Calories[Name],Calories[Protein])*Log[[#This Row],[Qty]])</f>
        <v>0</v>
      </c>
      <c r="L193" s="71">
        <f>IF(ISBLANK(Log[[#This Row],[Item]]),"",_xlfn.XLOOKUP(Log[[#This Row],[Item]],Calories[Name],Calories[Chol.])*Log[[#This Row],[Qty]])</f>
        <v>0</v>
      </c>
      <c r="M193" s="75"/>
      <c r="N193" s="75"/>
      <c r="O193" s="75"/>
    </row>
    <row r="194" spans="1:15" s="66" customFormat="1" ht="25.15" customHeight="1">
      <c r="A194" s="75"/>
      <c r="B194" s="98">
        <v>44817</v>
      </c>
      <c r="C194" s="78" t="s">
        <v>31</v>
      </c>
      <c r="D194" s="79">
        <v>3</v>
      </c>
      <c r="E194" s="76" t="str">
        <f>IF(ISBLANK(Log[[#This Row],[Item]]),"",_xlfn.XLOOKUP(Log[[#This Row],[Item]],Calories[Name],Calories[Unit]))</f>
        <v>tbsp</v>
      </c>
      <c r="F194" s="65">
        <f>IF(ISBLANK(Log[[#This Row],[Item]]),"",_xlfn.XLOOKUP(Log[[#This Row],[Item]],Calories[Name],Calories[Cals])*Log[[#This Row],[Qty]])</f>
        <v>75</v>
      </c>
      <c r="G194" s="71">
        <f>IF(ISBLANK(Log[[#This Row],[Item]]),"",_xlfn.XLOOKUP(Log[[#This Row],[Item]],Calories[Name],Calories[Carbs])*Log[[#This Row],[Qty]])</f>
        <v>3</v>
      </c>
      <c r="H194" s="71">
        <f>IF(ISBLANK(Log[[#This Row],[Item]]),"",_xlfn.XLOOKUP(Log[[#This Row],[Item]],Calories[Name],Calories[Fibre])*Log[[#This Row],[Qty]])</f>
        <v>0</v>
      </c>
      <c r="I194" s="71">
        <f>IF(ISBLANK(Log[[#This Row],[Item]]),"",(Log[[#This Row],[Carbs]]-Log[[#This Row],[Fibre]]))</f>
        <v>3</v>
      </c>
      <c r="J194" s="103">
        <f>IF(ISBLANK(Log[[#This Row],[Item]]),"",_xlfn.XLOOKUP(Log[[#This Row],[Item]],Calories[Name],Calories[Sodium])*Log[[#This Row],[Qty]])</f>
        <v>30</v>
      </c>
      <c r="K194" s="71">
        <f>IF(ISBLANK(Log[[#This Row],[Item]]),"",_xlfn.XLOOKUP(Log[[#This Row],[Item]],Calories[Name],Calories[Protein])*Log[[#This Row],[Qty]])</f>
        <v>1.5</v>
      </c>
      <c r="L194" s="71">
        <f>IF(ISBLANK(Log[[#This Row],[Item]]),"",_xlfn.XLOOKUP(Log[[#This Row],[Item]],Calories[Name],Calories[Chol.])*Log[[#This Row],[Qty]])</f>
        <v>22.5</v>
      </c>
      <c r="M194" s="75"/>
      <c r="N194" s="75"/>
      <c r="O194" s="75"/>
    </row>
    <row r="195" spans="1:15" s="66" customFormat="1" ht="25.15" customHeight="1">
      <c r="A195" s="75"/>
      <c r="B195" s="98">
        <v>44817</v>
      </c>
      <c r="C195" s="64" t="s">
        <v>73</v>
      </c>
      <c r="D195" s="79">
        <v>17</v>
      </c>
      <c r="E195" s="76" t="str">
        <f>IF(ISBLANK(Log[[#This Row],[Item]]),"",_xlfn.XLOOKUP(Log[[#This Row],[Item]],Calories[Name],Calories[Unit]))</f>
        <v>ea</v>
      </c>
      <c r="F195" s="65">
        <f>IF(ISBLANK(Log[[#This Row],[Item]]),"",_xlfn.XLOOKUP(Log[[#This Row],[Item]],Calories[Name],Calories[Cals])*Log[[#This Row],[Qty]])</f>
        <v>807.5</v>
      </c>
      <c r="G195" s="71">
        <f>IF(ISBLANK(Log[[#This Row],[Item]]),"",_xlfn.XLOOKUP(Log[[#This Row],[Item]],Calories[Name],Calories[Carbs])*Log[[#This Row],[Qty]])</f>
        <v>40.375</v>
      </c>
      <c r="H195" s="71">
        <f>IF(ISBLANK(Log[[#This Row],[Item]]),"",_xlfn.XLOOKUP(Log[[#This Row],[Item]],Calories[Name],Calories[Fibre])*Log[[#This Row],[Qty]])</f>
        <v>2.125</v>
      </c>
      <c r="I195" s="71">
        <f>IF(ISBLANK(Log[[#This Row],[Item]]),"",(Log[[#This Row],[Carbs]]-Log[[#This Row],[Fibre]]))</f>
        <v>38.25</v>
      </c>
      <c r="J195" s="103">
        <f>IF(ISBLANK(Log[[#This Row],[Item]]),"",_xlfn.XLOOKUP(Log[[#This Row],[Item]],Calories[Name],Calories[Sodium])*Log[[#This Row],[Qty]])</f>
        <v>1870</v>
      </c>
      <c r="K195" s="71">
        <f>IF(ISBLANK(Log[[#This Row],[Item]]),"",_xlfn.XLOOKUP(Log[[#This Row],[Item]],Calories[Name],Calories[Protein])*Log[[#This Row],[Qty]])</f>
        <v>46.75</v>
      </c>
      <c r="L195" s="71">
        <f>IF(ISBLANK(Log[[#This Row],[Item]]),"",_xlfn.XLOOKUP(Log[[#This Row],[Item]],Calories[Name],Calories[Chol.])*Log[[#This Row],[Qty]])</f>
        <v>170</v>
      </c>
      <c r="M195" s="75"/>
      <c r="N195" s="75"/>
      <c r="O195" s="75"/>
    </row>
    <row r="196" spans="1:15" s="66" customFormat="1" ht="25.15" customHeight="1">
      <c r="A196" s="75"/>
      <c r="B196" s="98">
        <v>44817</v>
      </c>
      <c r="C196" s="78" t="s">
        <v>74</v>
      </c>
      <c r="D196" s="79">
        <v>3</v>
      </c>
      <c r="E196" s="76" t="str">
        <f>IF(ISBLANK(Log[[#This Row],[Item]]),"",_xlfn.XLOOKUP(Log[[#This Row],[Item]],Calories[Name],Calories[Unit]))</f>
        <v>ea</v>
      </c>
      <c r="F196" s="65">
        <f>IF(ISBLANK(Log[[#This Row],[Item]]),"",_xlfn.XLOOKUP(Log[[#This Row],[Item]],Calories[Name],Calories[Cals])*Log[[#This Row],[Qty]])</f>
        <v>390</v>
      </c>
      <c r="G196" s="71">
        <f>IF(ISBLANK(Log[[#This Row],[Item]]),"",_xlfn.XLOOKUP(Log[[#This Row],[Item]],Calories[Name],Calories[Carbs])*Log[[#This Row],[Qty]])</f>
        <v>15</v>
      </c>
      <c r="H196" s="71">
        <f>IF(ISBLANK(Log[[#This Row],[Item]]),"",_xlfn.XLOOKUP(Log[[#This Row],[Item]],Calories[Name],Calories[Fibre])*Log[[#This Row],[Qty]])</f>
        <v>0</v>
      </c>
      <c r="I196" s="71">
        <f>IF(ISBLANK(Log[[#This Row],[Item]]),"",(Log[[#This Row],[Carbs]]-Log[[#This Row],[Fibre]]))</f>
        <v>15</v>
      </c>
      <c r="J196" s="103">
        <f>IF(ISBLANK(Log[[#This Row],[Item]]),"",_xlfn.XLOOKUP(Log[[#This Row],[Item]],Calories[Name],Calories[Sodium])*Log[[#This Row],[Qty]])</f>
        <v>450</v>
      </c>
      <c r="K196" s="71">
        <f>IF(ISBLANK(Log[[#This Row],[Item]]),"",_xlfn.XLOOKUP(Log[[#This Row],[Item]],Calories[Name],Calories[Protein])*Log[[#This Row],[Qty]])</f>
        <v>3</v>
      </c>
      <c r="L196" s="71">
        <f>IF(ISBLANK(Log[[#This Row],[Item]]),"",_xlfn.XLOOKUP(Log[[#This Row],[Item]],Calories[Name],Calories[Chol.])*Log[[#This Row],[Qty]])</f>
        <v>30</v>
      </c>
      <c r="M196" s="75"/>
      <c r="N196" s="75"/>
      <c r="O196" s="75"/>
    </row>
    <row r="197" spans="1:15" s="66" customFormat="1" ht="25.15" customHeight="1">
      <c r="A197" s="75"/>
      <c r="B197" s="98">
        <v>44818</v>
      </c>
      <c r="C197" s="78" t="s">
        <v>52</v>
      </c>
      <c r="D197" s="79">
        <v>1</v>
      </c>
      <c r="E197" s="76" t="str">
        <f>IF(ISBLANK(Log[[#This Row],[Item]]),"",_xlfn.XLOOKUP(Log[[#This Row],[Item]],Calories[Name],Calories[Unit]))</f>
        <v>ea</v>
      </c>
      <c r="F197" s="65">
        <f>IF(ISBLANK(Log[[#This Row],[Item]]),"",_xlfn.XLOOKUP(Log[[#This Row],[Item]],Calories[Name],Calories[Cals])*Log[[#This Row],[Qty]])</f>
        <v>0</v>
      </c>
      <c r="G197" s="71">
        <f>IF(ISBLANK(Log[[#This Row],[Item]]),"",_xlfn.XLOOKUP(Log[[#This Row],[Item]],Calories[Name],Calories[Carbs])*Log[[#This Row],[Qty]])</f>
        <v>0</v>
      </c>
      <c r="H197" s="71">
        <f>IF(ISBLANK(Log[[#This Row],[Item]]),"",_xlfn.XLOOKUP(Log[[#This Row],[Item]],Calories[Name],Calories[Fibre])*Log[[#This Row],[Qty]])</f>
        <v>0</v>
      </c>
      <c r="I197" s="71">
        <f>IF(ISBLANK(Log[[#This Row],[Item]]),"",(Log[[#This Row],[Carbs]]-Log[[#This Row],[Fibre]]))</f>
        <v>0</v>
      </c>
      <c r="J197" s="103">
        <f>IF(ISBLANK(Log[[#This Row],[Item]]),"",_xlfn.XLOOKUP(Log[[#This Row],[Item]],Calories[Name],Calories[Sodium])*Log[[#This Row],[Qty]])</f>
        <v>0</v>
      </c>
      <c r="K197" s="71">
        <f>IF(ISBLANK(Log[[#This Row],[Item]]),"",_xlfn.XLOOKUP(Log[[#This Row],[Item]],Calories[Name],Calories[Protein])*Log[[#This Row],[Qty]])</f>
        <v>0</v>
      </c>
      <c r="L197" s="71">
        <f>IF(ISBLANK(Log[[#This Row],[Item]]),"",_xlfn.XLOOKUP(Log[[#This Row],[Item]],Calories[Name],Calories[Chol.])*Log[[#This Row],[Qty]])</f>
        <v>0</v>
      </c>
      <c r="M197" s="75"/>
      <c r="N197" s="75"/>
      <c r="O197" s="75"/>
    </row>
    <row r="198" spans="1:15" s="66" customFormat="1" ht="25.15" customHeight="1">
      <c r="A198" s="75"/>
      <c r="B198" s="98">
        <v>44818</v>
      </c>
      <c r="C198" s="78" t="s">
        <v>53</v>
      </c>
      <c r="D198" s="79">
        <v>1</v>
      </c>
      <c r="E198" s="76" t="str">
        <f>IF(ISBLANK(Log[[#This Row],[Item]]),"",_xlfn.XLOOKUP(Log[[#This Row],[Item]],Calories[Name],Calories[Unit]))</f>
        <v>ea</v>
      </c>
      <c r="F198" s="65">
        <f>IF(ISBLANK(Log[[#This Row],[Item]]),"",_xlfn.XLOOKUP(Log[[#This Row],[Item]],Calories[Name],Calories[Cals])*Log[[#This Row],[Qty]])</f>
        <v>0</v>
      </c>
      <c r="G198" s="71">
        <f>IF(ISBLANK(Log[[#This Row],[Item]]),"",_xlfn.XLOOKUP(Log[[#This Row],[Item]],Calories[Name],Calories[Carbs])*Log[[#This Row],[Qty]])</f>
        <v>0</v>
      </c>
      <c r="H198" s="71">
        <f>IF(ISBLANK(Log[[#This Row],[Item]]),"",_xlfn.XLOOKUP(Log[[#This Row],[Item]],Calories[Name],Calories[Fibre])*Log[[#This Row],[Qty]])</f>
        <v>0</v>
      </c>
      <c r="I198" s="71">
        <f>IF(ISBLANK(Log[[#This Row],[Item]]),"",(Log[[#This Row],[Carbs]]-Log[[#This Row],[Fibre]]))</f>
        <v>0</v>
      </c>
      <c r="J198" s="103">
        <f>IF(ISBLANK(Log[[#This Row],[Item]]),"",_xlfn.XLOOKUP(Log[[#This Row],[Item]],Calories[Name],Calories[Sodium])*Log[[#This Row],[Qty]])</f>
        <v>0</v>
      </c>
      <c r="K198" s="71">
        <f>IF(ISBLANK(Log[[#This Row],[Item]]),"",_xlfn.XLOOKUP(Log[[#This Row],[Item]],Calories[Name],Calories[Protein])*Log[[#This Row],[Qty]])</f>
        <v>0</v>
      </c>
      <c r="L198" s="71">
        <f>IF(ISBLANK(Log[[#This Row],[Item]]),"",_xlfn.XLOOKUP(Log[[#This Row],[Item]],Calories[Name],Calories[Chol.])*Log[[#This Row],[Qty]])</f>
        <v>0</v>
      </c>
      <c r="M198" s="75"/>
      <c r="N198" s="75"/>
      <c r="O198" s="75"/>
    </row>
    <row r="199" spans="1:15" s="66" customFormat="1" ht="25.15" customHeight="1">
      <c r="A199" s="75"/>
      <c r="B199" s="98">
        <v>44818</v>
      </c>
      <c r="C199" s="78" t="s">
        <v>54</v>
      </c>
      <c r="D199" s="79">
        <v>1</v>
      </c>
      <c r="E199" s="76" t="str">
        <f>IF(ISBLANK(Log[[#This Row],[Item]]),"",_xlfn.XLOOKUP(Log[[#This Row],[Item]],Calories[Name],Calories[Unit]))</f>
        <v>ea</v>
      </c>
      <c r="F199" s="65">
        <f>IF(ISBLANK(Log[[#This Row],[Item]]),"",_xlfn.XLOOKUP(Log[[#This Row],[Item]],Calories[Name],Calories[Cals])*Log[[#This Row],[Qty]])</f>
        <v>0</v>
      </c>
      <c r="G199" s="71">
        <f>IF(ISBLANK(Log[[#This Row],[Item]]),"",_xlfn.XLOOKUP(Log[[#This Row],[Item]],Calories[Name],Calories[Carbs])*Log[[#This Row],[Qty]])</f>
        <v>0</v>
      </c>
      <c r="H199" s="71">
        <f>IF(ISBLANK(Log[[#This Row],[Item]]),"",_xlfn.XLOOKUP(Log[[#This Row],[Item]],Calories[Name],Calories[Fibre])*Log[[#This Row],[Qty]])</f>
        <v>0</v>
      </c>
      <c r="I199" s="71">
        <f>IF(ISBLANK(Log[[#This Row],[Item]]),"",(Log[[#This Row],[Carbs]]-Log[[#This Row],[Fibre]]))</f>
        <v>0</v>
      </c>
      <c r="J199" s="103">
        <f>IF(ISBLANK(Log[[#This Row],[Item]]),"",_xlfn.XLOOKUP(Log[[#This Row],[Item]],Calories[Name],Calories[Sodium])*Log[[#This Row],[Qty]])</f>
        <v>0</v>
      </c>
      <c r="K199" s="71">
        <f>IF(ISBLANK(Log[[#This Row],[Item]]),"",_xlfn.XLOOKUP(Log[[#This Row],[Item]],Calories[Name],Calories[Protein])*Log[[#This Row],[Qty]])</f>
        <v>0</v>
      </c>
      <c r="L199" s="71">
        <f>IF(ISBLANK(Log[[#This Row],[Item]]),"",_xlfn.XLOOKUP(Log[[#This Row],[Item]],Calories[Name],Calories[Chol.])*Log[[#This Row],[Qty]])</f>
        <v>0</v>
      </c>
      <c r="M199" s="75"/>
      <c r="N199" s="75"/>
      <c r="O199" s="75"/>
    </row>
    <row r="200" spans="1:15" s="66" customFormat="1" ht="25.15" customHeight="1">
      <c r="A200" s="75"/>
      <c r="B200" s="98">
        <v>44818</v>
      </c>
      <c r="C200" s="78" t="s">
        <v>55</v>
      </c>
      <c r="D200" s="79">
        <v>1</v>
      </c>
      <c r="E200" s="76" t="str">
        <f>IF(ISBLANK(Log[[#This Row],[Item]]),"",_xlfn.XLOOKUP(Log[[#This Row],[Item]],Calories[Name],Calories[Unit]))</f>
        <v>ea</v>
      </c>
      <c r="F200" s="65">
        <f>IF(ISBLANK(Log[[#This Row],[Item]]),"",_xlfn.XLOOKUP(Log[[#This Row],[Item]],Calories[Name],Calories[Cals])*Log[[#This Row],[Qty]])</f>
        <v>0</v>
      </c>
      <c r="G200" s="71">
        <f>IF(ISBLANK(Log[[#This Row],[Item]]),"",_xlfn.XLOOKUP(Log[[#This Row],[Item]],Calories[Name],Calories[Carbs])*Log[[#This Row],[Qty]])</f>
        <v>0</v>
      </c>
      <c r="H200" s="71">
        <f>IF(ISBLANK(Log[[#This Row],[Item]]),"",_xlfn.XLOOKUP(Log[[#This Row],[Item]],Calories[Name],Calories[Fibre])*Log[[#This Row],[Qty]])</f>
        <v>0</v>
      </c>
      <c r="I200" s="71">
        <f>IF(ISBLANK(Log[[#This Row],[Item]]),"",(Log[[#This Row],[Carbs]]-Log[[#This Row],[Fibre]]))</f>
        <v>0</v>
      </c>
      <c r="J200" s="103">
        <f>IF(ISBLANK(Log[[#This Row],[Item]]),"",_xlfn.XLOOKUP(Log[[#This Row],[Item]],Calories[Name],Calories[Sodium])*Log[[#This Row],[Qty]])</f>
        <v>0</v>
      </c>
      <c r="K200" s="71">
        <f>IF(ISBLANK(Log[[#This Row],[Item]]),"",_xlfn.XLOOKUP(Log[[#This Row],[Item]],Calories[Name],Calories[Protein])*Log[[#This Row],[Qty]])</f>
        <v>0</v>
      </c>
      <c r="L200" s="71">
        <f>IF(ISBLANK(Log[[#This Row],[Item]]),"",_xlfn.XLOOKUP(Log[[#This Row],[Item]],Calories[Name],Calories[Chol.])*Log[[#This Row],[Qty]])</f>
        <v>0</v>
      </c>
      <c r="M200" s="75"/>
      <c r="N200" s="75"/>
      <c r="O200" s="75"/>
    </row>
    <row r="201" spans="1:15" s="66" customFormat="1" ht="25.15" customHeight="1">
      <c r="A201" s="75"/>
      <c r="B201" s="98">
        <v>44818</v>
      </c>
      <c r="C201" s="64" t="s">
        <v>73</v>
      </c>
      <c r="D201" s="79">
        <v>12</v>
      </c>
      <c r="E201" s="76" t="str">
        <f>IF(ISBLANK(Log[[#This Row],[Item]]),"",_xlfn.XLOOKUP(Log[[#This Row],[Item]],Calories[Name],Calories[Unit]))</f>
        <v>ea</v>
      </c>
      <c r="F201" s="65">
        <f>IF(ISBLANK(Log[[#This Row],[Item]]),"",_xlfn.XLOOKUP(Log[[#This Row],[Item]],Calories[Name],Calories[Cals])*Log[[#This Row],[Qty]])</f>
        <v>570</v>
      </c>
      <c r="G201" s="71">
        <f>IF(ISBLANK(Log[[#This Row],[Item]]),"",_xlfn.XLOOKUP(Log[[#This Row],[Item]],Calories[Name],Calories[Carbs])*Log[[#This Row],[Qty]])</f>
        <v>28.5</v>
      </c>
      <c r="H201" s="71">
        <f>IF(ISBLANK(Log[[#This Row],[Item]]),"",_xlfn.XLOOKUP(Log[[#This Row],[Item]],Calories[Name],Calories[Fibre])*Log[[#This Row],[Qty]])</f>
        <v>1.5</v>
      </c>
      <c r="I201" s="71">
        <f>IF(ISBLANK(Log[[#This Row],[Item]]),"",(Log[[#This Row],[Carbs]]-Log[[#This Row],[Fibre]]))</f>
        <v>27</v>
      </c>
      <c r="J201" s="103">
        <f>IF(ISBLANK(Log[[#This Row],[Item]]),"",_xlfn.XLOOKUP(Log[[#This Row],[Item]],Calories[Name],Calories[Sodium])*Log[[#This Row],[Qty]])</f>
        <v>1320</v>
      </c>
      <c r="K201" s="71">
        <f>IF(ISBLANK(Log[[#This Row],[Item]]),"",_xlfn.XLOOKUP(Log[[#This Row],[Item]],Calories[Name],Calories[Protein])*Log[[#This Row],[Qty]])</f>
        <v>33</v>
      </c>
      <c r="L201" s="71">
        <f>IF(ISBLANK(Log[[#This Row],[Item]]),"",_xlfn.XLOOKUP(Log[[#This Row],[Item]],Calories[Name],Calories[Chol.])*Log[[#This Row],[Qty]])</f>
        <v>120</v>
      </c>
      <c r="M201" s="75"/>
      <c r="N201" s="75"/>
      <c r="O201" s="75"/>
    </row>
    <row r="202" spans="1:15" s="66" customFormat="1" ht="25.15" customHeight="1">
      <c r="A202" s="75"/>
      <c r="B202" s="98">
        <v>44818</v>
      </c>
      <c r="C202" s="78" t="s">
        <v>75</v>
      </c>
      <c r="D202" s="79">
        <v>0.33</v>
      </c>
      <c r="E202" s="76" t="str">
        <f>IF(ISBLANK(Log[[#This Row],[Item]]),"",_xlfn.XLOOKUP(Log[[#This Row],[Item]],Calories[Name],Calories[Unit]))</f>
        <v>c</v>
      </c>
      <c r="F202" s="65">
        <f>IF(ISBLANK(Log[[#This Row],[Item]]),"",_xlfn.XLOOKUP(Log[[#This Row],[Item]],Calories[Name],Calories[Cals])*Log[[#This Row],[Qty]])</f>
        <v>272.91000000000003</v>
      </c>
      <c r="G202" s="71">
        <f>IF(ISBLANK(Log[[#This Row],[Item]]),"",_xlfn.XLOOKUP(Log[[#This Row],[Item]],Calories[Name],Calories[Carbs])*Log[[#This Row],[Qty]])</f>
        <v>9.315900000000001</v>
      </c>
      <c r="H202" s="71">
        <f>IF(ISBLANK(Log[[#This Row],[Item]]),"",_xlfn.XLOOKUP(Log[[#This Row],[Item]],Calories[Name],Calories[Fibre])*Log[[#This Row],[Qty]])</f>
        <v>5.577</v>
      </c>
      <c r="I202" s="71">
        <f>IF(ISBLANK(Log[[#This Row],[Item]]),"",(Log[[#This Row],[Carbs]]-Log[[#This Row],[Fibre]]))</f>
        <v>3.738900000000001</v>
      </c>
      <c r="J202" s="103">
        <f>IF(ISBLANK(Log[[#This Row],[Item]]),"",_xlfn.XLOOKUP(Log[[#This Row],[Item]],Calories[Name],Calories[Sodium])*Log[[#This Row],[Qty]])</f>
        <v>0.33</v>
      </c>
      <c r="K202" s="71">
        <f>IF(ISBLANK(Log[[#This Row],[Item]]),"",_xlfn.XLOOKUP(Log[[#This Row],[Item]],Calories[Name],Calories[Protein])*Log[[#This Row],[Qty]])</f>
        <v>10.032</v>
      </c>
      <c r="L202" s="71">
        <f>IF(ISBLANK(Log[[#This Row],[Item]]),"",_xlfn.XLOOKUP(Log[[#This Row],[Item]],Calories[Name],Calories[Chol.])*Log[[#This Row],[Qty]])</f>
        <v>0</v>
      </c>
      <c r="M202" s="75"/>
      <c r="N202" s="75"/>
      <c r="O202" s="75"/>
    </row>
    <row r="203" spans="1:15" s="66" customFormat="1" ht="25.15" customHeight="1">
      <c r="A203" s="75"/>
      <c r="B203" s="98">
        <v>44818</v>
      </c>
      <c r="C203" s="64" t="s">
        <v>73</v>
      </c>
      <c r="D203" s="79">
        <v>14</v>
      </c>
      <c r="E203" s="76" t="str">
        <f>IF(ISBLANK(Log[[#This Row],[Item]]),"",_xlfn.XLOOKUP(Log[[#This Row],[Item]],Calories[Name],Calories[Unit]))</f>
        <v>ea</v>
      </c>
      <c r="F203" s="65">
        <f>IF(ISBLANK(Log[[#This Row],[Item]]),"",_xlfn.XLOOKUP(Log[[#This Row],[Item]],Calories[Name],Calories[Cals])*Log[[#This Row],[Qty]])</f>
        <v>665</v>
      </c>
      <c r="G203" s="71">
        <f>IF(ISBLANK(Log[[#This Row],[Item]]),"",_xlfn.XLOOKUP(Log[[#This Row],[Item]],Calories[Name],Calories[Carbs])*Log[[#This Row],[Qty]])</f>
        <v>33.25</v>
      </c>
      <c r="H203" s="71">
        <f>IF(ISBLANK(Log[[#This Row],[Item]]),"",_xlfn.XLOOKUP(Log[[#This Row],[Item]],Calories[Name],Calories[Fibre])*Log[[#This Row],[Qty]])</f>
        <v>1.75</v>
      </c>
      <c r="I203" s="71">
        <f>IF(ISBLANK(Log[[#This Row],[Item]]),"",(Log[[#This Row],[Carbs]]-Log[[#This Row],[Fibre]]))</f>
        <v>31.5</v>
      </c>
      <c r="J203" s="103">
        <f>IF(ISBLANK(Log[[#This Row],[Item]]),"",_xlfn.XLOOKUP(Log[[#This Row],[Item]],Calories[Name],Calories[Sodium])*Log[[#This Row],[Qty]])</f>
        <v>1540</v>
      </c>
      <c r="K203" s="71">
        <f>IF(ISBLANK(Log[[#This Row],[Item]]),"",_xlfn.XLOOKUP(Log[[#This Row],[Item]],Calories[Name],Calories[Protein])*Log[[#This Row],[Qty]])</f>
        <v>38.5</v>
      </c>
      <c r="L203" s="71">
        <f>IF(ISBLANK(Log[[#This Row],[Item]]),"",_xlfn.XLOOKUP(Log[[#This Row],[Item]],Calories[Name],Calories[Chol.])*Log[[#This Row],[Qty]])</f>
        <v>140</v>
      </c>
      <c r="M203" s="75"/>
      <c r="N203" s="75"/>
      <c r="O203" s="75"/>
    </row>
    <row r="204" spans="1:15" s="66" customFormat="1" ht="25.15" customHeight="1">
      <c r="A204" s="75"/>
      <c r="B204" s="98">
        <v>44818</v>
      </c>
      <c r="C204" s="78" t="s">
        <v>28</v>
      </c>
      <c r="D204" s="79">
        <v>40</v>
      </c>
      <c r="E204" s="76" t="str">
        <f>IF(ISBLANK(Log[[#This Row],[Item]]),"",_xlfn.XLOOKUP(Log[[#This Row],[Item]],Calories[Name],Calories[Unit]))</f>
        <v>g</v>
      </c>
      <c r="F204" s="65">
        <f>IF(ISBLANK(Log[[#This Row],[Item]]),"",_xlfn.XLOOKUP(Log[[#This Row],[Item]],Calories[Name],Calories[Cals])*Log[[#This Row],[Qty]])</f>
        <v>106.66666666666666</v>
      </c>
      <c r="G204" s="71">
        <f>IF(ISBLANK(Log[[#This Row],[Item]]),"",_xlfn.XLOOKUP(Log[[#This Row],[Item]],Calories[Name],Calories[Carbs])*Log[[#This Row],[Qty]])</f>
        <v>0</v>
      </c>
      <c r="H204" s="71">
        <f>IF(ISBLANK(Log[[#This Row],[Item]]),"",_xlfn.XLOOKUP(Log[[#This Row],[Item]],Calories[Name],Calories[Fibre])*Log[[#This Row],[Qty]])</f>
        <v>0</v>
      </c>
      <c r="I204" s="71">
        <f>IF(ISBLANK(Log[[#This Row],[Item]]),"",(Log[[#This Row],[Carbs]]-Log[[#This Row],[Fibre]]))</f>
        <v>0</v>
      </c>
      <c r="J204" s="103">
        <f>IF(ISBLANK(Log[[#This Row],[Item]]),"",_xlfn.XLOOKUP(Log[[#This Row],[Item]],Calories[Name],Calories[Sodium])*Log[[#This Row],[Qty]])</f>
        <v>760</v>
      </c>
      <c r="K204" s="71">
        <f>IF(ISBLANK(Log[[#This Row],[Item]]),"",_xlfn.XLOOKUP(Log[[#This Row],[Item]],Calories[Name],Calories[Protein])*Log[[#This Row],[Qty]])</f>
        <v>21.333333333333332</v>
      </c>
      <c r="L204" s="71">
        <f>IF(ISBLANK(Log[[#This Row],[Item]]),"",_xlfn.XLOOKUP(Log[[#This Row],[Item]],Calories[Name],Calories[Chol.])*Log[[#This Row],[Qty]])</f>
        <v>53.333333333333329</v>
      </c>
      <c r="M204" s="75"/>
      <c r="N204" s="75"/>
      <c r="O204" s="75"/>
    </row>
    <row r="205" spans="1:15" s="66" customFormat="1" ht="25.15" customHeight="1">
      <c r="A205" s="75"/>
      <c r="B205" s="98">
        <v>44819</v>
      </c>
      <c r="C205" s="78" t="s">
        <v>52</v>
      </c>
      <c r="D205" s="79">
        <v>1</v>
      </c>
      <c r="E205" s="76" t="str">
        <f>IF(ISBLANK(Log[[#This Row],[Item]]),"",_xlfn.XLOOKUP(Log[[#This Row],[Item]],Calories[Name],Calories[Unit]))</f>
        <v>ea</v>
      </c>
      <c r="F205" s="65">
        <f>IF(ISBLANK(Log[[#This Row],[Item]]),"",_xlfn.XLOOKUP(Log[[#This Row],[Item]],Calories[Name],Calories[Cals])*Log[[#This Row],[Qty]])</f>
        <v>0</v>
      </c>
      <c r="G205" s="71">
        <f>IF(ISBLANK(Log[[#This Row],[Item]]),"",_xlfn.XLOOKUP(Log[[#This Row],[Item]],Calories[Name],Calories[Carbs])*Log[[#This Row],[Qty]])</f>
        <v>0</v>
      </c>
      <c r="H205" s="71">
        <f>IF(ISBLANK(Log[[#This Row],[Item]]),"",_xlfn.XLOOKUP(Log[[#This Row],[Item]],Calories[Name],Calories[Fibre])*Log[[#This Row],[Qty]])</f>
        <v>0</v>
      </c>
      <c r="I205" s="71">
        <f>IF(ISBLANK(Log[[#This Row],[Item]]),"",(Log[[#This Row],[Carbs]]-Log[[#This Row],[Fibre]]))</f>
        <v>0</v>
      </c>
      <c r="J205" s="103">
        <f>IF(ISBLANK(Log[[#This Row],[Item]]),"",_xlfn.XLOOKUP(Log[[#This Row],[Item]],Calories[Name],Calories[Sodium])*Log[[#This Row],[Qty]])</f>
        <v>0</v>
      </c>
      <c r="K205" s="71">
        <f>IF(ISBLANK(Log[[#This Row],[Item]]),"",_xlfn.XLOOKUP(Log[[#This Row],[Item]],Calories[Name],Calories[Protein])*Log[[#This Row],[Qty]])</f>
        <v>0</v>
      </c>
      <c r="L205" s="71">
        <f>IF(ISBLANK(Log[[#This Row],[Item]]),"",_xlfn.XLOOKUP(Log[[#This Row],[Item]],Calories[Name],Calories[Chol.])*Log[[#This Row],[Qty]])</f>
        <v>0</v>
      </c>
      <c r="M205" s="75"/>
      <c r="N205" s="75"/>
      <c r="O205" s="75"/>
    </row>
    <row r="206" spans="1:15" s="66" customFormat="1" ht="25.15" customHeight="1">
      <c r="A206" s="75"/>
      <c r="B206" s="98">
        <v>44819</v>
      </c>
      <c r="C206" s="78" t="s">
        <v>53</v>
      </c>
      <c r="D206" s="79">
        <v>1</v>
      </c>
      <c r="E206" s="76" t="str">
        <f>IF(ISBLANK(Log[[#This Row],[Item]]),"",_xlfn.XLOOKUP(Log[[#This Row],[Item]],Calories[Name],Calories[Unit]))</f>
        <v>ea</v>
      </c>
      <c r="F206" s="65">
        <f>IF(ISBLANK(Log[[#This Row],[Item]]),"",_xlfn.XLOOKUP(Log[[#This Row],[Item]],Calories[Name],Calories[Cals])*Log[[#This Row],[Qty]])</f>
        <v>0</v>
      </c>
      <c r="G206" s="71">
        <f>IF(ISBLANK(Log[[#This Row],[Item]]),"",_xlfn.XLOOKUP(Log[[#This Row],[Item]],Calories[Name],Calories[Carbs])*Log[[#This Row],[Qty]])</f>
        <v>0</v>
      </c>
      <c r="H206" s="71">
        <f>IF(ISBLANK(Log[[#This Row],[Item]]),"",_xlfn.XLOOKUP(Log[[#This Row],[Item]],Calories[Name],Calories[Fibre])*Log[[#This Row],[Qty]])</f>
        <v>0</v>
      </c>
      <c r="I206" s="71">
        <f>IF(ISBLANK(Log[[#This Row],[Item]]),"",(Log[[#This Row],[Carbs]]-Log[[#This Row],[Fibre]]))</f>
        <v>0</v>
      </c>
      <c r="J206" s="103">
        <f>IF(ISBLANK(Log[[#This Row],[Item]]),"",_xlfn.XLOOKUP(Log[[#This Row],[Item]],Calories[Name],Calories[Sodium])*Log[[#This Row],[Qty]])</f>
        <v>0</v>
      </c>
      <c r="K206" s="71">
        <f>IF(ISBLANK(Log[[#This Row],[Item]]),"",_xlfn.XLOOKUP(Log[[#This Row],[Item]],Calories[Name],Calories[Protein])*Log[[#This Row],[Qty]])</f>
        <v>0</v>
      </c>
      <c r="L206" s="71">
        <f>IF(ISBLANK(Log[[#This Row],[Item]]),"",_xlfn.XLOOKUP(Log[[#This Row],[Item]],Calories[Name],Calories[Chol.])*Log[[#This Row],[Qty]])</f>
        <v>0</v>
      </c>
      <c r="M206" s="75"/>
      <c r="N206" s="75"/>
      <c r="O206" s="75"/>
    </row>
    <row r="207" spans="1:15" s="66" customFormat="1" ht="25.15" customHeight="1">
      <c r="A207" s="75"/>
      <c r="B207" s="98">
        <v>44819</v>
      </c>
      <c r="C207" s="78" t="s">
        <v>54</v>
      </c>
      <c r="D207" s="79">
        <v>1</v>
      </c>
      <c r="E207" s="76" t="str">
        <f>IF(ISBLANK(Log[[#This Row],[Item]]),"",_xlfn.XLOOKUP(Log[[#This Row],[Item]],Calories[Name],Calories[Unit]))</f>
        <v>ea</v>
      </c>
      <c r="F207" s="65">
        <f>IF(ISBLANK(Log[[#This Row],[Item]]),"",_xlfn.XLOOKUP(Log[[#This Row],[Item]],Calories[Name],Calories[Cals])*Log[[#This Row],[Qty]])</f>
        <v>0</v>
      </c>
      <c r="G207" s="71">
        <f>IF(ISBLANK(Log[[#This Row],[Item]]),"",_xlfn.XLOOKUP(Log[[#This Row],[Item]],Calories[Name],Calories[Carbs])*Log[[#This Row],[Qty]])</f>
        <v>0</v>
      </c>
      <c r="H207" s="71">
        <f>IF(ISBLANK(Log[[#This Row],[Item]]),"",_xlfn.XLOOKUP(Log[[#This Row],[Item]],Calories[Name],Calories[Fibre])*Log[[#This Row],[Qty]])</f>
        <v>0</v>
      </c>
      <c r="I207" s="71">
        <f>IF(ISBLANK(Log[[#This Row],[Item]]),"",(Log[[#This Row],[Carbs]]-Log[[#This Row],[Fibre]]))</f>
        <v>0</v>
      </c>
      <c r="J207" s="103">
        <f>IF(ISBLANK(Log[[#This Row],[Item]]),"",_xlfn.XLOOKUP(Log[[#This Row],[Item]],Calories[Name],Calories[Sodium])*Log[[#This Row],[Qty]])</f>
        <v>0</v>
      </c>
      <c r="K207" s="71">
        <f>IF(ISBLANK(Log[[#This Row],[Item]]),"",_xlfn.XLOOKUP(Log[[#This Row],[Item]],Calories[Name],Calories[Protein])*Log[[#This Row],[Qty]])</f>
        <v>0</v>
      </c>
      <c r="L207" s="71">
        <f>IF(ISBLANK(Log[[#This Row],[Item]]),"",_xlfn.XLOOKUP(Log[[#This Row],[Item]],Calories[Name],Calories[Chol.])*Log[[#This Row],[Qty]])</f>
        <v>0</v>
      </c>
      <c r="M207" s="75"/>
      <c r="N207" s="75"/>
      <c r="O207" s="75"/>
    </row>
    <row r="208" spans="1:15" s="66" customFormat="1" ht="25.15" customHeight="1">
      <c r="A208" s="75"/>
      <c r="B208" s="98">
        <v>44819</v>
      </c>
      <c r="C208" s="78" t="s">
        <v>55</v>
      </c>
      <c r="D208" s="79">
        <v>1</v>
      </c>
      <c r="E208" s="76" t="str">
        <f>IF(ISBLANK(Log[[#This Row],[Item]]),"",_xlfn.XLOOKUP(Log[[#This Row],[Item]],Calories[Name],Calories[Unit]))</f>
        <v>ea</v>
      </c>
      <c r="F208" s="65">
        <f>IF(ISBLANK(Log[[#This Row],[Item]]),"",_xlfn.XLOOKUP(Log[[#This Row],[Item]],Calories[Name],Calories[Cals])*Log[[#This Row],[Qty]])</f>
        <v>0</v>
      </c>
      <c r="G208" s="71">
        <f>IF(ISBLANK(Log[[#This Row],[Item]]),"",_xlfn.XLOOKUP(Log[[#This Row],[Item]],Calories[Name],Calories[Carbs])*Log[[#This Row],[Qty]])</f>
        <v>0</v>
      </c>
      <c r="H208" s="71">
        <f>IF(ISBLANK(Log[[#This Row],[Item]]),"",_xlfn.XLOOKUP(Log[[#This Row],[Item]],Calories[Name],Calories[Fibre])*Log[[#This Row],[Qty]])</f>
        <v>0</v>
      </c>
      <c r="I208" s="71">
        <f>IF(ISBLANK(Log[[#This Row],[Item]]),"",(Log[[#This Row],[Carbs]]-Log[[#This Row],[Fibre]]))</f>
        <v>0</v>
      </c>
      <c r="J208" s="103">
        <f>IF(ISBLANK(Log[[#This Row],[Item]]),"",_xlfn.XLOOKUP(Log[[#This Row],[Item]],Calories[Name],Calories[Sodium])*Log[[#This Row],[Qty]])</f>
        <v>0</v>
      </c>
      <c r="K208" s="71">
        <f>IF(ISBLANK(Log[[#This Row],[Item]]),"",_xlfn.XLOOKUP(Log[[#This Row],[Item]],Calories[Name],Calories[Protein])*Log[[#This Row],[Qty]])</f>
        <v>0</v>
      </c>
      <c r="L208" s="71">
        <f>IF(ISBLANK(Log[[#This Row],[Item]]),"",_xlfn.XLOOKUP(Log[[#This Row],[Item]],Calories[Name],Calories[Chol.])*Log[[#This Row],[Qty]])</f>
        <v>0</v>
      </c>
      <c r="M208" s="75"/>
      <c r="N208" s="75"/>
      <c r="O208" s="75"/>
    </row>
    <row r="209" spans="1:15" s="66" customFormat="1" ht="25.15" customHeight="1">
      <c r="A209" s="75"/>
      <c r="B209" s="98">
        <v>44819</v>
      </c>
      <c r="C209" s="78" t="s">
        <v>15</v>
      </c>
      <c r="D209" s="79">
        <v>0.3</v>
      </c>
      <c r="E209" s="76" t="str">
        <f>IF(ISBLANK(Log[[#This Row],[Item]]),"",_xlfn.XLOOKUP(Log[[#This Row],[Item]],Calories[Name],Calories[Unit]))</f>
        <v>tbsp</v>
      </c>
      <c r="F209" s="65">
        <f>IF(ISBLANK(Log[[#This Row],[Item]]),"",_xlfn.XLOOKUP(Log[[#This Row],[Item]],Calories[Name],Calories[Cals])*Log[[#This Row],[Qty]])</f>
        <v>36</v>
      </c>
      <c r="G209" s="71">
        <f>IF(ISBLANK(Log[[#This Row],[Item]]),"",_xlfn.XLOOKUP(Log[[#This Row],[Item]],Calories[Name],Calories[Carbs])*Log[[#This Row],[Qty]])</f>
        <v>0</v>
      </c>
      <c r="H209" s="71">
        <f>IF(ISBLANK(Log[[#This Row],[Item]]),"",_xlfn.XLOOKUP(Log[[#This Row],[Item]],Calories[Name],Calories[Fibre])*Log[[#This Row],[Qty]])</f>
        <v>0</v>
      </c>
      <c r="I209" s="71">
        <f>IF(ISBLANK(Log[[#This Row],[Item]]),"",(Log[[#This Row],[Carbs]]-Log[[#This Row],[Fibre]]))</f>
        <v>0</v>
      </c>
      <c r="J209" s="103">
        <f>IF(ISBLANK(Log[[#This Row],[Item]]),"",_xlfn.XLOOKUP(Log[[#This Row],[Item]],Calories[Name],Calories[Sodium])*Log[[#This Row],[Qty]])</f>
        <v>0</v>
      </c>
      <c r="K209" s="71">
        <f>IF(ISBLANK(Log[[#This Row],[Item]]),"",_xlfn.XLOOKUP(Log[[#This Row],[Item]],Calories[Name],Calories[Protein])*Log[[#This Row],[Qty]])</f>
        <v>0</v>
      </c>
      <c r="L209" s="71">
        <f>IF(ISBLANK(Log[[#This Row],[Item]]),"",_xlfn.XLOOKUP(Log[[#This Row],[Item]],Calories[Name],Calories[Chol.])*Log[[#This Row],[Qty]])</f>
        <v>0</v>
      </c>
      <c r="M209" s="75"/>
      <c r="N209" s="75"/>
      <c r="O209" s="75"/>
    </row>
    <row r="210" spans="1:15" s="66" customFormat="1" ht="25.15" customHeight="1">
      <c r="A210" s="75"/>
      <c r="B210" s="98">
        <v>44819</v>
      </c>
      <c r="C210" s="78" t="s">
        <v>13</v>
      </c>
      <c r="D210" s="79">
        <v>3</v>
      </c>
      <c r="E210" s="76" t="str">
        <f>IF(ISBLANK(Log[[#This Row],[Item]]),"",_xlfn.XLOOKUP(Log[[#This Row],[Item]],Calories[Name],Calories[Unit]))</f>
        <v>ea</v>
      </c>
      <c r="F210" s="65">
        <f>IF(ISBLANK(Log[[#This Row],[Item]]),"",_xlfn.XLOOKUP(Log[[#This Row],[Item]],Calories[Name],Calories[Cals])*Log[[#This Row],[Qty]])</f>
        <v>216</v>
      </c>
      <c r="G210" s="71">
        <f>IF(ISBLANK(Log[[#This Row],[Item]]),"",_xlfn.XLOOKUP(Log[[#This Row],[Item]],Calories[Name],Calories[Carbs])*Log[[#This Row],[Qty]])</f>
        <v>0</v>
      </c>
      <c r="H210" s="71">
        <f>IF(ISBLANK(Log[[#This Row],[Item]]),"",_xlfn.XLOOKUP(Log[[#This Row],[Item]],Calories[Name],Calories[Fibre])*Log[[#This Row],[Qty]])</f>
        <v>0</v>
      </c>
      <c r="I210" s="71">
        <f>IF(ISBLANK(Log[[#This Row],[Item]]),"",(Log[[#This Row],[Carbs]]-Log[[#This Row],[Fibre]]))</f>
        <v>0</v>
      </c>
      <c r="J210" s="103">
        <f>IF(ISBLANK(Log[[#This Row],[Item]]),"",_xlfn.XLOOKUP(Log[[#This Row],[Item]],Calories[Name],Calories[Sodium])*Log[[#This Row],[Qty]])</f>
        <v>210</v>
      </c>
      <c r="K210" s="71">
        <f>IF(ISBLANK(Log[[#This Row],[Item]]),"",_xlfn.XLOOKUP(Log[[#This Row],[Item]],Calories[Name],Calories[Protein])*Log[[#This Row],[Qty]])</f>
        <v>18</v>
      </c>
      <c r="L210" s="71">
        <f>IF(ISBLANK(Log[[#This Row],[Item]]),"",_xlfn.XLOOKUP(Log[[#This Row],[Item]],Calories[Name],Calories[Chol.])*Log[[#This Row],[Qty]])</f>
        <v>633</v>
      </c>
      <c r="M210" s="75"/>
      <c r="N210" s="75"/>
      <c r="O210" s="75"/>
    </row>
    <row r="211" spans="1:15" s="66" customFormat="1" ht="25.15" customHeight="1">
      <c r="A211" s="75"/>
      <c r="B211" s="98">
        <v>44819</v>
      </c>
      <c r="C211" s="78" t="s">
        <v>76</v>
      </c>
      <c r="D211" s="79">
        <v>1</v>
      </c>
      <c r="E211" s="76" t="str">
        <f>IF(ISBLANK(Log[[#This Row],[Item]]),"",_xlfn.XLOOKUP(Log[[#This Row],[Item]],Calories[Name],Calories[Unit]))</f>
        <v>ea</v>
      </c>
      <c r="F211" s="65">
        <f>IF(ISBLANK(Log[[#This Row],[Item]]),"",_xlfn.XLOOKUP(Log[[#This Row],[Item]],Calories[Name],Calories[Cals])*Log[[#This Row],[Qty]])</f>
        <v>4.8</v>
      </c>
      <c r="G211" s="71">
        <f>IF(ISBLANK(Log[[#This Row],[Item]]),"",_xlfn.XLOOKUP(Log[[#This Row],[Item]],Calories[Name],Calories[Carbs])*Log[[#This Row],[Qty]])</f>
        <v>1.1000000000000001</v>
      </c>
      <c r="H211" s="71">
        <f>IF(ISBLANK(Log[[#This Row],[Item]]),"",_xlfn.XLOOKUP(Log[[#This Row],[Item]],Calories[Name],Calories[Fibre])*Log[[#This Row],[Qty]])</f>
        <v>0.4</v>
      </c>
      <c r="I211" s="71">
        <f>IF(ISBLANK(Log[[#This Row],[Item]]),"",(Log[[#This Row],[Carbs]]-Log[[#This Row],[Fibre]]))</f>
        <v>0.70000000000000007</v>
      </c>
      <c r="J211" s="103">
        <f>IF(ISBLANK(Log[[#This Row],[Item]]),"",_xlfn.XLOOKUP(Log[[#This Row],[Item]],Calories[Name],Calories[Sodium])*Log[[#This Row],[Qty]])</f>
        <v>2.4</v>
      </c>
      <c r="K211" s="71">
        <f>IF(ISBLANK(Log[[#This Row],[Item]]),"",_xlfn.XLOOKUP(Log[[#This Row],[Item]],Calories[Name],Calories[Protein])*Log[[#This Row],[Qty]])</f>
        <v>0.3</v>
      </c>
      <c r="L211" s="71">
        <f>IF(ISBLANK(Log[[#This Row],[Item]]),"",_xlfn.XLOOKUP(Log[[#This Row],[Item]],Calories[Name],Calories[Chol.])*Log[[#This Row],[Qty]])</f>
        <v>0</v>
      </c>
      <c r="M211" s="75"/>
      <c r="N211" s="75"/>
      <c r="O211" s="75"/>
    </row>
    <row r="212" spans="1:15" s="66" customFormat="1" ht="25.15" customHeight="1">
      <c r="A212" s="75"/>
      <c r="B212" s="98">
        <v>44819</v>
      </c>
      <c r="C212" s="78" t="s">
        <v>36</v>
      </c>
      <c r="D212" s="79">
        <v>1</v>
      </c>
      <c r="E212" s="76" t="str">
        <f>IF(ISBLANK(Log[[#This Row],[Item]]),"",_xlfn.XLOOKUP(Log[[#This Row],[Item]],Calories[Name],Calories[Unit]))</f>
        <v>ea</v>
      </c>
      <c r="F212" s="65">
        <f>IF(ISBLANK(Log[[#This Row],[Item]]),"",_xlfn.XLOOKUP(Log[[#This Row],[Item]],Calories[Name],Calories[Cals])*Log[[#This Row],[Qty]])</f>
        <v>240</v>
      </c>
      <c r="G212" s="71">
        <f>IF(ISBLANK(Log[[#This Row],[Item]]),"",_xlfn.XLOOKUP(Log[[#This Row],[Item]],Calories[Name],Calories[Carbs])*Log[[#This Row],[Qty]])</f>
        <v>13</v>
      </c>
      <c r="H212" s="71">
        <f>IF(ISBLANK(Log[[#This Row],[Item]]),"",_xlfn.XLOOKUP(Log[[#This Row],[Item]],Calories[Name],Calories[Fibre])*Log[[#This Row],[Qty]])</f>
        <v>10</v>
      </c>
      <c r="I212" s="71">
        <f>IF(ISBLANK(Log[[#This Row],[Item]]),"",(Log[[#This Row],[Carbs]]-Log[[#This Row],[Fibre]]))</f>
        <v>3</v>
      </c>
      <c r="J212" s="103">
        <f>IF(ISBLANK(Log[[#This Row],[Item]]),"",_xlfn.XLOOKUP(Log[[#This Row],[Item]],Calories[Name],Calories[Sodium])*Log[[#This Row],[Qty]])</f>
        <v>11</v>
      </c>
      <c r="K212" s="71">
        <f>IF(ISBLANK(Log[[#This Row],[Item]]),"",_xlfn.XLOOKUP(Log[[#This Row],[Item]],Calories[Name],Calories[Protein])*Log[[#This Row],[Qty]])</f>
        <v>3</v>
      </c>
      <c r="L212" s="71">
        <f>IF(ISBLANK(Log[[#This Row],[Item]]),"",_xlfn.XLOOKUP(Log[[#This Row],[Item]],Calories[Name],Calories[Chol.])*Log[[#This Row],[Qty]])</f>
        <v>0</v>
      </c>
      <c r="M212" s="75"/>
      <c r="N212" s="75"/>
      <c r="O212" s="75"/>
    </row>
    <row r="213" spans="1:15" s="66" customFormat="1" ht="25.15" customHeight="1">
      <c r="A213" s="75"/>
      <c r="B213" s="98">
        <v>44819</v>
      </c>
      <c r="C213" s="78" t="s">
        <v>45</v>
      </c>
      <c r="D213" s="79">
        <v>4</v>
      </c>
      <c r="E213" s="76" t="str">
        <f>IF(ISBLANK(Log[[#This Row],[Item]]),"",_xlfn.XLOOKUP(Log[[#This Row],[Item]],Calories[Name],Calories[Unit]))</f>
        <v>pinch</v>
      </c>
      <c r="F213" s="65">
        <f>IF(ISBLANK(Log[[#This Row],[Item]]),"",_xlfn.XLOOKUP(Log[[#This Row],[Item]],Calories[Name],Calories[Cals])*Log[[#This Row],[Qty]])</f>
        <v>0</v>
      </c>
      <c r="G213" s="71">
        <f>IF(ISBLANK(Log[[#This Row],[Item]]),"",_xlfn.XLOOKUP(Log[[#This Row],[Item]],Calories[Name],Calories[Carbs])*Log[[#This Row],[Qty]])</f>
        <v>0</v>
      </c>
      <c r="H213" s="71">
        <f>IF(ISBLANK(Log[[#This Row],[Item]]),"",_xlfn.XLOOKUP(Log[[#This Row],[Item]],Calories[Name],Calories[Fibre])*Log[[#This Row],[Qty]])</f>
        <v>0</v>
      </c>
      <c r="I213" s="71">
        <f>IF(ISBLANK(Log[[#This Row],[Item]]),"",(Log[[#This Row],[Carbs]]-Log[[#This Row],[Fibre]]))</f>
        <v>0</v>
      </c>
      <c r="J213" s="103">
        <f>IF(ISBLANK(Log[[#This Row],[Item]]),"",_xlfn.XLOOKUP(Log[[#This Row],[Item]],Calories[Name],Calories[Sodium])*Log[[#This Row],[Qty]])</f>
        <v>558.11519999999996</v>
      </c>
      <c r="K213" s="71">
        <f>IF(ISBLANK(Log[[#This Row],[Item]]),"",_xlfn.XLOOKUP(Log[[#This Row],[Item]],Calories[Name],Calories[Protein])*Log[[#This Row],[Qty]])</f>
        <v>0</v>
      </c>
      <c r="L213" s="71">
        <f>IF(ISBLANK(Log[[#This Row],[Item]]),"",_xlfn.XLOOKUP(Log[[#This Row],[Item]],Calories[Name],Calories[Chol.])*Log[[#This Row],[Qty]])</f>
        <v>0</v>
      </c>
      <c r="M213" s="75"/>
      <c r="N213" s="75"/>
      <c r="O213" s="75"/>
    </row>
    <row r="214" spans="1:15" s="66" customFormat="1" ht="25.15" customHeight="1">
      <c r="A214" s="75"/>
      <c r="B214" s="98">
        <v>44819</v>
      </c>
      <c r="C214" s="78" t="s">
        <v>28</v>
      </c>
      <c r="D214" s="79">
        <v>30</v>
      </c>
      <c r="E214" s="76" t="str">
        <f>IF(ISBLANK(Log[[#This Row],[Item]]),"",_xlfn.XLOOKUP(Log[[#This Row],[Item]],Calories[Name],Calories[Unit]))</f>
        <v>g</v>
      </c>
      <c r="F214" s="65">
        <f>IF(ISBLANK(Log[[#This Row],[Item]]),"",_xlfn.XLOOKUP(Log[[#This Row],[Item]],Calories[Name],Calories[Cals])*Log[[#This Row],[Qty]])</f>
        <v>80</v>
      </c>
      <c r="G214" s="71">
        <f>IF(ISBLANK(Log[[#This Row],[Item]]),"",_xlfn.XLOOKUP(Log[[#This Row],[Item]],Calories[Name],Calories[Carbs])*Log[[#This Row],[Qty]])</f>
        <v>0</v>
      </c>
      <c r="H214" s="71">
        <f>IF(ISBLANK(Log[[#This Row],[Item]]),"",_xlfn.XLOOKUP(Log[[#This Row],[Item]],Calories[Name],Calories[Fibre])*Log[[#This Row],[Qty]])</f>
        <v>0</v>
      </c>
      <c r="I214" s="71">
        <f>IF(ISBLANK(Log[[#This Row],[Item]]),"",(Log[[#This Row],[Carbs]]-Log[[#This Row],[Fibre]]))</f>
        <v>0</v>
      </c>
      <c r="J214" s="103">
        <f>IF(ISBLANK(Log[[#This Row],[Item]]),"",_xlfn.XLOOKUP(Log[[#This Row],[Item]],Calories[Name],Calories[Sodium])*Log[[#This Row],[Qty]])</f>
        <v>570</v>
      </c>
      <c r="K214" s="71">
        <f>IF(ISBLANK(Log[[#This Row],[Item]]),"",_xlfn.XLOOKUP(Log[[#This Row],[Item]],Calories[Name],Calories[Protein])*Log[[#This Row],[Qty]])</f>
        <v>16</v>
      </c>
      <c r="L214" s="71">
        <f>IF(ISBLANK(Log[[#This Row],[Item]]),"",_xlfn.XLOOKUP(Log[[#This Row],[Item]],Calories[Name],Calories[Chol.])*Log[[#This Row],[Qty]])</f>
        <v>40</v>
      </c>
      <c r="M214" s="75"/>
      <c r="N214" s="75"/>
      <c r="O214" s="75"/>
    </row>
    <row r="215" spans="1:15" s="66" customFormat="1" ht="25.15" customHeight="1">
      <c r="A215" s="75"/>
      <c r="B215" s="98">
        <v>44819</v>
      </c>
      <c r="C215" s="78" t="s">
        <v>73</v>
      </c>
      <c r="D215" s="79">
        <v>20</v>
      </c>
      <c r="E215" s="76" t="str">
        <f>IF(ISBLANK(Log[[#This Row],[Item]]),"",_xlfn.XLOOKUP(Log[[#This Row],[Item]],Calories[Name],Calories[Unit]))</f>
        <v>ea</v>
      </c>
      <c r="F215" s="65">
        <f>IF(ISBLANK(Log[[#This Row],[Item]]),"",_xlfn.XLOOKUP(Log[[#This Row],[Item]],Calories[Name],Calories[Cals])*Log[[#This Row],[Qty]])</f>
        <v>950</v>
      </c>
      <c r="G215" s="71">
        <f>IF(ISBLANK(Log[[#This Row],[Item]]),"",_xlfn.XLOOKUP(Log[[#This Row],[Item]],Calories[Name],Calories[Carbs])*Log[[#This Row],[Qty]])</f>
        <v>47.5</v>
      </c>
      <c r="H215" s="71">
        <f>IF(ISBLANK(Log[[#This Row],[Item]]),"",_xlfn.XLOOKUP(Log[[#This Row],[Item]],Calories[Name],Calories[Fibre])*Log[[#This Row],[Qty]])</f>
        <v>2.5</v>
      </c>
      <c r="I215" s="71">
        <f>IF(ISBLANK(Log[[#This Row],[Item]]),"",(Log[[#This Row],[Carbs]]-Log[[#This Row],[Fibre]]))</f>
        <v>45</v>
      </c>
      <c r="J215" s="103">
        <f>IF(ISBLANK(Log[[#This Row],[Item]]),"",_xlfn.XLOOKUP(Log[[#This Row],[Item]],Calories[Name],Calories[Sodium])*Log[[#This Row],[Qty]])</f>
        <v>2200</v>
      </c>
      <c r="K215" s="71">
        <f>IF(ISBLANK(Log[[#This Row],[Item]]),"",_xlfn.XLOOKUP(Log[[#This Row],[Item]],Calories[Name],Calories[Protein])*Log[[#This Row],[Qty]])</f>
        <v>55</v>
      </c>
      <c r="L215" s="71">
        <f>IF(ISBLANK(Log[[#This Row],[Item]]),"",_xlfn.XLOOKUP(Log[[#This Row],[Item]],Calories[Name],Calories[Chol.])*Log[[#This Row],[Qty]])</f>
        <v>200</v>
      </c>
      <c r="M215" s="75"/>
      <c r="N215" s="75"/>
      <c r="O215" s="75"/>
    </row>
    <row r="216" spans="1:15" s="66" customFormat="1" ht="25.15" customHeight="1">
      <c r="A216" s="75"/>
      <c r="B216" s="98">
        <v>44820</v>
      </c>
      <c r="C216" s="78" t="s">
        <v>52</v>
      </c>
      <c r="D216" s="79">
        <v>1</v>
      </c>
      <c r="E216" s="76" t="str">
        <f>IF(ISBLANK(Log[[#This Row],[Item]]),"",_xlfn.XLOOKUP(Log[[#This Row],[Item]],Calories[Name],Calories[Unit]))</f>
        <v>ea</v>
      </c>
      <c r="F216" s="65">
        <f>IF(ISBLANK(Log[[#This Row],[Item]]),"",_xlfn.XLOOKUP(Log[[#This Row],[Item]],Calories[Name],Calories[Cals])*Log[[#This Row],[Qty]])</f>
        <v>0</v>
      </c>
      <c r="G216" s="71">
        <f>IF(ISBLANK(Log[[#This Row],[Item]]),"",_xlfn.XLOOKUP(Log[[#This Row],[Item]],Calories[Name],Calories[Carbs])*Log[[#This Row],[Qty]])</f>
        <v>0</v>
      </c>
      <c r="H216" s="71">
        <f>IF(ISBLANK(Log[[#This Row],[Item]]),"",_xlfn.XLOOKUP(Log[[#This Row],[Item]],Calories[Name],Calories[Fibre])*Log[[#This Row],[Qty]])</f>
        <v>0</v>
      </c>
      <c r="I216" s="71">
        <f>IF(ISBLANK(Log[[#This Row],[Item]]),"",(Log[[#This Row],[Carbs]]-Log[[#This Row],[Fibre]]))</f>
        <v>0</v>
      </c>
      <c r="J216" s="103">
        <f>IF(ISBLANK(Log[[#This Row],[Item]]),"",_xlfn.XLOOKUP(Log[[#This Row],[Item]],Calories[Name],Calories[Sodium])*Log[[#This Row],[Qty]])</f>
        <v>0</v>
      </c>
      <c r="K216" s="71">
        <f>IF(ISBLANK(Log[[#This Row],[Item]]),"",_xlfn.XLOOKUP(Log[[#This Row],[Item]],Calories[Name],Calories[Protein])*Log[[#This Row],[Qty]])</f>
        <v>0</v>
      </c>
      <c r="L216" s="71">
        <f>IF(ISBLANK(Log[[#This Row],[Item]]),"",_xlfn.XLOOKUP(Log[[#This Row],[Item]],Calories[Name],Calories[Chol.])*Log[[#This Row],[Qty]])</f>
        <v>0</v>
      </c>
      <c r="M216" s="75"/>
      <c r="N216" s="75"/>
      <c r="O216" s="75"/>
    </row>
    <row r="217" spans="1:15" s="66" customFormat="1" ht="25.15" customHeight="1">
      <c r="A217" s="75"/>
      <c r="B217" s="98">
        <v>44820</v>
      </c>
      <c r="C217" s="78" t="s">
        <v>53</v>
      </c>
      <c r="D217" s="79">
        <v>1</v>
      </c>
      <c r="E217" s="76" t="str">
        <f>IF(ISBLANK(Log[[#This Row],[Item]]),"",_xlfn.XLOOKUP(Log[[#This Row],[Item]],Calories[Name],Calories[Unit]))</f>
        <v>ea</v>
      </c>
      <c r="F217" s="65">
        <f>IF(ISBLANK(Log[[#This Row],[Item]]),"",_xlfn.XLOOKUP(Log[[#This Row],[Item]],Calories[Name],Calories[Cals])*Log[[#This Row],[Qty]])</f>
        <v>0</v>
      </c>
      <c r="G217" s="71">
        <f>IF(ISBLANK(Log[[#This Row],[Item]]),"",_xlfn.XLOOKUP(Log[[#This Row],[Item]],Calories[Name],Calories[Carbs])*Log[[#This Row],[Qty]])</f>
        <v>0</v>
      </c>
      <c r="H217" s="71">
        <f>IF(ISBLANK(Log[[#This Row],[Item]]),"",_xlfn.XLOOKUP(Log[[#This Row],[Item]],Calories[Name],Calories[Fibre])*Log[[#This Row],[Qty]])</f>
        <v>0</v>
      </c>
      <c r="I217" s="71">
        <f>IF(ISBLANK(Log[[#This Row],[Item]]),"",(Log[[#This Row],[Carbs]]-Log[[#This Row],[Fibre]]))</f>
        <v>0</v>
      </c>
      <c r="J217" s="103">
        <f>IF(ISBLANK(Log[[#This Row],[Item]]),"",_xlfn.XLOOKUP(Log[[#This Row],[Item]],Calories[Name],Calories[Sodium])*Log[[#This Row],[Qty]])</f>
        <v>0</v>
      </c>
      <c r="K217" s="71">
        <f>IF(ISBLANK(Log[[#This Row],[Item]]),"",_xlfn.XLOOKUP(Log[[#This Row],[Item]],Calories[Name],Calories[Protein])*Log[[#This Row],[Qty]])</f>
        <v>0</v>
      </c>
      <c r="L217" s="71">
        <f>IF(ISBLANK(Log[[#This Row],[Item]]),"",_xlfn.XLOOKUP(Log[[#This Row],[Item]],Calories[Name],Calories[Chol.])*Log[[#This Row],[Qty]])</f>
        <v>0</v>
      </c>
      <c r="M217" s="75"/>
      <c r="N217" s="75"/>
      <c r="O217" s="75"/>
    </row>
    <row r="218" spans="1:15" s="66" customFormat="1" ht="25.15" customHeight="1">
      <c r="A218" s="75"/>
      <c r="B218" s="98">
        <v>44820</v>
      </c>
      <c r="C218" s="78" t="s">
        <v>54</v>
      </c>
      <c r="D218" s="79">
        <v>1</v>
      </c>
      <c r="E218" s="76" t="str">
        <f>IF(ISBLANK(Log[[#This Row],[Item]]),"",_xlfn.XLOOKUP(Log[[#This Row],[Item]],Calories[Name],Calories[Unit]))</f>
        <v>ea</v>
      </c>
      <c r="F218" s="65">
        <f>IF(ISBLANK(Log[[#This Row],[Item]]),"",_xlfn.XLOOKUP(Log[[#This Row],[Item]],Calories[Name],Calories[Cals])*Log[[#This Row],[Qty]])</f>
        <v>0</v>
      </c>
      <c r="G218" s="71">
        <f>IF(ISBLANK(Log[[#This Row],[Item]]),"",_xlfn.XLOOKUP(Log[[#This Row],[Item]],Calories[Name],Calories[Carbs])*Log[[#This Row],[Qty]])</f>
        <v>0</v>
      </c>
      <c r="H218" s="71">
        <f>IF(ISBLANK(Log[[#This Row],[Item]]),"",_xlfn.XLOOKUP(Log[[#This Row],[Item]],Calories[Name],Calories[Fibre])*Log[[#This Row],[Qty]])</f>
        <v>0</v>
      </c>
      <c r="I218" s="71">
        <f>IF(ISBLANK(Log[[#This Row],[Item]]),"",(Log[[#This Row],[Carbs]]-Log[[#This Row],[Fibre]]))</f>
        <v>0</v>
      </c>
      <c r="J218" s="103">
        <f>IF(ISBLANK(Log[[#This Row],[Item]]),"",_xlfn.XLOOKUP(Log[[#This Row],[Item]],Calories[Name],Calories[Sodium])*Log[[#This Row],[Qty]])</f>
        <v>0</v>
      </c>
      <c r="K218" s="71">
        <f>IF(ISBLANK(Log[[#This Row],[Item]]),"",_xlfn.XLOOKUP(Log[[#This Row],[Item]],Calories[Name],Calories[Protein])*Log[[#This Row],[Qty]])</f>
        <v>0</v>
      </c>
      <c r="L218" s="71">
        <f>IF(ISBLANK(Log[[#This Row],[Item]]),"",_xlfn.XLOOKUP(Log[[#This Row],[Item]],Calories[Name],Calories[Chol.])*Log[[#This Row],[Qty]])</f>
        <v>0</v>
      </c>
      <c r="M218" s="75"/>
      <c r="N218" s="75"/>
      <c r="O218" s="75"/>
    </row>
    <row r="219" spans="1:15" s="66" customFormat="1" ht="25.15" customHeight="1">
      <c r="A219" s="75"/>
      <c r="B219" s="98">
        <v>44820</v>
      </c>
      <c r="C219" s="78" t="s">
        <v>55</v>
      </c>
      <c r="D219" s="79">
        <v>1</v>
      </c>
      <c r="E219" s="76" t="str">
        <f>IF(ISBLANK(Log[[#This Row],[Item]]),"",_xlfn.XLOOKUP(Log[[#This Row],[Item]],Calories[Name],Calories[Unit]))</f>
        <v>ea</v>
      </c>
      <c r="F219" s="65">
        <f>IF(ISBLANK(Log[[#This Row],[Item]]),"",_xlfn.XLOOKUP(Log[[#This Row],[Item]],Calories[Name],Calories[Cals])*Log[[#This Row],[Qty]])</f>
        <v>0</v>
      </c>
      <c r="G219" s="71">
        <f>IF(ISBLANK(Log[[#This Row],[Item]]),"",_xlfn.XLOOKUP(Log[[#This Row],[Item]],Calories[Name],Calories[Carbs])*Log[[#This Row],[Qty]])</f>
        <v>0</v>
      </c>
      <c r="H219" s="71">
        <f>IF(ISBLANK(Log[[#This Row],[Item]]),"",_xlfn.XLOOKUP(Log[[#This Row],[Item]],Calories[Name],Calories[Fibre])*Log[[#This Row],[Qty]])</f>
        <v>0</v>
      </c>
      <c r="I219" s="71">
        <f>IF(ISBLANK(Log[[#This Row],[Item]]),"",(Log[[#This Row],[Carbs]]-Log[[#This Row],[Fibre]]))</f>
        <v>0</v>
      </c>
      <c r="J219" s="103">
        <f>IF(ISBLANK(Log[[#This Row],[Item]]),"",_xlfn.XLOOKUP(Log[[#This Row],[Item]],Calories[Name],Calories[Sodium])*Log[[#This Row],[Qty]])</f>
        <v>0</v>
      </c>
      <c r="K219" s="71">
        <f>IF(ISBLANK(Log[[#This Row],[Item]]),"",_xlfn.XLOOKUP(Log[[#This Row],[Item]],Calories[Name],Calories[Protein])*Log[[#This Row],[Qty]])</f>
        <v>0</v>
      </c>
      <c r="L219" s="71">
        <f>IF(ISBLANK(Log[[#This Row],[Item]]),"",_xlfn.XLOOKUP(Log[[#This Row],[Item]],Calories[Name],Calories[Chol.])*Log[[#This Row],[Qty]])</f>
        <v>0</v>
      </c>
      <c r="M219" s="75"/>
      <c r="N219" s="75"/>
      <c r="O219" s="75"/>
    </row>
    <row r="220" spans="1:15" s="66" customFormat="1" ht="25.15" customHeight="1">
      <c r="A220" s="75"/>
      <c r="B220" s="98">
        <v>44820</v>
      </c>
      <c r="C220" s="64" t="s">
        <v>77</v>
      </c>
      <c r="D220" s="79">
        <v>1</v>
      </c>
      <c r="E220" s="76" t="str">
        <f>IF(ISBLANK(Log[[#This Row],[Item]]),"",_xlfn.XLOOKUP(Log[[#This Row],[Item]],Calories[Name],Calories[Unit]))</f>
        <v>ea</v>
      </c>
      <c r="F220" s="65">
        <f>IF(ISBLANK(Log[[#This Row],[Item]]),"",_xlfn.XLOOKUP(Log[[#This Row],[Item]],Calories[Name],Calories[Cals])*Log[[#This Row],[Qty]])</f>
        <v>740</v>
      </c>
      <c r="G220" s="71">
        <f>IF(ISBLANK(Log[[#This Row],[Item]]),"",_xlfn.XLOOKUP(Log[[#This Row],[Item]],Calories[Name],Calories[Carbs])*Log[[#This Row],[Qty]])</f>
        <v>48</v>
      </c>
      <c r="H220" s="71">
        <f>IF(ISBLANK(Log[[#This Row],[Item]]),"",_xlfn.XLOOKUP(Log[[#This Row],[Item]],Calories[Name],Calories[Fibre])*Log[[#This Row],[Qty]])</f>
        <v>3</v>
      </c>
      <c r="I220" s="71">
        <f>IF(ISBLANK(Log[[#This Row],[Item]]),"",(Log[[#This Row],[Carbs]]-Log[[#This Row],[Fibre]]))</f>
        <v>45</v>
      </c>
      <c r="J220" s="103">
        <f>IF(ISBLANK(Log[[#This Row],[Item]]),"",_xlfn.XLOOKUP(Log[[#This Row],[Item]],Calories[Name],Calories[Sodium])*Log[[#This Row],[Qty]])</f>
        <v>1020</v>
      </c>
      <c r="K220" s="71">
        <f>IF(ISBLANK(Log[[#This Row],[Item]]),"",_xlfn.XLOOKUP(Log[[#This Row],[Item]],Calories[Name],Calories[Protein])*Log[[#This Row],[Qty]])</f>
        <v>38</v>
      </c>
      <c r="L220" s="71">
        <f>IF(ISBLANK(Log[[#This Row],[Item]]),"",_xlfn.XLOOKUP(Log[[#This Row],[Item]],Calories[Name],Calories[Chol.])*Log[[#This Row],[Qty]])</f>
        <v>115</v>
      </c>
      <c r="M220" s="75"/>
      <c r="N220" s="75"/>
      <c r="O220" s="75"/>
    </row>
    <row r="221" spans="1:15" s="66" customFormat="1" ht="25.15" customHeight="1">
      <c r="A221" s="75"/>
      <c r="B221" s="98">
        <v>44820</v>
      </c>
      <c r="C221" s="78" t="s">
        <v>73</v>
      </c>
      <c r="D221" s="79">
        <v>5</v>
      </c>
      <c r="E221" s="76" t="str">
        <f>IF(ISBLANK(Log[[#This Row],[Item]]),"",_xlfn.XLOOKUP(Log[[#This Row],[Item]],Calories[Name],Calories[Unit]))</f>
        <v>ea</v>
      </c>
      <c r="F221" s="65">
        <f>IF(ISBLANK(Log[[#This Row],[Item]]),"",_xlfn.XLOOKUP(Log[[#This Row],[Item]],Calories[Name],Calories[Cals])*Log[[#This Row],[Qty]])</f>
        <v>237.5</v>
      </c>
      <c r="G221" s="71">
        <f>IF(ISBLANK(Log[[#This Row],[Item]]),"",_xlfn.XLOOKUP(Log[[#This Row],[Item]],Calories[Name],Calories[Carbs])*Log[[#This Row],[Qty]])</f>
        <v>11.875</v>
      </c>
      <c r="H221" s="71">
        <f>IF(ISBLANK(Log[[#This Row],[Item]]),"",_xlfn.XLOOKUP(Log[[#This Row],[Item]],Calories[Name],Calories[Fibre])*Log[[#This Row],[Qty]])</f>
        <v>0.625</v>
      </c>
      <c r="I221" s="71">
        <f>IF(ISBLANK(Log[[#This Row],[Item]]),"",(Log[[#This Row],[Carbs]]-Log[[#This Row],[Fibre]]))</f>
        <v>11.25</v>
      </c>
      <c r="J221" s="103">
        <f>IF(ISBLANK(Log[[#This Row],[Item]]),"",_xlfn.XLOOKUP(Log[[#This Row],[Item]],Calories[Name],Calories[Sodium])*Log[[#This Row],[Qty]])</f>
        <v>550</v>
      </c>
      <c r="K221" s="71">
        <f>IF(ISBLANK(Log[[#This Row],[Item]]),"",_xlfn.XLOOKUP(Log[[#This Row],[Item]],Calories[Name],Calories[Protein])*Log[[#This Row],[Qty]])</f>
        <v>13.75</v>
      </c>
      <c r="L221" s="71">
        <f>IF(ISBLANK(Log[[#This Row],[Item]]),"",_xlfn.XLOOKUP(Log[[#This Row],[Item]],Calories[Name],Calories[Chol.])*Log[[#This Row],[Qty]])</f>
        <v>50</v>
      </c>
      <c r="M221" s="75"/>
      <c r="N221" s="75"/>
      <c r="O221" s="75"/>
    </row>
    <row r="222" spans="1:15" s="66" customFormat="1" ht="25.15" customHeight="1">
      <c r="A222" s="75"/>
      <c r="B222" s="98">
        <v>44820</v>
      </c>
      <c r="C222" s="78" t="s">
        <v>78</v>
      </c>
      <c r="D222" s="79">
        <v>1</v>
      </c>
      <c r="E222" s="76" t="str">
        <f>IF(ISBLANK(Log[[#This Row],[Item]]),"",_xlfn.XLOOKUP(Log[[#This Row],[Item]],Calories[Name],Calories[Unit]))</f>
        <v>can</v>
      </c>
      <c r="F222" s="65">
        <f>IF(ISBLANK(Log[[#This Row],[Item]]),"",_xlfn.XLOOKUP(Log[[#This Row],[Item]],Calories[Name],Calories[Cals])*Log[[#This Row],[Qty]])</f>
        <v>170</v>
      </c>
      <c r="G222" s="71">
        <f>IF(ISBLANK(Log[[#This Row],[Item]]),"",_xlfn.XLOOKUP(Log[[#This Row],[Item]],Calories[Name],Calories[Carbs])*Log[[#This Row],[Qty]])</f>
        <v>0</v>
      </c>
      <c r="H222" s="71">
        <f>IF(ISBLANK(Log[[#This Row],[Item]]),"",_xlfn.XLOOKUP(Log[[#This Row],[Item]],Calories[Name],Calories[Fibre])*Log[[#This Row],[Qty]])</f>
        <v>0</v>
      </c>
      <c r="I222" s="71">
        <f>IF(ISBLANK(Log[[#This Row],[Item]]),"",(Log[[#This Row],[Carbs]]-Log[[#This Row],[Fibre]]))</f>
        <v>0</v>
      </c>
      <c r="J222" s="103">
        <f>IF(ISBLANK(Log[[#This Row],[Item]]),"",_xlfn.XLOOKUP(Log[[#This Row],[Item]],Calories[Name],Calories[Sodium])*Log[[#This Row],[Qty]])</f>
        <v>270</v>
      </c>
      <c r="K222" s="71">
        <f>IF(ISBLANK(Log[[#This Row],[Item]]),"",_xlfn.XLOOKUP(Log[[#This Row],[Item]],Calories[Name],Calories[Protein])*Log[[#This Row],[Qty]])</f>
        <v>17</v>
      </c>
      <c r="L222" s="71">
        <f>IF(ISBLANK(Log[[#This Row],[Item]]),"",_xlfn.XLOOKUP(Log[[#This Row],[Item]],Calories[Name],Calories[Chol.])*Log[[#This Row],[Qty]])</f>
        <v>100</v>
      </c>
      <c r="M222" s="75"/>
      <c r="N222" s="75"/>
      <c r="O222" s="75"/>
    </row>
    <row r="223" spans="1:15" s="66" customFormat="1" ht="25.15" customHeight="1">
      <c r="A223" s="75"/>
      <c r="B223" s="98">
        <v>44820</v>
      </c>
      <c r="C223" s="78" t="s">
        <v>79</v>
      </c>
      <c r="D223" s="79">
        <v>6</v>
      </c>
      <c r="E223" s="76" t="str">
        <f>IF(ISBLANK(Log[[#This Row],[Item]]),"",_xlfn.XLOOKUP(Log[[#This Row],[Item]],Calories[Name],Calories[Unit]))</f>
        <v>ea</v>
      </c>
      <c r="F223" s="65">
        <f>IF(ISBLANK(Log[[#This Row],[Item]]),"",_xlfn.XLOOKUP(Log[[#This Row],[Item]],Calories[Name],Calories[Cals])*Log[[#This Row],[Qty]])</f>
        <v>40</v>
      </c>
      <c r="G223" s="71">
        <f>IF(ISBLANK(Log[[#This Row],[Item]]),"",_xlfn.XLOOKUP(Log[[#This Row],[Item]],Calories[Name],Calories[Carbs])*Log[[#This Row],[Qty]])</f>
        <v>8.5</v>
      </c>
      <c r="H223" s="71">
        <f>IF(ISBLANK(Log[[#This Row],[Item]]),"",_xlfn.XLOOKUP(Log[[#This Row],[Item]],Calories[Name],Calories[Fibre])*Log[[#This Row],[Qty]])</f>
        <v>0</v>
      </c>
      <c r="I223" s="71">
        <f>IF(ISBLANK(Log[[#This Row],[Item]]),"",(Log[[#This Row],[Carbs]]-Log[[#This Row],[Fibre]]))</f>
        <v>8.5</v>
      </c>
      <c r="J223" s="103">
        <f>IF(ISBLANK(Log[[#This Row],[Item]]),"",_xlfn.XLOOKUP(Log[[#This Row],[Item]],Calories[Name],Calories[Sodium])*Log[[#This Row],[Qty]])</f>
        <v>42.5</v>
      </c>
      <c r="K223" s="71">
        <f>IF(ISBLANK(Log[[#This Row],[Item]]),"",_xlfn.XLOOKUP(Log[[#This Row],[Item]],Calories[Name],Calories[Protein])*Log[[#This Row],[Qty]])</f>
        <v>1</v>
      </c>
      <c r="L223" s="71">
        <f>IF(ISBLANK(Log[[#This Row],[Item]]),"",_xlfn.XLOOKUP(Log[[#This Row],[Item]],Calories[Name],Calories[Chol.])*Log[[#This Row],[Qty]])</f>
        <v>0</v>
      </c>
      <c r="M223" s="75"/>
      <c r="N223" s="75"/>
      <c r="O223" s="75"/>
    </row>
    <row r="224" spans="1:15" s="66" customFormat="1" ht="25.15" customHeight="1">
      <c r="A224" s="75"/>
      <c r="B224" s="98">
        <v>44821</v>
      </c>
      <c r="C224" s="78" t="s">
        <v>52</v>
      </c>
      <c r="D224" s="79">
        <v>1</v>
      </c>
      <c r="E224" s="76" t="str">
        <f>IF(ISBLANK(Log[[#This Row],[Item]]),"",_xlfn.XLOOKUP(Log[[#This Row],[Item]],Calories[Name],Calories[Unit]))</f>
        <v>ea</v>
      </c>
      <c r="F224" s="65">
        <f>IF(ISBLANK(Log[[#This Row],[Item]]),"",_xlfn.XLOOKUP(Log[[#This Row],[Item]],Calories[Name],Calories[Cals])*Log[[#This Row],[Qty]])</f>
        <v>0</v>
      </c>
      <c r="G224" s="71">
        <f>IF(ISBLANK(Log[[#This Row],[Item]]),"",_xlfn.XLOOKUP(Log[[#This Row],[Item]],Calories[Name],Calories[Carbs])*Log[[#This Row],[Qty]])</f>
        <v>0</v>
      </c>
      <c r="H224" s="71">
        <f>IF(ISBLANK(Log[[#This Row],[Item]]),"",_xlfn.XLOOKUP(Log[[#This Row],[Item]],Calories[Name],Calories[Fibre])*Log[[#This Row],[Qty]])</f>
        <v>0</v>
      </c>
      <c r="I224" s="71">
        <f>IF(ISBLANK(Log[[#This Row],[Item]]),"",(Log[[#This Row],[Carbs]]-Log[[#This Row],[Fibre]]))</f>
        <v>0</v>
      </c>
      <c r="J224" s="103">
        <f>IF(ISBLANK(Log[[#This Row],[Item]]),"",_xlfn.XLOOKUP(Log[[#This Row],[Item]],Calories[Name],Calories[Sodium])*Log[[#This Row],[Qty]])</f>
        <v>0</v>
      </c>
      <c r="K224" s="71">
        <f>IF(ISBLANK(Log[[#This Row],[Item]]),"",_xlfn.XLOOKUP(Log[[#This Row],[Item]],Calories[Name],Calories[Protein])*Log[[#This Row],[Qty]])</f>
        <v>0</v>
      </c>
      <c r="L224" s="71">
        <f>IF(ISBLANK(Log[[#This Row],[Item]]),"",_xlfn.XLOOKUP(Log[[#This Row],[Item]],Calories[Name],Calories[Chol.])*Log[[#This Row],[Qty]])</f>
        <v>0</v>
      </c>
      <c r="M224" s="75"/>
      <c r="N224" s="75"/>
      <c r="O224" s="75"/>
    </row>
    <row r="225" spans="1:15" s="66" customFormat="1" ht="25.15" customHeight="1">
      <c r="A225" s="75"/>
      <c r="B225" s="98">
        <v>44821</v>
      </c>
      <c r="C225" s="78" t="s">
        <v>53</v>
      </c>
      <c r="D225" s="79">
        <v>1</v>
      </c>
      <c r="E225" s="76" t="str">
        <f>IF(ISBLANK(Log[[#This Row],[Item]]),"",_xlfn.XLOOKUP(Log[[#This Row],[Item]],Calories[Name],Calories[Unit]))</f>
        <v>ea</v>
      </c>
      <c r="F225" s="65">
        <f>IF(ISBLANK(Log[[#This Row],[Item]]),"",_xlfn.XLOOKUP(Log[[#This Row],[Item]],Calories[Name],Calories[Cals])*Log[[#This Row],[Qty]])</f>
        <v>0</v>
      </c>
      <c r="G225" s="71">
        <f>IF(ISBLANK(Log[[#This Row],[Item]]),"",_xlfn.XLOOKUP(Log[[#This Row],[Item]],Calories[Name],Calories[Carbs])*Log[[#This Row],[Qty]])</f>
        <v>0</v>
      </c>
      <c r="H225" s="71">
        <f>IF(ISBLANK(Log[[#This Row],[Item]]),"",_xlfn.XLOOKUP(Log[[#This Row],[Item]],Calories[Name],Calories[Fibre])*Log[[#This Row],[Qty]])</f>
        <v>0</v>
      </c>
      <c r="I225" s="71">
        <f>IF(ISBLANK(Log[[#This Row],[Item]]),"",(Log[[#This Row],[Carbs]]-Log[[#This Row],[Fibre]]))</f>
        <v>0</v>
      </c>
      <c r="J225" s="103">
        <f>IF(ISBLANK(Log[[#This Row],[Item]]),"",_xlfn.XLOOKUP(Log[[#This Row],[Item]],Calories[Name],Calories[Sodium])*Log[[#This Row],[Qty]])</f>
        <v>0</v>
      </c>
      <c r="K225" s="71">
        <f>IF(ISBLANK(Log[[#This Row],[Item]]),"",_xlfn.XLOOKUP(Log[[#This Row],[Item]],Calories[Name],Calories[Protein])*Log[[#This Row],[Qty]])</f>
        <v>0</v>
      </c>
      <c r="L225" s="71">
        <f>IF(ISBLANK(Log[[#This Row],[Item]]),"",_xlfn.XLOOKUP(Log[[#This Row],[Item]],Calories[Name],Calories[Chol.])*Log[[#This Row],[Qty]])</f>
        <v>0</v>
      </c>
      <c r="M225" s="75"/>
      <c r="N225" s="75"/>
      <c r="O225" s="75"/>
    </row>
    <row r="226" spans="1:15" s="66" customFormat="1" ht="25.15" customHeight="1">
      <c r="A226" s="75"/>
      <c r="B226" s="98">
        <v>44821</v>
      </c>
      <c r="C226" s="78" t="s">
        <v>54</v>
      </c>
      <c r="D226" s="79">
        <v>1</v>
      </c>
      <c r="E226" s="76" t="str">
        <f>IF(ISBLANK(Log[[#This Row],[Item]]),"",_xlfn.XLOOKUP(Log[[#This Row],[Item]],Calories[Name],Calories[Unit]))</f>
        <v>ea</v>
      </c>
      <c r="F226" s="65">
        <f>IF(ISBLANK(Log[[#This Row],[Item]]),"",_xlfn.XLOOKUP(Log[[#This Row],[Item]],Calories[Name],Calories[Cals])*Log[[#This Row],[Qty]])</f>
        <v>0</v>
      </c>
      <c r="G226" s="71">
        <f>IF(ISBLANK(Log[[#This Row],[Item]]),"",_xlfn.XLOOKUP(Log[[#This Row],[Item]],Calories[Name],Calories[Carbs])*Log[[#This Row],[Qty]])</f>
        <v>0</v>
      </c>
      <c r="H226" s="71">
        <f>IF(ISBLANK(Log[[#This Row],[Item]]),"",_xlfn.XLOOKUP(Log[[#This Row],[Item]],Calories[Name],Calories[Fibre])*Log[[#This Row],[Qty]])</f>
        <v>0</v>
      </c>
      <c r="I226" s="71">
        <f>IF(ISBLANK(Log[[#This Row],[Item]]),"",(Log[[#This Row],[Carbs]]-Log[[#This Row],[Fibre]]))</f>
        <v>0</v>
      </c>
      <c r="J226" s="103">
        <f>IF(ISBLANK(Log[[#This Row],[Item]]),"",_xlfn.XLOOKUP(Log[[#This Row],[Item]],Calories[Name],Calories[Sodium])*Log[[#This Row],[Qty]])</f>
        <v>0</v>
      </c>
      <c r="K226" s="71">
        <f>IF(ISBLANK(Log[[#This Row],[Item]]),"",_xlfn.XLOOKUP(Log[[#This Row],[Item]],Calories[Name],Calories[Protein])*Log[[#This Row],[Qty]])</f>
        <v>0</v>
      </c>
      <c r="L226" s="71">
        <f>IF(ISBLANK(Log[[#This Row],[Item]]),"",_xlfn.XLOOKUP(Log[[#This Row],[Item]],Calories[Name],Calories[Chol.])*Log[[#This Row],[Qty]])</f>
        <v>0</v>
      </c>
      <c r="M226" s="75"/>
      <c r="N226" s="75"/>
      <c r="O226" s="75"/>
    </row>
    <row r="227" spans="1:15" s="66" customFormat="1" ht="25.15" customHeight="1">
      <c r="A227" s="75"/>
      <c r="B227" s="98">
        <v>44821</v>
      </c>
      <c r="C227" s="78" t="s">
        <v>55</v>
      </c>
      <c r="D227" s="79">
        <v>1</v>
      </c>
      <c r="E227" s="76" t="str">
        <f>IF(ISBLANK(Log[[#This Row],[Item]]),"",_xlfn.XLOOKUP(Log[[#This Row],[Item]],Calories[Name],Calories[Unit]))</f>
        <v>ea</v>
      </c>
      <c r="F227" s="65">
        <f>IF(ISBLANK(Log[[#This Row],[Item]]),"",_xlfn.XLOOKUP(Log[[#This Row],[Item]],Calories[Name],Calories[Cals])*Log[[#This Row],[Qty]])</f>
        <v>0</v>
      </c>
      <c r="G227" s="71">
        <f>IF(ISBLANK(Log[[#This Row],[Item]]),"",_xlfn.XLOOKUP(Log[[#This Row],[Item]],Calories[Name],Calories[Carbs])*Log[[#This Row],[Qty]])</f>
        <v>0</v>
      </c>
      <c r="H227" s="71">
        <f>IF(ISBLANK(Log[[#This Row],[Item]]),"",_xlfn.XLOOKUP(Log[[#This Row],[Item]],Calories[Name],Calories[Fibre])*Log[[#This Row],[Qty]])</f>
        <v>0</v>
      </c>
      <c r="I227" s="71">
        <f>IF(ISBLANK(Log[[#This Row],[Item]]),"",(Log[[#This Row],[Carbs]]-Log[[#This Row],[Fibre]]))</f>
        <v>0</v>
      </c>
      <c r="J227" s="103">
        <f>IF(ISBLANK(Log[[#This Row],[Item]]),"",_xlfn.XLOOKUP(Log[[#This Row],[Item]],Calories[Name],Calories[Sodium])*Log[[#This Row],[Qty]])</f>
        <v>0</v>
      </c>
      <c r="K227" s="71">
        <f>IF(ISBLANK(Log[[#This Row],[Item]]),"",_xlfn.XLOOKUP(Log[[#This Row],[Item]],Calories[Name],Calories[Protein])*Log[[#This Row],[Qty]])</f>
        <v>0</v>
      </c>
      <c r="L227" s="71">
        <f>IF(ISBLANK(Log[[#This Row],[Item]]),"",_xlfn.XLOOKUP(Log[[#This Row],[Item]],Calories[Name],Calories[Chol.])*Log[[#This Row],[Qty]])</f>
        <v>0</v>
      </c>
      <c r="M227" s="75"/>
      <c r="N227" s="75"/>
      <c r="O227" s="75"/>
    </row>
    <row r="228" spans="1:15" s="66" customFormat="1" ht="25.15" customHeight="1">
      <c r="A228" s="75"/>
      <c r="B228" s="98">
        <v>44821</v>
      </c>
      <c r="C228" s="78" t="s">
        <v>18</v>
      </c>
      <c r="D228" s="79">
        <v>175</v>
      </c>
      <c r="E228" s="76" t="str">
        <f>IF(ISBLANK(Log[[#This Row],[Item]]),"",_xlfn.XLOOKUP(Log[[#This Row],[Item]],Calories[Name],Calories[Unit]))</f>
        <v>g</v>
      </c>
      <c r="F228" s="65">
        <f>IF(ISBLANK(Log[[#This Row],[Item]]),"",_xlfn.XLOOKUP(Log[[#This Row],[Item]],Calories[Name],Calories[Cals])*Log[[#This Row],[Qty]])</f>
        <v>360.81460674157302</v>
      </c>
      <c r="G228" s="71">
        <f>IF(ISBLANK(Log[[#This Row],[Item]]),"",_xlfn.XLOOKUP(Log[[#This Row],[Item]],Calories[Name],Calories[Carbs])*Log[[#This Row],[Qty]])</f>
        <v>0</v>
      </c>
      <c r="H228" s="71">
        <f>IF(ISBLANK(Log[[#This Row],[Item]]),"",_xlfn.XLOOKUP(Log[[#This Row],[Item]],Calories[Name],Calories[Fibre])*Log[[#This Row],[Qty]])</f>
        <v>0</v>
      </c>
      <c r="I228" s="71">
        <f>IF(ISBLANK(Log[[#This Row],[Item]]),"",(Log[[#This Row],[Carbs]]-Log[[#This Row],[Fibre]]))</f>
        <v>0</v>
      </c>
      <c r="J228" s="103">
        <f>IF(ISBLANK(Log[[#This Row],[Item]]),"",_xlfn.XLOOKUP(Log[[#This Row],[Item]],Calories[Name],Calories[Sodium])*Log[[#This Row],[Qty]])</f>
        <v>107.16292134831461</v>
      </c>
      <c r="K228" s="71">
        <f>IF(ISBLANK(Log[[#This Row],[Item]]),"",_xlfn.XLOOKUP(Log[[#This Row],[Item]],Calories[Name],Calories[Protein])*Log[[#This Row],[Qty]])</f>
        <v>38.342696629213485</v>
      </c>
      <c r="L228" s="71">
        <f>IF(ISBLANK(Log[[#This Row],[Item]]),"",_xlfn.XLOOKUP(Log[[#This Row],[Item]],Calories[Name],Calories[Chol.])*Log[[#This Row],[Qty]])</f>
        <v>110.11235955056179</v>
      </c>
      <c r="M228" s="75"/>
      <c r="N228" s="75"/>
      <c r="O228" s="75"/>
    </row>
    <row r="229" spans="1:15" s="66" customFormat="1" ht="25.15" customHeight="1">
      <c r="A229" s="75"/>
      <c r="B229" s="98">
        <v>44821</v>
      </c>
      <c r="C229" s="78" t="s">
        <v>45</v>
      </c>
      <c r="D229" s="79">
        <v>4</v>
      </c>
      <c r="E229" s="76" t="str">
        <f>IF(ISBLANK(Log[[#This Row],[Item]]),"",_xlfn.XLOOKUP(Log[[#This Row],[Item]],Calories[Name],Calories[Unit]))</f>
        <v>pinch</v>
      </c>
      <c r="F229" s="65">
        <f>IF(ISBLANK(Log[[#This Row],[Item]]),"",_xlfn.XLOOKUP(Log[[#This Row],[Item]],Calories[Name],Calories[Cals])*Log[[#This Row],[Qty]])</f>
        <v>0</v>
      </c>
      <c r="G229" s="71">
        <f>IF(ISBLANK(Log[[#This Row],[Item]]),"",_xlfn.XLOOKUP(Log[[#This Row],[Item]],Calories[Name],Calories[Carbs])*Log[[#This Row],[Qty]])</f>
        <v>0</v>
      </c>
      <c r="H229" s="71">
        <f>IF(ISBLANK(Log[[#This Row],[Item]]),"",_xlfn.XLOOKUP(Log[[#This Row],[Item]],Calories[Name],Calories[Fibre])*Log[[#This Row],[Qty]])</f>
        <v>0</v>
      </c>
      <c r="I229" s="71">
        <f>IF(ISBLANK(Log[[#This Row],[Item]]),"",(Log[[#This Row],[Carbs]]-Log[[#This Row],[Fibre]]))</f>
        <v>0</v>
      </c>
      <c r="J229" s="103">
        <f>IF(ISBLANK(Log[[#This Row],[Item]]),"",_xlfn.XLOOKUP(Log[[#This Row],[Item]],Calories[Name],Calories[Sodium])*Log[[#This Row],[Qty]])</f>
        <v>558.11519999999996</v>
      </c>
      <c r="K229" s="71">
        <f>IF(ISBLANK(Log[[#This Row],[Item]]),"",_xlfn.XLOOKUP(Log[[#This Row],[Item]],Calories[Name],Calories[Protein])*Log[[#This Row],[Qty]])</f>
        <v>0</v>
      </c>
      <c r="L229" s="71">
        <f>IF(ISBLANK(Log[[#This Row],[Item]]),"",_xlfn.XLOOKUP(Log[[#This Row],[Item]],Calories[Name],Calories[Chol.])*Log[[#This Row],[Qty]])</f>
        <v>0</v>
      </c>
      <c r="M229" s="75"/>
      <c r="N229" s="75"/>
      <c r="O229" s="75"/>
    </row>
    <row r="230" spans="1:15" s="66" customFormat="1" ht="25.15" customHeight="1">
      <c r="A230" s="75"/>
      <c r="B230" s="98">
        <v>44821</v>
      </c>
      <c r="C230" s="78" t="s">
        <v>15</v>
      </c>
      <c r="D230" s="79">
        <v>0.25</v>
      </c>
      <c r="E230" s="76" t="str">
        <f>IF(ISBLANK(Log[[#This Row],[Item]]),"",_xlfn.XLOOKUP(Log[[#This Row],[Item]],Calories[Name],Calories[Unit]))</f>
        <v>tbsp</v>
      </c>
      <c r="F230" s="65">
        <f>IF(ISBLANK(Log[[#This Row],[Item]]),"",_xlfn.XLOOKUP(Log[[#This Row],[Item]],Calories[Name],Calories[Cals])*Log[[#This Row],[Qty]])</f>
        <v>30</v>
      </c>
      <c r="G230" s="71">
        <f>IF(ISBLANK(Log[[#This Row],[Item]]),"",_xlfn.XLOOKUP(Log[[#This Row],[Item]],Calories[Name],Calories[Carbs])*Log[[#This Row],[Qty]])</f>
        <v>0</v>
      </c>
      <c r="H230" s="71">
        <f>IF(ISBLANK(Log[[#This Row],[Item]]),"",_xlfn.XLOOKUP(Log[[#This Row],[Item]],Calories[Name],Calories[Fibre])*Log[[#This Row],[Qty]])</f>
        <v>0</v>
      </c>
      <c r="I230" s="71">
        <f>IF(ISBLANK(Log[[#This Row],[Item]]),"",(Log[[#This Row],[Carbs]]-Log[[#This Row],[Fibre]]))</f>
        <v>0</v>
      </c>
      <c r="J230" s="103">
        <f>IF(ISBLANK(Log[[#This Row],[Item]]),"",_xlfn.XLOOKUP(Log[[#This Row],[Item]],Calories[Name],Calories[Sodium])*Log[[#This Row],[Qty]])</f>
        <v>0</v>
      </c>
      <c r="K230" s="71">
        <f>IF(ISBLANK(Log[[#This Row],[Item]]),"",_xlfn.XLOOKUP(Log[[#This Row],[Item]],Calories[Name],Calories[Protein])*Log[[#This Row],[Qty]])</f>
        <v>0</v>
      </c>
      <c r="L230" s="71">
        <f>IF(ISBLANK(Log[[#This Row],[Item]]),"",_xlfn.XLOOKUP(Log[[#This Row],[Item]],Calories[Name],Calories[Chol.])*Log[[#This Row],[Qty]])</f>
        <v>0</v>
      </c>
      <c r="M230" s="75"/>
      <c r="N230" s="75"/>
      <c r="O230" s="75"/>
    </row>
    <row r="231" spans="1:15" s="66" customFormat="1" ht="25.15" customHeight="1">
      <c r="A231" s="75"/>
      <c r="B231" s="98">
        <v>44821</v>
      </c>
      <c r="C231" s="78" t="s">
        <v>79</v>
      </c>
      <c r="D231" s="79">
        <v>10</v>
      </c>
      <c r="E231" s="76" t="str">
        <f>IF(ISBLANK(Log[[#This Row],[Item]]),"",_xlfn.XLOOKUP(Log[[#This Row],[Item]],Calories[Name],Calories[Unit]))</f>
        <v>ea</v>
      </c>
      <c r="F231" s="65">
        <f>IF(ISBLANK(Log[[#This Row],[Item]]),"",_xlfn.XLOOKUP(Log[[#This Row],[Item]],Calories[Name],Calories[Cals])*Log[[#This Row],[Qty]])</f>
        <v>66.666666666666671</v>
      </c>
      <c r="G231" s="71">
        <f>IF(ISBLANK(Log[[#This Row],[Item]]),"",_xlfn.XLOOKUP(Log[[#This Row],[Item]],Calories[Name],Calories[Carbs])*Log[[#This Row],[Qty]])</f>
        <v>14.166666666666668</v>
      </c>
      <c r="H231" s="71">
        <f>IF(ISBLANK(Log[[#This Row],[Item]]),"",_xlfn.XLOOKUP(Log[[#This Row],[Item]],Calories[Name],Calories[Fibre])*Log[[#This Row],[Qty]])</f>
        <v>0</v>
      </c>
      <c r="I231" s="71">
        <f>IF(ISBLANK(Log[[#This Row],[Item]]),"",(Log[[#This Row],[Carbs]]-Log[[#This Row],[Fibre]]))</f>
        <v>14.166666666666668</v>
      </c>
      <c r="J231" s="103">
        <f>IF(ISBLANK(Log[[#This Row],[Item]]),"",_xlfn.XLOOKUP(Log[[#This Row],[Item]],Calories[Name],Calories[Sodium])*Log[[#This Row],[Qty]])</f>
        <v>70.833333333333329</v>
      </c>
      <c r="K231" s="71">
        <f>IF(ISBLANK(Log[[#This Row],[Item]]),"",_xlfn.XLOOKUP(Log[[#This Row],[Item]],Calories[Name],Calories[Protein])*Log[[#This Row],[Qty]])</f>
        <v>1.6666666666666665</v>
      </c>
      <c r="L231" s="71">
        <f>IF(ISBLANK(Log[[#This Row],[Item]]),"",_xlfn.XLOOKUP(Log[[#This Row],[Item]],Calories[Name],Calories[Chol.])*Log[[#This Row],[Qty]])</f>
        <v>0</v>
      </c>
      <c r="M231" s="75"/>
      <c r="N231" s="75"/>
      <c r="O231" s="75"/>
    </row>
    <row r="232" spans="1:15" s="66" customFormat="1" ht="25.15" customHeight="1">
      <c r="A232" s="75"/>
      <c r="B232" s="98">
        <v>44821</v>
      </c>
      <c r="C232" s="78" t="s">
        <v>18</v>
      </c>
      <c r="D232" s="79">
        <v>168</v>
      </c>
      <c r="E232" s="76" t="str">
        <f>IF(ISBLANK(Log[[#This Row],[Item]]),"",_xlfn.XLOOKUP(Log[[#This Row],[Item]],Calories[Name],Calories[Unit]))</f>
        <v>g</v>
      </c>
      <c r="F232" s="65">
        <f>IF(ISBLANK(Log[[#This Row],[Item]]),"",_xlfn.XLOOKUP(Log[[#This Row],[Item]],Calories[Name],Calories[Cals])*Log[[#This Row],[Qty]])</f>
        <v>346.38202247191009</v>
      </c>
      <c r="G232" s="71">
        <f>IF(ISBLANK(Log[[#This Row],[Item]]),"",_xlfn.XLOOKUP(Log[[#This Row],[Item]],Calories[Name],Calories[Carbs])*Log[[#This Row],[Qty]])</f>
        <v>0</v>
      </c>
      <c r="H232" s="71">
        <f>IF(ISBLANK(Log[[#This Row],[Item]]),"",_xlfn.XLOOKUP(Log[[#This Row],[Item]],Calories[Name],Calories[Fibre])*Log[[#This Row],[Qty]])</f>
        <v>0</v>
      </c>
      <c r="I232" s="71">
        <f>IF(ISBLANK(Log[[#This Row],[Item]]),"",(Log[[#This Row],[Carbs]]-Log[[#This Row],[Fibre]]))</f>
        <v>0</v>
      </c>
      <c r="J232" s="103">
        <f>IF(ISBLANK(Log[[#This Row],[Item]]),"",_xlfn.XLOOKUP(Log[[#This Row],[Item]],Calories[Name],Calories[Sodium])*Log[[#This Row],[Qty]])</f>
        <v>102.87640449438203</v>
      </c>
      <c r="K232" s="71">
        <f>IF(ISBLANK(Log[[#This Row],[Item]]),"",_xlfn.XLOOKUP(Log[[#This Row],[Item]],Calories[Name],Calories[Protein])*Log[[#This Row],[Qty]])</f>
        <v>36.808988764044948</v>
      </c>
      <c r="L232" s="71">
        <f>IF(ISBLANK(Log[[#This Row],[Item]]),"",_xlfn.XLOOKUP(Log[[#This Row],[Item]],Calories[Name],Calories[Chol.])*Log[[#This Row],[Qty]])</f>
        <v>105.70786516853933</v>
      </c>
      <c r="M232" s="75"/>
      <c r="N232" s="75"/>
      <c r="O232" s="75"/>
    </row>
    <row r="233" spans="1:15" s="66" customFormat="1" ht="25.15" customHeight="1">
      <c r="A233" s="75"/>
      <c r="B233" s="98">
        <v>44821</v>
      </c>
      <c r="C233" s="78" t="s">
        <v>25</v>
      </c>
      <c r="D233" s="79">
        <v>4</v>
      </c>
      <c r="E233" s="76" t="str">
        <f>IF(ISBLANK(Log[[#This Row],[Item]]),"",_xlfn.XLOOKUP(Log[[#This Row],[Item]],Calories[Name],Calories[Unit]))</f>
        <v>tbsp</v>
      </c>
      <c r="F233" s="65">
        <f>IF(ISBLANK(Log[[#This Row],[Item]]),"",_xlfn.XLOOKUP(Log[[#This Row],[Item]],Calories[Name],Calories[Cals])*Log[[#This Row],[Qty]])</f>
        <v>408</v>
      </c>
      <c r="G233" s="71">
        <f>IF(ISBLANK(Log[[#This Row],[Item]]),"",_xlfn.XLOOKUP(Log[[#This Row],[Item]],Calories[Name],Calories[Carbs])*Log[[#This Row],[Qty]])</f>
        <v>0</v>
      </c>
      <c r="H233" s="71">
        <f>IF(ISBLANK(Log[[#This Row],[Item]]),"",_xlfn.XLOOKUP(Log[[#This Row],[Item]],Calories[Name],Calories[Fibre])*Log[[#This Row],[Qty]])</f>
        <v>0</v>
      </c>
      <c r="I233" s="71">
        <f>IF(ISBLANK(Log[[#This Row],[Item]]),"",(Log[[#This Row],[Carbs]]-Log[[#This Row],[Fibre]]))</f>
        <v>0</v>
      </c>
      <c r="J233" s="103">
        <f>IF(ISBLANK(Log[[#This Row],[Item]]),"",_xlfn.XLOOKUP(Log[[#This Row],[Item]],Calories[Name],Calories[Sodium])*Log[[#This Row],[Qty]])</f>
        <v>360</v>
      </c>
      <c r="K233" s="71">
        <f>IF(ISBLANK(Log[[#This Row],[Item]]),"",_xlfn.XLOOKUP(Log[[#This Row],[Item]],Calories[Name],Calories[Protein])*Log[[#This Row],[Qty]])</f>
        <v>0.48</v>
      </c>
      <c r="L233" s="71">
        <f>IF(ISBLANK(Log[[#This Row],[Item]]),"",_xlfn.XLOOKUP(Log[[#This Row],[Item]],Calories[Name],Calories[Chol.])*Log[[#This Row],[Qty]])</f>
        <v>124</v>
      </c>
      <c r="M233" s="75"/>
      <c r="N233" s="75"/>
      <c r="O233" s="75"/>
    </row>
    <row r="234" spans="1:15" s="66" customFormat="1" ht="25.15" customHeight="1">
      <c r="A234" s="75"/>
      <c r="B234" s="98">
        <v>44821</v>
      </c>
      <c r="C234" s="78" t="s">
        <v>80</v>
      </c>
      <c r="D234" s="79">
        <v>0.5</v>
      </c>
      <c r="E234" s="76" t="str">
        <f>IF(ISBLANK(Log[[#This Row],[Item]]),"",_xlfn.XLOOKUP(Log[[#This Row],[Item]],Calories[Name],Calories[Unit]))</f>
        <v>c</v>
      </c>
      <c r="F234" s="65">
        <f>IF(ISBLANK(Log[[#This Row],[Item]]),"",_xlfn.XLOOKUP(Log[[#This Row],[Item]],Calories[Name],Calories[Cals])*Log[[#This Row],[Qty]])</f>
        <v>313</v>
      </c>
      <c r="G234" s="71">
        <f>IF(ISBLANK(Log[[#This Row],[Item]]),"",_xlfn.XLOOKUP(Log[[#This Row],[Item]],Calories[Name],Calories[Carbs])*Log[[#This Row],[Qty]])</f>
        <v>54.5</v>
      </c>
      <c r="H234" s="71">
        <f>IF(ISBLANK(Log[[#This Row],[Item]]),"",_xlfn.XLOOKUP(Log[[#This Row],[Item]],Calories[Name],Calories[Fibre])*Log[[#This Row],[Qty]])</f>
        <v>6</v>
      </c>
      <c r="I234" s="71">
        <f>IF(ISBLANK(Log[[#This Row],[Item]]),"",(Log[[#This Row],[Carbs]]-Log[[#This Row],[Fibre]]))</f>
        <v>48.5</v>
      </c>
      <c r="J234" s="103">
        <f>IF(ISBLANK(Log[[#This Row],[Item]]),"",_xlfn.XLOOKUP(Log[[#This Row],[Item]],Calories[Name],Calories[Sodium])*Log[[#This Row],[Qty]])</f>
        <v>4.25</v>
      </c>
      <c r="K234" s="71">
        <f>IF(ISBLANK(Log[[#This Row],[Item]]),"",_xlfn.XLOOKUP(Log[[#This Row],[Item]],Calories[Name],Calories[Protein])*Log[[#This Row],[Qty]])</f>
        <v>12</v>
      </c>
      <c r="L234" s="71">
        <f>IF(ISBLANK(Log[[#This Row],[Item]]),"",_xlfn.XLOOKUP(Log[[#This Row],[Item]],Calories[Name],Calories[Chol.])*Log[[#This Row],[Qty]])</f>
        <v>0</v>
      </c>
      <c r="M234" s="75"/>
      <c r="N234" s="75"/>
      <c r="O234" s="75"/>
    </row>
    <row r="235" spans="1:15" s="66" customFormat="1" ht="25.15" customHeight="1">
      <c r="A235" s="75"/>
      <c r="B235" s="98">
        <v>44821</v>
      </c>
      <c r="C235" s="78" t="s">
        <v>15</v>
      </c>
      <c r="D235" s="79">
        <v>3</v>
      </c>
      <c r="E235" s="76" t="str">
        <f>IF(ISBLANK(Log[[#This Row],[Item]]),"",_xlfn.XLOOKUP(Log[[#This Row],[Item]],Calories[Name],Calories[Unit]))</f>
        <v>tbsp</v>
      </c>
      <c r="F235" s="65">
        <f>IF(ISBLANK(Log[[#This Row],[Item]]),"",_xlfn.XLOOKUP(Log[[#This Row],[Item]],Calories[Name],Calories[Cals])*Log[[#This Row],[Qty]])</f>
        <v>360</v>
      </c>
      <c r="G235" s="71">
        <f>IF(ISBLANK(Log[[#This Row],[Item]]),"",_xlfn.XLOOKUP(Log[[#This Row],[Item]],Calories[Name],Calories[Carbs])*Log[[#This Row],[Qty]])</f>
        <v>0</v>
      </c>
      <c r="H235" s="71">
        <f>IF(ISBLANK(Log[[#This Row],[Item]]),"",_xlfn.XLOOKUP(Log[[#This Row],[Item]],Calories[Name],Calories[Fibre])*Log[[#This Row],[Qty]])</f>
        <v>0</v>
      </c>
      <c r="I235" s="71">
        <f>IF(ISBLANK(Log[[#This Row],[Item]]),"",(Log[[#This Row],[Carbs]]-Log[[#This Row],[Fibre]]))</f>
        <v>0</v>
      </c>
      <c r="J235" s="103">
        <f>IF(ISBLANK(Log[[#This Row],[Item]]),"",_xlfn.XLOOKUP(Log[[#This Row],[Item]],Calories[Name],Calories[Sodium])*Log[[#This Row],[Qty]])</f>
        <v>0</v>
      </c>
      <c r="K235" s="71">
        <f>IF(ISBLANK(Log[[#This Row],[Item]]),"",_xlfn.XLOOKUP(Log[[#This Row],[Item]],Calories[Name],Calories[Protein])*Log[[#This Row],[Qty]])</f>
        <v>0</v>
      </c>
      <c r="L235" s="71">
        <f>IF(ISBLANK(Log[[#This Row],[Item]]),"",_xlfn.XLOOKUP(Log[[#This Row],[Item]],Calories[Name],Calories[Chol.])*Log[[#This Row],[Qty]])</f>
        <v>0</v>
      </c>
      <c r="M235" s="75"/>
      <c r="N235" s="75"/>
      <c r="O235" s="75"/>
    </row>
    <row r="236" spans="1:15" s="66" customFormat="1" ht="25.15" customHeight="1">
      <c r="A236" s="75"/>
      <c r="B236" s="98">
        <v>44821</v>
      </c>
      <c r="C236" s="78" t="s">
        <v>81</v>
      </c>
      <c r="D236" s="79">
        <v>1</v>
      </c>
      <c r="E236" s="76" t="str">
        <f>IF(ISBLANK(Log[[#This Row],[Item]]),"",_xlfn.XLOOKUP(Log[[#This Row],[Item]],Calories[Name],Calories[Unit]))</f>
        <v>c</v>
      </c>
      <c r="F236" s="65">
        <f>IF(ISBLANK(Log[[#This Row],[Item]]),"",_xlfn.XLOOKUP(Log[[#This Row],[Item]],Calories[Name],Calories[Cals])*Log[[#This Row],[Qty]])</f>
        <v>5.5</v>
      </c>
      <c r="G236" s="71">
        <f>IF(ISBLANK(Log[[#This Row],[Item]]),"",_xlfn.XLOOKUP(Log[[#This Row],[Item]],Calories[Name],Calories[Carbs])*Log[[#This Row],[Qty]])</f>
        <v>0.6</v>
      </c>
      <c r="H236" s="71">
        <f>IF(ISBLANK(Log[[#This Row],[Item]]),"",_xlfn.XLOOKUP(Log[[#This Row],[Item]],Calories[Name],Calories[Fibre])*Log[[#This Row],[Qty]])</f>
        <v>0.4</v>
      </c>
      <c r="I236" s="71">
        <f>IF(ISBLANK(Log[[#This Row],[Item]]),"",(Log[[#This Row],[Carbs]]-Log[[#This Row],[Fibre]]))</f>
        <v>0.19999999999999996</v>
      </c>
      <c r="J236" s="103">
        <f>IF(ISBLANK(Log[[#This Row],[Item]]),"",_xlfn.XLOOKUP(Log[[#This Row],[Item]],Calories[Name],Calories[Sodium])*Log[[#This Row],[Qty]])</f>
        <v>1</v>
      </c>
      <c r="K236" s="71">
        <f>IF(ISBLANK(Log[[#This Row],[Item]]),"",_xlfn.XLOOKUP(Log[[#This Row],[Item]],Calories[Name],Calories[Protein])*Log[[#This Row],[Qty]])</f>
        <v>0.8</v>
      </c>
      <c r="L236" s="71">
        <f>IF(ISBLANK(Log[[#This Row],[Item]]),"",_xlfn.XLOOKUP(Log[[#This Row],[Item]],Calories[Name],Calories[Chol.])*Log[[#This Row],[Qty]])</f>
        <v>1</v>
      </c>
      <c r="M236" s="75"/>
      <c r="N236" s="75"/>
      <c r="O236" s="75"/>
    </row>
    <row r="237" spans="1:15" s="66" customFormat="1" ht="25.15" customHeight="1">
      <c r="A237" s="75"/>
      <c r="B237" s="98">
        <v>44821</v>
      </c>
      <c r="C237" s="78" t="s">
        <v>47</v>
      </c>
      <c r="D237" s="79">
        <v>1</v>
      </c>
      <c r="E237" s="76" t="str">
        <f>IF(ISBLANK(Log[[#This Row],[Item]]),"",_xlfn.XLOOKUP(Log[[#This Row],[Item]],Calories[Name],Calories[Unit]))</f>
        <v>can</v>
      </c>
      <c r="F237" s="65">
        <f>IF(ISBLANK(Log[[#This Row],[Item]]),"",_xlfn.XLOOKUP(Log[[#This Row],[Item]],Calories[Name],Calories[Cals])*Log[[#This Row],[Qty]])</f>
        <v>130</v>
      </c>
      <c r="G237" s="71">
        <f>IF(ISBLANK(Log[[#This Row],[Item]]),"",_xlfn.XLOOKUP(Log[[#This Row],[Item]],Calories[Name],Calories[Carbs])*Log[[#This Row],[Qty]])</f>
        <v>2</v>
      </c>
      <c r="H237" s="71">
        <f>IF(ISBLANK(Log[[#This Row],[Item]]),"",_xlfn.XLOOKUP(Log[[#This Row],[Item]],Calories[Name],Calories[Fibre])*Log[[#This Row],[Qty]])</f>
        <v>0</v>
      </c>
      <c r="I237" s="71">
        <f>IF(ISBLANK(Log[[#This Row],[Item]]),"",(Log[[#This Row],[Carbs]]-Log[[#This Row],[Fibre]]))</f>
        <v>2</v>
      </c>
      <c r="J237" s="103">
        <f>IF(ISBLANK(Log[[#This Row],[Item]]),"",_xlfn.XLOOKUP(Log[[#This Row],[Item]],Calories[Name],Calories[Sodium])*Log[[#This Row],[Qty]])</f>
        <v>210</v>
      </c>
      <c r="K237" s="71">
        <f>IF(ISBLANK(Log[[#This Row],[Item]]),"",_xlfn.XLOOKUP(Log[[#This Row],[Item]],Calories[Name],Calories[Protein])*Log[[#This Row],[Qty]])</f>
        <v>13</v>
      </c>
      <c r="L237" s="71">
        <f>IF(ISBLANK(Log[[#This Row],[Item]]),"",_xlfn.XLOOKUP(Log[[#This Row],[Item]],Calories[Name],Calories[Chol.])*Log[[#This Row],[Qty]])</f>
        <v>75</v>
      </c>
      <c r="M237" s="75"/>
      <c r="N237" s="75"/>
      <c r="O237" s="75"/>
    </row>
    <row r="238" spans="1:15" s="66" customFormat="1" ht="25.15" customHeight="1">
      <c r="A238" s="75"/>
      <c r="B238" s="98">
        <v>44821</v>
      </c>
      <c r="C238" s="78" t="s">
        <v>82</v>
      </c>
      <c r="D238" s="79">
        <v>1</v>
      </c>
      <c r="E238" s="76" t="str">
        <f>IF(ISBLANK(Log[[#This Row],[Item]]),"",_xlfn.XLOOKUP(Log[[#This Row],[Item]],Calories[Name],Calories[Unit]))</f>
        <v>10 chip</v>
      </c>
      <c r="F238" s="65">
        <f>IF(ISBLANK(Log[[#This Row],[Item]]),"",_xlfn.XLOOKUP(Log[[#This Row],[Item]],Calories[Name],Calories[Cals])*Log[[#This Row],[Qty]])</f>
        <v>127.27272727272727</v>
      </c>
      <c r="G238" s="71">
        <f>IF(ISBLANK(Log[[#This Row],[Item]]),"",_xlfn.XLOOKUP(Log[[#This Row],[Item]],Calories[Name],Calories[Carbs])*Log[[#This Row],[Qty]])</f>
        <v>14.545454545454547</v>
      </c>
      <c r="H238" s="71">
        <f>IF(ISBLANK(Log[[#This Row],[Item]]),"",_xlfn.XLOOKUP(Log[[#This Row],[Item]],Calories[Name],Calories[Fibre])*Log[[#This Row],[Qty]])</f>
        <v>0.90909090909090917</v>
      </c>
      <c r="I238" s="71">
        <f>IF(ISBLANK(Log[[#This Row],[Item]]),"",(Log[[#This Row],[Carbs]]-Log[[#This Row],[Fibre]]))</f>
        <v>13.636363636363637</v>
      </c>
      <c r="J238" s="103">
        <f>IF(ISBLANK(Log[[#This Row],[Item]]),"",_xlfn.XLOOKUP(Log[[#This Row],[Item]],Calories[Name],Calories[Sodium])*Log[[#This Row],[Qty]])</f>
        <v>190.90909090909091</v>
      </c>
      <c r="K238" s="71">
        <f>IF(ISBLANK(Log[[#This Row],[Item]]),"",_xlfn.XLOOKUP(Log[[#This Row],[Item]],Calories[Name],Calories[Protein])*Log[[#This Row],[Qty]])</f>
        <v>1.8181818181818183</v>
      </c>
      <c r="L238" s="71">
        <f>IF(ISBLANK(Log[[#This Row],[Item]]),"",_xlfn.XLOOKUP(Log[[#This Row],[Item]],Calories[Name],Calories[Chol.])*Log[[#This Row],[Qty]])</f>
        <v>0</v>
      </c>
      <c r="M238" s="75"/>
      <c r="N238" s="75"/>
      <c r="O238" s="75"/>
    </row>
    <row r="239" spans="1:15" s="66" customFormat="1" ht="25.15" customHeight="1">
      <c r="A239" s="75"/>
      <c r="B239" s="98">
        <v>44822</v>
      </c>
      <c r="C239" s="78" t="s">
        <v>52</v>
      </c>
      <c r="D239" s="79">
        <v>1</v>
      </c>
      <c r="E239" s="76" t="str">
        <f>IF(ISBLANK(Log[[#This Row],[Item]]),"",_xlfn.XLOOKUP(Log[[#This Row],[Item]],Calories[Name],Calories[Unit]))</f>
        <v>ea</v>
      </c>
      <c r="F239" s="65">
        <f>IF(ISBLANK(Log[[#This Row],[Item]]),"",_xlfn.XLOOKUP(Log[[#This Row],[Item]],Calories[Name],Calories[Cals])*Log[[#This Row],[Qty]])</f>
        <v>0</v>
      </c>
      <c r="G239" s="71">
        <f>IF(ISBLANK(Log[[#This Row],[Item]]),"",_xlfn.XLOOKUP(Log[[#This Row],[Item]],Calories[Name],Calories[Carbs])*Log[[#This Row],[Qty]])</f>
        <v>0</v>
      </c>
      <c r="H239" s="71">
        <f>IF(ISBLANK(Log[[#This Row],[Item]]),"",_xlfn.XLOOKUP(Log[[#This Row],[Item]],Calories[Name],Calories[Fibre])*Log[[#This Row],[Qty]])</f>
        <v>0</v>
      </c>
      <c r="I239" s="71">
        <f>IF(ISBLANK(Log[[#This Row],[Item]]),"",(Log[[#This Row],[Carbs]]-Log[[#This Row],[Fibre]]))</f>
        <v>0</v>
      </c>
      <c r="J239" s="103">
        <f>IF(ISBLANK(Log[[#This Row],[Item]]),"",_xlfn.XLOOKUP(Log[[#This Row],[Item]],Calories[Name],Calories[Sodium])*Log[[#This Row],[Qty]])</f>
        <v>0</v>
      </c>
      <c r="K239" s="71">
        <f>IF(ISBLANK(Log[[#This Row],[Item]]),"",_xlfn.XLOOKUP(Log[[#This Row],[Item]],Calories[Name],Calories[Protein])*Log[[#This Row],[Qty]])</f>
        <v>0</v>
      </c>
      <c r="L239" s="71">
        <f>IF(ISBLANK(Log[[#This Row],[Item]]),"",_xlfn.XLOOKUP(Log[[#This Row],[Item]],Calories[Name],Calories[Chol.])*Log[[#This Row],[Qty]])</f>
        <v>0</v>
      </c>
      <c r="M239" s="75"/>
      <c r="N239" s="75"/>
      <c r="O239" s="75"/>
    </row>
    <row r="240" spans="1:15" s="66" customFormat="1" ht="25.15" customHeight="1">
      <c r="A240" s="75"/>
      <c r="B240" s="98">
        <v>44822</v>
      </c>
      <c r="C240" s="78" t="s">
        <v>53</v>
      </c>
      <c r="D240" s="79">
        <v>1</v>
      </c>
      <c r="E240" s="76" t="str">
        <f>IF(ISBLANK(Log[[#This Row],[Item]]),"",_xlfn.XLOOKUP(Log[[#This Row],[Item]],Calories[Name],Calories[Unit]))</f>
        <v>ea</v>
      </c>
      <c r="F240" s="65">
        <f>IF(ISBLANK(Log[[#This Row],[Item]]),"",_xlfn.XLOOKUP(Log[[#This Row],[Item]],Calories[Name],Calories[Cals])*Log[[#This Row],[Qty]])</f>
        <v>0</v>
      </c>
      <c r="G240" s="71">
        <f>IF(ISBLANK(Log[[#This Row],[Item]]),"",_xlfn.XLOOKUP(Log[[#This Row],[Item]],Calories[Name],Calories[Carbs])*Log[[#This Row],[Qty]])</f>
        <v>0</v>
      </c>
      <c r="H240" s="71">
        <f>IF(ISBLANK(Log[[#This Row],[Item]]),"",_xlfn.XLOOKUP(Log[[#This Row],[Item]],Calories[Name],Calories[Fibre])*Log[[#This Row],[Qty]])</f>
        <v>0</v>
      </c>
      <c r="I240" s="71">
        <f>IF(ISBLANK(Log[[#This Row],[Item]]),"",(Log[[#This Row],[Carbs]]-Log[[#This Row],[Fibre]]))</f>
        <v>0</v>
      </c>
      <c r="J240" s="103">
        <f>IF(ISBLANK(Log[[#This Row],[Item]]),"",_xlfn.XLOOKUP(Log[[#This Row],[Item]],Calories[Name],Calories[Sodium])*Log[[#This Row],[Qty]])</f>
        <v>0</v>
      </c>
      <c r="K240" s="71">
        <f>IF(ISBLANK(Log[[#This Row],[Item]]),"",_xlfn.XLOOKUP(Log[[#This Row],[Item]],Calories[Name],Calories[Protein])*Log[[#This Row],[Qty]])</f>
        <v>0</v>
      </c>
      <c r="L240" s="71">
        <f>IF(ISBLANK(Log[[#This Row],[Item]]),"",_xlfn.XLOOKUP(Log[[#This Row],[Item]],Calories[Name],Calories[Chol.])*Log[[#This Row],[Qty]])</f>
        <v>0</v>
      </c>
      <c r="M240" s="75"/>
      <c r="N240" s="75"/>
      <c r="O240" s="75"/>
    </row>
    <row r="241" spans="1:15" s="66" customFormat="1" ht="25.15" customHeight="1">
      <c r="A241" s="75"/>
      <c r="B241" s="98">
        <v>44822</v>
      </c>
      <c r="C241" s="78" t="s">
        <v>54</v>
      </c>
      <c r="D241" s="79">
        <v>1</v>
      </c>
      <c r="E241" s="76" t="str">
        <f>IF(ISBLANK(Log[[#This Row],[Item]]),"",_xlfn.XLOOKUP(Log[[#This Row],[Item]],Calories[Name],Calories[Unit]))</f>
        <v>ea</v>
      </c>
      <c r="F241" s="65">
        <f>IF(ISBLANK(Log[[#This Row],[Item]]),"",_xlfn.XLOOKUP(Log[[#This Row],[Item]],Calories[Name],Calories[Cals])*Log[[#This Row],[Qty]])</f>
        <v>0</v>
      </c>
      <c r="G241" s="71">
        <f>IF(ISBLANK(Log[[#This Row],[Item]]),"",_xlfn.XLOOKUP(Log[[#This Row],[Item]],Calories[Name],Calories[Carbs])*Log[[#This Row],[Qty]])</f>
        <v>0</v>
      </c>
      <c r="H241" s="71">
        <f>IF(ISBLANK(Log[[#This Row],[Item]]),"",_xlfn.XLOOKUP(Log[[#This Row],[Item]],Calories[Name],Calories[Fibre])*Log[[#This Row],[Qty]])</f>
        <v>0</v>
      </c>
      <c r="I241" s="71">
        <f>IF(ISBLANK(Log[[#This Row],[Item]]),"",(Log[[#This Row],[Carbs]]-Log[[#This Row],[Fibre]]))</f>
        <v>0</v>
      </c>
      <c r="J241" s="103">
        <f>IF(ISBLANK(Log[[#This Row],[Item]]),"",_xlfn.XLOOKUP(Log[[#This Row],[Item]],Calories[Name],Calories[Sodium])*Log[[#This Row],[Qty]])</f>
        <v>0</v>
      </c>
      <c r="K241" s="71">
        <f>IF(ISBLANK(Log[[#This Row],[Item]]),"",_xlfn.XLOOKUP(Log[[#This Row],[Item]],Calories[Name],Calories[Protein])*Log[[#This Row],[Qty]])</f>
        <v>0</v>
      </c>
      <c r="L241" s="71">
        <f>IF(ISBLANK(Log[[#This Row],[Item]]),"",_xlfn.XLOOKUP(Log[[#This Row],[Item]],Calories[Name],Calories[Chol.])*Log[[#This Row],[Qty]])</f>
        <v>0</v>
      </c>
      <c r="M241" s="75"/>
      <c r="N241" s="75"/>
      <c r="O241" s="75"/>
    </row>
    <row r="242" spans="1:15" s="66" customFormat="1" ht="25.15" customHeight="1">
      <c r="A242" s="75"/>
      <c r="B242" s="98">
        <v>44822</v>
      </c>
      <c r="C242" s="78" t="s">
        <v>55</v>
      </c>
      <c r="D242" s="79">
        <v>1</v>
      </c>
      <c r="E242" s="76" t="str">
        <f>IF(ISBLANK(Log[[#This Row],[Item]]),"",_xlfn.XLOOKUP(Log[[#This Row],[Item]],Calories[Name],Calories[Unit]))</f>
        <v>ea</v>
      </c>
      <c r="F242" s="65">
        <f>IF(ISBLANK(Log[[#This Row],[Item]]),"",_xlfn.XLOOKUP(Log[[#This Row],[Item]],Calories[Name],Calories[Cals])*Log[[#This Row],[Qty]])</f>
        <v>0</v>
      </c>
      <c r="G242" s="71">
        <f>IF(ISBLANK(Log[[#This Row],[Item]]),"",_xlfn.XLOOKUP(Log[[#This Row],[Item]],Calories[Name],Calories[Carbs])*Log[[#This Row],[Qty]])</f>
        <v>0</v>
      </c>
      <c r="H242" s="71">
        <f>IF(ISBLANK(Log[[#This Row],[Item]]),"",_xlfn.XLOOKUP(Log[[#This Row],[Item]],Calories[Name],Calories[Fibre])*Log[[#This Row],[Qty]])</f>
        <v>0</v>
      </c>
      <c r="I242" s="71">
        <f>IF(ISBLANK(Log[[#This Row],[Item]]),"",(Log[[#This Row],[Carbs]]-Log[[#This Row],[Fibre]]))</f>
        <v>0</v>
      </c>
      <c r="J242" s="103">
        <f>IF(ISBLANK(Log[[#This Row],[Item]]),"",_xlfn.XLOOKUP(Log[[#This Row],[Item]],Calories[Name],Calories[Sodium])*Log[[#This Row],[Qty]])</f>
        <v>0</v>
      </c>
      <c r="K242" s="71">
        <f>IF(ISBLANK(Log[[#This Row],[Item]]),"",_xlfn.XLOOKUP(Log[[#This Row],[Item]],Calories[Name],Calories[Protein])*Log[[#This Row],[Qty]])</f>
        <v>0</v>
      </c>
      <c r="L242" s="71">
        <f>IF(ISBLANK(Log[[#This Row],[Item]]),"",_xlfn.XLOOKUP(Log[[#This Row],[Item]],Calories[Name],Calories[Chol.])*Log[[#This Row],[Qty]])</f>
        <v>0</v>
      </c>
      <c r="M242" s="75"/>
      <c r="N242" s="75"/>
      <c r="O242" s="75"/>
    </row>
    <row r="243" spans="1:15" s="66" customFormat="1" ht="25.15" customHeight="1">
      <c r="A243" s="75"/>
      <c r="B243" s="98">
        <v>44822</v>
      </c>
      <c r="C243" s="78" t="s">
        <v>83</v>
      </c>
      <c r="D243" s="79">
        <v>225</v>
      </c>
      <c r="E243" s="76" t="str">
        <f>IF(ISBLANK(Log[[#This Row],[Item]]),"",_xlfn.XLOOKUP(Log[[#This Row],[Item]],Calories[Name],Calories[Unit]))</f>
        <v>g</v>
      </c>
      <c r="F243" s="65">
        <f>IF(ISBLANK(Log[[#This Row],[Item]]),"",_xlfn.XLOOKUP(Log[[#This Row],[Item]],Calories[Name],Calories[Cals])*Log[[#This Row],[Qty]])</f>
        <v>156.17647058823528</v>
      </c>
      <c r="G243" s="71">
        <f>IF(ISBLANK(Log[[#This Row],[Item]]),"",_xlfn.XLOOKUP(Log[[#This Row],[Item]],Calories[Name],Calories[Carbs])*Log[[#This Row],[Qty]])</f>
        <v>7.147058823529413</v>
      </c>
      <c r="H243" s="71">
        <f>IF(ISBLANK(Log[[#This Row],[Item]]),"",_xlfn.XLOOKUP(Log[[#This Row],[Item]],Calories[Name],Calories[Fibre])*Log[[#This Row],[Qty]])</f>
        <v>0</v>
      </c>
      <c r="I243" s="71">
        <f>IF(ISBLANK(Log[[#This Row],[Item]]),"",(Log[[#This Row],[Carbs]]-Log[[#This Row],[Fibre]]))</f>
        <v>7.147058823529413</v>
      </c>
      <c r="J243" s="103">
        <f>IF(ISBLANK(Log[[#This Row],[Item]]),"",_xlfn.XLOOKUP(Log[[#This Row],[Item]],Calories[Name],Calories[Sodium])*Log[[#This Row],[Qty]])</f>
        <v>881.47058823529403</v>
      </c>
      <c r="K243" s="71">
        <f>IF(ISBLANK(Log[[#This Row],[Item]]),"",_xlfn.XLOOKUP(Log[[#This Row],[Item]],Calories[Name],Calories[Protein])*Log[[#This Row],[Qty]])</f>
        <v>26.470588235294116</v>
      </c>
      <c r="L243" s="71">
        <f>IF(ISBLANK(Log[[#This Row],[Item]]),"",_xlfn.XLOOKUP(Log[[#This Row],[Item]],Calories[Name],Calories[Chol.])*Log[[#This Row],[Qty]])</f>
        <v>52.941176470588232</v>
      </c>
      <c r="M243" s="75"/>
      <c r="N243" s="75"/>
      <c r="O243" s="75"/>
    </row>
    <row r="244" spans="1:15" s="66" customFormat="1" ht="25.15" customHeight="1">
      <c r="A244" s="75"/>
      <c r="B244" s="98">
        <v>44822</v>
      </c>
      <c r="C244" s="78" t="s">
        <v>25</v>
      </c>
      <c r="D244" s="79">
        <v>1.5</v>
      </c>
      <c r="E244" s="76" t="str">
        <f>IF(ISBLANK(Log[[#This Row],[Item]]),"",_xlfn.XLOOKUP(Log[[#This Row],[Item]],Calories[Name],Calories[Unit]))</f>
        <v>tbsp</v>
      </c>
      <c r="F244" s="65">
        <f>IF(ISBLANK(Log[[#This Row],[Item]]),"",_xlfn.XLOOKUP(Log[[#This Row],[Item]],Calories[Name],Calories[Cals])*Log[[#This Row],[Qty]])</f>
        <v>153</v>
      </c>
      <c r="G244" s="71">
        <f>IF(ISBLANK(Log[[#This Row],[Item]]),"",_xlfn.XLOOKUP(Log[[#This Row],[Item]],Calories[Name],Calories[Carbs])*Log[[#This Row],[Qty]])</f>
        <v>0</v>
      </c>
      <c r="H244" s="71">
        <f>IF(ISBLANK(Log[[#This Row],[Item]]),"",_xlfn.XLOOKUP(Log[[#This Row],[Item]],Calories[Name],Calories[Fibre])*Log[[#This Row],[Qty]])</f>
        <v>0</v>
      </c>
      <c r="I244" s="71">
        <f>IF(ISBLANK(Log[[#This Row],[Item]]),"",(Log[[#This Row],[Carbs]]-Log[[#This Row],[Fibre]]))</f>
        <v>0</v>
      </c>
      <c r="J244" s="103">
        <f>IF(ISBLANK(Log[[#This Row],[Item]]),"",_xlfn.XLOOKUP(Log[[#This Row],[Item]],Calories[Name],Calories[Sodium])*Log[[#This Row],[Qty]])</f>
        <v>135</v>
      </c>
      <c r="K244" s="71">
        <f>IF(ISBLANK(Log[[#This Row],[Item]]),"",_xlfn.XLOOKUP(Log[[#This Row],[Item]],Calories[Name],Calories[Protein])*Log[[#This Row],[Qty]])</f>
        <v>0.18</v>
      </c>
      <c r="L244" s="71">
        <f>IF(ISBLANK(Log[[#This Row],[Item]]),"",_xlfn.XLOOKUP(Log[[#This Row],[Item]],Calories[Name],Calories[Chol.])*Log[[#This Row],[Qty]])</f>
        <v>46.5</v>
      </c>
      <c r="M244" s="75"/>
      <c r="N244" s="75"/>
      <c r="O244" s="75"/>
    </row>
    <row r="245" spans="1:15" s="66" customFormat="1" ht="25.15" customHeight="1">
      <c r="A245" s="75"/>
      <c r="B245" s="98">
        <v>44822</v>
      </c>
      <c r="C245" s="78" t="s">
        <v>79</v>
      </c>
      <c r="D245" s="79">
        <v>6</v>
      </c>
      <c r="E245" s="76" t="str">
        <f>IF(ISBLANK(Log[[#This Row],[Item]]),"",_xlfn.XLOOKUP(Log[[#This Row],[Item]],Calories[Name],Calories[Unit]))</f>
        <v>ea</v>
      </c>
      <c r="F245" s="65">
        <f>IF(ISBLANK(Log[[#This Row],[Item]]),"",_xlfn.XLOOKUP(Log[[#This Row],[Item]],Calories[Name],Calories[Cals])*Log[[#This Row],[Qty]])</f>
        <v>40</v>
      </c>
      <c r="G245" s="71">
        <f>IF(ISBLANK(Log[[#This Row],[Item]]),"",_xlfn.XLOOKUP(Log[[#This Row],[Item]],Calories[Name],Calories[Carbs])*Log[[#This Row],[Qty]])</f>
        <v>8.5</v>
      </c>
      <c r="H245" s="71">
        <f>IF(ISBLANK(Log[[#This Row],[Item]]),"",_xlfn.XLOOKUP(Log[[#This Row],[Item]],Calories[Name],Calories[Fibre])*Log[[#This Row],[Qty]])</f>
        <v>0</v>
      </c>
      <c r="I245" s="71">
        <f>IF(ISBLANK(Log[[#This Row],[Item]]),"",(Log[[#This Row],[Carbs]]-Log[[#This Row],[Fibre]]))</f>
        <v>8.5</v>
      </c>
      <c r="J245" s="103">
        <f>IF(ISBLANK(Log[[#This Row],[Item]]),"",_xlfn.XLOOKUP(Log[[#This Row],[Item]],Calories[Name],Calories[Sodium])*Log[[#This Row],[Qty]])</f>
        <v>42.5</v>
      </c>
      <c r="K245" s="71">
        <f>IF(ISBLANK(Log[[#This Row],[Item]]),"",_xlfn.XLOOKUP(Log[[#This Row],[Item]],Calories[Name],Calories[Protein])*Log[[#This Row],[Qty]])</f>
        <v>1</v>
      </c>
      <c r="L245" s="71">
        <f>IF(ISBLANK(Log[[#This Row],[Item]]),"",_xlfn.XLOOKUP(Log[[#This Row],[Item]],Calories[Name],Calories[Chol.])*Log[[#This Row],[Qty]])</f>
        <v>0</v>
      </c>
      <c r="M245" s="75"/>
      <c r="N245" s="75"/>
      <c r="O245" s="75"/>
    </row>
    <row r="246" spans="1:15" s="66" customFormat="1" ht="25.15" customHeight="1">
      <c r="A246" s="75"/>
      <c r="B246" s="98">
        <v>44822</v>
      </c>
      <c r="C246" s="78" t="s">
        <v>84</v>
      </c>
      <c r="D246" s="79">
        <v>1</v>
      </c>
      <c r="E246" s="76" t="str">
        <f>IF(ISBLANK(Log[[#This Row],[Item]]),"",_xlfn.XLOOKUP(Log[[#This Row],[Item]],Calories[Name],Calories[Unit]))</f>
        <v>ea</v>
      </c>
      <c r="F246" s="65">
        <f>IF(ISBLANK(Log[[#This Row],[Item]]),"",_xlfn.XLOOKUP(Log[[#This Row],[Item]],Calories[Name],Calories[Cals])*Log[[#This Row],[Qty]])</f>
        <v>420</v>
      </c>
      <c r="G246" s="71">
        <f>IF(ISBLANK(Log[[#This Row],[Item]]),"",_xlfn.XLOOKUP(Log[[#This Row],[Item]],Calories[Name],Calories[Carbs])*Log[[#This Row],[Qty]])</f>
        <v>34</v>
      </c>
      <c r="H246" s="71">
        <f>IF(ISBLANK(Log[[#This Row],[Item]]),"",_xlfn.XLOOKUP(Log[[#This Row],[Item]],Calories[Name],Calories[Fibre])*Log[[#This Row],[Qty]])</f>
        <v>2</v>
      </c>
      <c r="I246" s="71">
        <f>IF(ISBLANK(Log[[#This Row],[Item]]),"",(Log[[#This Row],[Carbs]]-Log[[#This Row],[Fibre]]))</f>
        <v>32</v>
      </c>
      <c r="J246" s="103">
        <f>IF(ISBLANK(Log[[#This Row],[Item]]),"",_xlfn.XLOOKUP(Log[[#This Row],[Item]],Calories[Name],Calories[Sodium])*Log[[#This Row],[Qty]])</f>
        <v>1010</v>
      </c>
      <c r="K246" s="71">
        <f>IF(ISBLANK(Log[[#This Row],[Item]]),"",_xlfn.XLOOKUP(Log[[#This Row],[Item]],Calories[Name],Calories[Protein])*Log[[#This Row],[Qty]])</f>
        <v>24</v>
      </c>
      <c r="L246" s="71">
        <f>IF(ISBLANK(Log[[#This Row],[Item]]),"",_xlfn.XLOOKUP(Log[[#This Row],[Item]],Calories[Name],Calories[Chol.])*Log[[#This Row],[Qty]])</f>
        <v>65</v>
      </c>
      <c r="M246" s="75"/>
      <c r="N246" s="75"/>
      <c r="O246" s="75"/>
    </row>
    <row r="247" spans="1:15" s="66" customFormat="1" ht="25.15" customHeight="1">
      <c r="A247" s="75"/>
      <c r="B247" s="98">
        <v>44822</v>
      </c>
      <c r="C247" s="78" t="s">
        <v>18</v>
      </c>
      <c r="D247" s="79">
        <v>258</v>
      </c>
      <c r="E247" s="76" t="str">
        <f>IF(ISBLANK(Log[[#This Row],[Item]]),"",_xlfn.XLOOKUP(Log[[#This Row],[Item]],Calories[Name],Calories[Unit]))</f>
        <v>g</v>
      </c>
      <c r="F247" s="65">
        <f>IF(ISBLANK(Log[[#This Row],[Item]]),"",_xlfn.XLOOKUP(Log[[#This Row],[Item]],Calories[Name],Calories[Cals])*Log[[#This Row],[Qty]])</f>
        <v>531.94382022471916</v>
      </c>
      <c r="G247" s="71">
        <f>IF(ISBLANK(Log[[#This Row],[Item]]),"",_xlfn.XLOOKUP(Log[[#This Row],[Item]],Calories[Name],Calories[Carbs])*Log[[#This Row],[Qty]])</f>
        <v>0</v>
      </c>
      <c r="H247" s="71">
        <f>IF(ISBLANK(Log[[#This Row],[Item]]),"",_xlfn.XLOOKUP(Log[[#This Row],[Item]],Calories[Name],Calories[Fibre])*Log[[#This Row],[Qty]])</f>
        <v>0</v>
      </c>
      <c r="I247" s="71">
        <f>IF(ISBLANK(Log[[#This Row],[Item]]),"",(Log[[#This Row],[Carbs]]-Log[[#This Row],[Fibre]]))</f>
        <v>0</v>
      </c>
      <c r="J247" s="103">
        <f>IF(ISBLANK(Log[[#This Row],[Item]]),"",_xlfn.XLOOKUP(Log[[#This Row],[Item]],Calories[Name],Calories[Sodium])*Log[[#This Row],[Qty]])</f>
        <v>157.98876404494382</v>
      </c>
      <c r="K247" s="71">
        <f>IF(ISBLANK(Log[[#This Row],[Item]]),"",_xlfn.XLOOKUP(Log[[#This Row],[Item]],Calories[Name],Calories[Protein])*Log[[#This Row],[Qty]])</f>
        <v>56.528089887640455</v>
      </c>
      <c r="L247" s="71">
        <f>IF(ISBLANK(Log[[#This Row],[Item]]),"",_xlfn.XLOOKUP(Log[[#This Row],[Item]],Calories[Name],Calories[Chol.])*Log[[#This Row],[Qty]])</f>
        <v>162.3370786516854</v>
      </c>
      <c r="M247" s="75"/>
      <c r="N247" s="75"/>
      <c r="O247" s="75"/>
    </row>
    <row r="248" spans="1:15" s="66" customFormat="1" ht="25.15" customHeight="1">
      <c r="A248" s="75"/>
      <c r="B248" s="98">
        <v>44822</v>
      </c>
      <c r="C248" s="78" t="s">
        <v>25</v>
      </c>
      <c r="D248" s="79">
        <v>1</v>
      </c>
      <c r="E248" s="76" t="str">
        <f>IF(ISBLANK(Log[[#This Row],[Item]]),"",_xlfn.XLOOKUP(Log[[#This Row],[Item]],Calories[Name],Calories[Unit]))</f>
        <v>tbsp</v>
      </c>
      <c r="F248" s="65">
        <f>IF(ISBLANK(Log[[#This Row],[Item]]),"",_xlfn.XLOOKUP(Log[[#This Row],[Item]],Calories[Name],Calories[Cals])*Log[[#This Row],[Qty]])</f>
        <v>102</v>
      </c>
      <c r="G248" s="71">
        <f>IF(ISBLANK(Log[[#This Row],[Item]]),"",_xlfn.XLOOKUP(Log[[#This Row],[Item]],Calories[Name],Calories[Carbs])*Log[[#This Row],[Qty]])</f>
        <v>0</v>
      </c>
      <c r="H248" s="71">
        <f>IF(ISBLANK(Log[[#This Row],[Item]]),"",_xlfn.XLOOKUP(Log[[#This Row],[Item]],Calories[Name],Calories[Fibre])*Log[[#This Row],[Qty]])</f>
        <v>0</v>
      </c>
      <c r="I248" s="71">
        <f>IF(ISBLANK(Log[[#This Row],[Item]]),"",(Log[[#This Row],[Carbs]]-Log[[#This Row],[Fibre]]))</f>
        <v>0</v>
      </c>
      <c r="J248" s="103">
        <f>IF(ISBLANK(Log[[#This Row],[Item]]),"",_xlfn.XLOOKUP(Log[[#This Row],[Item]],Calories[Name],Calories[Sodium])*Log[[#This Row],[Qty]])</f>
        <v>90</v>
      </c>
      <c r="K248" s="71">
        <f>IF(ISBLANK(Log[[#This Row],[Item]]),"",_xlfn.XLOOKUP(Log[[#This Row],[Item]],Calories[Name],Calories[Protein])*Log[[#This Row],[Qty]])</f>
        <v>0.12</v>
      </c>
      <c r="L248" s="71">
        <f>IF(ISBLANK(Log[[#This Row],[Item]]),"",_xlfn.XLOOKUP(Log[[#This Row],[Item]],Calories[Name],Calories[Chol.])*Log[[#This Row],[Qty]])</f>
        <v>31</v>
      </c>
      <c r="M248" s="75"/>
      <c r="N248" s="75"/>
      <c r="O248" s="75"/>
    </row>
    <row r="249" spans="1:15" s="66" customFormat="1" ht="25.15" customHeight="1">
      <c r="A249" s="75"/>
      <c r="B249" s="98">
        <v>44822</v>
      </c>
      <c r="C249" s="78" t="s">
        <v>82</v>
      </c>
      <c r="D249" s="79">
        <v>1</v>
      </c>
      <c r="E249" s="76" t="str">
        <f>IF(ISBLANK(Log[[#This Row],[Item]]),"",_xlfn.XLOOKUP(Log[[#This Row],[Item]],Calories[Name],Calories[Unit]))</f>
        <v>10 chip</v>
      </c>
      <c r="F249" s="65">
        <f>IF(ISBLANK(Log[[#This Row],[Item]]),"",_xlfn.XLOOKUP(Log[[#This Row],[Item]],Calories[Name],Calories[Cals])*Log[[#This Row],[Qty]])</f>
        <v>127.27272727272727</v>
      </c>
      <c r="G249" s="71">
        <f>IF(ISBLANK(Log[[#This Row],[Item]]),"",_xlfn.XLOOKUP(Log[[#This Row],[Item]],Calories[Name],Calories[Carbs])*Log[[#This Row],[Qty]])</f>
        <v>14.545454545454547</v>
      </c>
      <c r="H249" s="71">
        <f>IF(ISBLANK(Log[[#This Row],[Item]]),"",_xlfn.XLOOKUP(Log[[#This Row],[Item]],Calories[Name],Calories[Fibre])*Log[[#This Row],[Qty]])</f>
        <v>0.90909090909090917</v>
      </c>
      <c r="I249" s="71">
        <f>IF(ISBLANK(Log[[#This Row],[Item]]),"",(Log[[#This Row],[Carbs]]-Log[[#This Row],[Fibre]]))</f>
        <v>13.636363636363637</v>
      </c>
      <c r="J249" s="103">
        <f>IF(ISBLANK(Log[[#This Row],[Item]]),"",_xlfn.XLOOKUP(Log[[#This Row],[Item]],Calories[Name],Calories[Sodium])*Log[[#This Row],[Qty]])</f>
        <v>190.90909090909091</v>
      </c>
      <c r="K249" s="71">
        <f>IF(ISBLANK(Log[[#This Row],[Item]]),"",_xlfn.XLOOKUP(Log[[#This Row],[Item]],Calories[Name],Calories[Protein])*Log[[#This Row],[Qty]])</f>
        <v>1.8181818181818183</v>
      </c>
      <c r="L249" s="71">
        <f>IF(ISBLANK(Log[[#This Row],[Item]]),"",_xlfn.XLOOKUP(Log[[#This Row],[Item]],Calories[Name],Calories[Chol.])*Log[[#This Row],[Qty]])</f>
        <v>0</v>
      </c>
      <c r="M249" s="75"/>
      <c r="N249" s="75"/>
      <c r="O249" s="75"/>
    </row>
    <row r="250" spans="1:15" s="66" customFormat="1" ht="25.15" customHeight="1">
      <c r="A250" s="75"/>
      <c r="B250" s="98">
        <v>44822</v>
      </c>
      <c r="C250" s="78" t="s">
        <v>47</v>
      </c>
      <c r="D250" s="79">
        <v>1</v>
      </c>
      <c r="E250" s="76" t="str">
        <f>IF(ISBLANK(Log[[#This Row],[Item]]),"",_xlfn.XLOOKUP(Log[[#This Row],[Item]],Calories[Name],Calories[Unit]))</f>
        <v>can</v>
      </c>
      <c r="F250" s="65">
        <f>IF(ISBLANK(Log[[#This Row],[Item]]),"",_xlfn.XLOOKUP(Log[[#This Row],[Item]],Calories[Name],Calories[Cals])*Log[[#This Row],[Qty]])</f>
        <v>130</v>
      </c>
      <c r="G250" s="71">
        <f>IF(ISBLANK(Log[[#This Row],[Item]]),"",_xlfn.XLOOKUP(Log[[#This Row],[Item]],Calories[Name],Calories[Carbs])*Log[[#This Row],[Qty]])</f>
        <v>2</v>
      </c>
      <c r="H250" s="71">
        <f>IF(ISBLANK(Log[[#This Row],[Item]]),"",_xlfn.XLOOKUP(Log[[#This Row],[Item]],Calories[Name],Calories[Fibre])*Log[[#This Row],[Qty]])</f>
        <v>0</v>
      </c>
      <c r="I250" s="71">
        <f>IF(ISBLANK(Log[[#This Row],[Item]]),"",(Log[[#This Row],[Carbs]]-Log[[#This Row],[Fibre]]))</f>
        <v>2</v>
      </c>
      <c r="J250" s="103">
        <f>IF(ISBLANK(Log[[#This Row],[Item]]),"",_xlfn.XLOOKUP(Log[[#This Row],[Item]],Calories[Name],Calories[Sodium])*Log[[#This Row],[Qty]])</f>
        <v>210</v>
      </c>
      <c r="K250" s="71">
        <f>IF(ISBLANK(Log[[#This Row],[Item]]),"",_xlfn.XLOOKUP(Log[[#This Row],[Item]],Calories[Name],Calories[Protein])*Log[[#This Row],[Qty]])</f>
        <v>13</v>
      </c>
      <c r="L250" s="71">
        <f>IF(ISBLANK(Log[[#This Row],[Item]]),"",_xlfn.XLOOKUP(Log[[#This Row],[Item]],Calories[Name],Calories[Chol.])*Log[[#This Row],[Qty]])</f>
        <v>75</v>
      </c>
      <c r="M250" s="75"/>
      <c r="N250" s="75"/>
      <c r="O250" s="75"/>
    </row>
    <row r="251" spans="1:15" s="66" customFormat="1" ht="25.15" customHeight="1">
      <c r="A251" s="75"/>
      <c r="B251" s="98">
        <v>44823</v>
      </c>
      <c r="C251" s="78" t="s">
        <v>52</v>
      </c>
      <c r="D251" s="79">
        <v>1</v>
      </c>
      <c r="E251" s="76" t="str">
        <f>IF(ISBLANK(Log[[#This Row],[Item]]),"",_xlfn.XLOOKUP(Log[[#This Row],[Item]],Calories[Name],Calories[Unit]))</f>
        <v>ea</v>
      </c>
      <c r="F251" s="65">
        <f>IF(ISBLANK(Log[[#This Row],[Item]]),"",_xlfn.XLOOKUP(Log[[#This Row],[Item]],Calories[Name],Calories[Cals])*Log[[#This Row],[Qty]])</f>
        <v>0</v>
      </c>
      <c r="G251" s="71">
        <f>IF(ISBLANK(Log[[#This Row],[Item]]),"",_xlfn.XLOOKUP(Log[[#This Row],[Item]],Calories[Name],Calories[Carbs])*Log[[#This Row],[Qty]])</f>
        <v>0</v>
      </c>
      <c r="H251" s="71">
        <f>IF(ISBLANK(Log[[#This Row],[Item]]),"",_xlfn.XLOOKUP(Log[[#This Row],[Item]],Calories[Name],Calories[Fibre])*Log[[#This Row],[Qty]])</f>
        <v>0</v>
      </c>
      <c r="I251" s="71">
        <f>IF(ISBLANK(Log[[#This Row],[Item]]),"",(Log[[#This Row],[Carbs]]-Log[[#This Row],[Fibre]]))</f>
        <v>0</v>
      </c>
      <c r="J251" s="103">
        <f>IF(ISBLANK(Log[[#This Row],[Item]]),"",_xlfn.XLOOKUP(Log[[#This Row],[Item]],Calories[Name],Calories[Sodium])*Log[[#This Row],[Qty]])</f>
        <v>0</v>
      </c>
      <c r="K251" s="71">
        <f>IF(ISBLANK(Log[[#This Row],[Item]]),"",_xlfn.XLOOKUP(Log[[#This Row],[Item]],Calories[Name],Calories[Protein])*Log[[#This Row],[Qty]])</f>
        <v>0</v>
      </c>
      <c r="L251" s="71">
        <f>IF(ISBLANK(Log[[#This Row],[Item]]),"",_xlfn.XLOOKUP(Log[[#This Row],[Item]],Calories[Name],Calories[Chol.])*Log[[#This Row],[Qty]])</f>
        <v>0</v>
      </c>
      <c r="M251" s="75"/>
      <c r="N251" s="75"/>
      <c r="O251" s="75"/>
    </row>
    <row r="252" spans="1:15" s="66" customFormat="1" ht="25.15" customHeight="1">
      <c r="A252" s="75"/>
      <c r="B252" s="98">
        <v>44823</v>
      </c>
      <c r="C252" s="78" t="s">
        <v>53</v>
      </c>
      <c r="D252" s="79">
        <v>1</v>
      </c>
      <c r="E252" s="76" t="str">
        <f>IF(ISBLANK(Log[[#This Row],[Item]]),"",_xlfn.XLOOKUP(Log[[#This Row],[Item]],Calories[Name],Calories[Unit]))</f>
        <v>ea</v>
      </c>
      <c r="F252" s="65">
        <f>IF(ISBLANK(Log[[#This Row],[Item]]),"",_xlfn.XLOOKUP(Log[[#This Row],[Item]],Calories[Name],Calories[Cals])*Log[[#This Row],[Qty]])</f>
        <v>0</v>
      </c>
      <c r="G252" s="71">
        <f>IF(ISBLANK(Log[[#This Row],[Item]]),"",_xlfn.XLOOKUP(Log[[#This Row],[Item]],Calories[Name],Calories[Carbs])*Log[[#This Row],[Qty]])</f>
        <v>0</v>
      </c>
      <c r="H252" s="71">
        <f>IF(ISBLANK(Log[[#This Row],[Item]]),"",_xlfn.XLOOKUP(Log[[#This Row],[Item]],Calories[Name],Calories[Fibre])*Log[[#This Row],[Qty]])</f>
        <v>0</v>
      </c>
      <c r="I252" s="71">
        <f>IF(ISBLANK(Log[[#This Row],[Item]]),"",(Log[[#This Row],[Carbs]]-Log[[#This Row],[Fibre]]))</f>
        <v>0</v>
      </c>
      <c r="J252" s="103">
        <f>IF(ISBLANK(Log[[#This Row],[Item]]),"",_xlfn.XLOOKUP(Log[[#This Row],[Item]],Calories[Name],Calories[Sodium])*Log[[#This Row],[Qty]])</f>
        <v>0</v>
      </c>
      <c r="K252" s="71">
        <f>IF(ISBLANK(Log[[#This Row],[Item]]),"",_xlfn.XLOOKUP(Log[[#This Row],[Item]],Calories[Name],Calories[Protein])*Log[[#This Row],[Qty]])</f>
        <v>0</v>
      </c>
      <c r="L252" s="71">
        <f>IF(ISBLANK(Log[[#This Row],[Item]]),"",_xlfn.XLOOKUP(Log[[#This Row],[Item]],Calories[Name],Calories[Chol.])*Log[[#This Row],[Qty]])</f>
        <v>0</v>
      </c>
      <c r="M252" s="75"/>
      <c r="N252" s="75"/>
      <c r="O252" s="75"/>
    </row>
    <row r="253" spans="1:15" s="66" customFormat="1" ht="25.15" customHeight="1">
      <c r="A253" s="75"/>
      <c r="B253" s="98">
        <v>44823</v>
      </c>
      <c r="C253" s="78" t="s">
        <v>54</v>
      </c>
      <c r="D253" s="79">
        <v>1</v>
      </c>
      <c r="E253" s="76" t="str">
        <f>IF(ISBLANK(Log[[#This Row],[Item]]),"",_xlfn.XLOOKUP(Log[[#This Row],[Item]],Calories[Name],Calories[Unit]))</f>
        <v>ea</v>
      </c>
      <c r="F253" s="65">
        <f>IF(ISBLANK(Log[[#This Row],[Item]]),"",_xlfn.XLOOKUP(Log[[#This Row],[Item]],Calories[Name],Calories[Cals])*Log[[#This Row],[Qty]])</f>
        <v>0</v>
      </c>
      <c r="G253" s="71">
        <f>IF(ISBLANK(Log[[#This Row],[Item]]),"",_xlfn.XLOOKUP(Log[[#This Row],[Item]],Calories[Name],Calories[Carbs])*Log[[#This Row],[Qty]])</f>
        <v>0</v>
      </c>
      <c r="H253" s="71">
        <f>IF(ISBLANK(Log[[#This Row],[Item]]),"",_xlfn.XLOOKUP(Log[[#This Row],[Item]],Calories[Name],Calories[Fibre])*Log[[#This Row],[Qty]])</f>
        <v>0</v>
      </c>
      <c r="I253" s="71">
        <f>IF(ISBLANK(Log[[#This Row],[Item]]),"",(Log[[#This Row],[Carbs]]-Log[[#This Row],[Fibre]]))</f>
        <v>0</v>
      </c>
      <c r="J253" s="103">
        <f>IF(ISBLANK(Log[[#This Row],[Item]]),"",_xlfn.XLOOKUP(Log[[#This Row],[Item]],Calories[Name],Calories[Sodium])*Log[[#This Row],[Qty]])</f>
        <v>0</v>
      </c>
      <c r="K253" s="71">
        <f>IF(ISBLANK(Log[[#This Row],[Item]]),"",_xlfn.XLOOKUP(Log[[#This Row],[Item]],Calories[Name],Calories[Protein])*Log[[#This Row],[Qty]])</f>
        <v>0</v>
      </c>
      <c r="L253" s="71">
        <f>IF(ISBLANK(Log[[#This Row],[Item]]),"",_xlfn.XLOOKUP(Log[[#This Row],[Item]],Calories[Name],Calories[Chol.])*Log[[#This Row],[Qty]])</f>
        <v>0</v>
      </c>
      <c r="M253" s="75"/>
      <c r="N253" s="75"/>
      <c r="O253" s="75"/>
    </row>
    <row r="254" spans="1:15" s="66" customFormat="1" ht="25.15" customHeight="1">
      <c r="A254" s="75"/>
      <c r="B254" s="98">
        <v>44823</v>
      </c>
      <c r="C254" s="78" t="s">
        <v>55</v>
      </c>
      <c r="D254" s="79">
        <v>1</v>
      </c>
      <c r="E254" s="76" t="str">
        <f>IF(ISBLANK(Log[[#This Row],[Item]]),"",_xlfn.XLOOKUP(Log[[#This Row],[Item]],Calories[Name],Calories[Unit]))</f>
        <v>ea</v>
      </c>
      <c r="F254" s="65">
        <f>IF(ISBLANK(Log[[#This Row],[Item]]),"",_xlfn.XLOOKUP(Log[[#This Row],[Item]],Calories[Name],Calories[Cals])*Log[[#This Row],[Qty]])</f>
        <v>0</v>
      </c>
      <c r="G254" s="71">
        <f>IF(ISBLANK(Log[[#This Row],[Item]]),"",_xlfn.XLOOKUP(Log[[#This Row],[Item]],Calories[Name],Calories[Carbs])*Log[[#This Row],[Qty]])</f>
        <v>0</v>
      </c>
      <c r="H254" s="71">
        <f>IF(ISBLANK(Log[[#This Row],[Item]]),"",_xlfn.XLOOKUP(Log[[#This Row],[Item]],Calories[Name],Calories[Fibre])*Log[[#This Row],[Qty]])</f>
        <v>0</v>
      </c>
      <c r="I254" s="71">
        <f>IF(ISBLANK(Log[[#This Row],[Item]]),"",(Log[[#This Row],[Carbs]]-Log[[#This Row],[Fibre]]))</f>
        <v>0</v>
      </c>
      <c r="J254" s="103">
        <f>IF(ISBLANK(Log[[#This Row],[Item]]),"",_xlfn.XLOOKUP(Log[[#This Row],[Item]],Calories[Name],Calories[Sodium])*Log[[#This Row],[Qty]])</f>
        <v>0</v>
      </c>
      <c r="K254" s="71">
        <f>IF(ISBLANK(Log[[#This Row],[Item]]),"",_xlfn.XLOOKUP(Log[[#This Row],[Item]],Calories[Name],Calories[Protein])*Log[[#This Row],[Qty]])</f>
        <v>0</v>
      </c>
      <c r="L254" s="71">
        <f>IF(ISBLANK(Log[[#This Row],[Item]]),"",_xlfn.XLOOKUP(Log[[#This Row],[Item]],Calories[Name],Calories[Chol.])*Log[[#This Row],[Qty]])</f>
        <v>0</v>
      </c>
      <c r="M254" s="75"/>
      <c r="N254" s="75"/>
      <c r="O254" s="75"/>
    </row>
    <row r="255" spans="1:15" s="66" customFormat="1" ht="25.15" customHeight="1">
      <c r="A255" s="75"/>
      <c r="B255" s="98">
        <v>44823</v>
      </c>
      <c r="C255" s="78" t="s">
        <v>13</v>
      </c>
      <c r="D255" s="79">
        <v>3</v>
      </c>
      <c r="E255" s="76" t="str">
        <f>IF(ISBLANK(Log[[#This Row],[Item]]),"",_xlfn.XLOOKUP(Log[[#This Row],[Item]],Calories[Name],Calories[Unit]))</f>
        <v>ea</v>
      </c>
      <c r="F255" s="65">
        <f>IF(ISBLANK(Log[[#This Row],[Item]]),"",_xlfn.XLOOKUP(Log[[#This Row],[Item]],Calories[Name],Calories[Cals])*Log[[#This Row],[Qty]])</f>
        <v>216</v>
      </c>
      <c r="G255" s="71">
        <f>IF(ISBLANK(Log[[#This Row],[Item]]),"",_xlfn.XLOOKUP(Log[[#This Row],[Item]],Calories[Name],Calories[Carbs])*Log[[#This Row],[Qty]])</f>
        <v>0</v>
      </c>
      <c r="H255" s="71">
        <f>IF(ISBLANK(Log[[#This Row],[Item]]),"",_xlfn.XLOOKUP(Log[[#This Row],[Item]],Calories[Name],Calories[Fibre])*Log[[#This Row],[Qty]])</f>
        <v>0</v>
      </c>
      <c r="I255" s="71">
        <f>IF(ISBLANK(Log[[#This Row],[Item]]),"",(Log[[#This Row],[Carbs]]-Log[[#This Row],[Fibre]]))</f>
        <v>0</v>
      </c>
      <c r="J255" s="103">
        <f>IF(ISBLANK(Log[[#This Row],[Item]]),"",_xlfn.XLOOKUP(Log[[#This Row],[Item]],Calories[Name],Calories[Sodium])*Log[[#This Row],[Qty]])</f>
        <v>210</v>
      </c>
      <c r="K255" s="71">
        <f>IF(ISBLANK(Log[[#This Row],[Item]]),"",_xlfn.XLOOKUP(Log[[#This Row],[Item]],Calories[Name],Calories[Protein])*Log[[#This Row],[Qty]])</f>
        <v>18</v>
      </c>
      <c r="L255" s="71">
        <f>IF(ISBLANK(Log[[#This Row],[Item]]),"",_xlfn.XLOOKUP(Log[[#This Row],[Item]],Calories[Name],Calories[Chol.])*Log[[#This Row],[Qty]])</f>
        <v>633</v>
      </c>
      <c r="M255" s="75"/>
      <c r="N255" s="75"/>
      <c r="O255" s="75"/>
    </row>
    <row r="256" spans="1:15" s="66" customFormat="1" ht="25.15" customHeight="1">
      <c r="A256" s="75"/>
      <c r="B256" s="98">
        <v>44823</v>
      </c>
      <c r="C256" s="78" t="s">
        <v>15</v>
      </c>
      <c r="D256" s="79">
        <v>1</v>
      </c>
      <c r="E256" s="76" t="str">
        <f>IF(ISBLANK(Log[[#This Row],[Item]]),"",_xlfn.XLOOKUP(Log[[#This Row],[Item]],Calories[Name],Calories[Unit]))</f>
        <v>tbsp</v>
      </c>
      <c r="F256" s="65">
        <f>IF(ISBLANK(Log[[#This Row],[Item]]),"",_xlfn.XLOOKUP(Log[[#This Row],[Item]],Calories[Name],Calories[Cals])*Log[[#This Row],[Qty]])</f>
        <v>120</v>
      </c>
      <c r="G256" s="71">
        <f>IF(ISBLANK(Log[[#This Row],[Item]]),"",_xlfn.XLOOKUP(Log[[#This Row],[Item]],Calories[Name],Calories[Carbs])*Log[[#This Row],[Qty]])</f>
        <v>0</v>
      </c>
      <c r="H256" s="71">
        <f>IF(ISBLANK(Log[[#This Row],[Item]]),"",_xlfn.XLOOKUP(Log[[#This Row],[Item]],Calories[Name],Calories[Fibre])*Log[[#This Row],[Qty]])</f>
        <v>0</v>
      </c>
      <c r="I256" s="71">
        <f>IF(ISBLANK(Log[[#This Row],[Item]]),"",(Log[[#This Row],[Carbs]]-Log[[#This Row],[Fibre]]))</f>
        <v>0</v>
      </c>
      <c r="J256" s="103">
        <f>IF(ISBLANK(Log[[#This Row],[Item]]),"",_xlfn.XLOOKUP(Log[[#This Row],[Item]],Calories[Name],Calories[Sodium])*Log[[#This Row],[Qty]])</f>
        <v>0</v>
      </c>
      <c r="K256" s="71">
        <f>IF(ISBLANK(Log[[#This Row],[Item]]),"",_xlfn.XLOOKUP(Log[[#This Row],[Item]],Calories[Name],Calories[Protein])*Log[[#This Row],[Qty]])</f>
        <v>0</v>
      </c>
      <c r="L256" s="71">
        <f>IF(ISBLANK(Log[[#This Row],[Item]]),"",_xlfn.XLOOKUP(Log[[#This Row],[Item]],Calories[Name],Calories[Chol.])*Log[[#This Row],[Qty]])</f>
        <v>0</v>
      </c>
      <c r="M256" s="75"/>
      <c r="N256" s="75"/>
      <c r="O256" s="75"/>
    </row>
    <row r="257" spans="1:15" s="66" customFormat="1" ht="25.15" customHeight="1">
      <c r="A257" s="75"/>
      <c r="B257" s="98">
        <v>44823</v>
      </c>
      <c r="C257" s="78" t="s">
        <v>36</v>
      </c>
      <c r="D257" s="79">
        <v>1</v>
      </c>
      <c r="E257" s="76" t="str">
        <f>IF(ISBLANK(Log[[#This Row],[Item]]),"",_xlfn.XLOOKUP(Log[[#This Row],[Item]],Calories[Name],Calories[Unit]))</f>
        <v>ea</v>
      </c>
      <c r="F257" s="65">
        <f>IF(ISBLANK(Log[[#This Row],[Item]]),"",_xlfn.XLOOKUP(Log[[#This Row],[Item]],Calories[Name],Calories[Cals])*Log[[#This Row],[Qty]])</f>
        <v>240</v>
      </c>
      <c r="G257" s="71">
        <f>IF(ISBLANK(Log[[#This Row],[Item]]),"",_xlfn.XLOOKUP(Log[[#This Row],[Item]],Calories[Name],Calories[Carbs])*Log[[#This Row],[Qty]])</f>
        <v>13</v>
      </c>
      <c r="H257" s="71">
        <f>IF(ISBLANK(Log[[#This Row],[Item]]),"",_xlfn.XLOOKUP(Log[[#This Row],[Item]],Calories[Name],Calories[Fibre])*Log[[#This Row],[Qty]])</f>
        <v>10</v>
      </c>
      <c r="I257" s="71">
        <f>IF(ISBLANK(Log[[#This Row],[Item]]),"",(Log[[#This Row],[Carbs]]-Log[[#This Row],[Fibre]]))</f>
        <v>3</v>
      </c>
      <c r="J257" s="103">
        <f>IF(ISBLANK(Log[[#This Row],[Item]]),"",_xlfn.XLOOKUP(Log[[#This Row],[Item]],Calories[Name],Calories[Sodium])*Log[[#This Row],[Qty]])</f>
        <v>11</v>
      </c>
      <c r="K257" s="71">
        <f>IF(ISBLANK(Log[[#This Row],[Item]]),"",_xlfn.XLOOKUP(Log[[#This Row],[Item]],Calories[Name],Calories[Protein])*Log[[#This Row],[Qty]])</f>
        <v>3</v>
      </c>
      <c r="L257" s="71">
        <f>IF(ISBLANK(Log[[#This Row],[Item]]),"",_xlfn.XLOOKUP(Log[[#This Row],[Item]],Calories[Name],Calories[Chol.])*Log[[#This Row],[Qty]])</f>
        <v>0</v>
      </c>
      <c r="M257" s="75"/>
      <c r="N257" s="75"/>
      <c r="O257" s="75"/>
    </row>
    <row r="258" spans="1:15" s="66" customFormat="1" ht="25.15" customHeight="1">
      <c r="A258" s="75"/>
      <c r="B258" s="98">
        <v>44823</v>
      </c>
      <c r="C258" s="78" t="s">
        <v>45</v>
      </c>
      <c r="D258" s="79">
        <v>3</v>
      </c>
      <c r="E258" s="76" t="str">
        <f>IF(ISBLANK(Log[[#This Row],[Item]]),"",_xlfn.XLOOKUP(Log[[#This Row],[Item]],Calories[Name],Calories[Unit]))</f>
        <v>pinch</v>
      </c>
      <c r="F258" s="65">
        <f>IF(ISBLANK(Log[[#This Row],[Item]]),"",_xlfn.XLOOKUP(Log[[#This Row],[Item]],Calories[Name],Calories[Cals])*Log[[#This Row],[Qty]])</f>
        <v>0</v>
      </c>
      <c r="G258" s="71">
        <f>IF(ISBLANK(Log[[#This Row],[Item]]),"",_xlfn.XLOOKUP(Log[[#This Row],[Item]],Calories[Name],Calories[Carbs])*Log[[#This Row],[Qty]])</f>
        <v>0</v>
      </c>
      <c r="H258" s="71">
        <f>IF(ISBLANK(Log[[#This Row],[Item]]),"",_xlfn.XLOOKUP(Log[[#This Row],[Item]],Calories[Name],Calories[Fibre])*Log[[#This Row],[Qty]])</f>
        <v>0</v>
      </c>
      <c r="I258" s="71">
        <f>IF(ISBLANK(Log[[#This Row],[Item]]),"",(Log[[#This Row],[Carbs]]-Log[[#This Row],[Fibre]]))</f>
        <v>0</v>
      </c>
      <c r="J258" s="103">
        <f>IF(ISBLANK(Log[[#This Row],[Item]]),"",_xlfn.XLOOKUP(Log[[#This Row],[Item]],Calories[Name],Calories[Sodium])*Log[[#This Row],[Qty]])</f>
        <v>418.58639999999997</v>
      </c>
      <c r="K258" s="71">
        <f>IF(ISBLANK(Log[[#This Row],[Item]]),"",_xlfn.XLOOKUP(Log[[#This Row],[Item]],Calories[Name],Calories[Protein])*Log[[#This Row],[Qty]])</f>
        <v>0</v>
      </c>
      <c r="L258" s="71">
        <f>IF(ISBLANK(Log[[#This Row],[Item]]),"",_xlfn.XLOOKUP(Log[[#This Row],[Item]],Calories[Name],Calories[Chol.])*Log[[#This Row],[Qty]])</f>
        <v>0</v>
      </c>
      <c r="M258" s="75"/>
      <c r="N258" s="75"/>
      <c r="O258" s="75"/>
    </row>
    <row r="259" spans="1:15" s="66" customFormat="1" ht="25.15" customHeight="1">
      <c r="A259" s="75"/>
      <c r="B259" s="98">
        <v>44823</v>
      </c>
      <c r="C259" s="78" t="s">
        <v>76</v>
      </c>
      <c r="D259" s="79">
        <v>1</v>
      </c>
      <c r="E259" s="76" t="str">
        <f>IF(ISBLANK(Log[[#This Row],[Item]]),"",_xlfn.XLOOKUP(Log[[#This Row],[Item]],Calories[Name],Calories[Unit]))</f>
        <v>ea</v>
      </c>
      <c r="F259" s="65">
        <f>IF(ISBLANK(Log[[#This Row],[Item]]),"",_xlfn.XLOOKUP(Log[[#This Row],[Item]],Calories[Name],Calories[Cals])*Log[[#This Row],[Qty]])</f>
        <v>4.8</v>
      </c>
      <c r="G259" s="71">
        <f>IF(ISBLANK(Log[[#This Row],[Item]]),"",_xlfn.XLOOKUP(Log[[#This Row],[Item]],Calories[Name],Calories[Carbs])*Log[[#This Row],[Qty]])</f>
        <v>1.1000000000000001</v>
      </c>
      <c r="H259" s="71">
        <f>IF(ISBLANK(Log[[#This Row],[Item]]),"",_xlfn.XLOOKUP(Log[[#This Row],[Item]],Calories[Name],Calories[Fibre])*Log[[#This Row],[Qty]])</f>
        <v>0.4</v>
      </c>
      <c r="I259" s="71">
        <f>IF(ISBLANK(Log[[#This Row],[Item]]),"",(Log[[#This Row],[Carbs]]-Log[[#This Row],[Fibre]]))</f>
        <v>0.70000000000000007</v>
      </c>
      <c r="J259" s="103">
        <f>IF(ISBLANK(Log[[#This Row],[Item]]),"",_xlfn.XLOOKUP(Log[[#This Row],[Item]],Calories[Name],Calories[Sodium])*Log[[#This Row],[Qty]])</f>
        <v>2.4</v>
      </c>
      <c r="K259" s="71">
        <f>IF(ISBLANK(Log[[#This Row],[Item]]),"",_xlfn.XLOOKUP(Log[[#This Row],[Item]],Calories[Name],Calories[Protein])*Log[[#This Row],[Qty]])</f>
        <v>0.3</v>
      </c>
      <c r="L259" s="71">
        <f>IF(ISBLANK(Log[[#This Row],[Item]]),"",_xlfn.XLOOKUP(Log[[#This Row],[Item]],Calories[Name],Calories[Chol.])*Log[[#This Row],[Qty]])</f>
        <v>0</v>
      </c>
      <c r="M259" s="75"/>
      <c r="N259" s="75"/>
      <c r="O259" s="75"/>
    </row>
    <row r="260" spans="1:15" s="66" customFormat="1" ht="25.15" customHeight="1">
      <c r="A260" s="75"/>
      <c r="B260" s="98">
        <v>44823</v>
      </c>
      <c r="C260" s="78" t="s">
        <v>20</v>
      </c>
      <c r="D260" s="79">
        <v>260</v>
      </c>
      <c r="E260" s="76" t="str">
        <f>IF(ISBLANK(Log[[#This Row],[Item]]),"",_xlfn.XLOOKUP(Log[[#This Row],[Item]],Calories[Name],Calories[Unit]))</f>
        <v>mL</v>
      </c>
      <c r="F260" s="65">
        <f>IF(ISBLANK(Log[[#This Row],[Item]]),"",_xlfn.XLOOKUP(Log[[#This Row],[Item]],Calories[Name],Calories[Cals])*Log[[#This Row],[Qty]])</f>
        <v>433.33333333333337</v>
      </c>
      <c r="G260" s="71">
        <f>IF(ISBLANK(Log[[#This Row],[Item]]),"",_xlfn.XLOOKUP(Log[[#This Row],[Item]],Calories[Name],Calories[Carbs])*Log[[#This Row],[Qty]])</f>
        <v>17.333333333333332</v>
      </c>
      <c r="H260" s="71">
        <f>IF(ISBLANK(Log[[#This Row],[Item]]),"",_xlfn.XLOOKUP(Log[[#This Row],[Item]],Calories[Name],Calories[Fibre])*Log[[#This Row],[Qty]])</f>
        <v>0</v>
      </c>
      <c r="I260" s="71">
        <f>IF(ISBLANK(Log[[#This Row],[Item]]),"",(Log[[#This Row],[Carbs]]-Log[[#This Row],[Fibre]]))</f>
        <v>17.333333333333332</v>
      </c>
      <c r="J260" s="103">
        <f>IF(ISBLANK(Log[[#This Row],[Item]]),"",_xlfn.XLOOKUP(Log[[#This Row],[Item]],Calories[Name],Calories[Sodium])*Log[[#This Row],[Qty]])</f>
        <v>173.33333333333331</v>
      </c>
      <c r="K260" s="71">
        <f>IF(ISBLANK(Log[[#This Row],[Item]]),"",_xlfn.XLOOKUP(Log[[#This Row],[Item]],Calories[Name],Calories[Protein])*Log[[#This Row],[Qty]])</f>
        <v>8.6666666666666661</v>
      </c>
      <c r="L260" s="71">
        <f>IF(ISBLANK(Log[[#This Row],[Item]]),"",_xlfn.XLOOKUP(Log[[#This Row],[Item]],Calories[Name],Calories[Chol.])*Log[[#This Row],[Qty]])</f>
        <v>130</v>
      </c>
      <c r="M260" s="75"/>
      <c r="N260" s="75"/>
      <c r="O260" s="75"/>
    </row>
    <row r="261" spans="1:15" s="66" customFormat="1" ht="25.15" customHeight="1">
      <c r="A261" s="75"/>
      <c r="B261" s="98">
        <v>44823</v>
      </c>
      <c r="C261" s="78" t="s">
        <v>21</v>
      </c>
      <c r="D261" s="79">
        <v>5</v>
      </c>
      <c r="E261" s="76" t="str">
        <f>IF(ISBLANK(Log[[#This Row],[Item]]),"",_xlfn.XLOOKUP(Log[[#This Row],[Item]],Calories[Name],Calories[Unit]))</f>
        <v>c</v>
      </c>
      <c r="F261" s="65">
        <f>IF(ISBLANK(Log[[#This Row],[Item]]),"",_xlfn.XLOOKUP(Log[[#This Row],[Item]],Calories[Name],Calories[Cals])*Log[[#This Row],[Qty]])</f>
        <v>125</v>
      </c>
      <c r="G261" s="71">
        <f>IF(ISBLANK(Log[[#This Row],[Item]]),"",_xlfn.XLOOKUP(Log[[#This Row],[Item]],Calories[Name],Calories[Carbs])*Log[[#This Row],[Qty]])</f>
        <v>25</v>
      </c>
      <c r="H261" s="71">
        <f>IF(ISBLANK(Log[[#This Row],[Item]]),"",_xlfn.XLOOKUP(Log[[#This Row],[Item]],Calories[Name],Calories[Fibre])*Log[[#This Row],[Qty]])</f>
        <v>15</v>
      </c>
      <c r="I261" s="71">
        <f>IF(ISBLANK(Log[[#This Row],[Item]]),"",(Log[[#This Row],[Carbs]]-Log[[#This Row],[Fibre]]))</f>
        <v>10</v>
      </c>
      <c r="J261" s="103">
        <f>IF(ISBLANK(Log[[#This Row],[Item]]),"",_xlfn.XLOOKUP(Log[[#This Row],[Item]],Calories[Name],Calories[Sodium])*Log[[#This Row],[Qty]])</f>
        <v>150</v>
      </c>
      <c r="K261" s="71">
        <f>IF(ISBLANK(Log[[#This Row],[Item]]),"",_xlfn.XLOOKUP(Log[[#This Row],[Item]],Calories[Name],Calories[Protein])*Log[[#This Row],[Qty]])</f>
        <v>10</v>
      </c>
      <c r="L261" s="71">
        <f>IF(ISBLANK(Log[[#This Row],[Item]]),"",_xlfn.XLOOKUP(Log[[#This Row],[Item]],Calories[Name],Calories[Chol.])*Log[[#This Row],[Qty]])</f>
        <v>0</v>
      </c>
      <c r="M261" s="75"/>
      <c r="N261" s="75"/>
      <c r="O261" s="75"/>
    </row>
    <row r="262" spans="1:15" s="66" customFormat="1" ht="25.15" customHeight="1">
      <c r="A262" s="75"/>
      <c r="B262" s="98">
        <v>44823</v>
      </c>
      <c r="C262" s="78" t="s">
        <v>79</v>
      </c>
      <c r="D262" s="79">
        <v>2</v>
      </c>
      <c r="E262" s="76" t="str">
        <f>IF(ISBLANK(Log[[#This Row],[Item]]),"",_xlfn.XLOOKUP(Log[[#This Row],[Item]],Calories[Name],Calories[Unit]))</f>
        <v>ea</v>
      </c>
      <c r="F262" s="65">
        <f>IF(ISBLANK(Log[[#This Row],[Item]]),"",_xlfn.XLOOKUP(Log[[#This Row],[Item]],Calories[Name],Calories[Cals])*Log[[#This Row],[Qty]])</f>
        <v>13.333333333333334</v>
      </c>
      <c r="G262" s="71">
        <f>IF(ISBLANK(Log[[#This Row],[Item]]),"",_xlfn.XLOOKUP(Log[[#This Row],[Item]],Calories[Name],Calories[Carbs])*Log[[#This Row],[Qty]])</f>
        <v>2.8333333333333335</v>
      </c>
      <c r="H262" s="71">
        <f>IF(ISBLANK(Log[[#This Row],[Item]]),"",_xlfn.XLOOKUP(Log[[#This Row],[Item]],Calories[Name],Calories[Fibre])*Log[[#This Row],[Qty]])</f>
        <v>0</v>
      </c>
      <c r="I262" s="71">
        <f>IF(ISBLANK(Log[[#This Row],[Item]]),"",(Log[[#This Row],[Carbs]]-Log[[#This Row],[Fibre]]))</f>
        <v>2.8333333333333335</v>
      </c>
      <c r="J262" s="103">
        <f>IF(ISBLANK(Log[[#This Row],[Item]]),"",_xlfn.XLOOKUP(Log[[#This Row],[Item]],Calories[Name],Calories[Sodium])*Log[[#This Row],[Qty]])</f>
        <v>14.166666666666666</v>
      </c>
      <c r="K262" s="71">
        <f>IF(ISBLANK(Log[[#This Row],[Item]]),"",_xlfn.XLOOKUP(Log[[#This Row],[Item]],Calories[Name],Calories[Protein])*Log[[#This Row],[Qty]])</f>
        <v>0.33333333333333331</v>
      </c>
      <c r="L262" s="71">
        <f>IF(ISBLANK(Log[[#This Row],[Item]]),"",_xlfn.XLOOKUP(Log[[#This Row],[Item]],Calories[Name],Calories[Chol.])*Log[[#This Row],[Qty]])</f>
        <v>0</v>
      </c>
      <c r="M262" s="75"/>
      <c r="N262" s="75"/>
      <c r="O262" s="75"/>
    </row>
    <row r="263" spans="1:15" s="66" customFormat="1" ht="25.15" customHeight="1">
      <c r="A263" s="75"/>
      <c r="B263" s="98">
        <v>44823</v>
      </c>
      <c r="C263" s="78" t="s">
        <v>85</v>
      </c>
      <c r="D263" s="79">
        <v>0.5</v>
      </c>
      <c r="E263" s="76" t="str">
        <f>IF(ISBLANK(Log[[#This Row],[Item]]),"",_xlfn.XLOOKUP(Log[[#This Row],[Item]],Calories[Name],Calories[Unit]))</f>
        <v>pkg</v>
      </c>
      <c r="F263" s="65">
        <f>IF(ISBLANK(Log[[#This Row],[Item]]),"",_xlfn.XLOOKUP(Log[[#This Row],[Item]],Calories[Name],Calories[Cals])*Log[[#This Row],[Qty]])</f>
        <v>135</v>
      </c>
      <c r="G263" s="71">
        <f>IF(ISBLANK(Log[[#This Row],[Item]]),"",_xlfn.XLOOKUP(Log[[#This Row],[Item]],Calories[Name],Calories[Carbs])*Log[[#This Row],[Qty]])</f>
        <v>3</v>
      </c>
      <c r="H263" s="71">
        <f>IF(ISBLANK(Log[[#This Row],[Item]]),"",_xlfn.XLOOKUP(Log[[#This Row],[Item]],Calories[Name],Calories[Fibre])*Log[[#This Row],[Qty]])</f>
        <v>0</v>
      </c>
      <c r="I263" s="71">
        <f>IF(ISBLANK(Log[[#This Row],[Item]]),"",(Log[[#This Row],[Carbs]]-Log[[#This Row],[Fibre]]))</f>
        <v>3</v>
      </c>
      <c r="J263" s="103">
        <f>IF(ISBLANK(Log[[#This Row],[Item]]),"",_xlfn.XLOOKUP(Log[[#This Row],[Item]],Calories[Name],Calories[Sodium])*Log[[#This Row],[Qty]])</f>
        <v>6</v>
      </c>
      <c r="K263" s="71">
        <f>IF(ISBLANK(Log[[#This Row],[Item]]),"",_xlfn.XLOOKUP(Log[[#This Row],[Item]],Calories[Name],Calories[Protein])*Log[[#This Row],[Qty]])</f>
        <v>15</v>
      </c>
      <c r="L263" s="71">
        <f>IF(ISBLANK(Log[[#This Row],[Item]]),"",_xlfn.XLOOKUP(Log[[#This Row],[Item]],Calories[Name],Calories[Chol.])*Log[[#This Row],[Qty]])</f>
        <v>0</v>
      </c>
      <c r="M263" s="75"/>
      <c r="N263" s="75"/>
      <c r="O263" s="75"/>
    </row>
    <row r="264" spans="1:15" s="66" customFormat="1" ht="25.15" customHeight="1">
      <c r="A264" s="75"/>
      <c r="B264" s="98">
        <v>44823</v>
      </c>
      <c r="C264" s="78" t="s">
        <v>86</v>
      </c>
      <c r="D264" s="79">
        <v>0.25</v>
      </c>
      <c r="E264" s="76" t="str">
        <f>IF(ISBLANK(Log[[#This Row],[Item]]),"",_xlfn.XLOOKUP(Log[[#This Row],[Item]],Calories[Name],Calories[Unit]))</f>
        <v>tbsp</v>
      </c>
      <c r="F264" s="65">
        <f>IF(ISBLANK(Log[[#This Row],[Item]]),"",_xlfn.XLOOKUP(Log[[#This Row],[Item]],Calories[Name],Calories[Cals])*Log[[#This Row],[Qty]])</f>
        <v>2.5</v>
      </c>
      <c r="G264" s="71">
        <f>IF(ISBLANK(Log[[#This Row],[Item]]),"",_xlfn.XLOOKUP(Log[[#This Row],[Item]],Calories[Name],Calories[Carbs])*Log[[#This Row],[Qty]])</f>
        <v>0.25</v>
      </c>
      <c r="H264" s="71">
        <f>IF(ISBLANK(Log[[#This Row],[Item]]),"",_xlfn.XLOOKUP(Log[[#This Row],[Item]],Calories[Name],Calories[Fibre])*Log[[#This Row],[Qty]])</f>
        <v>0</v>
      </c>
      <c r="I264" s="71">
        <f>IF(ISBLANK(Log[[#This Row],[Item]]),"",(Log[[#This Row],[Carbs]]-Log[[#This Row],[Fibre]]))</f>
        <v>0.25</v>
      </c>
      <c r="J264" s="103">
        <f>IF(ISBLANK(Log[[#This Row],[Item]]),"",_xlfn.XLOOKUP(Log[[#This Row],[Item]],Calories[Name],Calories[Sodium])*Log[[#This Row],[Qty]])</f>
        <v>230</v>
      </c>
      <c r="K264" s="71">
        <f>IF(ISBLANK(Log[[#This Row],[Item]]),"",_xlfn.XLOOKUP(Log[[#This Row],[Item]],Calories[Name],Calories[Protein])*Log[[#This Row],[Qty]])</f>
        <v>0.5</v>
      </c>
      <c r="L264" s="71">
        <f>IF(ISBLANK(Log[[#This Row],[Item]]),"",_xlfn.XLOOKUP(Log[[#This Row],[Item]],Calories[Name],Calories[Chol.])*Log[[#This Row],[Qty]])</f>
        <v>0</v>
      </c>
      <c r="M264" s="75"/>
      <c r="N264" s="75"/>
      <c r="O264" s="75"/>
    </row>
    <row r="265" spans="1:15" s="66" customFormat="1" ht="25.15" customHeight="1">
      <c r="A265" s="75"/>
      <c r="B265" s="98">
        <v>44823</v>
      </c>
      <c r="C265" s="78" t="s">
        <v>15</v>
      </c>
      <c r="D265" s="79">
        <v>0.75</v>
      </c>
      <c r="E265" s="76" t="str">
        <f>IF(ISBLANK(Log[[#This Row],[Item]]),"",_xlfn.XLOOKUP(Log[[#This Row],[Item]],Calories[Name],Calories[Unit]))</f>
        <v>tbsp</v>
      </c>
      <c r="F265" s="65">
        <f>IF(ISBLANK(Log[[#This Row],[Item]]),"",_xlfn.XLOOKUP(Log[[#This Row],[Item]],Calories[Name],Calories[Cals])*Log[[#This Row],[Qty]])</f>
        <v>90</v>
      </c>
      <c r="G265" s="71">
        <f>IF(ISBLANK(Log[[#This Row],[Item]]),"",_xlfn.XLOOKUP(Log[[#This Row],[Item]],Calories[Name],Calories[Carbs])*Log[[#This Row],[Qty]])</f>
        <v>0</v>
      </c>
      <c r="H265" s="71">
        <f>IF(ISBLANK(Log[[#This Row],[Item]]),"",_xlfn.XLOOKUP(Log[[#This Row],[Item]],Calories[Name],Calories[Fibre])*Log[[#This Row],[Qty]])</f>
        <v>0</v>
      </c>
      <c r="I265" s="71">
        <f>IF(ISBLANK(Log[[#This Row],[Item]]),"",(Log[[#This Row],[Carbs]]-Log[[#This Row],[Fibre]]))</f>
        <v>0</v>
      </c>
      <c r="J265" s="103">
        <f>IF(ISBLANK(Log[[#This Row],[Item]]),"",_xlfn.XLOOKUP(Log[[#This Row],[Item]],Calories[Name],Calories[Sodium])*Log[[#This Row],[Qty]])</f>
        <v>0</v>
      </c>
      <c r="K265" s="71">
        <f>IF(ISBLANK(Log[[#This Row],[Item]]),"",_xlfn.XLOOKUP(Log[[#This Row],[Item]],Calories[Name],Calories[Protein])*Log[[#This Row],[Qty]])</f>
        <v>0</v>
      </c>
      <c r="L265" s="71">
        <f>IF(ISBLANK(Log[[#This Row],[Item]]),"",_xlfn.XLOOKUP(Log[[#This Row],[Item]],Calories[Name],Calories[Chol.])*Log[[#This Row],[Qty]])</f>
        <v>0</v>
      </c>
      <c r="M265" s="75"/>
      <c r="N265" s="75"/>
      <c r="O265" s="75"/>
    </row>
    <row r="266" spans="1:15" s="66" customFormat="1" ht="25.15" customHeight="1">
      <c r="A266" s="75"/>
      <c r="B266" s="98">
        <v>44823</v>
      </c>
      <c r="C266" s="78" t="s">
        <v>82</v>
      </c>
      <c r="D266" s="79">
        <v>1</v>
      </c>
      <c r="E266" s="76" t="str">
        <f>IF(ISBLANK(Log[[#This Row],[Item]]),"",_xlfn.XLOOKUP(Log[[#This Row],[Item]],Calories[Name],Calories[Unit]))</f>
        <v>10 chip</v>
      </c>
      <c r="F266" s="65">
        <f>IF(ISBLANK(Log[[#This Row],[Item]]),"",_xlfn.XLOOKUP(Log[[#This Row],[Item]],Calories[Name],Calories[Cals])*Log[[#This Row],[Qty]])</f>
        <v>127.27272727272727</v>
      </c>
      <c r="G266" s="71">
        <f>IF(ISBLANK(Log[[#This Row],[Item]]),"",_xlfn.XLOOKUP(Log[[#This Row],[Item]],Calories[Name],Calories[Carbs])*Log[[#This Row],[Qty]])</f>
        <v>14.545454545454547</v>
      </c>
      <c r="H266" s="71">
        <f>IF(ISBLANK(Log[[#This Row],[Item]]),"",_xlfn.XLOOKUP(Log[[#This Row],[Item]],Calories[Name],Calories[Fibre])*Log[[#This Row],[Qty]])</f>
        <v>0.90909090909090917</v>
      </c>
      <c r="I266" s="71">
        <f>IF(ISBLANK(Log[[#This Row],[Item]]),"",(Log[[#This Row],[Carbs]]-Log[[#This Row],[Fibre]]))</f>
        <v>13.636363636363637</v>
      </c>
      <c r="J266" s="103">
        <f>IF(ISBLANK(Log[[#This Row],[Item]]),"",_xlfn.XLOOKUP(Log[[#This Row],[Item]],Calories[Name],Calories[Sodium])*Log[[#This Row],[Qty]])</f>
        <v>190.90909090909091</v>
      </c>
      <c r="K266" s="71">
        <f>IF(ISBLANK(Log[[#This Row],[Item]]),"",_xlfn.XLOOKUP(Log[[#This Row],[Item]],Calories[Name],Calories[Protein])*Log[[#This Row],[Qty]])</f>
        <v>1.8181818181818183</v>
      </c>
      <c r="L266" s="71">
        <f>IF(ISBLANK(Log[[#This Row],[Item]]),"",_xlfn.XLOOKUP(Log[[#This Row],[Item]],Calories[Name],Calories[Chol.])*Log[[#This Row],[Qty]])</f>
        <v>0</v>
      </c>
      <c r="M266" s="75"/>
      <c r="N266" s="75"/>
      <c r="O266" s="75"/>
    </row>
    <row r="267" spans="1:15" s="66" customFormat="1" ht="25.15" customHeight="1">
      <c r="A267" s="75"/>
      <c r="B267" s="98">
        <v>44824</v>
      </c>
      <c r="C267" s="78" t="s">
        <v>52</v>
      </c>
      <c r="D267" s="79">
        <v>1</v>
      </c>
      <c r="E267" s="76" t="str">
        <f>IF(ISBLANK(Log[[#This Row],[Item]]),"",_xlfn.XLOOKUP(Log[[#This Row],[Item]],Calories[Name],Calories[Unit]))</f>
        <v>ea</v>
      </c>
      <c r="F267" s="65">
        <f>IF(ISBLANK(Log[[#This Row],[Item]]),"",_xlfn.XLOOKUP(Log[[#This Row],[Item]],Calories[Name],Calories[Cals])*Log[[#This Row],[Qty]])</f>
        <v>0</v>
      </c>
      <c r="G267" s="71">
        <f>IF(ISBLANK(Log[[#This Row],[Item]]),"",_xlfn.XLOOKUP(Log[[#This Row],[Item]],Calories[Name],Calories[Carbs])*Log[[#This Row],[Qty]])</f>
        <v>0</v>
      </c>
      <c r="H267" s="71">
        <f>IF(ISBLANK(Log[[#This Row],[Item]]),"",_xlfn.XLOOKUP(Log[[#This Row],[Item]],Calories[Name],Calories[Fibre])*Log[[#This Row],[Qty]])</f>
        <v>0</v>
      </c>
      <c r="I267" s="71">
        <f>IF(ISBLANK(Log[[#This Row],[Item]]),"",(Log[[#This Row],[Carbs]]-Log[[#This Row],[Fibre]]))</f>
        <v>0</v>
      </c>
      <c r="J267" s="103">
        <f>IF(ISBLANK(Log[[#This Row],[Item]]),"",_xlfn.XLOOKUP(Log[[#This Row],[Item]],Calories[Name],Calories[Sodium])*Log[[#This Row],[Qty]])</f>
        <v>0</v>
      </c>
      <c r="K267" s="71">
        <f>IF(ISBLANK(Log[[#This Row],[Item]]),"",_xlfn.XLOOKUP(Log[[#This Row],[Item]],Calories[Name],Calories[Protein])*Log[[#This Row],[Qty]])</f>
        <v>0</v>
      </c>
      <c r="L267" s="71">
        <f>IF(ISBLANK(Log[[#This Row],[Item]]),"",_xlfn.XLOOKUP(Log[[#This Row],[Item]],Calories[Name],Calories[Chol.])*Log[[#This Row],[Qty]])</f>
        <v>0</v>
      </c>
      <c r="M267" s="75"/>
      <c r="N267" s="75"/>
      <c r="O267" s="75"/>
    </row>
    <row r="268" spans="1:15" s="66" customFormat="1" ht="25.15" customHeight="1">
      <c r="A268" s="75"/>
      <c r="B268" s="98">
        <v>44824</v>
      </c>
      <c r="C268" s="78" t="s">
        <v>53</v>
      </c>
      <c r="D268" s="79">
        <v>1</v>
      </c>
      <c r="E268" s="76" t="str">
        <f>IF(ISBLANK(Log[[#This Row],[Item]]),"",_xlfn.XLOOKUP(Log[[#This Row],[Item]],Calories[Name],Calories[Unit]))</f>
        <v>ea</v>
      </c>
      <c r="F268" s="65">
        <f>IF(ISBLANK(Log[[#This Row],[Item]]),"",_xlfn.XLOOKUP(Log[[#This Row],[Item]],Calories[Name],Calories[Cals])*Log[[#This Row],[Qty]])</f>
        <v>0</v>
      </c>
      <c r="G268" s="71">
        <f>IF(ISBLANK(Log[[#This Row],[Item]]),"",_xlfn.XLOOKUP(Log[[#This Row],[Item]],Calories[Name],Calories[Carbs])*Log[[#This Row],[Qty]])</f>
        <v>0</v>
      </c>
      <c r="H268" s="71">
        <f>IF(ISBLANK(Log[[#This Row],[Item]]),"",_xlfn.XLOOKUP(Log[[#This Row],[Item]],Calories[Name],Calories[Fibre])*Log[[#This Row],[Qty]])</f>
        <v>0</v>
      </c>
      <c r="I268" s="71">
        <f>IF(ISBLANK(Log[[#This Row],[Item]]),"",(Log[[#This Row],[Carbs]]-Log[[#This Row],[Fibre]]))</f>
        <v>0</v>
      </c>
      <c r="J268" s="103">
        <f>IF(ISBLANK(Log[[#This Row],[Item]]),"",_xlfn.XLOOKUP(Log[[#This Row],[Item]],Calories[Name],Calories[Sodium])*Log[[#This Row],[Qty]])</f>
        <v>0</v>
      </c>
      <c r="K268" s="71">
        <f>IF(ISBLANK(Log[[#This Row],[Item]]),"",_xlfn.XLOOKUP(Log[[#This Row],[Item]],Calories[Name],Calories[Protein])*Log[[#This Row],[Qty]])</f>
        <v>0</v>
      </c>
      <c r="L268" s="71">
        <f>IF(ISBLANK(Log[[#This Row],[Item]]),"",_xlfn.XLOOKUP(Log[[#This Row],[Item]],Calories[Name],Calories[Chol.])*Log[[#This Row],[Qty]])</f>
        <v>0</v>
      </c>
      <c r="M268" s="75"/>
      <c r="N268" s="75"/>
      <c r="O268" s="75"/>
    </row>
    <row r="269" spans="1:15" s="66" customFormat="1" ht="25.15" customHeight="1">
      <c r="A269" s="75"/>
      <c r="B269" s="98">
        <v>44824</v>
      </c>
      <c r="C269" s="78" t="s">
        <v>54</v>
      </c>
      <c r="D269" s="79">
        <v>1</v>
      </c>
      <c r="E269" s="76" t="str">
        <f>IF(ISBLANK(Log[[#This Row],[Item]]),"",_xlfn.XLOOKUP(Log[[#This Row],[Item]],Calories[Name],Calories[Unit]))</f>
        <v>ea</v>
      </c>
      <c r="F269" s="65">
        <f>IF(ISBLANK(Log[[#This Row],[Item]]),"",_xlfn.XLOOKUP(Log[[#This Row],[Item]],Calories[Name],Calories[Cals])*Log[[#This Row],[Qty]])</f>
        <v>0</v>
      </c>
      <c r="G269" s="71">
        <f>IF(ISBLANK(Log[[#This Row],[Item]]),"",_xlfn.XLOOKUP(Log[[#This Row],[Item]],Calories[Name],Calories[Carbs])*Log[[#This Row],[Qty]])</f>
        <v>0</v>
      </c>
      <c r="H269" s="71">
        <f>IF(ISBLANK(Log[[#This Row],[Item]]),"",_xlfn.XLOOKUP(Log[[#This Row],[Item]],Calories[Name],Calories[Fibre])*Log[[#This Row],[Qty]])</f>
        <v>0</v>
      </c>
      <c r="I269" s="71">
        <f>IF(ISBLANK(Log[[#This Row],[Item]]),"",(Log[[#This Row],[Carbs]]-Log[[#This Row],[Fibre]]))</f>
        <v>0</v>
      </c>
      <c r="J269" s="103">
        <f>IF(ISBLANK(Log[[#This Row],[Item]]),"",_xlfn.XLOOKUP(Log[[#This Row],[Item]],Calories[Name],Calories[Sodium])*Log[[#This Row],[Qty]])</f>
        <v>0</v>
      </c>
      <c r="K269" s="71">
        <f>IF(ISBLANK(Log[[#This Row],[Item]]),"",_xlfn.XLOOKUP(Log[[#This Row],[Item]],Calories[Name],Calories[Protein])*Log[[#This Row],[Qty]])</f>
        <v>0</v>
      </c>
      <c r="L269" s="71">
        <f>IF(ISBLANK(Log[[#This Row],[Item]]),"",_xlfn.XLOOKUP(Log[[#This Row],[Item]],Calories[Name],Calories[Chol.])*Log[[#This Row],[Qty]])</f>
        <v>0</v>
      </c>
      <c r="M269" s="75"/>
      <c r="N269" s="75"/>
      <c r="O269" s="75"/>
    </row>
    <row r="270" spans="1:15" s="66" customFormat="1" ht="25.15" customHeight="1">
      <c r="A270" s="75"/>
      <c r="B270" s="98">
        <v>44824</v>
      </c>
      <c r="C270" s="78" t="s">
        <v>55</v>
      </c>
      <c r="D270" s="79">
        <v>1</v>
      </c>
      <c r="E270" s="76" t="str">
        <f>IF(ISBLANK(Log[[#This Row],[Item]]),"",_xlfn.XLOOKUP(Log[[#This Row],[Item]],Calories[Name],Calories[Unit]))</f>
        <v>ea</v>
      </c>
      <c r="F270" s="65">
        <f>IF(ISBLANK(Log[[#This Row],[Item]]),"",_xlfn.XLOOKUP(Log[[#This Row],[Item]],Calories[Name],Calories[Cals])*Log[[#This Row],[Qty]])</f>
        <v>0</v>
      </c>
      <c r="G270" s="71">
        <f>IF(ISBLANK(Log[[#This Row],[Item]]),"",_xlfn.XLOOKUP(Log[[#This Row],[Item]],Calories[Name],Calories[Carbs])*Log[[#This Row],[Qty]])</f>
        <v>0</v>
      </c>
      <c r="H270" s="71">
        <f>IF(ISBLANK(Log[[#This Row],[Item]]),"",_xlfn.XLOOKUP(Log[[#This Row],[Item]],Calories[Name],Calories[Fibre])*Log[[#This Row],[Qty]])</f>
        <v>0</v>
      </c>
      <c r="I270" s="71">
        <f>IF(ISBLANK(Log[[#This Row],[Item]]),"",(Log[[#This Row],[Carbs]]-Log[[#This Row],[Fibre]]))</f>
        <v>0</v>
      </c>
      <c r="J270" s="103">
        <f>IF(ISBLANK(Log[[#This Row],[Item]]),"",_xlfn.XLOOKUP(Log[[#This Row],[Item]],Calories[Name],Calories[Sodium])*Log[[#This Row],[Qty]])</f>
        <v>0</v>
      </c>
      <c r="K270" s="71">
        <f>IF(ISBLANK(Log[[#This Row],[Item]]),"",_xlfn.XLOOKUP(Log[[#This Row],[Item]],Calories[Name],Calories[Protein])*Log[[#This Row],[Qty]])</f>
        <v>0</v>
      </c>
      <c r="L270" s="71">
        <f>IF(ISBLANK(Log[[#This Row],[Item]]),"",_xlfn.XLOOKUP(Log[[#This Row],[Item]],Calories[Name],Calories[Chol.])*Log[[#This Row],[Qty]])</f>
        <v>0</v>
      </c>
      <c r="M270" s="75"/>
      <c r="N270" s="75"/>
      <c r="O270" s="75"/>
    </row>
    <row r="271" spans="1:15" s="66" customFormat="1" ht="25.15" customHeight="1">
      <c r="A271" s="75"/>
      <c r="B271" s="98">
        <v>44824</v>
      </c>
      <c r="C271" s="78" t="s">
        <v>18</v>
      </c>
      <c r="D271" s="79">
        <v>250</v>
      </c>
      <c r="E271" s="76" t="str">
        <f>IF(ISBLANK(Log[[#This Row],[Item]]),"",_xlfn.XLOOKUP(Log[[#This Row],[Item]],Calories[Name],Calories[Unit]))</f>
        <v>g</v>
      </c>
      <c r="F271" s="65">
        <f>IF(ISBLANK(Log[[#This Row],[Item]]),"",_xlfn.XLOOKUP(Log[[#This Row],[Item]],Calories[Name],Calories[Cals])*Log[[#This Row],[Qty]])</f>
        <v>515.44943820224717</v>
      </c>
      <c r="G271" s="71">
        <f>IF(ISBLANK(Log[[#This Row],[Item]]),"",_xlfn.XLOOKUP(Log[[#This Row],[Item]],Calories[Name],Calories[Carbs])*Log[[#This Row],[Qty]])</f>
        <v>0</v>
      </c>
      <c r="H271" s="71">
        <f>IF(ISBLANK(Log[[#This Row],[Item]]),"",_xlfn.XLOOKUP(Log[[#This Row],[Item]],Calories[Name],Calories[Fibre])*Log[[#This Row],[Qty]])</f>
        <v>0</v>
      </c>
      <c r="I271" s="71">
        <f>IF(ISBLANK(Log[[#This Row],[Item]]),"",(Log[[#This Row],[Carbs]]-Log[[#This Row],[Fibre]]))</f>
        <v>0</v>
      </c>
      <c r="J271" s="103">
        <f>IF(ISBLANK(Log[[#This Row],[Item]]),"",_xlfn.XLOOKUP(Log[[#This Row],[Item]],Calories[Name],Calories[Sodium])*Log[[#This Row],[Qty]])</f>
        <v>153.08988764044946</v>
      </c>
      <c r="K271" s="71">
        <f>IF(ISBLANK(Log[[#This Row],[Item]]),"",_xlfn.XLOOKUP(Log[[#This Row],[Item]],Calories[Name],Calories[Protein])*Log[[#This Row],[Qty]])</f>
        <v>54.775280898876403</v>
      </c>
      <c r="L271" s="71">
        <f>IF(ISBLANK(Log[[#This Row],[Item]]),"",_xlfn.XLOOKUP(Log[[#This Row],[Item]],Calories[Name],Calories[Chol.])*Log[[#This Row],[Qty]])</f>
        <v>157.30337078651684</v>
      </c>
      <c r="M271" s="75"/>
      <c r="N271" s="75"/>
      <c r="O271" s="75"/>
    </row>
    <row r="272" spans="1:15" s="66" customFormat="1" ht="25.15" customHeight="1">
      <c r="A272" s="75"/>
      <c r="B272" s="98">
        <v>44824</v>
      </c>
      <c r="C272" s="78" t="s">
        <v>15</v>
      </c>
      <c r="D272" s="79">
        <v>1</v>
      </c>
      <c r="E272" s="76" t="str">
        <f>IF(ISBLANK(Log[[#This Row],[Item]]),"",_xlfn.XLOOKUP(Log[[#This Row],[Item]],Calories[Name],Calories[Unit]))</f>
        <v>tbsp</v>
      </c>
      <c r="F272" s="65">
        <f>IF(ISBLANK(Log[[#This Row],[Item]]),"",_xlfn.XLOOKUP(Log[[#This Row],[Item]],Calories[Name],Calories[Cals])*Log[[#This Row],[Qty]])</f>
        <v>120</v>
      </c>
      <c r="G272" s="71">
        <f>IF(ISBLANK(Log[[#This Row],[Item]]),"",_xlfn.XLOOKUP(Log[[#This Row],[Item]],Calories[Name],Calories[Carbs])*Log[[#This Row],[Qty]])</f>
        <v>0</v>
      </c>
      <c r="H272" s="71">
        <f>IF(ISBLANK(Log[[#This Row],[Item]]),"",_xlfn.XLOOKUP(Log[[#This Row],[Item]],Calories[Name],Calories[Fibre])*Log[[#This Row],[Qty]])</f>
        <v>0</v>
      </c>
      <c r="I272" s="71">
        <f>IF(ISBLANK(Log[[#This Row],[Item]]),"",(Log[[#This Row],[Carbs]]-Log[[#This Row],[Fibre]]))</f>
        <v>0</v>
      </c>
      <c r="J272" s="103">
        <f>IF(ISBLANK(Log[[#This Row],[Item]]),"",_xlfn.XLOOKUP(Log[[#This Row],[Item]],Calories[Name],Calories[Sodium])*Log[[#This Row],[Qty]])</f>
        <v>0</v>
      </c>
      <c r="K272" s="71">
        <f>IF(ISBLANK(Log[[#This Row],[Item]]),"",_xlfn.XLOOKUP(Log[[#This Row],[Item]],Calories[Name],Calories[Protein])*Log[[#This Row],[Qty]])</f>
        <v>0</v>
      </c>
      <c r="L272" s="71">
        <f>IF(ISBLANK(Log[[#This Row],[Item]]),"",_xlfn.XLOOKUP(Log[[#This Row],[Item]],Calories[Name],Calories[Chol.])*Log[[#This Row],[Qty]])</f>
        <v>0</v>
      </c>
      <c r="M272" s="75"/>
      <c r="N272" s="75"/>
      <c r="O272" s="75"/>
    </row>
    <row r="273" spans="1:15" s="66" customFormat="1" ht="25.15" customHeight="1">
      <c r="A273" s="75"/>
      <c r="B273" s="98">
        <v>44824</v>
      </c>
      <c r="C273" s="78" t="s">
        <v>42</v>
      </c>
      <c r="D273" s="79">
        <v>0.75</v>
      </c>
      <c r="E273" s="76" t="str">
        <f>IF(ISBLANK(Log[[#This Row],[Item]]),"",_xlfn.XLOOKUP(Log[[#This Row],[Item]],Calories[Name],Calories[Unit]))</f>
        <v>c</v>
      </c>
      <c r="F273" s="65">
        <f>IF(ISBLANK(Log[[#This Row],[Item]]),"",_xlfn.XLOOKUP(Log[[#This Row],[Item]],Calories[Name],Calories[Cals])*Log[[#This Row],[Qty]])</f>
        <v>3</v>
      </c>
      <c r="G273" s="71">
        <f>IF(ISBLANK(Log[[#This Row],[Item]]),"",_xlfn.XLOOKUP(Log[[#This Row],[Item]],Calories[Name],Calories[Carbs])*Log[[#This Row],[Qty]])</f>
        <v>0.4425</v>
      </c>
      <c r="H273" s="71">
        <f>IF(ISBLANK(Log[[#This Row],[Item]]),"",_xlfn.XLOOKUP(Log[[#This Row],[Item]],Calories[Name],Calories[Fibre])*Log[[#This Row],[Qty]])</f>
        <v>0.30000000000000004</v>
      </c>
      <c r="I273" s="71">
        <f>IF(ISBLANK(Log[[#This Row],[Item]]),"",(Log[[#This Row],[Carbs]]-Log[[#This Row],[Fibre]]))</f>
        <v>0.14249999999999996</v>
      </c>
      <c r="J273" s="103">
        <f>IF(ISBLANK(Log[[#This Row],[Item]]),"",_xlfn.XLOOKUP(Log[[#This Row],[Item]],Calories[Name],Calories[Sodium])*Log[[#This Row],[Qty]])</f>
        <v>5.25</v>
      </c>
      <c r="K273" s="71">
        <f>IF(ISBLANK(Log[[#This Row],[Item]]),"",_xlfn.XLOOKUP(Log[[#This Row],[Item]],Calories[Name],Calories[Protein])*Log[[#This Row],[Qty]])</f>
        <v>0.255</v>
      </c>
      <c r="L273" s="71">
        <f>IF(ISBLANK(Log[[#This Row],[Item]]),"",_xlfn.XLOOKUP(Log[[#This Row],[Item]],Calories[Name],Calories[Chol.])*Log[[#This Row],[Qty]])</f>
        <v>0</v>
      </c>
      <c r="M273" s="75"/>
      <c r="N273" s="75"/>
      <c r="O273" s="75"/>
    </row>
    <row r="274" spans="1:15" s="66" customFormat="1" ht="25.15" customHeight="1">
      <c r="A274" s="75"/>
      <c r="B274" s="98">
        <v>44824</v>
      </c>
      <c r="C274" s="78" t="s">
        <v>58</v>
      </c>
      <c r="D274" s="79">
        <v>0.5</v>
      </c>
      <c r="E274" s="76" t="str">
        <f>IF(ISBLANK(Log[[#This Row],[Item]]),"",_xlfn.XLOOKUP(Log[[#This Row],[Item]],Calories[Name],Calories[Unit]))</f>
        <v>tbsp</v>
      </c>
      <c r="F274" s="65">
        <f>IF(ISBLANK(Log[[#This Row],[Item]]),"",_xlfn.XLOOKUP(Log[[#This Row],[Item]],Calories[Name],Calories[Cals])*Log[[#This Row],[Qty]])</f>
        <v>1.6</v>
      </c>
      <c r="G274" s="71">
        <f>IF(ISBLANK(Log[[#This Row],[Item]]),"",_xlfn.XLOOKUP(Log[[#This Row],[Item]],Calories[Name],Calories[Carbs])*Log[[#This Row],[Qty]])</f>
        <v>0.5</v>
      </c>
      <c r="H274" s="71">
        <f>IF(ISBLANK(Log[[#This Row],[Item]]),"",_xlfn.XLOOKUP(Log[[#This Row],[Item]],Calories[Name],Calories[Fibre])*Log[[#This Row],[Qty]])</f>
        <v>0</v>
      </c>
      <c r="I274" s="71">
        <f>IF(ISBLANK(Log[[#This Row],[Item]]),"",(Log[[#This Row],[Carbs]]-Log[[#This Row],[Fibre]]))</f>
        <v>0.5</v>
      </c>
      <c r="J274" s="103">
        <f>IF(ISBLANK(Log[[#This Row],[Item]]),"",_xlfn.XLOOKUP(Log[[#This Row],[Item]],Calories[Name],Calories[Sodium])*Log[[#This Row],[Qty]])</f>
        <v>1.6</v>
      </c>
      <c r="K274" s="71">
        <f>IF(ISBLANK(Log[[#This Row],[Item]]),"",_xlfn.XLOOKUP(Log[[#This Row],[Item]],Calories[Name],Calories[Protein])*Log[[#This Row],[Qty]])</f>
        <v>0.05</v>
      </c>
      <c r="L274" s="71">
        <f>IF(ISBLANK(Log[[#This Row],[Item]]),"",_xlfn.XLOOKUP(Log[[#This Row],[Item]],Calories[Name],Calories[Chol.])*Log[[#This Row],[Qty]])</f>
        <v>0</v>
      </c>
      <c r="M274" s="75"/>
      <c r="N274" s="75"/>
      <c r="O274" s="75"/>
    </row>
    <row r="275" spans="1:15" s="66" customFormat="1" ht="25.15" customHeight="1">
      <c r="A275" s="75"/>
      <c r="B275" s="98">
        <v>44824</v>
      </c>
      <c r="C275" s="78" t="s">
        <v>45</v>
      </c>
      <c r="D275" s="79">
        <v>2</v>
      </c>
      <c r="E275" s="76" t="str">
        <f>IF(ISBLANK(Log[[#This Row],[Item]]),"",_xlfn.XLOOKUP(Log[[#This Row],[Item]],Calories[Name],Calories[Unit]))</f>
        <v>pinch</v>
      </c>
      <c r="F275" s="65">
        <f>IF(ISBLANK(Log[[#This Row],[Item]]),"",_xlfn.XLOOKUP(Log[[#This Row],[Item]],Calories[Name],Calories[Cals])*Log[[#This Row],[Qty]])</f>
        <v>0</v>
      </c>
      <c r="G275" s="71">
        <f>IF(ISBLANK(Log[[#This Row],[Item]]),"",_xlfn.XLOOKUP(Log[[#This Row],[Item]],Calories[Name],Calories[Carbs])*Log[[#This Row],[Qty]])</f>
        <v>0</v>
      </c>
      <c r="H275" s="71">
        <f>IF(ISBLANK(Log[[#This Row],[Item]]),"",_xlfn.XLOOKUP(Log[[#This Row],[Item]],Calories[Name],Calories[Fibre])*Log[[#This Row],[Qty]])</f>
        <v>0</v>
      </c>
      <c r="I275" s="71">
        <f>IF(ISBLANK(Log[[#This Row],[Item]]),"",(Log[[#This Row],[Carbs]]-Log[[#This Row],[Fibre]]))</f>
        <v>0</v>
      </c>
      <c r="J275" s="103">
        <f>IF(ISBLANK(Log[[#This Row],[Item]]),"",_xlfn.XLOOKUP(Log[[#This Row],[Item]],Calories[Name],Calories[Sodium])*Log[[#This Row],[Qty]])</f>
        <v>279.05759999999998</v>
      </c>
      <c r="K275" s="71">
        <f>IF(ISBLANK(Log[[#This Row],[Item]]),"",_xlfn.XLOOKUP(Log[[#This Row],[Item]],Calories[Name],Calories[Protein])*Log[[#This Row],[Qty]])</f>
        <v>0</v>
      </c>
      <c r="L275" s="71">
        <f>IF(ISBLANK(Log[[#This Row],[Item]]),"",_xlfn.XLOOKUP(Log[[#This Row],[Item]],Calories[Name],Calories[Chol.])*Log[[#This Row],[Qty]])</f>
        <v>0</v>
      </c>
      <c r="M275" s="75"/>
      <c r="N275" s="75"/>
      <c r="O275" s="75"/>
    </row>
    <row r="276" spans="1:15" s="66" customFormat="1" ht="25.15" customHeight="1">
      <c r="A276" s="75"/>
      <c r="B276" s="98">
        <v>44824</v>
      </c>
      <c r="C276" s="78" t="s">
        <v>79</v>
      </c>
      <c r="D276" s="79">
        <v>15</v>
      </c>
      <c r="E276" s="76" t="str">
        <f>IF(ISBLANK(Log[[#This Row],[Item]]),"",_xlfn.XLOOKUP(Log[[#This Row],[Item]],Calories[Name],Calories[Unit]))</f>
        <v>ea</v>
      </c>
      <c r="F276" s="65">
        <f>IF(ISBLANK(Log[[#This Row],[Item]]),"",_xlfn.XLOOKUP(Log[[#This Row],[Item]],Calories[Name],Calories[Cals])*Log[[#This Row],[Qty]])</f>
        <v>100</v>
      </c>
      <c r="G276" s="71">
        <f>IF(ISBLANK(Log[[#This Row],[Item]]),"",_xlfn.XLOOKUP(Log[[#This Row],[Item]],Calories[Name],Calories[Carbs])*Log[[#This Row],[Qty]])</f>
        <v>21.25</v>
      </c>
      <c r="H276" s="71">
        <f>IF(ISBLANK(Log[[#This Row],[Item]]),"",_xlfn.XLOOKUP(Log[[#This Row],[Item]],Calories[Name],Calories[Fibre])*Log[[#This Row],[Qty]])</f>
        <v>0</v>
      </c>
      <c r="I276" s="71">
        <f>IF(ISBLANK(Log[[#This Row],[Item]]),"",(Log[[#This Row],[Carbs]]-Log[[#This Row],[Fibre]]))</f>
        <v>21.25</v>
      </c>
      <c r="J276" s="103">
        <f>IF(ISBLANK(Log[[#This Row],[Item]]),"",_xlfn.XLOOKUP(Log[[#This Row],[Item]],Calories[Name],Calories[Sodium])*Log[[#This Row],[Qty]])</f>
        <v>106.25</v>
      </c>
      <c r="K276" s="71">
        <f>IF(ISBLANK(Log[[#This Row],[Item]]),"",_xlfn.XLOOKUP(Log[[#This Row],[Item]],Calories[Name],Calories[Protein])*Log[[#This Row],[Qty]])</f>
        <v>2.5</v>
      </c>
      <c r="L276" s="71">
        <f>IF(ISBLANK(Log[[#This Row],[Item]]),"",_xlfn.XLOOKUP(Log[[#This Row],[Item]],Calories[Name],Calories[Chol.])*Log[[#This Row],[Qty]])</f>
        <v>0</v>
      </c>
      <c r="M276" s="75"/>
      <c r="N276" s="75"/>
      <c r="O276" s="75"/>
    </row>
    <row r="277" spans="1:15" s="66" customFormat="1" ht="25.15" customHeight="1">
      <c r="A277" s="75"/>
      <c r="B277" s="98">
        <v>44824</v>
      </c>
      <c r="C277" s="78" t="s">
        <v>58</v>
      </c>
      <c r="D277" s="79">
        <v>0.5</v>
      </c>
      <c r="E277" s="76" t="str">
        <f>IF(ISBLANK(Log[[#This Row],[Item]]),"",_xlfn.XLOOKUP(Log[[#This Row],[Item]],Calories[Name],Calories[Unit]))</f>
        <v>tbsp</v>
      </c>
      <c r="F277" s="65">
        <f>IF(ISBLANK(Log[[#This Row],[Item]]),"",_xlfn.XLOOKUP(Log[[#This Row],[Item]],Calories[Name],Calories[Cals])*Log[[#This Row],[Qty]])</f>
        <v>1.6</v>
      </c>
      <c r="G277" s="71">
        <f>IF(ISBLANK(Log[[#This Row],[Item]]),"",_xlfn.XLOOKUP(Log[[#This Row],[Item]],Calories[Name],Calories[Carbs])*Log[[#This Row],[Qty]])</f>
        <v>0.5</v>
      </c>
      <c r="H277" s="71">
        <f>IF(ISBLANK(Log[[#This Row],[Item]]),"",_xlfn.XLOOKUP(Log[[#This Row],[Item]],Calories[Name],Calories[Fibre])*Log[[#This Row],[Qty]])</f>
        <v>0</v>
      </c>
      <c r="I277" s="71">
        <f>IF(ISBLANK(Log[[#This Row],[Item]]),"",(Log[[#This Row],[Carbs]]-Log[[#This Row],[Fibre]]))</f>
        <v>0.5</v>
      </c>
      <c r="J277" s="103">
        <f>IF(ISBLANK(Log[[#This Row],[Item]]),"",_xlfn.XLOOKUP(Log[[#This Row],[Item]],Calories[Name],Calories[Sodium])*Log[[#This Row],[Qty]])</f>
        <v>1.6</v>
      </c>
      <c r="K277" s="71">
        <f>IF(ISBLANK(Log[[#This Row],[Item]]),"",_xlfn.XLOOKUP(Log[[#This Row],[Item]],Calories[Name],Calories[Protein])*Log[[#This Row],[Qty]])</f>
        <v>0.05</v>
      </c>
      <c r="L277" s="71">
        <f>IF(ISBLANK(Log[[#This Row],[Item]]),"",_xlfn.XLOOKUP(Log[[#This Row],[Item]],Calories[Name],Calories[Chol.])*Log[[#This Row],[Qty]])</f>
        <v>0</v>
      </c>
      <c r="M277" s="75"/>
      <c r="N277" s="75"/>
      <c r="O277" s="75"/>
    </row>
    <row r="278" spans="1:15" s="66" customFormat="1" ht="25.15" customHeight="1">
      <c r="A278" s="75"/>
      <c r="B278" s="98">
        <v>44824</v>
      </c>
      <c r="C278" s="78" t="s">
        <v>41</v>
      </c>
      <c r="D278" s="79">
        <v>150</v>
      </c>
      <c r="E278" s="76" t="str">
        <f>IF(ISBLANK(Log[[#This Row],[Item]]),"",_xlfn.XLOOKUP(Log[[#This Row],[Item]],Calories[Name],Calories[Unit]))</f>
        <v>g</v>
      </c>
      <c r="F278" s="65">
        <f>IF(ISBLANK(Log[[#This Row],[Item]]),"",_xlfn.XLOOKUP(Log[[#This Row],[Item]],Calories[Name],Calories[Cals])*Log[[#This Row],[Qty]])</f>
        <v>159</v>
      </c>
      <c r="G278" s="71">
        <f>IF(ISBLANK(Log[[#This Row],[Item]]),"",_xlfn.XLOOKUP(Log[[#This Row],[Item]],Calories[Name],Calories[Carbs])*Log[[#This Row],[Qty]])</f>
        <v>1.365</v>
      </c>
      <c r="H278" s="71">
        <f>IF(ISBLANK(Log[[#This Row],[Item]]),"",_xlfn.XLOOKUP(Log[[#This Row],[Item]],Calories[Name],Calories[Fibre])*Log[[#This Row],[Qty]])</f>
        <v>0</v>
      </c>
      <c r="I278" s="71">
        <f>IF(ISBLANK(Log[[#This Row],[Item]]),"",(Log[[#This Row],[Carbs]]-Log[[#This Row],[Fibre]]))</f>
        <v>1.365</v>
      </c>
      <c r="J278" s="103">
        <f>IF(ISBLANK(Log[[#This Row],[Item]]),"",_xlfn.XLOOKUP(Log[[#This Row],[Item]],Calories[Name],Calories[Sodium])*Log[[#This Row],[Qty]])</f>
        <v>222</v>
      </c>
      <c r="K278" s="71">
        <f>IF(ISBLANK(Log[[#This Row],[Item]]),"",_xlfn.XLOOKUP(Log[[#This Row],[Item]],Calories[Name],Calories[Protein])*Log[[#This Row],[Qty]])</f>
        <v>30.464999999999996</v>
      </c>
      <c r="L278" s="71">
        <f>IF(ISBLANK(Log[[#This Row],[Item]]),"",_xlfn.XLOOKUP(Log[[#This Row],[Item]],Calories[Name],Calories[Chol.])*Log[[#This Row],[Qty]])</f>
        <v>228</v>
      </c>
      <c r="M278" s="75"/>
      <c r="N278" s="75"/>
      <c r="O278" s="75"/>
    </row>
    <row r="279" spans="1:15" s="66" customFormat="1" ht="25.15" customHeight="1">
      <c r="A279" s="75"/>
      <c r="B279" s="98">
        <v>44824</v>
      </c>
      <c r="C279" s="78" t="s">
        <v>40</v>
      </c>
      <c r="D279" s="79">
        <v>5</v>
      </c>
      <c r="E279" s="76" t="str">
        <f>IF(ISBLANK(Log[[#This Row],[Item]]),"",_xlfn.XLOOKUP(Log[[#This Row],[Item]],Calories[Name],Calories[Unit]))</f>
        <v>ea</v>
      </c>
      <c r="F279" s="65">
        <f>IF(ISBLANK(Log[[#This Row],[Item]]),"",_xlfn.XLOOKUP(Log[[#This Row],[Item]],Calories[Name],Calories[Cals])*Log[[#This Row],[Qty]])</f>
        <v>75</v>
      </c>
      <c r="G279" s="71">
        <f>IF(ISBLANK(Log[[#This Row],[Item]]),"",_xlfn.XLOOKUP(Log[[#This Row],[Item]],Calories[Name],Calories[Carbs])*Log[[#This Row],[Qty]])</f>
        <v>15</v>
      </c>
      <c r="H279" s="71">
        <f>IF(ISBLANK(Log[[#This Row],[Item]]),"",_xlfn.XLOOKUP(Log[[#This Row],[Item]],Calories[Name],Calories[Fibre])*Log[[#This Row],[Qty]])</f>
        <v>10</v>
      </c>
      <c r="I279" s="71">
        <f>IF(ISBLANK(Log[[#This Row],[Item]]),"",(Log[[#This Row],[Carbs]]-Log[[#This Row],[Fibre]]))</f>
        <v>5</v>
      </c>
      <c r="J279" s="103">
        <f>IF(ISBLANK(Log[[#This Row],[Item]]),"",_xlfn.XLOOKUP(Log[[#This Row],[Item]],Calories[Name],Calories[Sodium])*Log[[#This Row],[Qty]])</f>
        <v>200</v>
      </c>
      <c r="K279" s="71">
        <f>IF(ISBLANK(Log[[#This Row],[Item]]),"",_xlfn.XLOOKUP(Log[[#This Row],[Item]],Calories[Name],Calories[Protein])*Log[[#This Row],[Qty]])</f>
        <v>5</v>
      </c>
      <c r="L279" s="71">
        <f>IF(ISBLANK(Log[[#This Row],[Item]]),"",_xlfn.XLOOKUP(Log[[#This Row],[Item]],Calories[Name],Calories[Chol.])*Log[[#This Row],[Qty]])</f>
        <v>0</v>
      </c>
      <c r="M279" s="75"/>
      <c r="N279" s="75"/>
      <c r="O279" s="75"/>
    </row>
    <row r="280" spans="1:15" s="66" customFormat="1" ht="25.15" customHeight="1">
      <c r="A280" s="75"/>
      <c r="B280" s="98">
        <v>44824</v>
      </c>
      <c r="C280" s="78" t="s">
        <v>36</v>
      </c>
      <c r="D280" s="79">
        <v>1</v>
      </c>
      <c r="E280" s="76" t="str">
        <f>IF(ISBLANK(Log[[#This Row],[Item]]),"",_xlfn.XLOOKUP(Log[[#This Row],[Item]],Calories[Name],Calories[Unit]))</f>
        <v>ea</v>
      </c>
      <c r="F280" s="65">
        <f>IF(ISBLANK(Log[[#This Row],[Item]]),"",_xlfn.XLOOKUP(Log[[#This Row],[Item]],Calories[Name],Calories[Cals])*Log[[#This Row],[Qty]])</f>
        <v>240</v>
      </c>
      <c r="G280" s="71">
        <f>IF(ISBLANK(Log[[#This Row],[Item]]),"",_xlfn.XLOOKUP(Log[[#This Row],[Item]],Calories[Name],Calories[Carbs])*Log[[#This Row],[Qty]])</f>
        <v>13</v>
      </c>
      <c r="H280" s="71">
        <f>IF(ISBLANK(Log[[#This Row],[Item]]),"",_xlfn.XLOOKUP(Log[[#This Row],[Item]],Calories[Name],Calories[Fibre])*Log[[#This Row],[Qty]])</f>
        <v>10</v>
      </c>
      <c r="I280" s="71">
        <f>IF(ISBLANK(Log[[#This Row],[Item]]),"",(Log[[#This Row],[Carbs]]-Log[[#This Row],[Fibre]]))</f>
        <v>3</v>
      </c>
      <c r="J280" s="103">
        <f>IF(ISBLANK(Log[[#This Row],[Item]]),"",_xlfn.XLOOKUP(Log[[#This Row],[Item]],Calories[Name],Calories[Sodium])*Log[[#This Row],[Qty]])</f>
        <v>11</v>
      </c>
      <c r="K280" s="71">
        <f>IF(ISBLANK(Log[[#This Row],[Item]]),"",_xlfn.XLOOKUP(Log[[#This Row],[Item]],Calories[Name],Calories[Protein])*Log[[#This Row],[Qty]])</f>
        <v>3</v>
      </c>
      <c r="L280" s="71">
        <f>IF(ISBLANK(Log[[#This Row],[Item]]),"",_xlfn.XLOOKUP(Log[[#This Row],[Item]],Calories[Name],Calories[Chol.])*Log[[#This Row],[Qty]])</f>
        <v>0</v>
      </c>
      <c r="M280" s="75"/>
      <c r="N280" s="75"/>
      <c r="O280" s="75"/>
    </row>
    <row r="281" spans="1:15" s="66" customFormat="1" ht="25.15" customHeight="1">
      <c r="A281" s="75"/>
      <c r="B281" s="98">
        <v>44824</v>
      </c>
      <c r="C281" s="78" t="s">
        <v>60</v>
      </c>
      <c r="D281" s="79">
        <v>3</v>
      </c>
      <c r="E281" s="76" t="str">
        <f>IF(ISBLANK(Log[[#This Row],[Item]]),"",_xlfn.XLOOKUP(Log[[#This Row],[Item]],Calories[Name],Calories[Unit]))</f>
        <v>tbsp</v>
      </c>
      <c r="F281" s="65">
        <f>IF(ISBLANK(Log[[#This Row],[Item]]),"",_xlfn.XLOOKUP(Log[[#This Row],[Item]],Calories[Name],Calories[Cals])*Log[[#This Row],[Qty]])</f>
        <v>15</v>
      </c>
      <c r="G281" s="71">
        <f>IF(ISBLANK(Log[[#This Row],[Item]]),"",_xlfn.XLOOKUP(Log[[#This Row],[Item]],Calories[Name],Calories[Carbs])*Log[[#This Row],[Qty]])</f>
        <v>3</v>
      </c>
      <c r="H281" s="71">
        <f>IF(ISBLANK(Log[[#This Row],[Item]]),"",_xlfn.XLOOKUP(Log[[#This Row],[Item]],Calories[Name],Calories[Fibre])*Log[[#This Row],[Qty]])</f>
        <v>1.5</v>
      </c>
      <c r="I281" s="71">
        <f>IF(ISBLANK(Log[[#This Row],[Item]]),"",(Log[[#This Row],[Carbs]]-Log[[#This Row],[Fibre]]))</f>
        <v>1.5</v>
      </c>
      <c r="J281" s="103">
        <f>IF(ISBLANK(Log[[#This Row],[Item]]),"",_xlfn.XLOOKUP(Log[[#This Row],[Item]],Calories[Name],Calories[Sodium])*Log[[#This Row],[Qty]])</f>
        <v>420</v>
      </c>
      <c r="K281" s="71">
        <f>IF(ISBLANK(Log[[#This Row],[Item]]),"",_xlfn.XLOOKUP(Log[[#This Row],[Item]],Calories[Name],Calories[Protein])*Log[[#This Row],[Qty]])</f>
        <v>1.5</v>
      </c>
      <c r="L281" s="71">
        <f>IF(ISBLANK(Log[[#This Row],[Item]]),"",_xlfn.XLOOKUP(Log[[#This Row],[Item]],Calories[Name],Calories[Chol.])*Log[[#This Row],[Qty]])</f>
        <v>0</v>
      </c>
      <c r="M281" s="75"/>
      <c r="N281" s="75"/>
      <c r="O281" s="75"/>
    </row>
    <row r="282" spans="1:15" s="66" customFormat="1" ht="25.15" customHeight="1">
      <c r="A282" s="75"/>
      <c r="B282" s="98">
        <v>44825</v>
      </c>
      <c r="C282" s="78" t="s">
        <v>52</v>
      </c>
      <c r="D282" s="79">
        <v>1</v>
      </c>
      <c r="E282" s="76" t="str">
        <f>IF(ISBLANK(Log[[#This Row],[Item]]),"",_xlfn.XLOOKUP(Log[[#This Row],[Item]],Calories[Name],Calories[Unit]))</f>
        <v>ea</v>
      </c>
      <c r="F282" s="65">
        <f>IF(ISBLANK(Log[[#This Row],[Item]]),"",_xlfn.XLOOKUP(Log[[#This Row],[Item]],Calories[Name],Calories[Cals])*Log[[#This Row],[Qty]])</f>
        <v>0</v>
      </c>
      <c r="G282" s="71">
        <f>IF(ISBLANK(Log[[#This Row],[Item]]),"",_xlfn.XLOOKUP(Log[[#This Row],[Item]],Calories[Name],Calories[Carbs])*Log[[#This Row],[Qty]])</f>
        <v>0</v>
      </c>
      <c r="H282" s="71">
        <f>IF(ISBLANK(Log[[#This Row],[Item]]),"",_xlfn.XLOOKUP(Log[[#This Row],[Item]],Calories[Name],Calories[Fibre])*Log[[#This Row],[Qty]])</f>
        <v>0</v>
      </c>
      <c r="I282" s="71">
        <f>IF(ISBLANK(Log[[#This Row],[Item]]),"",(Log[[#This Row],[Carbs]]-Log[[#This Row],[Fibre]]))</f>
        <v>0</v>
      </c>
      <c r="J282" s="103">
        <f>IF(ISBLANK(Log[[#This Row],[Item]]),"",_xlfn.XLOOKUP(Log[[#This Row],[Item]],Calories[Name],Calories[Sodium])*Log[[#This Row],[Qty]])</f>
        <v>0</v>
      </c>
      <c r="K282" s="71">
        <f>IF(ISBLANK(Log[[#This Row],[Item]]),"",_xlfn.XLOOKUP(Log[[#This Row],[Item]],Calories[Name],Calories[Protein])*Log[[#This Row],[Qty]])</f>
        <v>0</v>
      </c>
      <c r="L282" s="71">
        <f>IF(ISBLANK(Log[[#This Row],[Item]]),"",_xlfn.XLOOKUP(Log[[#This Row],[Item]],Calories[Name],Calories[Chol.])*Log[[#This Row],[Qty]])</f>
        <v>0</v>
      </c>
      <c r="M282" s="75"/>
      <c r="N282" s="75"/>
      <c r="O282" s="75"/>
    </row>
    <row r="283" spans="1:15" s="66" customFormat="1" ht="25.15" customHeight="1">
      <c r="A283" s="75"/>
      <c r="B283" s="98">
        <v>44825</v>
      </c>
      <c r="C283" s="78" t="s">
        <v>53</v>
      </c>
      <c r="D283" s="79">
        <v>1</v>
      </c>
      <c r="E283" s="76" t="str">
        <f>IF(ISBLANK(Log[[#This Row],[Item]]),"",_xlfn.XLOOKUP(Log[[#This Row],[Item]],Calories[Name],Calories[Unit]))</f>
        <v>ea</v>
      </c>
      <c r="F283" s="65">
        <f>IF(ISBLANK(Log[[#This Row],[Item]]),"",_xlfn.XLOOKUP(Log[[#This Row],[Item]],Calories[Name],Calories[Cals])*Log[[#This Row],[Qty]])</f>
        <v>0</v>
      </c>
      <c r="G283" s="71">
        <f>IF(ISBLANK(Log[[#This Row],[Item]]),"",_xlfn.XLOOKUP(Log[[#This Row],[Item]],Calories[Name],Calories[Carbs])*Log[[#This Row],[Qty]])</f>
        <v>0</v>
      </c>
      <c r="H283" s="71">
        <f>IF(ISBLANK(Log[[#This Row],[Item]]),"",_xlfn.XLOOKUP(Log[[#This Row],[Item]],Calories[Name],Calories[Fibre])*Log[[#This Row],[Qty]])</f>
        <v>0</v>
      </c>
      <c r="I283" s="71">
        <f>IF(ISBLANK(Log[[#This Row],[Item]]),"",(Log[[#This Row],[Carbs]]-Log[[#This Row],[Fibre]]))</f>
        <v>0</v>
      </c>
      <c r="J283" s="103">
        <f>IF(ISBLANK(Log[[#This Row],[Item]]),"",_xlfn.XLOOKUP(Log[[#This Row],[Item]],Calories[Name],Calories[Sodium])*Log[[#This Row],[Qty]])</f>
        <v>0</v>
      </c>
      <c r="K283" s="71">
        <f>IF(ISBLANK(Log[[#This Row],[Item]]),"",_xlfn.XLOOKUP(Log[[#This Row],[Item]],Calories[Name],Calories[Protein])*Log[[#This Row],[Qty]])</f>
        <v>0</v>
      </c>
      <c r="L283" s="71">
        <f>IF(ISBLANK(Log[[#This Row],[Item]]),"",_xlfn.XLOOKUP(Log[[#This Row],[Item]],Calories[Name],Calories[Chol.])*Log[[#This Row],[Qty]])</f>
        <v>0</v>
      </c>
      <c r="M283" s="75"/>
      <c r="N283" s="75"/>
      <c r="O283" s="75"/>
    </row>
    <row r="284" spans="1:15" s="66" customFormat="1" ht="25.15" customHeight="1">
      <c r="A284" s="75"/>
      <c r="B284" s="98">
        <v>44825</v>
      </c>
      <c r="C284" s="78" t="s">
        <v>54</v>
      </c>
      <c r="D284" s="79">
        <v>1</v>
      </c>
      <c r="E284" s="76" t="str">
        <f>IF(ISBLANK(Log[[#This Row],[Item]]),"",_xlfn.XLOOKUP(Log[[#This Row],[Item]],Calories[Name],Calories[Unit]))</f>
        <v>ea</v>
      </c>
      <c r="F284" s="65">
        <f>IF(ISBLANK(Log[[#This Row],[Item]]),"",_xlfn.XLOOKUP(Log[[#This Row],[Item]],Calories[Name],Calories[Cals])*Log[[#This Row],[Qty]])</f>
        <v>0</v>
      </c>
      <c r="G284" s="71">
        <f>IF(ISBLANK(Log[[#This Row],[Item]]),"",_xlfn.XLOOKUP(Log[[#This Row],[Item]],Calories[Name],Calories[Carbs])*Log[[#This Row],[Qty]])</f>
        <v>0</v>
      </c>
      <c r="H284" s="71">
        <f>IF(ISBLANK(Log[[#This Row],[Item]]),"",_xlfn.XLOOKUP(Log[[#This Row],[Item]],Calories[Name],Calories[Fibre])*Log[[#This Row],[Qty]])</f>
        <v>0</v>
      </c>
      <c r="I284" s="71">
        <f>IF(ISBLANK(Log[[#This Row],[Item]]),"",(Log[[#This Row],[Carbs]]-Log[[#This Row],[Fibre]]))</f>
        <v>0</v>
      </c>
      <c r="J284" s="103">
        <f>IF(ISBLANK(Log[[#This Row],[Item]]),"",_xlfn.XLOOKUP(Log[[#This Row],[Item]],Calories[Name],Calories[Sodium])*Log[[#This Row],[Qty]])</f>
        <v>0</v>
      </c>
      <c r="K284" s="71">
        <f>IF(ISBLANK(Log[[#This Row],[Item]]),"",_xlfn.XLOOKUP(Log[[#This Row],[Item]],Calories[Name],Calories[Protein])*Log[[#This Row],[Qty]])</f>
        <v>0</v>
      </c>
      <c r="L284" s="71">
        <f>IF(ISBLANK(Log[[#This Row],[Item]]),"",_xlfn.XLOOKUP(Log[[#This Row],[Item]],Calories[Name],Calories[Chol.])*Log[[#This Row],[Qty]])</f>
        <v>0</v>
      </c>
      <c r="M284" s="75"/>
      <c r="N284" s="75"/>
      <c r="O284" s="75"/>
    </row>
    <row r="285" spans="1:15" s="66" customFormat="1" ht="25.15" customHeight="1">
      <c r="A285" s="75"/>
      <c r="B285" s="98">
        <v>44825</v>
      </c>
      <c r="C285" s="78" t="s">
        <v>55</v>
      </c>
      <c r="D285" s="79">
        <v>1</v>
      </c>
      <c r="E285" s="76" t="str">
        <f>IF(ISBLANK(Log[[#This Row],[Item]]),"",_xlfn.XLOOKUP(Log[[#This Row],[Item]],Calories[Name],Calories[Unit]))</f>
        <v>ea</v>
      </c>
      <c r="F285" s="65">
        <f>IF(ISBLANK(Log[[#This Row],[Item]]),"",_xlfn.XLOOKUP(Log[[#This Row],[Item]],Calories[Name],Calories[Cals])*Log[[#This Row],[Qty]])</f>
        <v>0</v>
      </c>
      <c r="G285" s="71">
        <f>IF(ISBLANK(Log[[#This Row],[Item]]),"",_xlfn.XLOOKUP(Log[[#This Row],[Item]],Calories[Name],Calories[Carbs])*Log[[#This Row],[Qty]])</f>
        <v>0</v>
      </c>
      <c r="H285" s="71">
        <f>IF(ISBLANK(Log[[#This Row],[Item]]),"",_xlfn.XLOOKUP(Log[[#This Row],[Item]],Calories[Name],Calories[Fibre])*Log[[#This Row],[Qty]])</f>
        <v>0</v>
      </c>
      <c r="I285" s="71">
        <f>IF(ISBLANK(Log[[#This Row],[Item]]),"",(Log[[#This Row],[Carbs]]-Log[[#This Row],[Fibre]]))</f>
        <v>0</v>
      </c>
      <c r="J285" s="103">
        <f>IF(ISBLANK(Log[[#This Row],[Item]]),"",_xlfn.XLOOKUP(Log[[#This Row],[Item]],Calories[Name],Calories[Sodium])*Log[[#This Row],[Qty]])</f>
        <v>0</v>
      </c>
      <c r="K285" s="71">
        <f>IF(ISBLANK(Log[[#This Row],[Item]]),"",_xlfn.XLOOKUP(Log[[#This Row],[Item]],Calories[Name],Calories[Protein])*Log[[#This Row],[Qty]])</f>
        <v>0</v>
      </c>
      <c r="L285" s="71">
        <f>IF(ISBLANK(Log[[#This Row],[Item]]),"",_xlfn.XLOOKUP(Log[[#This Row],[Item]],Calories[Name],Calories[Chol.])*Log[[#This Row],[Qty]])</f>
        <v>0</v>
      </c>
      <c r="M285" s="75"/>
      <c r="N285" s="75"/>
      <c r="O285" s="75"/>
    </row>
    <row r="286" spans="1:15" s="66" customFormat="1" ht="25.15" customHeight="1">
      <c r="A286" s="75"/>
      <c r="B286" s="98">
        <v>44825</v>
      </c>
      <c r="C286" s="78" t="s">
        <v>79</v>
      </c>
      <c r="D286" s="79">
        <v>6</v>
      </c>
      <c r="E286" s="76" t="str">
        <f>IF(ISBLANK(Log[[#This Row],[Item]]),"",_xlfn.XLOOKUP(Log[[#This Row],[Item]],Calories[Name],Calories[Unit]))</f>
        <v>ea</v>
      </c>
      <c r="F286" s="65">
        <f>IF(ISBLANK(Log[[#This Row],[Item]]),"",_xlfn.XLOOKUP(Log[[#This Row],[Item]],Calories[Name],Calories[Cals])*Log[[#This Row],[Qty]])</f>
        <v>40</v>
      </c>
      <c r="G286" s="71">
        <f>IF(ISBLANK(Log[[#This Row],[Item]]),"",_xlfn.XLOOKUP(Log[[#This Row],[Item]],Calories[Name],Calories[Carbs])*Log[[#This Row],[Qty]])</f>
        <v>8.5</v>
      </c>
      <c r="H286" s="71">
        <f>IF(ISBLANK(Log[[#This Row],[Item]]),"",_xlfn.XLOOKUP(Log[[#This Row],[Item]],Calories[Name],Calories[Fibre])*Log[[#This Row],[Qty]])</f>
        <v>0</v>
      </c>
      <c r="I286" s="71">
        <f>IF(ISBLANK(Log[[#This Row],[Item]]),"",(Log[[#This Row],[Carbs]]-Log[[#This Row],[Fibre]]))</f>
        <v>8.5</v>
      </c>
      <c r="J286" s="103">
        <f>IF(ISBLANK(Log[[#This Row],[Item]]),"",_xlfn.XLOOKUP(Log[[#This Row],[Item]],Calories[Name],Calories[Sodium])*Log[[#This Row],[Qty]])</f>
        <v>42.5</v>
      </c>
      <c r="K286" s="71">
        <f>IF(ISBLANK(Log[[#This Row],[Item]]),"",_xlfn.XLOOKUP(Log[[#This Row],[Item]],Calories[Name],Calories[Protein])*Log[[#This Row],[Qty]])</f>
        <v>1</v>
      </c>
      <c r="L286" s="71">
        <f>IF(ISBLANK(Log[[#This Row],[Item]]),"",_xlfn.XLOOKUP(Log[[#This Row],[Item]],Calories[Name],Calories[Chol.])*Log[[#This Row],[Qty]])</f>
        <v>0</v>
      </c>
      <c r="M286" s="75"/>
      <c r="N286" s="75"/>
      <c r="O286" s="75"/>
    </row>
    <row r="287" spans="1:15" s="66" customFormat="1" ht="25.15" customHeight="1">
      <c r="A287" s="75"/>
      <c r="B287" s="98">
        <v>44825</v>
      </c>
      <c r="C287" s="78" t="s">
        <v>40</v>
      </c>
      <c r="D287" s="79">
        <v>5</v>
      </c>
      <c r="E287" s="76" t="str">
        <f>IF(ISBLANK(Log[[#This Row],[Item]]),"",_xlfn.XLOOKUP(Log[[#This Row],[Item]],Calories[Name],Calories[Unit]))</f>
        <v>ea</v>
      </c>
      <c r="F287" s="65">
        <f>IF(ISBLANK(Log[[#This Row],[Item]]),"",_xlfn.XLOOKUP(Log[[#This Row],[Item]],Calories[Name],Calories[Cals])*Log[[#This Row],[Qty]])</f>
        <v>75</v>
      </c>
      <c r="G287" s="71">
        <f>IF(ISBLANK(Log[[#This Row],[Item]]),"",_xlfn.XLOOKUP(Log[[#This Row],[Item]],Calories[Name],Calories[Carbs])*Log[[#This Row],[Qty]])</f>
        <v>15</v>
      </c>
      <c r="H287" s="71">
        <f>IF(ISBLANK(Log[[#This Row],[Item]]),"",_xlfn.XLOOKUP(Log[[#This Row],[Item]],Calories[Name],Calories[Fibre])*Log[[#This Row],[Qty]])</f>
        <v>10</v>
      </c>
      <c r="I287" s="71">
        <f>IF(ISBLANK(Log[[#This Row],[Item]]),"",(Log[[#This Row],[Carbs]]-Log[[#This Row],[Fibre]]))</f>
        <v>5</v>
      </c>
      <c r="J287" s="103">
        <f>IF(ISBLANK(Log[[#This Row],[Item]]),"",_xlfn.XLOOKUP(Log[[#This Row],[Item]],Calories[Name],Calories[Sodium])*Log[[#This Row],[Qty]])</f>
        <v>200</v>
      </c>
      <c r="K287" s="71">
        <f>IF(ISBLANK(Log[[#This Row],[Item]]),"",_xlfn.XLOOKUP(Log[[#This Row],[Item]],Calories[Name],Calories[Protein])*Log[[#This Row],[Qty]])</f>
        <v>5</v>
      </c>
      <c r="L287" s="71">
        <f>IF(ISBLANK(Log[[#This Row],[Item]]),"",_xlfn.XLOOKUP(Log[[#This Row],[Item]],Calories[Name],Calories[Chol.])*Log[[#This Row],[Qty]])</f>
        <v>0</v>
      </c>
      <c r="M287" s="75"/>
      <c r="N287" s="75"/>
      <c r="O287" s="75"/>
    </row>
    <row r="288" spans="1:15" s="66" customFormat="1" ht="25.15" customHeight="1">
      <c r="A288" s="75"/>
      <c r="B288" s="98">
        <v>44825</v>
      </c>
      <c r="C288" s="78" t="s">
        <v>35</v>
      </c>
      <c r="D288" s="79">
        <v>2</v>
      </c>
      <c r="E288" s="76" t="str">
        <f>IF(ISBLANK(Log[[#This Row],[Item]]),"",_xlfn.XLOOKUP(Log[[#This Row],[Item]],Calories[Name],Calories[Unit]))</f>
        <v>tbsp</v>
      </c>
      <c r="F288" s="65">
        <f>IF(ISBLANK(Log[[#This Row],[Item]]),"",_xlfn.XLOOKUP(Log[[#This Row],[Item]],Calories[Name],Calories[Cals])*Log[[#This Row],[Qty]])</f>
        <v>180</v>
      </c>
      <c r="G288" s="71">
        <f>IF(ISBLANK(Log[[#This Row],[Item]]),"",_xlfn.XLOOKUP(Log[[#This Row],[Item]],Calories[Name],Calories[Carbs])*Log[[#This Row],[Qty]])</f>
        <v>0</v>
      </c>
      <c r="H288" s="71">
        <f>IF(ISBLANK(Log[[#This Row],[Item]]),"",_xlfn.XLOOKUP(Log[[#This Row],[Item]],Calories[Name],Calories[Fibre])*Log[[#This Row],[Qty]])</f>
        <v>0</v>
      </c>
      <c r="I288" s="71">
        <f>IF(ISBLANK(Log[[#This Row],[Item]]),"",(Log[[#This Row],[Carbs]]-Log[[#This Row],[Fibre]]))</f>
        <v>0</v>
      </c>
      <c r="J288" s="103">
        <f>IF(ISBLANK(Log[[#This Row],[Item]]),"",_xlfn.XLOOKUP(Log[[#This Row],[Item]],Calories[Name],Calories[Sodium])*Log[[#This Row],[Qty]])</f>
        <v>180</v>
      </c>
      <c r="K288" s="71">
        <f>IF(ISBLANK(Log[[#This Row],[Item]]),"",_xlfn.XLOOKUP(Log[[#This Row],[Item]],Calories[Name],Calories[Protein])*Log[[#This Row],[Qty]])</f>
        <v>0</v>
      </c>
      <c r="L288" s="71">
        <f>IF(ISBLANK(Log[[#This Row],[Item]]),"",_xlfn.XLOOKUP(Log[[#This Row],[Item]],Calories[Name],Calories[Chol.])*Log[[#This Row],[Qty]])</f>
        <v>10</v>
      </c>
      <c r="M288" s="75"/>
      <c r="N288" s="75"/>
      <c r="O288" s="75"/>
    </row>
    <row r="289" spans="1:15" s="66" customFormat="1" ht="25.15" customHeight="1">
      <c r="A289" s="75"/>
      <c r="B289" s="98">
        <v>44825</v>
      </c>
      <c r="C289" s="78" t="s">
        <v>87</v>
      </c>
      <c r="D289" s="79">
        <v>1</v>
      </c>
      <c r="E289" s="76" t="str">
        <f>IF(ISBLANK(Log[[#This Row],[Item]]),"",_xlfn.XLOOKUP(Log[[#This Row],[Item]],Calories[Name],Calories[Unit]))</f>
        <v>tsp</v>
      </c>
      <c r="F289" s="65">
        <f>IF(ISBLANK(Log[[#This Row],[Item]]),"",_xlfn.XLOOKUP(Log[[#This Row],[Item]],Calories[Name],Calories[Cals])*Log[[#This Row],[Qty]])</f>
        <v>6</v>
      </c>
      <c r="G289" s="71">
        <f>IF(ISBLANK(Log[[#This Row],[Item]]),"",_xlfn.XLOOKUP(Log[[#This Row],[Item]],Calories[Name],Calories[Carbs])*Log[[#This Row],[Qty]])</f>
        <v>1.2</v>
      </c>
      <c r="H289" s="71">
        <f>IF(ISBLANK(Log[[#This Row],[Item]]),"",_xlfn.XLOOKUP(Log[[#This Row],[Item]],Calories[Name],Calories[Fibre])*Log[[#This Row],[Qty]])</f>
        <v>0.1</v>
      </c>
      <c r="I289" s="71">
        <f>IF(ISBLANK(Log[[#This Row],[Item]]),"",(Log[[#This Row],[Carbs]]-Log[[#This Row],[Fibre]]))</f>
        <v>1.0999999999999999</v>
      </c>
      <c r="J289" s="103">
        <f>IF(ISBLANK(Log[[#This Row],[Item]]),"",_xlfn.XLOOKUP(Log[[#This Row],[Item]],Calories[Name],Calories[Sodium])*Log[[#This Row],[Qty]])</f>
        <v>138</v>
      </c>
      <c r="K289" s="71">
        <f>IF(ISBLANK(Log[[#This Row],[Item]]),"",_xlfn.XLOOKUP(Log[[#This Row],[Item]],Calories[Name],Calories[Protein])*Log[[#This Row],[Qty]])</f>
        <v>0.1</v>
      </c>
      <c r="L289" s="71">
        <f>IF(ISBLANK(Log[[#This Row],[Item]]),"",_xlfn.XLOOKUP(Log[[#This Row],[Item]],Calories[Name],Calories[Chol.])*Log[[#This Row],[Qty]])</f>
        <v>0</v>
      </c>
      <c r="M289" s="75"/>
      <c r="N289" s="75"/>
      <c r="O289" s="75"/>
    </row>
    <row r="290" spans="1:15" s="66" customFormat="1" ht="25.15" customHeight="1">
      <c r="A290" s="75"/>
      <c r="B290" s="98">
        <v>44825</v>
      </c>
      <c r="C290" s="78" t="s">
        <v>88</v>
      </c>
      <c r="D290" s="79">
        <v>3</v>
      </c>
      <c r="E290" s="76" t="str">
        <f>IF(ISBLANK(Log[[#This Row],[Item]]),"",_xlfn.XLOOKUP(Log[[#This Row],[Item]],Calories[Name],Calories[Unit]))</f>
        <v>ea</v>
      </c>
      <c r="F290" s="65">
        <f>IF(ISBLANK(Log[[#This Row],[Item]]),"",_xlfn.XLOOKUP(Log[[#This Row],[Item]],Calories[Name],Calories[Cals])*Log[[#This Row],[Qty]])</f>
        <v>105</v>
      </c>
      <c r="G290" s="71">
        <f>IF(ISBLANK(Log[[#This Row],[Item]]),"",_xlfn.XLOOKUP(Log[[#This Row],[Item]],Calories[Name],Calories[Carbs])*Log[[#This Row],[Qty]])</f>
        <v>0</v>
      </c>
      <c r="H290" s="71">
        <f>IF(ISBLANK(Log[[#This Row],[Item]]),"",_xlfn.XLOOKUP(Log[[#This Row],[Item]],Calories[Name],Calories[Fibre])*Log[[#This Row],[Qty]])</f>
        <v>0</v>
      </c>
      <c r="I290" s="71">
        <f>IF(ISBLANK(Log[[#This Row],[Item]]),"",(Log[[#This Row],[Carbs]]-Log[[#This Row],[Fibre]]))</f>
        <v>0</v>
      </c>
      <c r="J290" s="103">
        <f>IF(ISBLANK(Log[[#This Row],[Item]]),"",_xlfn.XLOOKUP(Log[[#This Row],[Item]],Calories[Name],Calories[Sodium])*Log[[#This Row],[Qty]])</f>
        <v>600</v>
      </c>
      <c r="K290" s="71">
        <f>IF(ISBLANK(Log[[#This Row],[Item]]),"",_xlfn.XLOOKUP(Log[[#This Row],[Item]],Calories[Name],Calories[Protein])*Log[[#This Row],[Qty]])</f>
        <v>19.5</v>
      </c>
      <c r="L290" s="71">
        <f>IF(ISBLANK(Log[[#This Row],[Item]]),"",_xlfn.XLOOKUP(Log[[#This Row],[Item]],Calories[Name],Calories[Chol.])*Log[[#This Row],[Qty]])</f>
        <v>67.5</v>
      </c>
      <c r="M290" s="75"/>
      <c r="N290" s="75"/>
      <c r="O290" s="75"/>
    </row>
    <row r="291" spans="1:15" s="66" customFormat="1" ht="25.15" customHeight="1">
      <c r="A291" s="75"/>
      <c r="B291" s="98">
        <v>44825</v>
      </c>
      <c r="C291" s="64" t="s">
        <v>24</v>
      </c>
      <c r="D291" s="79">
        <v>250</v>
      </c>
      <c r="E291" s="76" t="str">
        <f>IF(ISBLANK(Log[[#This Row],[Item]]),"",_xlfn.XLOOKUP(Log[[#This Row],[Item]],Calories[Name],Calories[Unit]))</f>
        <v>g</v>
      </c>
      <c r="F291" s="65">
        <f>IF(ISBLANK(Log[[#This Row],[Item]]),"",_xlfn.XLOOKUP(Log[[#This Row],[Item]],Calories[Name],Calories[Cals])*Log[[#This Row],[Qty]])</f>
        <v>633.82896186091295</v>
      </c>
      <c r="G291" s="71">
        <f>IF(ISBLANK(Log[[#This Row],[Item]]),"",_xlfn.XLOOKUP(Log[[#This Row],[Item]],Calories[Name],Calories[Carbs])*Log[[#This Row],[Qty]])</f>
        <v>0</v>
      </c>
      <c r="H291" s="71">
        <f>IF(ISBLANK(Log[[#This Row],[Item]]),"",_xlfn.XLOOKUP(Log[[#This Row],[Item]],Calories[Name],Calories[Fibre])*Log[[#This Row],[Qty]])</f>
        <v>0</v>
      </c>
      <c r="I291" s="71">
        <f>IF(ISBLANK(Log[[#This Row],[Item]]),"",(Log[[#This Row],[Carbs]]-Log[[#This Row],[Fibre]]))</f>
        <v>0</v>
      </c>
      <c r="J291" s="103">
        <f>IF(ISBLANK(Log[[#This Row],[Item]]),"",_xlfn.XLOOKUP(Log[[#This Row],[Item]],Calories[Name],Calories[Sodium])*Log[[#This Row],[Qty]])</f>
        <v>177.47210932105565</v>
      </c>
      <c r="K291" s="71">
        <f>IF(ISBLANK(Log[[#This Row],[Item]]),"",_xlfn.XLOOKUP(Log[[#This Row],[Item]],Calories[Name],Calories[Protein])*Log[[#This Row],[Qty]])</f>
        <v>42.99013828274019</v>
      </c>
      <c r="L291" s="71">
        <f>IF(ISBLANK(Log[[#This Row],[Item]]),"",_xlfn.XLOOKUP(Log[[#This Row],[Item]],Calories[Name],Calories[Chol.])*Log[[#This Row],[Qty]])</f>
        <v>177.5</v>
      </c>
      <c r="M291" s="75"/>
      <c r="N291" s="75"/>
      <c r="O291" s="75"/>
    </row>
    <row r="292" spans="1:15" s="66" customFormat="1" ht="25.15" customHeight="1">
      <c r="A292" s="75"/>
      <c r="B292" s="98">
        <v>44825</v>
      </c>
      <c r="C292" s="78" t="s">
        <v>14</v>
      </c>
      <c r="D292" s="79">
        <v>0.3</v>
      </c>
      <c r="E292" s="76" t="str">
        <f>IF(ISBLANK(Log[[#This Row],[Item]]),"",_xlfn.XLOOKUP(Log[[#This Row],[Item]],Calories[Name],Calories[Unit]))</f>
        <v>c</v>
      </c>
      <c r="F292" s="65">
        <f>IF(ISBLANK(Log[[#This Row],[Item]]),"",_xlfn.XLOOKUP(Log[[#This Row],[Item]],Calories[Name],Calories[Cals])*Log[[#This Row],[Qty]])</f>
        <v>20.099999999999998</v>
      </c>
      <c r="G292" s="71">
        <f>IF(ISBLANK(Log[[#This Row],[Item]]),"",_xlfn.XLOOKUP(Log[[#This Row],[Item]],Calories[Name],Calories[Carbs])*Log[[#This Row],[Qty]])</f>
        <v>4.8540000000000001</v>
      </c>
      <c r="H292" s="71">
        <f>IF(ISBLANK(Log[[#This Row],[Item]]),"",_xlfn.XLOOKUP(Log[[#This Row],[Item]],Calories[Name],Calories[Fibre])*Log[[#This Row],[Qty]])</f>
        <v>0.66</v>
      </c>
      <c r="I292" s="71">
        <f>IF(ISBLANK(Log[[#This Row],[Item]]),"",(Log[[#This Row],[Carbs]]-Log[[#This Row],[Fibre]]))</f>
        <v>4.194</v>
      </c>
      <c r="J292" s="103">
        <f>IF(ISBLANK(Log[[#This Row],[Item]]),"",_xlfn.XLOOKUP(Log[[#This Row],[Item]],Calories[Name],Calories[Sodium])*Log[[#This Row],[Qty]])</f>
        <v>1.5</v>
      </c>
      <c r="K292" s="71">
        <f>IF(ISBLANK(Log[[#This Row],[Item]]),"",_xlfn.XLOOKUP(Log[[#This Row],[Item]],Calories[Name],Calories[Protein])*Log[[#This Row],[Qty]])</f>
        <v>0.441</v>
      </c>
      <c r="L292" s="71">
        <f>IF(ISBLANK(Log[[#This Row],[Item]]),"",_xlfn.XLOOKUP(Log[[#This Row],[Item]],Calories[Name],Calories[Chol.])*Log[[#This Row],[Qty]])</f>
        <v>0</v>
      </c>
      <c r="M292" s="75"/>
      <c r="N292" s="75"/>
      <c r="O292" s="75"/>
    </row>
    <row r="293" spans="1:15" s="66" customFormat="1" ht="25.15" customHeight="1">
      <c r="A293" s="75"/>
      <c r="B293" s="98">
        <v>44825</v>
      </c>
      <c r="C293" s="78" t="s">
        <v>45</v>
      </c>
      <c r="D293" s="79">
        <v>4</v>
      </c>
      <c r="E293" s="76" t="str">
        <f>IF(ISBLANK(Log[[#This Row],[Item]]),"",_xlfn.XLOOKUP(Log[[#This Row],[Item]],Calories[Name],Calories[Unit]))</f>
        <v>pinch</v>
      </c>
      <c r="F293" s="65">
        <f>IF(ISBLANK(Log[[#This Row],[Item]]),"",_xlfn.XLOOKUP(Log[[#This Row],[Item]],Calories[Name],Calories[Cals])*Log[[#This Row],[Qty]])</f>
        <v>0</v>
      </c>
      <c r="G293" s="71">
        <f>IF(ISBLANK(Log[[#This Row],[Item]]),"",_xlfn.XLOOKUP(Log[[#This Row],[Item]],Calories[Name],Calories[Carbs])*Log[[#This Row],[Qty]])</f>
        <v>0</v>
      </c>
      <c r="H293" s="71">
        <f>IF(ISBLANK(Log[[#This Row],[Item]]),"",_xlfn.XLOOKUP(Log[[#This Row],[Item]],Calories[Name],Calories[Fibre])*Log[[#This Row],[Qty]])</f>
        <v>0</v>
      </c>
      <c r="I293" s="71">
        <f>IF(ISBLANK(Log[[#This Row],[Item]]),"",(Log[[#This Row],[Carbs]]-Log[[#This Row],[Fibre]]))</f>
        <v>0</v>
      </c>
      <c r="J293" s="103">
        <f>IF(ISBLANK(Log[[#This Row],[Item]]),"",_xlfn.XLOOKUP(Log[[#This Row],[Item]],Calories[Name],Calories[Sodium])*Log[[#This Row],[Qty]])</f>
        <v>558.11519999999996</v>
      </c>
      <c r="K293" s="71">
        <f>IF(ISBLANK(Log[[#This Row],[Item]]),"",_xlfn.XLOOKUP(Log[[#This Row],[Item]],Calories[Name],Calories[Protein])*Log[[#This Row],[Qty]])</f>
        <v>0</v>
      </c>
      <c r="L293" s="71">
        <f>IF(ISBLANK(Log[[#This Row],[Item]]),"",_xlfn.XLOOKUP(Log[[#This Row],[Item]],Calories[Name],Calories[Chol.])*Log[[#This Row],[Qty]])</f>
        <v>0</v>
      </c>
      <c r="M293" s="75"/>
      <c r="N293" s="75"/>
      <c r="O293" s="75"/>
    </row>
    <row r="294" spans="1:15" s="66" customFormat="1" ht="25.15" customHeight="1">
      <c r="A294" s="75"/>
      <c r="B294" s="98">
        <v>44825</v>
      </c>
      <c r="C294" s="78" t="s">
        <v>89</v>
      </c>
      <c r="D294" s="79">
        <v>9</v>
      </c>
      <c r="E294" s="76" t="str">
        <f>IF(ISBLANK(Log[[#This Row],[Item]]),"",_xlfn.XLOOKUP(Log[[#This Row],[Item]],Calories[Name],Calories[Unit]))</f>
        <v>ea</v>
      </c>
      <c r="F294" s="65">
        <f>IF(ISBLANK(Log[[#This Row],[Item]]),"",_xlfn.XLOOKUP(Log[[#This Row],[Item]],Calories[Name],Calories[Cals])*Log[[#This Row],[Qty]])</f>
        <v>60</v>
      </c>
      <c r="G294" s="71">
        <f>IF(ISBLANK(Log[[#This Row],[Item]]),"",_xlfn.XLOOKUP(Log[[#This Row],[Item]],Calories[Name],Calories[Carbs])*Log[[#This Row],[Qty]])</f>
        <v>12</v>
      </c>
      <c r="H294" s="71">
        <f>IF(ISBLANK(Log[[#This Row],[Item]]),"",_xlfn.XLOOKUP(Log[[#This Row],[Item]],Calories[Name],Calories[Fibre])*Log[[#This Row],[Qty]])</f>
        <v>0</v>
      </c>
      <c r="I294" s="71">
        <f>IF(ISBLANK(Log[[#This Row],[Item]]),"",(Log[[#This Row],[Carbs]]-Log[[#This Row],[Fibre]]))</f>
        <v>12</v>
      </c>
      <c r="J294" s="103">
        <f>IF(ISBLANK(Log[[#This Row],[Item]]),"",_xlfn.XLOOKUP(Log[[#This Row],[Item]],Calories[Name],Calories[Sodium])*Log[[#This Row],[Qty]])</f>
        <v>63.75</v>
      </c>
      <c r="K294" s="71">
        <f>IF(ISBLANK(Log[[#This Row],[Item]]),"",_xlfn.XLOOKUP(Log[[#This Row],[Item]],Calories[Name],Calories[Protein])*Log[[#This Row],[Qty]])</f>
        <v>1.5</v>
      </c>
      <c r="L294" s="71">
        <f>IF(ISBLANK(Log[[#This Row],[Item]]),"",_xlfn.XLOOKUP(Log[[#This Row],[Item]],Calories[Name],Calories[Chol.])*Log[[#This Row],[Qty]])</f>
        <v>0</v>
      </c>
      <c r="M294" s="75"/>
      <c r="N294" s="75"/>
      <c r="O294" s="75"/>
    </row>
    <row r="295" spans="1:15" s="66" customFormat="1" ht="25.15" customHeight="1">
      <c r="A295" s="75"/>
      <c r="B295" s="98">
        <v>44825</v>
      </c>
      <c r="C295" s="78" t="s">
        <v>47</v>
      </c>
      <c r="D295" s="79">
        <v>1</v>
      </c>
      <c r="E295" s="76" t="str">
        <f>IF(ISBLANK(Log[[#This Row],[Item]]),"",_xlfn.XLOOKUP(Log[[#This Row],[Item]],Calories[Name],Calories[Unit]))</f>
        <v>can</v>
      </c>
      <c r="F295" s="65">
        <f>IF(ISBLANK(Log[[#This Row],[Item]]),"",_xlfn.XLOOKUP(Log[[#This Row],[Item]],Calories[Name],Calories[Cals])*Log[[#This Row],[Qty]])</f>
        <v>130</v>
      </c>
      <c r="G295" s="71">
        <f>IF(ISBLANK(Log[[#This Row],[Item]]),"",_xlfn.XLOOKUP(Log[[#This Row],[Item]],Calories[Name],Calories[Carbs])*Log[[#This Row],[Qty]])</f>
        <v>2</v>
      </c>
      <c r="H295" s="71">
        <f>IF(ISBLANK(Log[[#This Row],[Item]]),"",_xlfn.XLOOKUP(Log[[#This Row],[Item]],Calories[Name],Calories[Fibre])*Log[[#This Row],[Qty]])</f>
        <v>0</v>
      </c>
      <c r="I295" s="71">
        <f>IF(ISBLANK(Log[[#This Row],[Item]]),"",(Log[[#This Row],[Carbs]]-Log[[#This Row],[Fibre]]))</f>
        <v>2</v>
      </c>
      <c r="J295" s="103">
        <f>IF(ISBLANK(Log[[#This Row],[Item]]),"",_xlfn.XLOOKUP(Log[[#This Row],[Item]],Calories[Name],Calories[Sodium])*Log[[#This Row],[Qty]])</f>
        <v>210</v>
      </c>
      <c r="K295" s="71">
        <f>IF(ISBLANK(Log[[#This Row],[Item]]),"",_xlfn.XLOOKUP(Log[[#This Row],[Item]],Calories[Name],Calories[Protein])*Log[[#This Row],[Qty]])</f>
        <v>13</v>
      </c>
      <c r="L295" s="71">
        <f>IF(ISBLANK(Log[[#This Row],[Item]]),"",_xlfn.XLOOKUP(Log[[#This Row],[Item]],Calories[Name],Calories[Chol.])*Log[[#This Row],[Qty]])</f>
        <v>75</v>
      </c>
      <c r="M295" s="75"/>
      <c r="N295" s="75"/>
      <c r="O295" s="75"/>
    </row>
    <row r="296" spans="1:15" s="66" customFormat="1" ht="25.15" customHeight="1">
      <c r="A296" s="75"/>
      <c r="B296" s="98">
        <v>44826</v>
      </c>
      <c r="C296" s="78" t="s">
        <v>52</v>
      </c>
      <c r="D296" s="79">
        <v>1</v>
      </c>
      <c r="E296" s="76" t="str">
        <f>IF(ISBLANK(Log[[#This Row],[Item]]),"",_xlfn.XLOOKUP(Log[[#This Row],[Item]],Calories[Name],Calories[Unit]))</f>
        <v>ea</v>
      </c>
      <c r="F296" s="65">
        <f>IF(ISBLANK(Log[[#This Row],[Item]]),"",_xlfn.XLOOKUP(Log[[#This Row],[Item]],Calories[Name],Calories[Cals])*Log[[#This Row],[Qty]])</f>
        <v>0</v>
      </c>
      <c r="G296" s="71">
        <f>IF(ISBLANK(Log[[#This Row],[Item]]),"",_xlfn.XLOOKUP(Log[[#This Row],[Item]],Calories[Name],Calories[Carbs])*Log[[#This Row],[Qty]])</f>
        <v>0</v>
      </c>
      <c r="H296" s="71">
        <f>IF(ISBLANK(Log[[#This Row],[Item]]),"",_xlfn.XLOOKUP(Log[[#This Row],[Item]],Calories[Name],Calories[Fibre])*Log[[#This Row],[Qty]])</f>
        <v>0</v>
      </c>
      <c r="I296" s="71">
        <f>IF(ISBLANK(Log[[#This Row],[Item]]),"",(Log[[#This Row],[Carbs]]-Log[[#This Row],[Fibre]]))</f>
        <v>0</v>
      </c>
      <c r="J296" s="103">
        <f>IF(ISBLANK(Log[[#This Row],[Item]]),"",_xlfn.XLOOKUP(Log[[#This Row],[Item]],Calories[Name],Calories[Sodium])*Log[[#This Row],[Qty]])</f>
        <v>0</v>
      </c>
      <c r="K296" s="71">
        <f>IF(ISBLANK(Log[[#This Row],[Item]]),"",_xlfn.XLOOKUP(Log[[#This Row],[Item]],Calories[Name],Calories[Protein])*Log[[#This Row],[Qty]])</f>
        <v>0</v>
      </c>
      <c r="L296" s="71">
        <f>IF(ISBLANK(Log[[#This Row],[Item]]),"",_xlfn.XLOOKUP(Log[[#This Row],[Item]],Calories[Name],Calories[Chol.])*Log[[#This Row],[Qty]])</f>
        <v>0</v>
      </c>
      <c r="M296" s="75"/>
      <c r="N296" s="75"/>
      <c r="O296" s="75"/>
    </row>
    <row r="297" spans="1:15" s="66" customFormat="1" ht="25.15" customHeight="1">
      <c r="A297" s="75"/>
      <c r="B297" s="98">
        <v>44826</v>
      </c>
      <c r="C297" s="78" t="s">
        <v>53</v>
      </c>
      <c r="D297" s="79">
        <v>1</v>
      </c>
      <c r="E297" s="76" t="str">
        <f>IF(ISBLANK(Log[[#This Row],[Item]]),"",_xlfn.XLOOKUP(Log[[#This Row],[Item]],Calories[Name],Calories[Unit]))</f>
        <v>ea</v>
      </c>
      <c r="F297" s="65">
        <f>IF(ISBLANK(Log[[#This Row],[Item]]),"",_xlfn.XLOOKUP(Log[[#This Row],[Item]],Calories[Name],Calories[Cals])*Log[[#This Row],[Qty]])</f>
        <v>0</v>
      </c>
      <c r="G297" s="71">
        <f>IF(ISBLANK(Log[[#This Row],[Item]]),"",_xlfn.XLOOKUP(Log[[#This Row],[Item]],Calories[Name],Calories[Carbs])*Log[[#This Row],[Qty]])</f>
        <v>0</v>
      </c>
      <c r="H297" s="71">
        <f>IF(ISBLANK(Log[[#This Row],[Item]]),"",_xlfn.XLOOKUP(Log[[#This Row],[Item]],Calories[Name],Calories[Fibre])*Log[[#This Row],[Qty]])</f>
        <v>0</v>
      </c>
      <c r="I297" s="71">
        <f>IF(ISBLANK(Log[[#This Row],[Item]]),"",(Log[[#This Row],[Carbs]]-Log[[#This Row],[Fibre]]))</f>
        <v>0</v>
      </c>
      <c r="J297" s="103">
        <f>IF(ISBLANK(Log[[#This Row],[Item]]),"",_xlfn.XLOOKUP(Log[[#This Row],[Item]],Calories[Name],Calories[Sodium])*Log[[#This Row],[Qty]])</f>
        <v>0</v>
      </c>
      <c r="K297" s="71">
        <f>IF(ISBLANK(Log[[#This Row],[Item]]),"",_xlfn.XLOOKUP(Log[[#This Row],[Item]],Calories[Name],Calories[Protein])*Log[[#This Row],[Qty]])</f>
        <v>0</v>
      </c>
      <c r="L297" s="71">
        <f>IF(ISBLANK(Log[[#This Row],[Item]]),"",_xlfn.XLOOKUP(Log[[#This Row],[Item]],Calories[Name],Calories[Chol.])*Log[[#This Row],[Qty]])</f>
        <v>0</v>
      </c>
      <c r="M297" s="75"/>
      <c r="N297" s="75"/>
      <c r="O297" s="75"/>
    </row>
    <row r="298" spans="1:15" s="66" customFormat="1" ht="25.15" customHeight="1">
      <c r="A298" s="75"/>
      <c r="B298" s="98">
        <v>44826</v>
      </c>
      <c r="C298" s="78" t="s">
        <v>54</v>
      </c>
      <c r="D298" s="79">
        <v>1</v>
      </c>
      <c r="E298" s="76" t="str">
        <f>IF(ISBLANK(Log[[#This Row],[Item]]),"",_xlfn.XLOOKUP(Log[[#This Row],[Item]],Calories[Name],Calories[Unit]))</f>
        <v>ea</v>
      </c>
      <c r="F298" s="65">
        <f>IF(ISBLANK(Log[[#This Row],[Item]]),"",_xlfn.XLOOKUP(Log[[#This Row],[Item]],Calories[Name],Calories[Cals])*Log[[#This Row],[Qty]])</f>
        <v>0</v>
      </c>
      <c r="G298" s="71">
        <f>IF(ISBLANK(Log[[#This Row],[Item]]),"",_xlfn.XLOOKUP(Log[[#This Row],[Item]],Calories[Name],Calories[Carbs])*Log[[#This Row],[Qty]])</f>
        <v>0</v>
      </c>
      <c r="H298" s="71">
        <f>IF(ISBLANK(Log[[#This Row],[Item]]),"",_xlfn.XLOOKUP(Log[[#This Row],[Item]],Calories[Name],Calories[Fibre])*Log[[#This Row],[Qty]])</f>
        <v>0</v>
      </c>
      <c r="I298" s="71">
        <f>IF(ISBLANK(Log[[#This Row],[Item]]),"",(Log[[#This Row],[Carbs]]-Log[[#This Row],[Fibre]]))</f>
        <v>0</v>
      </c>
      <c r="J298" s="103">
        <f>IF(ISBLANK(Log[[#This Row],[Item]]),"",_xlfn.XLOOKUP(Log[[#This Row],[Item]],Calories[Name],Calories[Sodium])*Log[[#This Row],[Qty]])</f>
        <v>0</v>
      </c>
      <c r="K298" s="71">
        <f>IF(ISBLANK(Log[[#This Row],[Item]]),"",_xlfn.XLOOKUP(Log[[#This Row],[Item]],Calories[Name],Calories[Protein])*Log[[#This Row],[Qty]])</f>
        <v>0</v>
      </c>
      <c r="L298" s="71">
        <f>IF(ISBLANK(Log[[#This Row],[Item]]),"",_xlfn.XLOOKUP(Log[[#This Row],[Item]],Calories[Name],Calories[Chol.])*Log[[#This Row],[Qty]])</f>
        <v>0</v>
      </c>
      <c r="M298" s="75"/>
      <c r="N298" s="75"/>
      <c r="O298" s="75"/>
    </row>
    <row r="299" spans="1:15" s="66" customFormat="1" ht="25.15" customHeight="1">
      <c r="A299" s="75"/>
      <c r="B299" s="98">
        <v>44826</v>
      </c>
      <c r="C299" s="78" t="s">
        <v>55</v>
      </c>
      <c r="D299" s="79">
        <v>1</v>
      </c>
      <c r="E299" s="76" t="str">
        <f>IF(ISBLANK(Log[[#This Row],[Item]]),"",_xlfn.XLOOKUP(Log[[#This Row],[Item]],Calories[Name],Calories[Unit]))</f>
        <v>ea</v>
      </c>
      <c r="F299" s="65">
        <f>IF(ISBLANK(Log[[#This Row],[Item]]),"",_xlfn.XLOOKUP(Log[[#This Row],[Item]],Calories[Name],Calories[Cals])*Log[[#This Row],[Qty]])</f>
        <v>0</v>
      </c>
      <c r="G299" s="71">
        <f>IF(ISBLANK(Log[[#This Row],[Item]]),"",_xlfn.XLOOKUP(Log[[#This Row],[Item]],Calories[Name],Calories[Carbs])*Log[[#This Row],[Qty]])</f>
        <v>0</v>
      </c>
      <c r="H299" s="71">
        <f>IF(ISBLANK(Log[[#This Row],[Item]]),"",_xlfn.XLOOKUP(Log[[#This Row],[Item]],Calories[Name],Calories[Fibre])*Log[[#This Row],[Qty]])</f>
        <v>0</v>
      </c>
      <c r="I299" s="71">
        <f>IF(ISBLANK(Log[[#This Row],[Item]]),"",(Log[[#This Row],[Carbs]]-Log[[#This Row],[Fibre]]))</f>
        <v>0</v>
      </c>
      <c r="J299" s="103">
        <f>IF(ISBLANK(Log[[#This Row],[Item]]),"",_xlfn.XLOOKUP(Log[[#This Row],[Item]],Calories[Name],Calories[Sodium])*Log[[#This Row],[Qty]])</f>
        <v>0</v>
      </c>
      <c r="K299" s="71">
        <f>IF(ISBLANK(Log[[#This Row],[Item]]),"",_xlfn.XLOOKUP(Log[[#This Row],[Item]],Calories[Name],Calories[Protein])*Log[[#This Row],[Qty]])</f>
        <v>0</v>
      </c>
      <c r="L299" s="71">
        <f>IF(ISBLANK(Log[[#This Row],[Item]]),"",_xlfn.XLOOKUP(Log[[#This Row],[Item]],Calories[Name],Calories[Chol.])*Log[[#This Row],[Qty]])</f>
        <v>0</v>
      </c>
      <c r="M299" s="75"/>
      <c r="N299" s="75"/>
      <c r="O299" s="75"/>
    </row>
    <row r="300" spans="1:15" s="66" customFormat="1" ht="25.15" customHeight="1">
      <c r="A300" s="75"/>
      <c r="B300" s="98">
        <v>44826</v>
      </c>
      <c r="C300" s="78" t="s">
        <v>79</v>
      </c>
      <c r="D300" s="79">
        <v>6</v>
      </c>
      <c r="E300" s="76" t="str">
        <f>IF(ISBLANK(Log[[#This Row],[Item]]),"",_xlfn.XLOOKUP(Log[[#This Row],[Item]],Calories[Name],Calories[Unit]))</f>
        <v>ea</v>
      </c>
      <c r="F300" s="65">
        <f>IF(ISBLANK(Log[[#This Row],[Item]]),"",_xlfn.XLOOKUP(Log[[#This Row],[Item]],Calories[Name],Calories[Cals])*Log[[#This Row],[Qty]])</f>
        <v>40</v>
      </c>
      <c r="G300" s="71">
        <f>IF(ISBLANK(Log[[#This Row],[Item]]),"",_xlfn.XLOOKUP(Log[[#This Row],[Item]],Calories[Name],Calories[Carbs])*Log[[#This Row],[Qty]])</f>
        <v>8.5</v>
      </c>
      <c r="H300" s="71">
        <f>IF(ISBLANK(Log[[#This Row],[Item]]),"",_xlfn.XLOOKUP(Log[[#This Row],[Item]],Calories[Name],Calories[Fibre])*Log[[#This Row],[Qty]])</f>
        <v>0</v>
      </c>
      <c r="I300" s="71">
        <f>IF(ISBLANK(Log[[#This Row],[Item]]),"",(Log[[#This Row],[Carbs]]-Log[[#This Row],[Fibre]]))</f>
        <v>8.5</v>
      </c>
      <c r="J300" s="103">
        <f>IF(ISBLANK(Log[[#This Row],[Item]]),"",_xlfn.XLOOKUP(Log[[#This Row],[Item]],Calories[Name],Calories[Sodium])*Log[[#This Row],[Qty]])</f>
        <v>42.5</v>
      </c>
      <c r="K300" s="71">
        <f>IF(ISBLANK(Log[[#This Row],[Item]]),"",_xlfn.XLOOKUP(Log[[#This Row],[Item]],Calories[Name],Calories[Protein])*Log[[#This Row],[Qty]])</f>
        <v>1</v>
      </c>
      <c r="L300" s="71">
        <f>IF(ISBLANK(Log[[#This Row],[Item]]),"",_xlfn.XLOOKUP(Log[[#This Row],[Item]],Calories[Name],Calories[Chol.])*Log[[#This Row],[Qty]])</f>
        <v>0</v>
      </c>
      <c r="M300" s="75"/>
      <c r="N300" s="75"/>
      <c r="O300" s="75"/>
    </row>
    <row r="301" spans="1:15" s="66" customFormat="1" ht="25.15" customHeight="1">
      <c r="A301" s="75"/>
      <c r="B301" s="98">
        <v>44826</v>
      </c>
      <c r="C301" s="78" t="s">
        <v>90</v>
      </c>
      <c r="D301" s="79">
        <v>20</v>
      </c>
      <c r="E301" s="76" t="str">
        <f>IF(ISBLANK(Log[[#This Row],[Item]]),"",_xlfn.XLOOKUP(Log[[#This Row],[Item]],Calories[Name],Calories[Unit]))</f>
        <v>g</v>
      </c>
      <c r="F301" s="65">
        <f>IF(ISBLANK(Log[[#This Row],[Item]]),"",_xlfn.XLOOKUP(Log[[#This Row],[Item]],Calories[Name],Calories[Cals])*Log[[#This Row],[Qty]])</f>
        <v>68.571428571428569</v>
      </c>
      <c r="G301" s="71">
        <f>IF(ISBLANK(Log[[#This Row],[Item]]),"",_xlfn.XLOOKUP(Log[[#This Row],[Item]],Calories[Name],Calories[Carbs])*Log[[#This Row],[Qty]])</f>
        <v>12.571428571428571</v>
      </c>
      <c r="H301" s="71">
        <f>IF(ISBLANK(Log[[#This Row],[Item]]),"",_xlfn.XLOOKUP(Log[[#This Row],[Item]],Calories[Name],Calories[Fibre])*Log[[#This Row],[Qty]])</f>
        <v>2.2857142857142856</v>
      </c>
      <c r="I301" s="71">
        <f>IF(ISBLANK(Log[[#This Row],[Item]]),"",(Log[[#This Row],[Carbs]]-Log[[#This Row],[Fibre]]))</f>
        <v>10.285714285714285</v>
      </c>
      <c r="J301" s="103">
        <f>IF(ISBLANK(Log[[#This Row],[Item]]),"",_xlfn.XLOOKUP(Log[[#This Row],[Item]],Calories[Name],Calories[Sodium])*Log[[#This Row],[Qty]])</f>
        <v>0</v>
      </c>
      <c r="K301" s="71">
        <f>IF(ISBLANK(Log[[#This Row],[Item]]),"",_xlfn.XLOOKUP(Log[[#This Row],[Item]],Calories[Name],Calories[Protein])*Log[[#This Row],[Qty]])</f>
        <v>5.1428571428571423</v>
      </c>
      <c r="L301" s="71">
        <f>IF(ISBLANK(Log[[#This Row],[Item]]),"",_xlfn.XLOOKUP(Log[[#This Row],[Item]],Calories[Name],Calories[Chol.])*Log[[#This Row],[Qty]])</f>
        <v>0</v>
      </c>
      <c r="M301" s="75"/>
      <c r="N301" s="75"/>
      <c r="O301" s="75"/>
    </row>
    <row r="302" spans="1:15" s="66" customFormat="1" ht="25.15" customHeight="1">
      <c r="A302" s="75"/>
      <c r="B302" s="98">
        <v>44826</v>
      </c>
      <c r="C302" s="78" t="s">
        <v>91</v>
      </c>
      <c r="D302" s="79">
        <v>1</v>
      </c>
      <c r="E302" s="76" t="str">
        <f>IF(ISBLANK(Log[[#This Row],[Item]]),"",_xlfn.XLOOKUP(Log[[#This Row],[Item]],Calories[Name],Calories[Unit]))</f>
        <v>tbsp</v>
      </c>
      <c r="F302" s="65">
        <f>IF(ISBLANK(Log[[#This Row],[Item]]),"",_xlfn.XLOOKUP(Log[[#This Row],[Item]],Calories[Name],Calories[Cals])*Log[[#This Row],[Qty]])</f>
        <v>20</v>
      </c>
      <c r="G302" s="71">
        <f>IF(ISBLANK(Log[[#This Row],[Item]]),"",_xlfn.XLOOKUP(Log[[#This Row],[Item]],Calories[Name],Calories[Carbs])*Log[[#This Row],[Qty]])</f>
        <v>3.85</v>
      </c>
      <c r="H302" s="71">
        <f>IF(ISBLANK(Log[[#This Row],[Item]]),"",_xlfn.XLOOKUP(Log[[#This Row],[Item]],Calories[Name],Calories[Fibre])*Log[[#This Row],[Qty]])</f>
        <v>2.6</v>
      </c>
      <c r="I302" s="71">
        <f>IF(ISBLANK(Log[[#This Row],[Item]]),"",(Log[[#This Row],[Carbs]]-Log[[#This Row],[Fibre]]))</f>
        <v>1.25</v>
      </c>
      <c r="J302" s="103">
        <f>IF(ISBLANK(Log[[#This Row],[Item]]),"",_xlfn.XLOOKUP(Log[[#This Row],[Item]],Calories[Name],Calories[Sodium])*Log[[#This Row],[Qty]])</f>
        <v>2</v>
      </c>
      <c r="K302" s="71">
        <f>IF(ISBLANK(Log[[#This Row],[Item]]),"",_xlfn.XLOOKUP(Log[[#This Row],[Item]],Calories[Name],Calories[Protein])*Log[[#This Row],[Qty]])</f>
        <v>1.02</v>
      </c>
      <c r="L302" s="71">
        <f>IF(ISBLANK(Log[[#This Row],[Item]]),"",_xlfn.XLOOKUP(Log[[#This Row],[Item]],Calories[Name],Calories[Chol.])*Log[[#This Row],[Qty]])</f>
        <v>0</v>
      </c>
      <c r="M302" s="75"/>
      <c r="N302" s="75"/>
      <c r="O302" s="75"/>
    </row>
    <row r="303" spans="1:15" s="66" customFormat="1" ht="25.15" customHeight="1">
      <c r="A303" s="75"/>
      <c r="B303" s="98">
        <v>44826</v>
      </c>
      <c r="C303" s="78" t="s">
        <v>88</v>
      </c>
      <c r="D303" s="79">
        <v>1</v>
      </c>
      <c r="E303" s="76" t="str">
        <f>IF(ISBLANK(Log[[#This Row],[Item]]),"",_xlfn.XLOOKUP(Log[[#This Row],[Item]],Calories[Name],Calories[Unit]))</f>
        <v>ea</v>
      </c>
      <c r="F303" s="65">
        <f>IF(ISBLANK(Log[[#This Row],[Item]]),"",_xlfn.XLOOKUP(Log[[#This Row],[Item]],Calories[Name],Calories[Cals])*Log[[#This Row],[Qty]])</f>
        <v>35</v>
      </c>
      <c r="G303" s="71">
        <f>IF(ISBLANK(Log[[#This Row],[Item]]),"",_xlfn.XLOOKUP(Log[[#This Row],[Item]],Calories[Name],Calories[Carbs])*Log[[#This Row],[Qty]])</f>
        <v>0</v>
      </c>
      <c r="H303" s="71">
        <f>IF(ISBLANK(Log[[#This Row],[Item]]),"",_xlfn.XLOOKUP(Log[[#This Row],[Item]],Calories[Name],Calories[Fibre])*Log[[#This Row],[Qty]])</f>
        <v>0</v>
      </c>
      <c r="I303" s="71">
        <f>IF(ISBLANK(Log[[#This Row],[Item]]),"",(Log[[#This Row],[Carbs]]-Log[[#This Row],[Fibre]]))</f>
        <v>0</v>
      </c>
      <c r="J303" s="103">
        <f>IF(ISBLANK(Log[[#This Row],[Item]]),"",_xlfn.XLOOKUP(Log[[#This Row],[Item]],Calories[Name],Calories[Sodium])*Log[[#This Row],[Qty]])</f>
        <v>200</v>
      </c>
      <c r="K303" s="71">
        <f>IF(ISBLANK(Log[[#This Row],[Item]]),"",_xlfn.XLOOKUP(Log[[#This Row],[Item]],Calories[Name],Calories[Protein])*Log[[#This Row],[Qty]])</f>
        <v>6.5</v>
      </c>
      <c r="L303" s="71">
        <f>IF(ISBLANK(Log[[#This Row],[Item]]),"",_xlfn.XLOOKUP(Log[[#This Row],[Item]],Calories[Name],Calories[Chol.])*Log[[#This Row],[Qty]])</f>
        <v>22.5</v>
      </c>
      <c r="M303" s="75"/>
      <c r="N303" s="75"/>
      <c r="O303" s="75"/>
    </row>
    <row r="304" spans="1:15" s="66" customFormat="1" ht="25.15" customHeight="1">
      <c r="A304" s="75"/>
      <c r="B304" s="98">
        <v>44826</v>
      </c>
      <c r="C304" s="64" t="s">
        <v>92</v>
      </c>
      <c r="D304" s="79">
        <v>0.75</v>
      </c>
      <c r="E304" s="76" t="str">
        <f>IF(ISBLANK(Log[[#This Row],[Item]]),"",_xlfn.XLOOKUP(Log[[#This Row],[Item]],Calories[Name],Calories[Unit]))</f>
        <v>tbsp</v>
      </c>
      <c r="F304" s="65">
        <f>IF(ISBLANK(Log[[#This Row],[Item]]),"",_xlfn.XLOOKUP(Log[[#This Row],[Item]],Calories[Name],Calories[Cals])*Log[[#This Row],[Qty]])</f>
        <v>33.75</v>
      </c>
      <c r="G304" s="71">
        <f>IF(ISBLANK(Log[[#This Row],[Item]]),"",_xlfn.XLOOKUP(Log[[#This Row],[Item]],Calories[Name],Calories[Carbs])*Log[[#This Row],[Qty]])</f>
        <v>4.5</v>
      </c>
      <c r="H304" s="71">
        <f>IF(ISBLANK(Log[[#This Row],[Item]]),"",_xlfn.XLOOKUP(Log[[#This Row],[Item]],Calories[Name],Calories[Fibre])*Log[[#This Row],[Qty]])</f>
        <v>0</v>
      </c>
      <c r="I304" s="71">
        <f>IF(ISBLANK(Log[[#This Row],[Item]]),"",(Log[[#This Row],[Carbs]]-Log[[#This Row],[Fibre]]))</f>
        <v>4.5</v>
      </c>
      <c r="J304" s="103">
        <f>IF(ISBLANK(Log[[#This Row],[Item]]),"",_xlfn.XLOOKUP(Log[[#This Row],[Item]],Calories[Name],Calories[Sodium])*Log[[#This Row],[Qty]])</f>
        <v>375</v>
      </c>
      <c r="K304" s="71">
        <f>IF(ISBLANK(Log[[#This Row],[Item]]),"",_xlfn.XLOOKUP(Log[[#This Row],[Item]],Calories[Name],Calories[Protein])*Log[[#This Row],[Qty]])</f>
        <v>0.89999999999999991</v>
      </c>
      <c r="L304" s="71">
        <f>IF(ISBLANK(Log[[#This Row],[Item]]),"",_xlfn.XLOOKUP(Log[[#This Row],[Item]],Calories[Name],Calories[Chol.])*Log[[#This Row],[Qty]])</f>
        <v>0</v>
      </c>
      <c r="M304" s="75"/>
      <c r="N304" s="75"/>
      <c r="O304" s="75"/>
    </row>
    <row r="305" spans="1:15" s="66" customFormat="1" ht="25.15" customHeight="1">
      <c r="A305" s="75"/>
      <c r="B305" s="98">
        <v>44826</v>
      </c>
      <c r="C305" s="78" t="s">
        <v>82</v>
      </c>
      <c r="D305" s="79">
        <v>1</v>
      </c>
      <c r="E305" s="76" t="str">
        <f>IF(ISBLANK(Log[[#This Row],[Item]]),"",_xlfn.XLOOKUP(Log[[#This Row],[Item]],Calories[Name],Calories[Unit]))</f>
        <v>10 chip</v>
      </c>
      <c r="F305" s="65">
        <f>IF(ISBLANK(Log[[#This Row],[Item]]),"",_xlfn.XLOOKUP(Log[[#This Row],[Item]],Calories[Name],Calories[Cals])*Log[[#This Row],[Qty]])</f>
        <v>127.27272727272727</v>
      </c>
      <c r="G305" s="71">
        <f>IF(ISBLANK(Log[[#This Row],[Item]]),"",_xlfn.XLOOKUP(Log[[#This Row],[Item]],Calories[Name],Calories[Carbs])*Log[[#This Row],[Qty]])</f>
        <v>14.545454545454547</v>
      </c>
      <c r="H305" s="71">
        <f>IF(ISBLANK(Log[[#This Row],[Item]]),"",_xlfn.XLOOKUP(Log[[#This Row],[Item]],Calories[Name],Calories[Fibre])*Log[[#This Row],[Qty]])</f>
        <v>0.90909090909090917</v>
      </c>
      <c r="I305" s="71">
        <f>IF(ISBLANK(Log[[#This Row],[Item]]),"",(Log[[#This Row],[Carbs]]-Log[[#This Row],[Fibre]]))</f>
        <v>13.636363636363637</v>
      </c>
      <c r="J305" s="103">
        <f>IF(ISBLANK(Log[[#This Row],[Item]]),"",_xlfn.XLOOKUP(Log[[#This Row],[Item]],Calories[Name],Calories[Sodium])*Log[[#This Row],[Qty]])</f>
        <v>190.90909090909091</v>
      </c>
      <c r="K305" s="71">
        <f>IF(ISBLANK(Log[[#This Row],[Item]]),"",_xlfn.XLOOKUP(Log[[#This Row],[Item]],Calories[Name],Calories[Protein])*Log[[#This Row],[Qty]])</f>
        <v>1.8181818181818183</v>
      </c>
      <c r="L305" s="71">
        <f>IF(ISBLANK(Log[[#This Row],[Item]]),"",_xlfn.XLOOKUP(Log[[#This Row],[Item]],Calories[Name],Calories[Chol.])*Log[[#This Row],[Qty]])</f>
        <v>0</v>
      </c>
      <c r="M305" s="75"/>
      <c r="N305" s="75"/>
      <c r="O305" s="75"/>
    </row>
    <row r="306" spans="1:15" s="66" customFormat="1" ht="25.15" customHeight="1">
      <c r="A306" s="75"/>
      <c r="B306" s="98">
        <v>44826</v>
      </c>
      <c r="C306" s="78" t="s">
        <v>90</v>
      </c>
      <c r="D306" s="79">
        <v>40</v>
      </c>
      <c r="E306" s="76" t="str">
        <f>IF(ISBLANK(Log[[#This Row],[Item]]),"",_xlfn.XLOOKUP(Log[[#This Row],[Item]],Calories[Name],Calories[Unit]))</f>
        <v>g</v>
      </c>
      <c r="F306" s="65">
        <f>IF(ISBLANK(Log[[#This Row],[Item]]),"",_xlfn.XLOOKUP(Log[[#This Row],[Item]],Calories[Name],Calories[Cals])*Log[[#This Row],[Qty]])</f>
        <v>137.14285714285714</v>
      </c>
      <c r="G306" s="71">
        <f>IF(ISBLANK(Log[[#This Row],[Item]]),"",_xlfn.XLOOKUP(Log[[#This Row],[Item]],Calories[Name],Calories[Carbs])*Log[[#This Row],[Qty]])</f>
        <v>25.142857142857142</v>
      </c>
      <c r="H306" s="71">
        <f>IF(ISBLANK(Log[[#This Row],[Item]]),"",_xlfn.XLOOKUP(Log[[#This Row],[Item]],Calories[Name],Calories[Fibre])*Log[[#This Row],[Qty]])</f>
        <v>4.5714285714285712</v>
      </c>
      <c r="I306" s="71">
        <f>IF(ISBLANK(Log[[#This Row],[Item]]),"",(Log[[#This Row],[Carbs]]-Log[[#This Row],[Fibre]]))</f>
        <v>20.571428571428569</v>
      </c>
      <c r="J306" s="103">
        <f>IF(ISBLANK(Log[[#This Row],[Item]]),"",_xlfn.XLOOKUP(Log[[#This Row],[Item]],Calories[Name],Calories[Sodium])*Log[[#This Row],[Qty]])</f>
        <v>0</v>
      </c>
      <c r="K306" s="71">
        <f>IF(ISBLANK(Log[[#This Row],[Item]]),"",_xlfn.XLOOKUP(Log[[#This Row],[Item]],Calories[Name],Calories[Protein])*Log[[#This Row],[Qty]])</f>
        <v>10.285714285714285</v>
      </c>
      <c r="L306" s="71">
        <f>IF(ISBLANK(Log[[#This Row],[Item]]),"",_xlfn.XLOOKUP(Log[[#This Row],[Item]],Calories[Name],Calories[Chol.])*Log[[#This Row],[Qty]])</f>
        <v>0</v>
      </c>
      <c r="M306" s="75"/>
      <c r="N306" s="75"/>
      <c r="O306" s="75"/>
    </row>
    <row r="307" spans="1:15" s="66" customFormat="1" ht="25.15" customHeight="1">
      <c r="A307" s="75"/>
      <c r="B307" s="98">
        <v>44826</v>
      </c>
      <c r="C307" s="64" t="s">
        <v>24</v>
      </c>
      <c r="D307" s="79">
        <v>162</v>
      </c>
      <c r="E307" s="76" t="str">
        <f>IF(ISBLANK(Log[[#This Row],[Item]]),"",_xlfn.XLOOKUP(Log[[#This Row],[Item]],Calories[Name],Calories[Unit]))</f>
        <v>g</v>
      </c>
      <c r="F307" s="65">
        <f>IF(ISBLANK(Log[[#This Row],[Item]]),"",_xlfn.XLOOKUP(Log[[#This Row],[Item]],Calories[Name],Calories[Cals])*Log[[#This Row],[Qty]])</f>
        <v>410.72116728587162</v>
      </c>
      <c r="G307" s="71">
        <f>IF(ISBLANK(Log[[#This Row],[Item]]),"",_xlfn.XLOOKUP(Log[[#This Row],[Item]],Calories[Name],Calories[Carbs])*Log[[#This Row],[Qty]])</f>
        <v>0</v>
      </c>
      <c r="H307" s="71">
        <f>IF(ISBLANK(Log[[#This Row],[Item]]),"",_xlfn.XLOOKUP(Log[[#This Row],[Item]],Calories[Name],Calories[Fibre])*Log[[#This Row],[Qty]])</f>
        <v>0</v>
      </c>
      <c r="I307" s="71">
        <f>IF(ISBLANK(Log[[#This Row],[Item]]),"",(Log[[#This Row],[Carbs]]-Log[[#This Row],[Fibre]]))</f>
        <v>0</v>
      </c>
      <c r="J307" s="103">
        <f>IF(ISBLANK(Log[[#This Row],[Item]]),"",_xlfn.XLOOKUP(Log[[#This Row],[Item]],Calories[Name],Calories[Sodium])*Log[[#This Row],[Qty]])</f>
        <v>115.00192684004406</v>
      </c>
      <c r="K307" s="71">
        <f>IF(ISBLANK(Log[[#This Row],[Item]]),"",_xlfn.XLOOKUP(Log[[#This Row],[Item]],Calories[Name],Calories[Protein])*Log[[#This Row],[Qty]])</f>
        <v>27.857609607215643</v>
      </c>
      <c r="L307" s="71">
        <f>IF(ISBLANK(Log[[#This Row],[Item]]),"",_xlfn.XLOOKUP(Log[[#This Row],[Item]],Calories[Name],Calories[Chol.])*Log[[#This Row],[Qty]])</f>
        <v>115.02</v>
      </c>
      <c r="M307" s="75"/>
      <c r="N307" s="75"/>
      <c r="O307" s="75"/>
    </row>
    <row r="308" spans="1:15" s="66" customFormat="1" ht="25.15" customHeight="1">
      <c r="A308" s="75"/>
      <c r="B308" s="98">
        <v>44826</v>
      </c>
      <c r="C308" s="78" t="s">
        <v>51</v>
      </c>
      <c r="D308" s="79">
        <v>0.25</v>
      </c>
      <c r="E308" s="76" t="str">
        <f>IF(ISBLANK(Log[[#This Row],[Item]]),"",_xlfn.XLOOKUP(Log[[#This Row],[Item]],Calories[Name],Calories[Unit]))</f>
        <v>c</v>
      </c>
      <c r="F308" s="65">
        <f>IF(ISBLANK(Log[[#This Row],[Item]]),"",_xlfn.XLOOKUP(Log[[#This Row],[Item]],Calories[Name],Calories[Cals])*Log[[#This Row],[Qty]])</f>
        <v>11.55</v>
      </c>
      <c r="G308" s="71">
        <f>IF(ISBLANK(Log[[#This Row],[Item]]),"",_xlfn.XLOOKUP(Log[[#This Row],[Item]],Calories[Name],Calories[Carbs])*Log[[#This Row],[Qty]])</f>
        <v>2.25</v>
      </c>
      <c r="H308" s="71">
        <f>IF(ISBLANK(Log[[#This Row],[Item]]),"",_xlfn.XLOOKUP(Log[[#This Row],[Item]],Calories[Name],Calories[Fibre])*Log[[#This Row],[Qty]])</f>
        <v>0.77500000000000002</v>
      </c>
      <c r="I308" s="71">
        <f>IF(ISBLANK(Log[[#This Row],[Item]]),"",(Log[[#This Row],[Carbs]]-Log[[#This Row],[Fibre]]))</f>
        <v>1.4750000000000001</v>
      </c>
      <c r="J308" s="103">
        <f>IF(ISBLANK(Log[[#This Row],[Item]]),"",_xlfn.XLOOKUP(Log[[#This Row],[Item]],Calories[Name],Calories[Sodium])*Log[[#This Row],[Qty]])</f>
        <v>1.5</v>
      </c>
      <c r="K308" s="71">
        <f>IF(ISBLANK(Log[[#This Row],[Item]]),"",_xlfn.XLOOKUP(Log[[#This Row],[Item]],Calories[Name],Calories[Protein])*Log[[#This Row],[Qty]])</f>
        <v>0.375</v>
      </c>
      <c r="L308" s="71">
        <f>IF(ISBLANK(Log[[#This Row],[Item]]),"",_xlfn.XLOOKUP(Log[[#This Row],[Item]],Calories[Name],Calories[Chol.])*Log[[#This Row],[Qty]])</f>
        <v>0</v>
      </c>
      <c r="M308" s="75"/>
      <c r="N308" s="75"/>
      <c r="O308" s="75"/>
    </row>
    <row r="309" spans="1:15" s="66" customFormat="1" ht="25.15" customHeight="1">
      <c r="A309" s="75"/>
      <c r="B309" s="98">
        <v>44826</v>
      </c>
      <c r="C309" s="78" t="s">
        <v>14</v>
      </c>
      <c r="D309" s="79">
        <v>0.5</v>
      </c>
      <c r="E309" s="76" t="str">
        <f>IF(ISBLANK(Log[[#This Row],[Item]]),"",_xlfn.XLOOKUP(Log[[#This Row],[Item]],Calories[Name],Calories[Unit]))</f>
        <v>c</v>
      </c>
      <c r="F309" s="65">
        <f>IF(ISBLANK(Log[[#This Row],[Item]]),"",_xlfn.XLOOKUP(Log[[#This Row],[Item]],Calories[Name],Calories[Cals])*Log[[#This Row],[Qty]])</f>
        <v>33.5</v>
      </c>
      <c r="G309" s="71">
        <f>IF(ISBLANK(Log[[#This Row],[Item]]),"",_xlfn.XLOOKUP(Log[[#This Row],[Item]],Calories[Name],Calories[Carbs])*Log[[#This Row],[Qty]])</f>
        <v>8.09</v>
      </c>
      <c r="H309" s="71">
        <f>IF(ISBLANK(Log[[#This Row],[Item]]),"",_xlfn.XLOOKUP(Log[[#This Row],[Item]],Calories[Name],Calories[Fibre])*Log[[#This Row],[Qty]])</f>
        <v>1.1000000000000001</v>
      </c>
      <c r="I309" s="71">
        <f>IF(ISBLANK(Log[[#This Row],[Item]]),"",(Log[[#This Row],[Carbs]]-Log[[#This Row],[Fibre]]))</f>
        <v>6.99</v>
      </c>
      <c r="J309" s="103">
        <f>IF(ISBLANK(Log[[#This Row],[Item]]),"",_xlfn.XLOOKUP(Log[[#This Row],[Item]],Calories[Name],Calories[Sodium])*Log[[#This Row],[Qty]])</f>
        <v>2.5</v>
      </c>
      <c r="K309" s="71">
        <f>IF(ISBLANK(Log[[#This Row],[Item]]),"",_xlfn.XLOOKUP(Log[[#This Row],[Item]],Calories[Name],Calories[Protein])*Log[[#This Row],[Qty]])</f>
        <v>0.73499999999999999</v>
      </c>
      <c r="L309" s="71">
        <f>IF(ISBLANK(Log[[#This Row],[Item]]),"",_xlfn.XLOOKUP(Log[[#This Row],[Item]],Calories[Name],Calories[Chol.])*Log[[#This Row],[Qty]])</f>
        <v>0</v>
      </c>
      <c r="M309" s="75"/>
      <c r="N309" s="75"/>
      <c r="O309" s="75"/>
    </row>
    <row r="310" spans="1:15" s="66" customFormat="1" ht="25.15" customHeight="1">
      <c r="A310" s="75"/>
      <c r="B310" s="98">
        <v>44826</v>
      </c>
      <c r="C310" s="64" t="s">
        <v>24</v>
      </c>
      <c r="D310" s="79">
        <v>163</v>
      </c>
      <c r="E310" s="76" t="str">
        <f>IF(ISBLANK(Log[[#This Row],[Item]]),"",_xlfn.XLOOKUP(Log[[#This Row],[Item]],Calories[Name],Calories[Unit]))</f>
        <v>g</v>
      </c>
      <c r="F310" s="65">
        <f>IF(ISBLANK(Log[[#This Row],[Item]]),"",_xlfn.XLOOKUP(Log[[#This Row],[Item]],Calories[Name],Calories[Cals])*Log[[#This Row],[Qty]])</f>
        <v>413.25648313331527</v>
      </c>
      <c r="G310" s="71">
        <f>IF(ISBLANK(Log[[#This Row],[Item]]),"",_xlfn.XLOOKUP(Log[[#This Row],[Item]],Calories[Name],Calories[Carbs])*Log[[#This Row],[Qty]])</f>
        <v>0</v>
      </c>
      <c r="H310" s="71">
        <f>IF(ISBLANK(Log[[#This Row],[Item]]),"",_xlfn.XLOOKUP(Log[[#This Row],[Item]],Calories[Name],Calories[Fibre])*Log[[#This Row],[Qty]])</f>
        <v>0</v>
      </c>
      <c r="I310" s="71">
        <f>IF(ISBLANK(Log[[#This Row],[Item]]),"",(Log[[#This Row],[Carbs]]-Log[[#This Row],[Fibre]]))</f>
        <v>0</v>
      </c>
      <c r="J310" s="103">
        <f>IF(ISBLANK(Log[[#This Row],[Item]]),"",_xlfn.XLOOKUP(Log[[#This Row],[Item]],Calories[Name],Calories[Sodium])*Log[[#This Row],[Qty]])</f>
        <v>115.71181527732828</v>
      </c>
      <c r="K310" s="71">
        <f>IF(ISBLANK(Log[[#This Row],[Item]]),"",_xlfn.XLOOKUP(Log[[#This Row],[Item]],Calories[Name],Calories[Protein])*Log[[#This Row],[Qty]])</f>
        <v>28.029570160346605</v>
      </c>
      <c r="L310" s="71">
        <f>IF(ISBLANK(Log[[#This Row],[Item]]),"",_xlfn.XLOOKUP(Log[[#This Row],[Item]],Calories[Name],Calories[Chol.])*Log[[#This Row],[Qty]])</f>
        <v>115.72999999999999</v>
      </c>
      <c r="M310" s="75"/>
      <c r="N310" s="75"/>
      <c r="O310" s="75"/>
    </row>
    <row r="311" spans="1:15" s="66" customFormat="1" ht="25.15" customHeight="1">
      <c r="A311" s="75"/>
      <c r="B311" s="98">
        <v>44826</v>
      </c>
      <c r="C311" s="78" t="s">
        <v>45</v>
      </c>
      <c r="D311" s="79">
        <v>5</v>
      </c>
      <c r="E311" s="76" t="str">
        <f>IF(ISBLANK(Log[[#This Row],[Item]]),"",_xlfn.XLOOKUP(Log[[#This Row],[Item]],Calories[Name],Calories[Unit]))</f>
        <v>pinch</v>
      </c>
      <c r="F311" s="65">
        <f>IF(ISBLANK(Log[[#This Row],[Item]]),"",_xlfn.XLOOKUP(Log[[#This Row],[Item]],Calories[Name],Calories[Cals])*Log[[#This Row],[Qty]])</f>
        <v>0</v>
      </c>
      <c r="G311" s="71">
        <f>IF(ISBLANK(Log[[#This Row],[Item]]),"",_xlfn.XLOOKUP(Log[[#This Row],[Item]],Calories[Name],Calories[Carbs])*Log[[#This Row],[Qty]])</f>
        <v>0</v>
      </c>
      <c r="H311" s="71">
        <f>IF(ISBLANK(Log[[#This Row],[Item]]),"",_xlfn.XLOOKUP(Log[[#This Row],[Item]],Calories[Name],Calories[Fibre])*Log[[#This Row],[Qty]])</f>
        <v>0</v>
      </c>
      <c r="I311" s="71">
        <f>IF(ISBLANK(Log[[#This Row],[Item]]),"",(Log[[#This Row],[Carbs]]-Log[[#This Row],[Fibre]]))</f>
        <v>0</v>
      </c>
      <c r="J311" s="103">
        <f>IF(ISBLANK(Log[[#This Row],[Item]]),"",_xlfn.XLOOKUP(Log[[#This Row],[Item]],Calories[Name],Calories[Sodium])*Log[[#This Row],[Qty]])</f>
        <v>697.64400000000001</v>
      </c>
      <c r="K311" s="71">
        <f>IF(ISBLANK(Log[[#This Row],[Item]]),"",_xlfn.XLOOKUP(Log[[#This Row],[Item]],Calories[Name],Calories[Protein])*Log[[#This Row],[Qty]])</f>
        <v>0</v>
      </c>
      <c r="L311" s="71">
        <f>IF(ISBLANK(Log[[#This Row],[Item]]),"",_xlfn.XLOOKUP(Log[[#This Row],[Item]],Calories[Name],Calories[Chol.])*Log[[#This Row],[Qty]])</f>
        <v>0</v>
      </c>
      <c r="M311" s="75"/>
      <c r="N311" s="75"/>
      <c r="O311" s="75"/>
    </row>
    <row r="312" spans="1:15" s="66" customFormat="1" ht="25.15" customHeight="1">
      <c r="A312" s="75"/>
      <c r="B312" s="98">
        <v>44826</v>
      </c>
      <c r="C312" s="78" t="s">
        <v>93</v>
      </c>
      <c r="D312" s="79">
        <v>1</v>
      </c>
      <c r="E312" s="76" t="str">
        <f>IF(ISBLANK(Log[[#This Row],[Item]]),"",_xlfn.XLOOKUP(Log[[#This Row],[Item]],Calories[Name],Calories[Unit]))</f>
        <v>ea</v>
      </c>
      <c r="F312" s="65">
        <f>IF(ISBLANK(Log[[#This Row],[Item]]),"",_xlfn.XLOOKUP(Log[[#This Row],[Item]],Calories[Name],Calories[Cals])*Log[[#This Row],[Qty]])</f>
        <v>50</v>
      </c>
      <c r="G312" s="71">
        <f>IF(ISBLANK(Log[[#This Row],[Item]]),"",_xlfn.XLOOKUP(Log[[#This Row],[Item]],Calories[Name],Calories[Carbs])*Log[[#This Row],[Qty]])</f>
        <v>2</v>
      </c>
      <c r="H312" s="71">
        <f>IF(ISBLANK(Log[[#This Row],[Item]]),"",_xlfn.XLOOKUP(Log[[#This Row],[Item]],Calories[Name],Calories[Fibre])*Log[[#This Row],[Qty]])</f>
        <v>0</v>
      </c>
      <c r="I312" s="71">
        <f>IF(ISBLANK(Log[[#This Row],[Item]]),"",(Log[[#This Row],[Carbs]]-Log[[#This Row],[Fibre]]))</f>
        <v>2</v>
      </c>
      <c r="J312" s="103">
        <f>IF(ISBLANK(Log[[#This Row],[Item]]),"",_xlfn.XLOOKUP(Log[[#This Row],[Item]],Calories[Name],Calories[Sodium])*Log[[#This Row],[Qty]])</f>
        <v>230</v>
      </c>
      <c r="K312" s="71">
        <f>IF(ISBLANK(Log[[#This Row],[Item]]),"",_xlfn.XLOOKUP(Log[[#This Row],[Item]],Calories[Name],Calories[Protein])*Log[[#This Row],[Qty]])</f>
        <v>3</v>
      </c>
      <c r="L312" s="71">
        <f>IF(ISBLANK(Log[[#This Row],[Item]]),"",_xlfn.XLOOKUP(Log[[#This Row],[Item]],Calories[Name],Calories[Chol.])*Log[[#This Row],[Qty]])</f>
        <v>15</v>
      </c>
      <c r="M312" s="75"/>
      <c r="N312" s="75"/>
      <c r="O312" s="75"/>
    </row>
    <row r="313" spans="1:15" s="66" customFormat="1" ht="25.15" customHeight="1">
      <c r="A313" s="75"/>
      <c r="B313" s="98">
        <v>44826</v>
      </c>
      <c r="C313" s="78" t="s">
        <v>94</v>
      </c>
      <c r="D313" s="79">
        <v>425</v>
      </c>
      <c r="E313" s="76" t="str">
        <f>IF(ISBLANK(Log[[#This Row],[Item]]),"",_xlfn.XLOOKUP(Log[[#This Row],[Item]],Calories[Name],Calories[Unit]))</f>
        <v>kcal</v>
      </c>
      <c r="F313" s="65">
        <f>IF(ISBLANK(Log[[#This Row],[Item]]),"",_xlfn.XLOOKUP(Log[[#This Row],[Item]],Calories[Name],Calories[Cals])*Log[[#This Row],[Qty]])</f>
        <v>-425</v>
      </c>
      <c r="G313" s="71">
        <f>IF(ISBLANK(Log[[#This Row],[Item]]),"",_xlfn.XLOOKUP(Log[[#This Row],[Item]],Calories[Name],Calories[Carbs])*Log[[#This Row],[Qty]])</f>
        <v>0</v>
      </c>
      <c r="H313" s="71">
        <f>IF(ISBLANK(Log[[#This Row],[Item]]),"",_xlfn.XLOOKUP(Log[[#This Row],[Item]],Calories[Name],Calories[Fibre])*Log[[#This Row],[Qty]])</f>
        <v>0</v>
      </c>
      <c r="I313" s="71">
        <f>IF(ISBLANK(Log[[#This Row],[Item]]),"",(Log[[#This Row],[Carbs]]-Log[[#This Row],[Fibre]]))</f>
        <v>0</v>
      </c>
      <c r="J313" s="103">
        <f>IF(ISBLANK(Log[[#This Row],[Item]]),"",_xlfn.XLOOKUP(Log[[#This Row],[Item]],Calories[Name],Calories[Sodium])*Log[[#This Row],[Qty]])</f>
        <v>0</v>
      </c>
      <c r="K313" s="71">
        <f>IF(ISBLANK(Log[[#This Row],[Item]]),"",_xlfn.XLOOKUP(Log[[#This Row],[Item]],Calories[Name],Calories[Protein])*Log[[#This Row],[Qty]])</f>
        <v>0</v>
      </c>
      <c r="L313" s="71">
        <f>IF(ISBLANK(Log[[#This Row],[Item]]),"",_xlfn.XLOOKUP(Log[[#This Row],[Item]],Calories[Name],Calories[Chol.])*Log[[#This Row],[Qty]])</f>
        <v>0</v>
      </c>
      <c r="M313" s="75"/>
      <c r="N313" s="75"/>
      <c r="O313" s="75"/>
    </row>
    <row r="314" spans="1:15" s="66" customFormat="1" ht="25.15" customHeight="1">
      <c r="A314" s="75"/>
      <c r="B314" s="98">
        <v>44826</v>
      </c>
      <c r="C314" s="78" t="s">
        <v>78</v>
      </c>
      <c r="D314" s="79">
        <v>1</v>
      </c>
      <c r="E314" s="76" t="str">
        <f>IF(ISBLANK(Log[[#This Row],[Item]]),"",_xlfn.XLOOKUP(Log[[#This Row],[Item]],Calories[Name],Calories[Unit]))</f>
        <v>can</v>
      </c>
      <c r="F314" s="65">
        <f>IF(ISBLANK(Log[[#This Row],[Item]]),"",_xlfn.XLOOKUP(Log[[#This Row],[Item]],Calories[Name],Calories[Cals])*Log[[#This Row],[Qty]])</f>
        <v>170</v>
      </c>
      <c r="G314" s="71">
        <f>IF(ISBLANK(Log[[#This Row],[Item]]),"",_xlfn.XLOOKUP(Log[[#This Row],[Item]],Calories[Name],Calories[Carbs])*Log[[#This Row],[Qty]])</f>
        <v>0</v>
      </c>
      <c r="H314" s="71">
        <f>IF(ISBLANK(Log[[#This Row],[Item]]),"",_xlfn.XLOOKUP(Log[[#This Row],[Item]],Calories[Name],Calories[Fibre])*Log[[#This Row],[Qty]])</f>
        <v>0</v>
      </c>
      <c r="I314" s="71">
        <f>IF(ISBLANK(Log[[#This Row],[Item]]),"",(Log[[#This Row],[Carbs]]-Log[[#This Row],[Fibre]]))</f>
        <v>0</v>
      </c>
      <c r="J314" s="103">
        <f>IF(ISBLANK(Log[[#This Row],[Item]]),"",_xlfn.XLOOKUP(Log[[#This Row],[Item]],Calories[Name],Calories[Sodium])*Log[[#This Row],[Qty]])</f>
        <v>270</v>
      </c>
      <c r="K314" s="71">
        <f>IF(ISBLANK(Log[[#This Row],[Item]]),"",_xlfn.XLOOKUP(Log[[#This Row],[Item]],Calories[Name],Calories[Protein])*Log[[#This Row],[Qty]])</f>
        <v>17</v>
      </c>
      <c r="L314" s="71">
        <f>IF(ISBLANK(Log[[#This Row],[Item]]),"",_xlfn.XLOOKUP(Log[[#This Row],[Item]],Calories[Name],Calories[Chol.])*Log[[#This Row],[Qty]])</f>
        <v>100</v>
      </c>
      <c r="M314" s="75"/>
      <c r="N314" s="75"/>
      <c r="O314" s="75"/>
    </row>
    <row r="315" spans="1:15" s="66" customFormat="1" ht="25.15" customHeight="1">
      <c r="A315" s="75"/>
      <c r="B315" s="98">
        <v>44827</v>
      </c>
      <c r="C315" s="78" t="s">
        <v>52</v>
      </c>
      <c r="D315" s="79">
        <v>1</v>
      </c>
      <c r="E315" s="76" t="str">
        <f>IF(ISBLANK(Log[[#This Row],[Item]]),"",_xlfn.XLOOKUP(Log[[#This Row],[Item]],Calories[Name],Calories[Unit]))</f>
        <v>ea</v>
      </c>
      <c r="F315" s="65">
        <f>IF(ISBLANK(Log[[#This Row],[Item]]),"",_xlfn.XLOOKUP(Log[[#This Row],[Item]],Calories[Name],Calories[Cals])*Log[[#This Row],[Qty]])</f>
        <v>0</v>
      </c>
      <c r="G315" s="71">
        <f>IF(ISBLANK(Log[[#This Row],[Item]]),"",_xlfn.XLOOKUP(Log[[#This Row],[Item]],Calories[Name],Calories[Carbs])*Log[[#This Row],[Qty]])</f>
        <v>0</v>
      </c>
      <c r="H315" s="71">
        <f>IF(ISBLANK(Log[[#This Row],[Item]]),"",_xlfn.XLOOKUP(Log[[#This Row],[Item]],Calories[Name],Calories[Fibre])*Log[[#This Row],[Qty]])</f>
        <v>0</v>
      </c>
      <c r="I315" s="71">
        <f>IF(ISBLANK(Log[[#This Row],[Item]]),"",(Log[[#This Row],[Carbs]]-Log[[#This Row],[Fibre]]))</f>
        <v>0</v>
      </c>
      <c r="J315" s="103">
        <f>IF(ISBLANK(Log[[#This Row],[Item]]),"",_xlfn.XLOOKUP(Log[[#This Row],[Item]],Calories[Name],Calories[Sodium])*Log[[#This Row],[Qty]])</f>
        <v>0</v>
      </c>
      <c r="K315" s="71">
        <f>IF(ISBLANK(Log[[#This Row],[Item]]),"",_xlfn.XLOOKUP(Log[[#This Row],[Item]],Calories[Name],Calories[Protein])*Log[[#This Row],[Qty]])</f>
        <v>0</v>
      </c>
      <c r="L315" s="71">
        <f>IF(ISBLANK(Log[[#This Row],[Item]]),"",_xlfn.XLOOKUP(Log[[#This Row],[Item]],Calories[Name],Calories[Chol.])*Log[[#This Row],[Qty]])</f>
        <v>0</v>
      </c>
      <c r="M315" s="75"/>
      <c r="N315" s="75"/>
      <c r="O315" s="75"/>
    </row>
    <row r="316" spans="1:15" s="66" customFormat="1" ht="25.15" customHeight="1">
      <c r="A316" s="75"/>
      <c r="B316" s="98">
        <v>44827</v>
      </c>
      <c r="C316" s="78" t="s">
        <v>53</v>
      </c>
      <c r="D316" s="79">
        <v>1</v>
      </c>
      <c r="E316" s="76" t="str">
        <f>IF(ISBLANK(Log[[#This Row],[Item]]),"",_xlfn.XLOOKUP(Log[[#This Row],[Item]],Calories[Name],Calories[Unit]))</f>
        <v>ea</v>
      </c>
      <c r="F316" s="65">
        <f>IF(ISBLANK(Log[[#This Row],[Item]]),"",_xlfn.XLOOKUP(Log[[#This Row],[Item]],Calories[Name],Calories[Cals])*Log[[#This Row],[Qty]])</f>
        <v>0</v>
      </c>
      <c r="G316" s="71">
        <f>IF(ISBLANK(Log[[#This Row],[Item]]),"",_xlfn.XLOOKUP(Log[[#This Row],[Item]],Calories[Name],Calories[Carbs])*Log[[#This Row],[Qty]])</f>
        <v>0</v>
      </c>
      <c r="H316" s="71">
        <f>IF(ISBLANK(Log[[#This Row],[Item]]),"",_xlfn.XLOOKUP(Log[[#This Row],[Item]],Calories[Name],Calories[Fibre])*Log[[#This Row],[Qty]])</f>
        <v>0</v>
      </c>
      <c r="I316" s="71">
        <f>IF(ISBLANK(Log[[#This Row],[Item]]),"",(Log[[#This Row],[Carbs]]-Log[[#This Row],[Fibre]]))</f>
        <v>0</v>
      </c>
      <c r="J316" s="103">
        <f>IF(ISBLANK(Log[[#This Row],[Item]]),"",_xlfn.XLOOKUP(Log[[#This Row],[Item]],Calories[Name],Calories[Sodium])*Log[[#This Row],[Qty]])</f>
        <v>0</v>
      </c>
      <c r="K316" s="71">
        <f>IF(ISBLANK(Log[[#This Row],[Item]]),"",_xlfn.XLOOKUP(Log[[#This Row],[Item]],Calories[Name],Calories[Protein])*Log[[#This Row],[Qty]])</f>
        <v>0</v>
      </c>
      <c r="L316" s="71">
        <f>IF(ISBLANK(Log[[#This Row],[Item]]),"",_xlfn.XLOOKUP(Log[[#This Row],[Item]],Calories[Name],Calories[Chol.])*Log[[#This Row],[Qty]])</f>
        <v>0</v>
      </c>
      <c r="M316" s="75"/>
      <c r="N316" s="75"/>
      <c r="O316" s="75"/>
    </row>
    <row r="317" spans="1:15" s="66" customFormat="1" ht="25.15" customHeight="1">
      <c r="A317" s="75"/>
      <c r="B317" s="98">
        <v>44827</v>
      </c>
      <c r="C317" s="78" t="s">
        <v>54</v>
      </c>
      <c r="D317" s="79">
        <v>1</v>
      </c>
      <c r="E317" s="76" t="str">
        <f>IF(ISBLANK(Log[[#This Row],[Item]]),"",_xlfn.XLOOKUP(Log[[#This Row],[Item]],Calories[Name],Calories[Unit]))</f>
        <v>ea</v>
      </c>
      <c r="F317" s="65">
        <f>IF(ISBLANK(Log[[#This Row],[Item]]),"",_xlfn.XLOOKUP(Log[[#This Row],[Item]],Calories[Name],Calories[Cals])*Log[[#This Row],[Qty]])</f>
        <v>0</v>
      </c>
      <c r="G317" s="71">
        <f>IF(ISBLANK(Log[[#This Row],[Item]]),"",_xlfn.XLOOKUP(Log[[#This Row],[Item]],Calories[Name],Calories[Carbs])*Log[[#This Row],[Qty]])</f>
        <v>0</v>
      </c>
      <c r="H317" s="71">
        <f>IF(ISBLANK(Log[[#This Row],[Item]]),"",_xlfn.XLOOKUP(Log[[#This Row],[Item]],Calories[Name],Calories[Fibre])*Log[[#This Row],[Qty]])</f>
        <v>0</v>
      </c>
      <c r="I317" s="71">
        <f>IF(ISBLANK(Log[[#This Row],[Item]]),"",(Log[[#This Row],[Carbs]]-Log[[#This Row],[Fibre]]))</f>
        <v>0</v>
      </c>
      <c r="J317" s="103">
        <f>IF(ISBLANK(Log[[#This Row],[Item]]),"",_xlfn.XLOOKUP(Log[[#This Row],[Item]],Calories[Name],Calories[Sodium])*Log[[#This Row],[Qty]])</f>
        <v>0</v>
      </c>
      <c r="K317" s="71">
        <f>IF(ISBLANK(Log[[#This Row],[Item]]),"",_xlfn.XLOOKUP(Log[[#This Row],[Item]],Calories[Name],Calories[Protein])*Log[[#This Row],[Qty]])</f>
        <v>0</v>
      </c>
      <c r="L317" s="71">
        <f>IF(ISBLANK(Log[[#This Row],[Item]]),"",_xlfn.XLOOKUP(Log[[#This Row],[Item]],Calories[Name],Calories[Chol.])*Log[[#This Row],[Qty]])</f>
        <v>0</v>
      </c>
      <c r="M317" s="75"/>
      <c r="N317" s="75"/>
      <c r="O317" s="75"/>
    </row>
    <row r="318" spans="1:15" s="66" customFormat="1" ht="25.15" customHeight="1">
      <c r="A318" s="75"/>
      <c r="B318" s="98">
        <v>44827</v>
      </c>
      <c r="C318" s="78" t="s">
        <v>55</v>
      </c>
      <c r="D318" s="79">
        <v>1</v>
      </c>
      <c r="E318" s="76" t="str">
        <f>IF(ISBLANK(Log[[#This Row],[Item]]),"",_xlfn.XLOOKUP(Log[[#This Row],[Item]],Calories[Name],Calories[Unit]))</f>
        <v>ea</v>
      </c>
      <c r="F318" s="65">
        <f>IF(ISBLANK(Log[[#This Row],[Item]]),"",_xlfn.XLOOKUP(Log[[#This Row],[Item]],Calories[Name],Calories[Cals])*Log[[#This Row],[Qty]])</f>
        <v>0</v>
      </c>
      <c r="G318" s="71">
        <f>IF(ISBLANK(Log[[#This Row],[Item]]),"",_xlfn.XLOOKUP(Log[[#This Row],[Item]],Calories[Name],Calories[Carbs])*Log[[#This Row],[Qty]])</f>
        <v>0</v>
      </c>
      <c r="H318" s="71">
        <f>IF(ISBLANK(Log[[#This Row],[Item]]),"",_xlfn.XLOOKUP(Log[[#This Row],[Item]],Calories[Name],Calories[Fibre])*Log[[#This Row],[Qty]])</f>
        <v>0</v>
      </c>
      <c r="I318" s="71">
        <f>IF(ISBLANK(Log[[#This Row],[Item]]),"",(Log[[#This Row],[Carbs]]-Log[[#This Row],[Fibre]]))</f>
        <v>0</v>
      </c>
      <c r="J318" s="103">
        <f>IF(ISBLANK(Log[[#This Row],[Item]]),"",_xlfn.XLOOKUP(Log[[#This Row],[Item]],Calories[Name],Calories[Sodium])*Log[[#This Row],[Qty]])</f>
        <v>0</v>
      </c>
      <c r="K318" s="71">
        <f>IF(ISBLANK(Log[[#This Row],[Item]]),"",_xlfn.XLOOKUP(Log[[#This Row],[Item]],Calories[Name],Calories[Protein])*Log[[#This Row],[Qty]])</f>
        <v>0</v>
      </c>
      <c r="L318" s="71">
        <f>IF(ISBLANK(Log[[#This Row],[Item]]),"",_xlfn.XLOOKUP(Log[[#This Row],[Item]],Calories[Name],Calories[Chol.])*Log[[#This Row],[Qty]])</f>
        <v>0</v>
      </c>
      <c r="M318" s="75"/>
      <c r="N318" s="75"/>
      <c r="O318" s="75"/>
    </row>
    <row r="319" spans="1:15" s="66" customFormat="1" ht="25.15" customHeight="1">
      <c r="A319" s="75"/>
      <c r="B319" s="98">
        <v>44827</v>
      </c>
      <c r="C319" s="78" t="s">
        <v>13</v>
      </c>
      <c r="D319" s="79">
        <v>3</v>
      </c>
      <c r="E319" s="76" t="str">
        <f>IF(ISBLANK(Log[[#This Row],[Item]]),"",_xlfn.XLOOKUP(Log[[#This Row],[Item]],Calories[Name],Calories[Unit]))</f>
        <v>ea</v>
      </c>
      <c r="F319" s="65">
        <f>IF(ISBLANK(Log[[#This Row],[Item]]),"",_xlfn.XLOOKUP(Log[[#This Row],[Item]],Calories[Name],Calories[Cals])*Log[[#This Row],[Qty]])</f>
        <v>216</v>
      </c>
      <c r="G319" s="71">
        <f>IF(ISBLANK(Log[[#This Row],[Item]]),"",_xlfn.XLOOKUP(Log[[#This Row],[Item]],Calories[Name],Calories[Carbs])*Log[[#This Row],[Qty]])</f>
        <v>0</v>
      </c>
      <c r="H319" s="71">
        <f>IF(ISBLANK(Log[[#This Row],[Item]]),"",_xlfn.XLOOKUP(Log[[#This Row],[Item]],Calories[Name],Calories[Fibre])*Log[[#This Row],[Qty]])</f>
        <v>0</v>
      </c>
      <c r="I319" s="71">
        <f>IF(ISBLANK(Log[[#This Row],[Item]]),"",(Log[[#This Row],[Carbs]]-Log[[#This Row],[Fibre]]))</f>
        <v>0</v>
      </c>
      <c r="J319" s="103">
        <f>IF(ISBLANK(Log[[#This Row],[Item]]),"",_xlfn.XLOOKUP(Log[[#This Row],[Item]],Calories[Name],Calories[Sodium])*Log[[#This Row],[Qty]])</f>
        <v>210</v>
      </c>
      <c r="K319" s="71">
        <f>IF(ISBLANK(Log[[#This Row],[Item]]),"",_xlfn.XLOOKUP(Log[[#This Row],[Item]],Calories[Name],Calories[Protein])*Log[[#This Row],[Qty]])</f>
        <v>18</v>
      </c>
      <c r="L319" s="71">
        <f>IF(ISBLANK(Log[[#This Row],[Item]]),"",_xlfn.XLOOKUP(Log[[#This Row],[Item]],Calories[Name],Calories[Chol.])*Log[[#This Row],[Qty]])</f>
        <v>633</v>
      </c>
      <c r="M319" s="75"/>
      <c r="N319" s="75"/>
      <c r="O319" s="75"/>
    </row>
    <row r="320" spans="1:15" s="66" customFormat="1" ht="25.15" customHeight="1">
      <c r="A320" s="75"/>
      <c r="B320" s="98">
        <v>44827</v>
      </c>
      <c r="C320" s="78" t="s">
        <v>40</v>
      </c>
      <c r="D320" s="79">
        <v>5</v>
      </c>
      <c r="E320" s="76" t="str">
        <f>IF(ISBLANK(Log[[#This Row],[Item]]),"",_xlfn.XLOOKUP(Log[[#This Row],[Item]],Calories[Name],Calories[Unit]))</f>
        <v>ea</v>
      </c>
      <c r="F320" s="65">
        <f>IF(ISBLANK(Log[[#This Row],[Item]]),"",_xlfn.XLOOKUP(Log[[#This Row],[Item]],Calories[Name],Calories[Cals])*Log[[#This Row],[Qty]])</f>
        <v>75</v>
      </c>
      <c r="G320" s="71">
        <f>IF(ISBLANK(Log[[#This Row],[Item]]),"",_xlfn.XLOOKUP(Log[[#This Row],[Item]],Calories[Name],Calories[Carbs])*Log[[#This Row],[Qty]])</f>
        <v>15</v>
      </c>
      <c r="H320" s="71">
        <f>IF(ISBLANK(Log[[#This Row],[Item]]),"",_xlfn.XLOOKUP(Log[[#This Row],[Item]],Calories[Name],Calories[Fibre])*Log[[#This Row],[Qty]])</f>
        <v>10</v>
      </c>
      <c r="I320" s="71">
        <f>IF(ISBLANK(Log[[#This Row],[Item]]),"",(Log[[#This Row],[Carbs]]-Log[[#This Row],[Fibre]]))</f>
        <v>5</v>
      </c>
      <c r="J320" s="103">
        <f>IF(ISBLANK(Log[[#This Row],[Item]]),"",_xlfn.XLOOKUP(Log[[#This Row],[Item]],Calories[Name],Calories[Sodium])*Log[[#This Row],[Qty]])</f>
        <v>200</v>
      </c>
      <c r="K320" s="71">
        <f>IF(ISBLANK(Log[[#This Row],[Item]]),"",_xlfn.XLOOKUP(Log[[#This Row],[Item]],Calories[Name],Calories[Protein])*Log[[#This Row],[Qty]])</f>
        <v>5</v>
      </c>
      <c r="L320" s="71">
        <f>IF(ISBLANK(Log[[#This Row],[Item]]),"",_xlfn.XLOOKUP(Log[[#This Row],[Item]],Calories[Name],Calories[Chol.])*Log[[#This Row],[Qty]])</f>
        <v>0</v>
      </c>
      <c r="M320" s="75"/>
      <c r="N320" s="75"/>
      <c r="O320" s="75"/>
    </row>
    <row r="321" spans="1:15" s="66" customFormat="1" ht="25.15" customHeight="1">
      <c r="A321" s="75"/>
      <c r="B321" s="98">
        <v>44827</v>
      </c>
      <c r="C321" s="78" t="s">
        <v>35</v>
      </c>
      <c r="D321" s="79">
        <v>0.75</v>
      </c>
      <c r="E321" s="76" t="str">
        <f>IF(ISBLANK(Log[[#This Row],[Item]]),"",_xlfn.XLOOKUP(Log[[#This Row],[Item]],Calories[Name],Calories[Unit]))</f>
        <v>tbsp</v>
      </c>
      <c r="F321" s="65">
        <f>IF(ISBLANK(Log[[#This Row],[Item]]),"",_xlfn.XLOOKUP(Log[[#This Row],[Item]],Calories[Name],Calories[Cals])*Log[[#This Row],[Qty]])</f>
        <v>67.5</v>
      </c>
      <c r="G321" s="71">
        <f>IF(ISBLANK(Log[[#This Row],[Item]]),"",_xlfn.XLOOKUP(Log[[#This Row],[Item]],Calories[Name],Calories[Carbs])*Log[[#This Row],[Qty]])</f>
        <v>0</v>
      </c>
      <c r="H321" s="71">
        <f>IF(ISBLANK(Log[[#This Row],[Item]]),"",_xlfn.XLOOKUP(Log[[#This Row],[Item]],Calories[Name],Calories[Fibre])*Log[[#This Row],[Qty]])</f>
        <v>0</v>
      </c>
      <c r="I321" s="71">
        <f>IF(ISBLANK(Log[[#This Row],[Item]]),"",(Log[[#This Row],[Carbs]]-Log[[#This Row],[Fibre]]))</f>
        <v>0</v>
      </c>
      <c r="J321" s="103">
        <f>IF(ISBLANK(Log[[#This Row],[Item]]),"",_xlfn.XLOOKUP(Log[[#This Row],[Item]],Calories[Name],Calories[Sodium])*Log[[#This Row],[Qty]])</f>
        <v>67.5</v>
      </c>
      <c r="K321" s="71">
        <f>IF(ISBLANK(Log[[#This Row],[Item]]),"",_xlfn.XLOOKUP(Log[[#This Row],[Item]],Calories[Name],Calories[Protein])*Log[[#This Row],[Qty]])</f>
        <v>0</v>
      </c>
      <c r="L321" s="71">
        <f>IF(ISBLANK(Log[[#This Row],[Item]]),"",_xlfn.XLOOKUP(Log[[#This Row],[Item]],Calories[Name],Calories[Chol.])*Log[[#This Row],[Qty]])</f>
        <v>3.75</v>
      </c>
      <c r="M321" s="75"/>
      <c r="N321" s="75"/>
      <c r="O321" s="75"/>
    </row>
    <row r="322" spans="1:15" s="66" customFormat="1" ht="25.15" customHeight="1">
      <c r="A322" s="75"/>
      <c r="B322" s="98">
        <v>44827</v>
      </c>
      <c r="C322" s="78" t="s">
        <v>87</v>
      </c>
      <c r="D322" s="79">
        <v>0.5</v>
      </c>
      <c r="E322" s="76" t="str">
        <f>IF(ISBLANK(Log[[#This Row],[Item]]),"",_xlfn.XLOOKUP(Log[[#This Row],[Item]],Calories[Name],Calories[Unit]))</f>
        <v>tsp</v>
      </c>
      <c r="F322" s="65">
        <f>IF(ISBLANK(Log[[#This Row],[Item]]),"",_xlfn.XLOOKUP(Log[[#This Row],[Item]],Calories[Name],Calories[Cals])*Log[[#This Row],[Qty]])</f>
        <v>3</v>
      </c>
      <c r="G322" s="71">
        <f>IF(ISBLANK(Log[[#This Row],[Item]]),"",_xlfn.XLOOKUP(Log[[#This Row],[Item]],Calories[Name],Calories[Carbs])*Log[[#This Row],[Qty]])</f>
        <v>0.6</v>
      </c>
      <c r="H322" s="71">
        <f>IF(ISBLANK(Log[[#This Row],[Item]]),"",_xlfn.XLOOKUP(Log[[#This Row],[Item]],Calories[Name],Calories[Fibre])*Log[[#This Row],[Qty]])</f>
        <v>0.05</v>
      </c>
      <c r="I322" s="71">
        <f>IF(ISBLANK(Log[[#This Row],[Item]]),"",(Log[[#This Row],[Carbs]]-Log[[#This Row],[Fibre]]))</f>
        <v>0.54999999999999993</v>
      </c>
      <c r="J322" s="103">
        <f>IF(ISBLANK(Log[[#This Row],[Item]]),"",_xlfn.XLOOKUP(Log[[#This Row],[Item]],Calories[Name],Calories[Sodium])*Log[[#This Row],[Qty]])</f>
        <v>69</v>
      </c>
      <c r="K322" s="71">
        <f>IF(ISBLANK(Log[[#This Row],[Item]]),"",_xlfn.XLOOKUP(Log[[#This Row],[Item]],Calories[Name],Calories[Protein])*Log[[#This Row],[Qty]])</f>
        <v>0.05</v>
      </c>
      <c r="L322" s="71">
        <f>IF(ISBLANK(Log[[#This Row],[Item]]),"",_xlfn.XLOOKUP(Log[[#This Row],[Item]],Calories[Name],Calories[Chol.])*Log[[#This Row],[Qty]])</f>
        <v>0</v>
      </c>
      <c r="M322" s="75"/>
      <c r="N322" s="75"/>
      <c r="O322" s="75"/>
    </row>
    <row r="323" spans="1:15" s="66" customFormat="1" ht="25.15" customHeight="1">
      <c r="A323" s="75"/>
      <c r="B323" s="98">
        <v>44827</v>
      </c>
      <c r="C323" s="78" t="s">
        <v>76</v>
      </c>
      <c r="D323" s="79">
        <v>0.2</v>
      </c>
      <c r="E323" s="76" t="str">
        <f>IF(ISBLANK(Log[[#This Row],[Item]]),"",_xlfn.XLOOKUP(Log[[#This Row],[Item]],Calories[Name],Calories[Unit]))</f>
        <v>ea</v>
      </c>
      <c r="F323" s="65">
        <f>IF(ISBLANK(Log[[#This Row],[Item]]),"",_xlfn.XLOOKUP(Log[[#This Row],[Item]],Calories[Name],Calories[Cals])*Log[[#This Row],[Qty]])</f>
        <v>0.96</v>
      </c>
      <c r="G323" s="71">
        <f>IF(ISBLANK(Log[[#This Row],[Item]]),"",_xlfn.XLOOKUP(Log[[#This Row],[Item]],Calories[Name],Calories[Carbs])*Log[[#This Row],[Qty]])</f>
        <v>0.22000000000000003</v>
      </c>
      <c r="H323" s="71">
        <f>IF(ISBLANK(Log[[#This Row],[Item]]),"",_xlfn.XLOOKUP(Log[[#This Row],[Item]],Calories[Name],Calories[Fibre])*Log[[#This Row],[Qty]])</f>
        <v>8.0000000000000016E-2</v>
      </c>
      <c r="I323" s="71">
        <f>IF(ISBLANK(Log[[#This Row],[Item]]),"",(Log[[#This Row],[Carbs]]-Log[[#This Row],[Fibre]]))</f>
        <v>0.14000000000000001</v>
      </c>
      <c r="J323" s="103">
        <f>IF(ISBLANK(Log[[#This Row],[Item]]),"",_xlfn.XLOOKUP(Log[[#This Row],[Item]],Calories[Name],Calories[Sodium])*Log[[#This Row],[Qty]])</f>
        <v>0.48</v>
      </c>
      <c r="K323" s="71">
        <f>IF(ISBLANK(Log[[#This Row],[Item]]),"",_xlfn.XLOOKUP(Log[[#This Row],[Item]],Calories[Name],Calories[Protein])*Log[[#This Row],[Qty]])</f>
        <v>0.06</v>
      </c>
      <c r="L323" s="71">
        <f>IF(ISBLANK(Log[[#This Row],[Item]]),"",_xlfn.XLOOKUP(Log[[#This Row],[Item]],Calories[Name],Calories[Chol.])*Log[[#This Row],[Qty]])</f>
        <v>0</v>
      </c>
      <c r="M323" s="75"/>
      <c r="N323" s="75"/>
      <c r="O323" s="75"/>
    </row>
    <row r="324" spans="1:15" s="66" customFormat="1" ht="25.15" customHeight="1">
      <c r="A324" s="75"/>
      <c r="B324" s="98">
        <v>44827</v>
      </c>
      <c r="C324" s="78" t="s">
        <v>45</v>
      </c>
      <c r="D324" s="79">
        <v>3</v>
      </c>
      <c r="E324" s="76" t="str">
        <f>IF(ISBLANK(Log[[#This Row],[Item]]),"",_xlfn.XLOOKUP(Log[[#This Row],[Item]],Calories[Name],Calories[Unit]))</f>
        <v>pinch</v>
      </c>
      <c r="F324" s="65">
        <f>IF(ISBLANK(Log[[#This Row],[Item]]),"",_xlfn.XLOOKUP(Log[[#This Row],[Item]],Calories[Name],Calories[Cals])*Log[[#This Row],[Qty]])</f>
        <v>0</v>
      </c>
      <c r="G324" s="71">
        <f>IF(ISBLANK(Log[[#This Row],[Item]]),"",_xlfn.XLOOKUP(Log[[#This Row],[Item]],Calories[Name],Calories[Carbs])*Log[[#This Row],[Qty]])</f>
        <v>0</v>
      </c>
      <c r="H324" s="71">
        <f>IF(ISBLANK(Log[[#This Row],[Item]]),"",_xlfn.XLOOKUP(Log[[#This Row],[Item]],Calories[Name],Calories[Fibre])*Log[[#This Row],[Qty]])</f>
        <v>0</v>
      </c>
      <c r="I324" s="71">
        <f>IF(ISBLANK(Log[[#This Row],[Item]]),"",(Log[[#This Row],[Carbs]]-Log[[#This Row],[Fibre]]))</f>
        <v>0</v>
      </c>
      <c r="J324" s="103">
        <f>IF(ISBLANK(Log[[#This Row],[Item]]),"",_xlfn.XLOOKUP(Log[[#This Row],[Item]],Calories[Name],Calories[Sodium])*Log[[#This Row],[Qty]])</f>
        <v>418.58639999999997</v>
      </c>
      <c r="K324" s="71">
        <f>IF(ISBLANK(Log[[#This Row],[Item]]),"",_xlfn.XLOOKUP(Log[[#This Row],[Item]],Calories[Name],Calories[Protein])*Log[[#This Row],[Qty]])</f>
        <v>0</v>
      </c>
      <c r="L324" s="71">
        <f>IF(ISBLANK(Log[[#This Row],[Item]]),"",_xlfn.XLOOKUP(Log[[#This Row],[Item]],Calories[Name],Calories[Chol.])*Log[[#This Row],[Qty]])</f>
        <v>0</v>
      </c>
      <c r="M324" s="75"/>
      <c r="N324" s="75"/>
      <c r="O324" s="75"/>
    </row>
    <row r="325" spans="1:15" s="66" customFormat="1" ht="25.15" customHeight="1">
      <c r="A325" s="75"/>
      <c r="B325" s="98">
        <v>44827</v>
      </c>
      <c r="C325" s="78" t="s">
        <v>82</v>
      </c>
      <c r="D325" s="79">
        <v>1</v>
      </c>
      <c r="E325" s="76" t="str">
        <f>IF(ISBLANK(Log[[#This Row],[Item]]),"",_xlfn.XLOOKUP(Log[[#This Row],[Item]],Calories[Name],Calories[Unit]))</f>
        <v>10 chip</v>
      </c>
      <c r="F325" s="65">
        <f>IF(ISBLANK(Log[[#This Row],[Item]]),"",_xlfn.XLOOKUP(Log[[#This Row],[Item]],Calories[Name],Calories[Cals])*Log[[#This Row],[Qty]])</f>
        <v>127.27272727272727</v>
      </c>
      <c r="G325" s="71">
        <f>IF(ISBLANK(Log[[#This Row],[Item]]),"",_xlfn.XLOOKUP(Log[[#This Row],[Item]],Calories[Name],Calories[Carbs])*Log[[#This Row],[Qty]])</f>
        <v>14.545454545454547</v>
      </c>
      <c r="H325" s="71">
        <f>IF(ISBLANK(Log[[#This Row],[Item]]),"",_xlfn.XLOOKUP(Log[[#This Row],[Item]],Calories[Name],Calories[Fibre])*Log[[#This Row],[Qty]])</f>
        <v>0.90909090909090917</v>
      </c>
      <c r="I325" s="71">
        <f>IF(ISBLANK(Log[[#This Row],[Item]]),"",(Log[[#This Row],[Carbs]]-Log[[#This Row],[Fibre]]))</f>
        <v>13.636363636363637</v>
      </c>
      <c r="J325" s="103">
        <f>IF(ISBLANK(Log[[#This Row],[Item]]),"",_xlfn.XLOOKUP(Log[[#This Row],[Item]],Calories[Name],Calories[Sodium])*Log[[#This Row],[Qty]])</f>
        <v>190.90909090909091</v>
      </c>
      <c r="K325" s="71">
        <f>IF(ISBLANK(Log[[#This Row],[Item]]),"",_xlfn.XLOOKUP(Log[[#This Row],[Item]],Calories[Name],Calories[Protein])*Log[[#This Row],[Qty]])</f>
        <v>1.8181818181818183</v>
      </c>
      <c r="L325" s="71">
        <f>IF(ISBLANK(Log[[#This Row],[Item]]),"",_xlfn.XLOOKUP(Log[[#This Row],[Item]],Calories[Name],Calories[Chol.])*Log[[#This Row],[Qty]])</f>
        <v>0</v>
      </c>
      <c r="M325" s="75"/>
      <c r="N325" s="75"/>
      <c r="O325" s="75"/>
    </row>
    <row r="326" spans="1:15" s="66" customFormat="1" ht="25.15" customHeight="1">
      <c r="A326" s="75"/>
      <c r="B326" s="98">
        <v>44827</v>
      </c>
      <c r="C326" s="64" t="s">
        <v>73</v>
      </c>
      <c r="D326" s="79">
        <v>15</v>
      </c>
      <c r="E326" s="76" t="str">
        <f>IF(ISBLANK(Log[[#This Row],[Item]]),"",_xlfn.XLOOKUP(Log[[#This Row],[Item]],Calories[Name],Calories[Unit]))</f>
        <v>ea</v>
      </c>
      <c r="F326" s="65">
        <f>IF(ISBLANK(Log[[#This Row],[Item]]),"",_xlfn.XLOOKUP(Log[[#This Row],[Item]],Calories[Name],Calories[Cals])*Log[[#This Row],[Qty]])</f>
        <v>712.5</v>
      </c>
      <c r="G326" s="71">
        <f>IF(ISBLANK(Log[[#This Row],[Item]]),"",_xlfn.XLOOKUP(Log[[#This Row],[Item]],Calories[Name],Calories[Carbs])*Log[[#This Row],[Qty]])</f>
        <v>35.625</v>
      </c>
      <c r="H326" s="71">
        <f>IF(ISBLANK(Log[[#This Row],[Item]]),"",_xlfn.XLOOKUP(Log[[#This Row],[Item]],Calories[Name],Calories[Fibre])*Log[[#This Row],[Qty]])</f>
        <v>1.875</v>
      </c>
      <c r="I326" s="71">
        <f>IF(ISBLANK(Log[[#This Row],[Item]]),"",(Log[[#This Row],[Carbs]]-Log[[#This Row],[Fibre]]))</f>
        <v>33.75</v>
      </c>
      <c r="J326" s="103">
        <f>IF(ISBLANK(Log[[#This Row],[Item]]),"",_xlfn.XLOOKUP(Log[[#This Row],[Item]],Calories[Name],Calories[Sodium])*Log[[#This Row],[Qty]])</f>
        <v>1650</v>
      </c>
      <c r="K326" s="71">
        <f>IF(ISBLANK(Log[[#This Row],[Item]]),"",_xlfn.XLOOKUP(Log[[#This Row],[Item]],Calories[Name],Calories[Protein])*Log[[#This Row],[Qty]])</f>
        <v>41.25</v>
      </c>
      <c r="L326" s="71">
        <f>IF(ISBLANK(Log[[#This Row],[Item]]),"",_xlfn.XLOOKUP(Log[[#This Row],[Item]],Calories[Name],Calories[Chol.])*Log[[#This Row],[Qty]])</f>
        <v>150</v>
      </c>
      <c r="M326" s="75"/>
      <c r="N326" s="75"/>
      <c r="O326" s="75"/>
    </row>
    <row r="327" spans="1:15" s="66" customFormat="1" ht="25.15" customHeight="1">
      <c r="A327" s="75"/>
      <c r="B327" s="98">
        <v>44827</v>
      </c>
      <c r="C327" s="78" t="s">
        <v>94</v>
      </c>
      <c r="D327" s="79">
        <v>425</v>
      </c>
      <c r="E327" s="76" t="str">
        <f>IF(ISBLANK(Log[[#This Row],[Item]]),"",_xlfn.XLOOKUP(Log[[#This Row],[Item]],Calories[Name],Calories[Unit]))</f>
        <v>kcal</v>
      </c>
      <c r="F327" s="65">
        <f>IF(ISBLANK(Log[[#This Row],[Item]]),"",_xlfn.XLOOKUP(Log[[#This Row],[Item]],Calories[Name],Calories[Cals])*Log[[#This Row],[Qty]])</f>
        <v>-425</v>
      </c>
      <c r="G327" s="71">
        <f>IF(ISBLANK(Log[[#This Row],[Item]]),"",_xlfn.XLOOKUP(Log[[#This Row],[Item]],Calories[Name],Calories[Carbs])*Log[[#This Row],[Qty]])</f>
        <v>0</v>
      </c>
      <c r="H327" s="71">
        <f>IF(ISBLANK(Log[[#This Row],[Item]]),"",_xlfn.XLOOKUP(Log[[#This Row],[Item]],Calories[Name],Calories[Fibre])*Log[[#This Row],[Qty]])</f>
        <v>0</v>
      </c>
      <c r="I327" s="71">
        <f>IF(ISBLANK(Log[[#This Row],[Item]]),"",(Log[[#This Row],[Carbs]]-Log[[#This Row],[Fibre]]))</f>
        <v>0</v>
      </c>
      <c r="J327" s="103">
        <f>IF(ISBLANK(Log[[#This Row],[Item]]),"",_xlfn.XLOOKUP(Log[[#This Row],[Item]],Calories[Name],Calories[Sodium])*Log[[#This Row],[Qty]])</f>
        <v>0</v>
      </c>
      <c r="K327" s="71">
        <f>IF(ISBLANK(Log[[#This Row],[Item]]),"",_xlfn.XLOOKUP(Log[[#This Row],[Item]],Calories[Name],Calories[Protein])*Log[[#This Row],[Qty]])</f>
        <v>0</v>
      </c>
      <c r="L327" s="71">
        <f>IF(ISBLANK(Log[[#This Row],[Item]]),"",_xlfn.XLOOKUP(Log[[#This Row],[Item]],Calories[Name],Calories[Chol.])*Log[[#This Row],[Qty]])</f>
        <v>0</v>
      </c>
      <c r="M327" s="75"/>
      <c r="N327" s="75"/>
      <c r="O327" s="75"/>
    </row>
    <row r="328" spans="1:15" s="66" customFormat="1" ht="25.15" customHeight="1">
      <c r="A328" s="75"/>
      <c r="B328" s="98">
        <v>44827</v>
      </c>
      <c r="C328" s="78" t="s">
        <v>25</v>
      </c>
      <c r="D328" s="79">
        <v>5</v>
      </c>
      <c r="E328" s="76" t="str">
        <f>IF(ISBLANK(Log[[#This Row],[Item]]),"",_xlfn.XLOOKUP(Log[[#This Row],[Item]],Calories[Name],Calories[Unit]))</f>
        <v>tbsp</v>
      </c>
      <c r="F328" s="65">
        <f>IF(ISBLANK(Log[[#This Row],[Item]]),"",_xlfn.XLOOKUP(Log[[#This Row],[Item]],Calories[Name],Calories[Cals])*Log[[#This Row],[Qty]])</f>
        <v>510</v>
      </c>
      <c r="G328" s="71">
        <f>IF(ISBLANK(Log[[#This Row],[Item]]),"",_xlfn.XLOOKUP(Log[[#This Row],[Item]],Calories[Name],Calories[Carbs])*Log[[#This Row],[Qty]])</f>
        <v>0</v>
      </c>
      <c r="H328" s="71">
        <f>IF(ISBLANK(Log[[#This Row],[Item]]),"",_xlfn.XLOOKUP(Log[[#This Row],[Item]],Calories[Name],Calories[Fibre])*Log[[#This Row],[Qty]])</f>
        <v>0</v>
      </c>
      <c r="I328" s="71">
        <f>IF(ISBLANK(Log[[#This Row],[Item]]),"",(Log[[#This Row],[Carbs]]-Log[[#This Row],[Fibre]]))</f>
        <v>0</v>
      </c>
      <c r="J328" s="103">
        <f>IF(ISBLANK(Log[[#This Row],[Item]]),"",_xlfn.XLOOKUP(Log[[#This Row],[Item]],Calories[Name],Calories[Sodium])*Log[[#This Row],[Qty]])</f>
        <v>450</v>
      </c>
      <c r="K328" s="71">
        <f>IF(ISBLANK(Log[[#This Row],[Item]]),"",_xlfn.XLOOKUP(Log[[#This Row],[Item]],Calories[Name],Calories[Protein])*Log[[#This Row],[Qty]])</f>
        <v>0.6</v>
      </c>
      <c r="L328" s="71">
        <f>IF(ISBLANK(Log[[#This Row],[Item]]),"",_xlfn.XLOOKUP(Log[[#This Row],[Item]],Calories[Name],Calories[Chol.])*Log[[#This Row],[Qty]])</f>
        <v>155</v>
      </c>
      <c r="M328" s="75"/>
      <c r="N328" s="75"/>
      <c r="O328" s="75"/>
    </row>
    <row r="329" spans="1:15" s="66" customFormat="1" ht="25.15" customHeight="1">
      <c r="A329" s="75"/>
      <c r="B329" s="98">
        <v>44827</v>
      </c>
      <c r="C329" s="78" t="s">
        <v>45</v>
      </c>
      <c r="D329" s="79">
        <v>4</v>
      </c>
      <c r="E329" s="76" t="str">
        <f>IF(ISBLANK(Log[[#This Row],[Item]]),"",_xlfn.XLOOKUP(Log[[#This Row],[Item]],Calories[Name],Calories[Unit]))</f>
        <v>pinch</v>
      </c>
      <c r="F329" s="65">
        <f>IF(ISBLANK(Log[[#This Row],[Item]]),"",_xlfn.XLOOKUP(Log[[#This Row],[Item]],Calories[Name],Calories[Cals])*Log[[#This Row],[Qty]])</f>
        <v>0</v>
      </c>
      <c r="G329" s="71">
        <f>IF(ISBLANK(Log[[#This Row],[Item]]),"",_xlfn.XLOOKUP(Log[[#This Row],[Item]],Calories[Name],Calories[Carbs])*Log[[#This Row],[Qty]])</f>
        <v>0</v>
      </c>
      <c r="H329" s="71">
        <f>IF(ISBLANK(Log[[#This Row],[Item]]),"",_xlfn.XLOOKUP(Log[[#This Row],[Item]],Calories[Name],Calories[Fibre])*Log[[#This Row],[Qty]])</f>
        <v>0</v>
      </c>
      <c r="I329" s="71">
        <f>IF(ISBLANK(Log[[#This Row],[Item]]),"",(Log[[#This Row],[Carbs]]-Log[[#This Row],[Fibre]]))</f>
        <v>0</v>
      </c>
      <c r="J329" s="103">
        <f>IF(ISBLANK(Log[[#This Row],[Item]]),"",_xlfn.XLOOKUP(Log[[#This Row],[Item]],Calories[Name],Calories[Sodium])*Log[[#This Row],[Qty]])</f>
        <v>558.11519999999996</v>
      </c>
      <c r="K329" s="71">
        <f>IF(ISBLANK(Log[[#This Row],[Item]]),"",_xlfn.XLOOKUP(Log[[#This Row],[Item]],Calories[Name],Calories[Protein])*Log[[#This Row],[Qty]])</f>
        <v>0</v>
      </c>
      <c r="L329" s="71">
        <f>IF(ISBLANK(Log[[#This Row],[Item]]),"",_xlfn.XLOOKUP(Log[[#This Row],[Item]],Calories[Name],Calories[Chol.])*Log[[#This Row],[Qty]])</f>
        <v>0</v>
      </c>
      <c r="M329" s="75"/>
      <c r="N329" s="75"/>
      <c r="O329" s="75"/>
    </row>
    <row r="330" spans="1:15" s="66" customFormat="1" ht="25.15" customHeight="1">
      <c r="A330" s="75"/>
      <c r="B330" s="98">
        <v>44827</v>
      </c>
      <c r="C330" s="78" t="s">
        <v>95</v>
      </c>
      <c r="D330" s="79">
        <v>3</v>
      </c>
      <c r="E330" s="76" t="str">
        <f>IF(ISBLANK(Log[[#This Row],[Item]]),"",_xlfn.XLOOKUP(Log[[#This Row],[Item]],Calories[Name],Calories[Unit]))</f>
        <v>c</v>
      </c>
      <c r="F330" s="65">
        <f>IF(ISBLANK(Log[[#This Row],[Item]]),"",_xlfn.XLOOKUP(Log[[#This Row],[Item]],Calories[Name],Calories[Cals])*Log[[#This Row],[Qty]])</f>
        <v>44.7</v>
      </c>
      <c r="G330" s="71">
        <f>IF(ISBLANK(Log[[#This Row],[Item]]),"",_xlfn.XLOOKUP(Log[[#This Row],[Item]],Calories[Name],Calories[Carbs])*Log[[#This Row],[Qty]])</f>
        <v>9</v>
      </c>
      <c r="H330" s="71">
        <f>IF(ISBLANK(Log[[#This Row],[Item]]),"",_xlfn.XLOOKUP(Log[[#This Row],[Item]],Calories[Name],Calories[Fibre])*Log[[#This Row],[Qty]])</f>
        <v>4.5</v>
      </c>
      <c r="I330" s="71">
        <f>IF(ISBLANK(Log[[#This Row],[Item]]),"",(Log[[#This Row],[Carbs]]-Log[[#This Row],[Fibre]]))</f>
        <v>4.5</v>
      </c>
      <c r="J330" s="103">
        <f>IF(ISBLANK(Log[[#This Row],[Item]]),"",_xlfn.XLOOKUP(Log[[#This Row],[Item]],Calories[Name],Calories[Sodium])*Log[[#This Row],[Qty]])</f>
        <v>313.5</v>
      </c>
      <c r="K330" s="71">
        <f>IF(ISBLANK(Log[[#This Row],[Item]]),"",_xlfn.XLOOKUP(Log[[#This Row],[Item]],Calories[Name],Calories[Protein])*Log[[#This Row],[Qty]])</f>
        <v>9</v>
      </c>
      <c r="L330" s="71">
        <f>IF(ISBLANK(Log[[#This Row],[Item]]),"",_xlfn.XLOOKUP(Log[[#This Row],[Item]],Calories[Name],Calories[Chol.])*Log[[#This Row],[Qty]])</f>
        <v>0</v>
      </c>
      <c r="M330" s="75"/>
      <c r="N330" s="75"/>
      <c r="O330" s="75"/>
    </row>
    <row r="331" spans="1:15" s="66" customFormat="1" ht="25.15" customHeight="1">
      <c r="A331" s="75"/>
      <c r="B331" s="98">
        <v>44828</v>
      </c>
      <c r="C331" s="78" t="s">
        <v>52</v>
      </c>
      <c r="D331" s="79">
        <v>1</v>
      </c>
      <c r="E331" s="76" t="str">
        <f>IF(ISBLANK(Log[[#This Row],[Item]]),"",_xlfn.XLOOKUP(Log[[#This Row],[Item]],Calories[Name],Calories[Unit]))</f>
        <v>ea</v>
      </c>
      <c r="F331" s="65">
        <f>IF(ISBLANK(Log[[#This Row],[Item]]),"",_xlfn.XLOOKUP(Log[[#This Row],[Item]],Calories[Name],Calories[Cals])*Log[[#This Row],[Qty]])</f>
        <v>0</v>
      </c>
      <c r="G331" s="71">
        <f>IF(ISBLANK(Log[[#This Row],[Item]]),"",_xlfn.XLOOKUP(Log[[#This Row],[Item]],Calories[Name],Calories[Carbs])*Log[[#This Row],[Qty]])</f>
        <v>0</v>
      </c>
      <c r="H331" s="71">
        <f>IF(ISBLANK(Log[[#This Row],[Item]]),"",_xlfn.XLOOKUP(Log[[#This Row],[Item]],Calories[Name],Calories[Fibre])*Log[[#This Row],[Qty]])</f>
        <v>0</v>
      </c>
      <c r="I331" s="71">
        <f>IF(ISBLANK(Log[[#This Row],[Item]]),"",(Log[[#This Row],[Carbs]]-Log[[#This Row],[Fibre]]))</f>
        <v>0</v>
      </c>
      <c r="J331" s="103">
        <f>IF(ISBLANK(Log[[#This Row],[Item]]),"",_xlfn.XLOOKUP(Log[[#This Row],[Item]],Calories[Name],Calories[Sodium])*Log[[#This Row],[Qty]])</f>
        <v>0</v>
      </c>
      <c r="K331" s="71">
        <f>IF(ISBLANK(Log[[#This Row],[Item]]),"",_xlfn.XLOOKUP(Log[[#This Row],[Item]],Calories[Name],Calories[Protein])*Log[[#This Row],[Qty]])</f>
        <v>0</v>
      </c>
      <c r="L331" s="71">
        <f>IF(ISBLANK(Log[[#This Row],[Item]]),"",_xlfn.XLOOKUP(Log[[#This Row],[Item]],Calories[Name],Calories[Chol.])*Log[[#This Row],[Qty]])</f>
        <v>0</v>
      </c>
      <c r="M331" s="75"/>
      <c r="N331" s="75"/>
      <c r="O331" s="75"/>
    </row>
    <row r="332" spans="1:15" s="66" customFormat="1" ht="25.15" customHeight="1">
      <c r="A332" s="75"/>
      <c r="B332" s="98">
        <v>44828</v>
      </c>
      <c r="C332" s="78" t="s">
        <v>53</v>
      </c>
      <c r="D332" s="79">
        <v>1</v>
      </c>
      <c r="E332" s="76" t="str">
        <f>IF(ISBLANK(Log[[#This Row],[Item]]),"",_xlfn.XLOOKUP(Log[[#This Row],[Item]],Calories[Name],Calories[Unit]))</f>
        <v>ea</v>
      </c>
      <c r="F332" s="65">
        <f>IF(ISBLANK(Log[[#This Row],[Item]]),"",_xlfn.XLOOKUP(Log[[#This Row],[Item]],Calories[Name],Calories[Cals])*Log[[#This Row],[Qty]])</f>
        <v>0</v>
      </c>
      <c r="G332" s="71">
        <f>IF(ISBLANK(Log[[#This Row],[Item]]),"",_xlfn.XLOOKUP(Log[[#This Row],[Item]],Calories[Name],Calories[Carbs])*Log[[#This Row],[Qty]])</f>
        <v>0</v>
      </c>
      <c r="H332" s="71">
        <f>IF(ISBLANK(Log[[#This Row],[Item]]),"",_xlfn.XLOOKUP(Log[[#This Row],[Item]],Calories[Name],Calories[Fibre])*Log[[#This Row],[Qty]])</f>
        <v>0</v>
      </c>
      <c r="I332" s="71">
        <f>IF(ISBLANK(Log[[#This Row],[Item]]),"",(Log[[#This Row],[Carbs]]-Log[[#This Row],[Fibre]]))</f>
        <v>0</v>
      </c>
      <c r="J332" s="103">
        <f>IF(ISBLANK(Log[[#This Row],[Item]]),"",_xlfn.XLOOKUP(Log[[#This Row],[Item]],Calories[Name],Calories[Sodium])*Log[[#This Row],[Qty]])</f>
        <v>0</v>
      </c>
      <c r="K332" s="71">
        <f>IF(ISBLANK(Log[[#This Row],[Item]]),"",_xlfn.XLOOKUP(Log[[#This Row],[Item]],Calories[Name],Calories[Protein])*Log[[#This Row],[Qty]])</f>
        <v>0</v>
      </c>
      <c r="L332" s="71">
        <f>IF(ISBLANK(Log[[#This Row],[Item]]),"",_xlfn.XLOOKUP(Log[[#This Row],[Item]],Calories[Name],Calories[Chol.])*Log[[#This Row],[Qty]])</f>
        <v>0</v>
      </c>
      <c r="M332" s="75"/>
      <c r="N332" s="75"/>
      <c r="O332" s="75"/>
    </row>
    <row r="333" spans="1:15" s="66" customFormat="1" ht="25.15" customHeight="1">
      <c r="A333" s="75"/>
      <c r="B333" s="98">
        <v>44828</v>
      </c>
      <c r="C333" s="78" t="s">
        <v>54</v>
      </c>
      <c r="D333" s="79">
        <v>1</v>
      </c>
      <c r="E333" s="76" t="str">
        <f>IF(ISBLANK(Log[[#This Row],[Item]]),"",_xlfn.XLOOKUP(Log[[#This Row],[Item]],Calories[Name],Calories[Unit]))</f>
        <v>ea</v>
      </c>
      <c r="F333" s="65">
        <f>IF(ISBLANK(Log[[#This Row],[Item]]),"",_xlfn.XLOOKUP(Log[[#This Row],[Item]],Calories[Name],Calories[Cals])*Log[[#This Row],[Qty]])</f>
        <v>0</v>
      </c>
      <c r="G333" s="71">
        <f>IF(ISBLANK(Log[[#This Row],[Item]]),"",_xlfn.XLOOKUP(Log[[#This Row],[Item]],Calories[Name],Calories[Carbs])*Log[[#This Row],[Qty]])</f>
        <v>0</v>
      </c>
      <c r="H333" s="71">
        <f>IF(ISBLANK(Log[[#This Row],[Item]]),"",_xlfn.XLOOKUP(Log[[#This Row],[Item]],Calories[Name],Calories[Fibre])*Log[[#This Row],[Qty]])</f>
        <v>0</v>
      </c>
      <c r="I333" s="71">
        <f>IF(ISBLANK(Log[[#This Row],[Item]]),"",(Log[[#This Row],[Carbs]]-Log[[#This Row],[Fibre]]))</f>
        <v>0</v>
      </c>
      <c r="J333" s="103">
        <f>IF(ISBLANK(Log[[#This Row],[Item]]),"",_xlfn.XLOOKUP(Log[[#This Row],[Item]],Calories[Name],Calories[Sodium])*Log[[#This Row],[Qty]])</f>
        <v>0</v>
      </c>
      <c r="K333" s="71">
        <f>IF(ISBLANK(Log[[#This Row],[Item]]),"",_xlfn.XLOOKUP(Log[[#This Row],[Item]],Calories[Name],Calories[Protein])*Log[[#This Row],[Qty]])</f>
        <v>0</v>
      </c>
      <c r="L333" s="71">
        <f>IF(ISBLANK(Log[[#This Row],[Item]]),"",_xlfn.XLOOKUP(Log[[#This Row],[Item]],Calories[Name],Calories[Chol.])*Log[[#This Row],[Qty]])</f>
        <v>0</v>
      </c>
      <c r="M333" s="75"/>
      <c r="N333" s="75"/>
      <c r="O333" s="75"/>
    </row>
    <row r="334" spans="1:15" s="66" customFormat="1" ht="25.15" customHeight="1">
      <c r="A334" s="75"/>
      <c r="B334" s="98">
        <v>44828</v>
      </c>
      <c r="C334" s="78" t="s">
        <v>55</v>
      </c>
      <c r="D334" s="79">
        <v>1</v>
      </c>
      <c r="E334" s="76" t="str">
        <f>IF(ISBLANK(Log[[#This Row],[Item]]),"",_xlfn.XLOOKUP(Log[[#This Row],[Item]],Calories[Name],Calories[Unit]))</f>
        <v>ea</v>
      </c>
      <c r="F334" s="65">
        <f>IF(ISBLANK(Log[[#This Row],[Item]]),"",_xlfn.XLOOKUP(Log[[#This Row],[Item]],Calories[Name],Calories[Cals])*Log[[#This Row],[Qty]])</f>
        <v>0</v>
      </c>
      <c r="G334" s="71">
        <f>IF(ISBLANK(Log[[#This Row],[Item]]),"",_xlfn.XLOOKUP(Log[[#This Row],[Item]],Calories[Name],Calories[Carbs])*Log[[#This Row],[Qty]])</f>
        <v>0</v>
      </c>
      <c r="H334" s="71">
        <f>IF(ISBLANK(Log[[#This Row],[Item]]),"",_xlfn.XLOOKUP(Log[[#This Row],[Item]],Calories[Name],Calories[Fibre])*Log[[#This Row],[Qty]])</f>
        <v>0</v>
      </c>
      <c r="I334" s="71">
        <f>IF(ISBLANK(Log[[#This Row],[Item]]),"",(Log[[#This Row],[Carbs]]-Log[[#This Row],[Fibre]]))</f>
        <v>0</v>
      </c>
      <c r="J334" s="103">
        <f>IF(ISBLANK(Log[[#This Row],[Item]]),"",_xlfn.XLOOKUP(Log[[#This Row],[Item]],Calories[Name],Calories[Sodium])*Log[[#This Row],[Qty]])</f>
        <v>0</v>
      </c>
      <c r="K334" s="71">
        <f>IF(ISBLANK(Log[[#This Row],[Item]]),"",_xlfn.XLOOKUP(Log[[#This Row],[Item]],Calories[Name],Calories[Protein])*Log[[#This Row],[Qty]])</f>
        <v>0</v>
      </c>
      <c r="L334" s="71">
        <f>IF(ISBLANK(Log[[#This Row],[Item]]),"",_xlfn.XLOOKUP(Log[[#This Row],[Item]],Calories[Name],Calories[Chol.])*Log[[#This Row],[Qty]])</f>
        <v>0</v>
      </c>
      <c r="M334" s="75"/>
      <c r="N334" s="75"/>
      <c r="O334" s="75"/>
    </row>
    <row r="335" spans="1:15" s="66" customFormat="1" ht="25.15" customHeight="1">
      <c r="A335" s="75"/>
      <c r="B335" s="98">
        <v>44828</v>
      </c>
      <c r="C335" s="64" t="s">
        <v>73</v>
      </c>
      <c r="D335" s="79">
        <v>30</v>
      </c>
      <c r="E335" s="76" t="str">
        <f>IF(ISBLANK(Log[[#This Row],[Item]]),"",_xlfn.XLOOKUP(Log[[#This Row],[Item]],Calories[Name],Calories[Unit]))</f>
        <v>ea</v>
      </c>
      <c r="F335" s="65">
        <f>IF(ISBLANK(Log[[#This Row],[Item]]),"",_xlfn.XLOOKUP(Log[[#This Row],[Item]],Calories[Name],Calories[Cals])*Log[[#This Row],[Qty]])</f>
        <v>1425</v>
      </c>
      <c r="G335" s="71">
        <f>IF(ISBLANK(Log[[#This Row],[Item]]),"",_xlfn.XLOOKUP(Log[[#This Row],[Item]],Calories[Name],Calories[Carbs])*Log[[#This Row],[Qty]])</f>
        <v>71.25</v>
      </c>
      <c r="H335" s="71">
        <f>IF(ISBLANK(Log[[#This Row],[Item]]),"",_xlfn.XLOOKUP(Log[[#This Row],[Item]],Calories[Name],Calories[Fibre])*Log[[#This Row],[Qty]])</f>
        <v>3.75</v>
      </c>
      <c r="I335" s="71">
        <f>IF(ISBLANK(Log[[#This Row],[Item]]),"",(Log[[#This Row],[Carbs]]-Log[[#This Row],[Fibre]]))</f>
        <v>67.5</v>
      </c>
      <c r="J335" s="103">
        <f>IF(ISBLANK(Log[[#This Row],[Item]]),"",_xlfn.XLOOKUP(Log[[#This Row],[Item]],Calories[Name],Calories[Sodium])*Log[[#This Row],[Qty]])</f>
        <v>3300</v>
      </c>
      <c r="K335" s="71">
        <f>IF(ISBLANK(Log[[#This Row],[Item]]),"",_xlfn.XLOOKUP(Log[[#This Row],[Item]],Calories[Name],Calories[Protein])*Log[[#This Row],[Qty]])</f>
        <v>82.5</v>
      </c>
      <c r="L335" s="71">
        <f>IF(ISBLANK(Log[[#This Row],[Item]]),"",_xlfn.XLOOKUP(Log[[#This Row],[Item]],Calories[Name],Calories[Chol.])*Log[[#This Row],[Qty]])</f>
        <v>300</v>
      </c>
      <c r="M335" s="75"/>
      <c r="N335" s="75"/>
      <c r="O335" s="75"/>
    </row>
    <row r="336" spans="1:15" s="66" customFormat="1" ht="25.15" customHeight="1">
      <c r="A336" s="75"/>
      <c r="B336" s="98">
        <v>44828</v>
      </c>
      <c r="C336" s="78" t="s">
        <v>94</v>
      </c>
      <c r="D336" s="79">
        <v>587</v>
      </c>
      <c r="E336" s="76" t="str">
        <f>IF(ISBLANK(Log[[#This Row],[Item]]),"",_xlfn.XLOOKUP(Log[[#This Row],[Item]],Calories[Name],Calories[Unit]))</f>
        <v>kcal</v>
      </c>
      <c r="F336" s="65">
        <f>IF(ISBLANK(Log[[#This Row],[Item]]),"",_xlfn.XLOOKUP(Log[[#This Row],[Item]],Calories[Name],Calories[Cals])*Log[[#This Row],[Qty]])</f>
        <v>-587</v>
      </c>
      <c r="G336" s="71">
        <f>IF(ISBLANK(Log[[#This Row],[Item]]),"",_xlfn.XLOOKUP(Log[[#This Row],[Item]],Calories[Name],Calories[Carbs])*Log[[#This Row],[Qty]])</f>
        <v>0</v>
      </c>
      <c r="H336" s="71">
        <f>IF(ISBLANK(Log[[#This Row],[Item]]),"",_xlfn.XLOOKUP(Log[[#This Row],[Item]],Calories[Name],Calories[Fibre])*Log[[#This Row],[Qty]])</f>
        <v>0</v>
      </c>
      <c r="I336" s="71">
        <f>IF(ISBLANK(Log[[#This Row],[Item]]),"",(Log[[#This Row],[Carbs]]-Log[[#This Row],[Fibre]]))</f>
        <v>0</v>
      </c>
      <c r="J336" s="103">
        <f>IF(ISBLANK(Log[[#This Row],[Item]]),"",_xlfn.XLOOKUP(Log[[#This Row],[Item]],Calories[Name],Calories[Sodium])*Log[[#This Row],[Qty]])</f>
        <v>0</v>
      </c>
      <c r="K336" s="71">
        <f>IF(ISBLANK(Log[[#This Row],[Item]]),"",_xlfn.XLOOKUP(Log[[#This Row],[Item]],Calories[Name],Calories[Protein])*Log[[#This Row],[Qty]])</f>
        <v>0</v>
      </c>
      <c r="L336" s="71">
        <f>IF(ISBLANK(Log[[#This Row],[Item]]),"",_xlfn.XLOOKUP(Log[[#This Row],[Item]],Calories[Name],Calories[Chol.])*Log[[#This Row],[Qty]])</f>
        <v>0</v>
      </c>
      <c r="M336" s="75"/>
      <c r="N336" s="75"/>
      <c r="O336" s="75"/>
    </row>
    <row r="337" spans="1:15" s="66" customFormat="1" ht="25.15" customHeight="1">
      <c r="A337" s="75"/>
      <c r="B337" s="98">
        <v>44829</v>
      </c>
      <c r="C337" s="78" t="s">
        <v>79</v>
      </c>
      <c r="D337" s="79">
        <v>7</v>
      </c>
      <c r="E337" s="76" t="str">
        <f>IF(ISBLANK(Log[[#This Row],[Item]]),"",_xlfn.XLOOKUP(Log[[#This Row],[Item]],Calories[Name],Calories[Unit]))</f>
        <v>ea</v>
      </c>
      <c r="F337" s="65">
        <f>IF(ISBLANK(Log[[#This Row],[Item]]),"",_xlfn.XLOOKUP(Log[[#This Row],[Item]],Calories[Name],Calories[Cals])*Log[[#This Row],[Qty]])</f>
        <v>46.666666666666671</v>
      </c>
      <c r="G337" s="71">
        <f>IF(ISBLANK(Log[[#This Row],[Item]]),"",_xlfn.XLOOKUP(Log[[#This Row],[Item]],Calories[Name],Calories[Carbs])*Log[[#This Row],[Qty]])</f>
        <v>9.9166666666666679</v>
      </c>
      <c r="H337" s="71">
        <f>IF(ISBLANK(Log[[#This Row],[Item]]),"",_xlfn.XLOOKUP(Log[[#This Row],[Item]],Calories[Name],Calories[Fibre])*Log[[#This Row],[Qty]])</f>
        <v>0</v>
      </c>
      <c r="I337" s="71">
        <f>IF(ISBLANK(Log[[#This Row],[Item]]),"",(Log[[#This Row],[Carbs]]-Log[[#This Row],[Fibre]]))</f>
        <v>9.9166666666666679</v>
      </c>
      <c r="J337" s="103">
        <f>IF(ISBLANK(Log[[#This Row],[Item]]),"",_xlfn.XLOOKUP(Log[[#This Row],[Item]],Calories[Name],Calories[Sodium])*Log[[#This Row],[Qty]])</f>
        <v>49.583333333333329</v>
      </c>
      <c r="K337" s="71">
        <f>IF(ISBLANK(Log[[#This Row],[Item]]),"",_xlfn.XLOOKUP(Log[[#This Row],[Item]],Calories[Name],Calories[Protein])*Log[[#This Row],[Qty]])</f>
        <v>1.1666666666666665</v>
      </c>
      <c r="L337" s="71">
        <f>IF(ISBLANK(Log[[#This Row],[Item]]),"",_xlfn.XLOOKUP(Log[[#This Row],[Item]],Calories[Name],Calories[Chol.])*Log[[#This Row],[Qty]])</f>
        <v>0</v>
      </c>
      <c r="M337" s="75"/>
      <c r="N337" s="75"/>
      <c r="O337" s="75"/>
    </row>
    <row r="338" spans="1:15" s="66" customFormat="1" ht="25.15" customHeight="1">
      <c r="A338" s="75"/>
      <c r="B338" s="98">
        <v>44829</v>
      </c>
      <c r="C338" s="78" t="s">
        <v>52</v>
      </c>
      <c r="D338" s="79">
        <v>1</v>
      </c>
      <c r="E338" s="76" t="str">
        <f>IF(ISBLANK(Log[[#This Row],[Item]]),"",_xlfn.XLOOKUP(Log[[#This Row],[Item]],Calories[Name],Calories[Unit]))</f>
        <v>ea</v>
      </c>
      <c r="F338" s="65">
        <f>IF(ISBLANK(Log[[#This Row],[Item]]),"",_xlfn.XLOOKUP(Log[[#This Row],[Item]],Calories[Name],Calories[Cals])*Log[[#This Row],[Qty]])</f>
        <v>0</v>
      </c>
      <c r="G338" s="71">
        <f>IF(ISBLANK(Log[[#This Row],[Item]]),"",_xlfn.XLOOKUP(Log[[#This Row],[Item]],Calories[Name],Calories[Carbs])*Log[[#This Row],[Qty]])</f>
        <v>0</v>
      </c>
      <c r="H338" s="71">
        <f>IF(ISBLANK(Log[[#This Row],[Item]]),"",_xlfn.XLOOKUP(Log[[#This Row],[Item]],Calories[Name],Calories[Fibre])*Log[[#This Row],[Qty]])</f>
        <v>0</v>
      </c>
      <c r="I338" s="71">
        <f>IF(ISBLANK(Log[[#This Row],[Item]]),"",(Log[[#This Row],[Carbs]]-Log[[#This Row],[Fibre]]))</f>
        <v>0</v>
      </c>
      <c r="J338" s="103">
        <f>IF(ISBLANK(Log[[#This Row],[Item]]),"",_xlfn.XLOOKUP(Log[[#This Row],[Item]],Calories[Name],Calories[Sodium])*Log[[#This Row],[Qty]])</f>
        <v>0</v>
      </c>
      <c r="K338" s="71">
        <f>IF(ISBLANK(Log[[#This Row],[Item]]),"",_xlfn.XLOOKUP(Log[[#This Row],[Item]],Calories[Name],Calories[Protein])*Log[[#This Row],[Qty]])</f>
        <v>0</v>
      </c>
      <c r="L338" s="71">
        <f>IF(ISBLANK(Log[[#This Row],[Item]]),"",_xlfn.XLOOKUP(Log[[#This Row],[Item]],Calories[Name],Calories[Chol.])*Log[[#This Row],[Qty]])</f>
        <v>0</v>
      </c>
      <c r="M338" s="75"/>
      <c r="N338" s="75"/>
      <c r="O338" s="75"/>
    </row>
    <row r="339" spans="1:15" s="66" customFormat="1" ht="25.15" customHeight="1">
      <c r="A339" s="75"/>
      <c r="B339" s="98">
        <v>44829</v>
      </c>
      <c r="C339" s="78" t="s">
        <v>53</v>
      </c>
      <c r="D339" s="79">
        <v>1</v>
      </c>
      <c r="E339" s="76" t="str">
        <f>IF(ISBLANK(Log[[#This Row],[Item]]),"",_xlfn.XLOOKUP(Log[[#This Row],[Item]],Calories[Name],Calories[Unit]))</f>
        <v>ea</v>
      </c>
      <c r="F339" s="65">
        <f>IF(ISBLANK(Log[[#This Row],[Item]]),"",_xlfn.XLOOKUP(Log[[#This Row],[Item]],Calories[Name],Calories[Cals])*Log[[#This Row],[Qty]])</f>
        <v>0</v>
      </c>
      <c r="G339" s="71">
        <f>IF(ISBLANK(Log[[#This Row],[Item]]),"",_xlfn.XLOOKUP(Log[[#This Row],[Item]],Calories[Name],Calories[Carbs])*Log[[#This Row],[Qty]])</f>
        <v>0</v>
      </c>
      <c r="H339" s="71">
        <f>IF(ISBLANK(Log[[#This Row],[Item]]),"",_xlfn.XLOOKUP(Log[[#This Row],[Item]],Calories[Name],Calories[Fibre])*Log[[#This Row],[Qty]])</f>
        <v>0</v>
      </c>
      <c r="I339" s="71">
        <f>IF(ISBLANK(Log[[#This Row],[Item]]),"",(Log[[#This Row],[Carbs]]-Log[[#This Row],[Fibre]]))</f>
        <v>0</v>
      </c>
      <c r="J339" s="103">
        <f>IF(ISBLANK(Log[[#This Row],[Item]]),"",_xlfn.XLOOKUP(Log[[#This Row],[Item]],Calories[Name],Calories[Sodium])*Log[[#This Row],[Qty]])</f>
        <v>0</v>
      </c>
      <c r="K339" s="71">
        <f>IF(ISBLANK(Log[[#This Row],[Item]]),"",_xlfn.XLOOKUP(Log[[#This Row],[Item]],Calories[Name],Calories[Protein])*Log[[#This Row],[Qty]])</f>
        <v>0</v>
      </c>
      <c r="L339" s="71">
        <f>IF(ISBLANK(Log[[#This Row],[Item]]),"",_xlfn.XLOOKUP(Log[[#This Row],[Item]],Calories[Name],Calories[Chol.])*Log[[#This Row],[Qty]])</f>
        <v>0</v>
      </c>
      <c r="M339" s="75"/>
      <c r="N339" s="75"/>
      <c r="O339" s="75"/>
    </row>
    <row r="340" spans="1:15" s="66" customFormat="1" ht="25.15" customHeight="1">
      <c r="A340" s="75"/>
      <c r="B340" s="98">
        <v>44829</v>
      </c>
      <c r="C340" s="78" t="s">
        <v>54</v>
      </c>
      <c r="D340" s="79">
        <v>1</v>
      </c>
      <c r="E340" s="76" t="str">
        <f>IF(ISBLANK(Log[[#This Row],[Item]]),"",_xlfn.XLOOKUP(Log[[#This Row],[Item]],Calories[Name],Calories[Unit]))</f>
        <v>ea</v>
      </c>
      <c r="F340" s="65">
        <f>IF(ISBLANK(Log[[#This Row],[Item]]),"",_xlfn.XLOOKUP(Log[[#This Row],[Item]],Calories[Name],Calories[Cals])*Log[[#This Row],[Qty]])</f>
        <v>0</v>
      </c>
      <c r="G340" s="71">
        <f>IF(ISBLANK(Log[[#This Row],[Item]]),"",_xlfn.XLOOKUP(Log[[#This Row],[Item]],Calories[Name],Calories[Carbs])*Log[[#This Row],[Qty]])</f>
        <v>0</v>
      </c>
      <c r="H340" s="71">
        <f>IF(ISBLANK(Log[[#This Row],[Item]]),"",_xlfn.XLOOKUP(Log[[#This Row],[Item]],Calories[Name],Calories[Fibre])*Log[[#This Row],[Qty]])</f>
        <v>0</v>
      </c>
      <c r="I340" s="71">
        <f>IF(ISBLANK(Log[[#This Row],[Item]]),"",(Log[[#This Row],[Carbs]]-Log[[#This Row],[Fibre]]))</f>
        <v>0</v>
      </c>
      <c r="J340" s="103">
        <f>IF(ISBLANK(Log[[#This Row],[Item]]),"",_xlfn.XLOOKUP(Log[[#This Row],[Item]],Calories[Name],Calories[Sodium])*Log[[#This Row],[Qty]])</f>
        <v>0</v>
      </c>
      <c r="K340" s="71">
        <f>IF(ISBLANK(Log[[#This Row],[Item]]),"",_xlfn.XLOOKUP(Log[[#This Row],[Item]],Calories[Name],Calories[Protein])*Log[[#This Row],[Qty]])</f>
        <v>0</v>
      </c>
      <c r="L340" s="71">
        <f>IF(ISBLANK(Log[[#This Row],[Item]]),"",_xlfn.XLOOKUP(Log[[#This Row],[Item]],Calories[Name],Calories[Chol.])*Log[[#This Row],[Qty]])</f>
        <v>0</v>
      </c>
      <c r="M340" s="75"/>
      <c r="N340" s="75"/>
      <c r="O340" s="75"/>
    </row>
    <row r="341" spans="1:15" s="66" customFormat="1" ht="25.15" customHeight="1">
      <c r="A341" s="75"/>
      <c r="B341" s="98">
        <v>44829</v>
      </c>
      <c r="C341" s="78" t="s">
        <v>55</v>
      </c>
      <c r="D341" s="79">
        <v>1</v>
      </c>
      <c r="E341" s="76" t="str">
        <f>IF(ISBLANK(Log[[#This Row],[Item]]),"",_xlfn.XLOOKUP(Log[[#This Row],[Item]],Calories[Name],Calories[Unit]))</f>
        <v>ea</v>
      </c>
      <c r="F341" s="65">
        <f>IF(ISBLANK(Log[[#This Row],[Item]]),"",_xlfn.XLOOKUP(Log[[#This Row],[Item]],Calories[Name],Calories[Cals])*Log[[#This Row],[Qty]])</f>
        <v>0</v>
      </c>
      <c r="G341" s="71">
        <f>IF(ISBLANK(Log[[#This Row],[Item]]),"",_xlfn.XLOOKUP(Log[[#This Row],[Item]],Calories[Name],Calories[Carbs])*Log[[#This Row],[Qty]])</f>
        <v>0</v>
      </c>
      <c r="H341" s="71">
        <f>IF(ISBLANK(Log[[#This Row],[Item]]),"",_xlfn.XLOOKUP(Log[[#This Row],[Item]],Calories[Name],Calories[Fibre])*Log[[#This Row],[Qty]])</f>
        <v>0</v>
      </c>
      <c r="I341" s="71">
        <f>IF(ISBLANK(Log[[#This Row],[Item]]),"",(Log[[#This Row],[Carbs]]-Log[[#This Row],[Fibre]]))</f>
        <v>0</v>
      </c>
      <c r="J341" s="103">
        <f>IF(ISBLANK(Log[[#This Row],[Item]]),"",_xlfn.XLOOKUP(Log[[#This Row],[Item]],Calories[Name],Calories[Sodium])*Log[[#This Row],[Qty]])</f>
        <v>0</v>
      </c>
      <c r="K341" s="71">
        <f>IF(ISBLANK(Log[[#This Row],[Item]]),"",_xlfn.XLOOKUP(Log[[#This Row],[Item]],Calories[Name],Calories[Protein])*Log[[#This Row],[Qty]])</f>
        <v>0</v>
      </c>
      <c r="L341" s="71">
        <f>IF(ISBLANK(Log[[#This Row],[Item]]),"",_xlfn.XLOOKUP(Log[[#This Row],[Item]],Calories[Name],Calories[Chol.])*Log[[#This Row],[Qty]])</f>
        <v>0</v>
      </c>
      <c r="M341" s="75"/>
      <c r="N341" s="75"/>
      <c r="O341" s="75"/>
    </row>
    <row r="342" spans="1:15" s="66" customFormat="1" ht="25.15" customHeight="1">
      <c r="A342" s="75"/>
      <c r="B342" s="98">
        <v>44829</v>
      </c>
      <c r="C342" s="78" t="s">
        <v>73</v>
      </c>
      <c r="D342" s="79">
        <v>10</v>
      </c>
      <c r="E342" s="76" t="str">
        <f>IF(ISBLANK(Log[[#This Row],[Item]]),"",_xlfn.XLOOKUP(Log[[#This Row],[Item]],Calories[Name],Calories[Unit]))</f>
        <v>ea</v>
      </c>
      <c r="F342" s="65">
        <f>IF(ISBLANK(Log[[#This Row],[Item]]),"",_xlfn.XLOOKUP(Log[[#This Row],[Item]],Calories[Name],Calories[Cals])*Log[[#This Row],[Qty]])</f>
        <v>475</v>
      </c>
      <c r="G342" s="71">
        <f>IF(ISBLANK(Log[[#This Row],[Item]]),"",_xlfn.XLOOKUP(Log[[#This Row],[Item]],Calories[Name],Calories[Carbs])*Log[[#This Row],[Qty]])</f>
        <v>23.75</v>
      </c>
      <c r="H342" s="71">
        <f>IF(ISBLANK(Log[[#This Row],[Item]]),"",_xlfn.XLOOKUP(Log[[#This Row],[Item]],Calories[Name],Calories[Fibre])*Log[[#This Row],[Qty]])</f>
        <v>1.25</v>
      </c>
      <c r="I342" s="71">
        <f>IF(ISBLANK(Log[[#This Row],[Item]]),"",(Log[[#This Row],[Carbs]]-Log[[#This Row],[Fibre]]))</f>
        <v>22.5</v>
      </c>
      <c r="J342" s="103">
        <f>IF(ISBLANK(Log[[#This Row],[Item]]),"",_xlfn.XLOOKUP(Log[[#This Row],[Item]],Calories[Name],Calories[Sodium])*Log[[#This Row],[Qty]])</f>
        <v>1100</v>
      </c>
      <c r="K342" s="71">
        <f>IF(ISBLANK(Log[[#This Row],[Item]]),"",_xlfn.XLOOKUP(Log[[#This Row],[Item]],Calories[Name],Calories[Protein])*Log[[#This Row],[Qty]])</f>
        <v>27.5</v>
      </c>
      <c r="L342" s="71">
        <f>IF(ISBLANK(Log[[#This Row],[Item]]),"",_xlfn.XLOOKUP(Log[[#This Row],[Item]],Calories[Name],Calories[Chol.])*Log[[#This Row],[Qty]])</f>
        <v>100</v>
      </c>
      <c r="M342" s="75"/>
      <c r="N342" s="75"/>
      <c r="O342" s="75"/>
    </row>
    <row r="343" spans="1:15" s="66" customFormat="1" ht="25.15" customHeight="1">
      <c r="A343" s="75"/>
      <c r="B343" s="98">
        <v>44829</v>
      </c>
      <c r="C343" s="78" t="s">
        <v>36</v>
      </c>
      <c r="D343" s="79">
        <v>2</v>
      </c>
      <c r="E343" s="76" t="str">
        <f>IF(ISBLANK(Log[[#This Row],[Item]]),"",_xlfn.XLOOKUP(Log[[#This Row],[Item]],Calories[Name],Calories[Unit]))</f>
        <v>ea</v>
      </c>
      <c r="F343" s="65">
        <f>IF(ISBLANK(Log[[#This Row],[Item]]),"",_xlfn.XLOOKUP(Log[[#This Row],[Item]],Calories[Name],Calories[Cals])*Log[[#This Row],[Qty]])</f>
        <v>480</v>
      </c>
      <c r="G343" s="71">
        <f>IF(ISBLANK(Log[[#This Row],[Item]]),"",_xlfn.XLOOKUP(Log[[#This Row],[Item]],Calories[Name],Calories[Carbs])*Log[[#This Row],[Qty]])</f>
        <v>26</v>
      </c>
      <c r="H343" s="71">
        <f>IF(ISBLANK(Log[[#This Row],[Item]]),"",_xlfn.XLOOKUP(Log[[#This Row],[Item]],Calories[Name],Calories[Fibre])*Log[[#This Row],[Qty]])</f>
        <v>20</v>
      </c>
      <c r="I343" s="71">
        <f>IF(ISBLANK(Log[[#This Row],[Item]]),"",(Log[[#This Row],[Carbs]]-Log[[#This Row],[Fibre]]))</f>
        <v>6</v>
      </c>
      <c r="J343" s="103">
        <f>IF(ISBLANK(Log[[#This Row],[Item]]),"",_xlfn.XLOOKUP(Log[[#This Row],[Item]],Calories[Name],Calories[Sodium])*Log[[#This Row],[Qty]])</f>
        <v>22</v>
      </c>
      <c r="K343" s="71">
        <f>IF(ISBLANK(Log[[#This Row],[Item]]),"",_xlfn.XLOOKUP(Log[[#This Row],[Item]],Calories[Name],Calories[Protein])*Log[[#This Row],[Qty]])</f>
        <v>6</v>
      </c>
      <c r="L343" s="71">
        <f>IF(ISBLANK(Log[[#This Row],[Item]]),"",_xlfn.XLOOKUP(Log[[#This Row],[Item]],Calories[Name],Calories[Chol.])*Log[[#This Row],[Qty]])</f>
        <v>0</v>
      </c>
      <c r="M343" s="75"/>
      <c r="N343" s="75"/>
      <c r="O343" s="75"/>
    </row>
    <row r="344" spans="1:15" s="66" customFormat="1" ht="25.15" customHeight="1">
      <c r="A344" s="75"/>
      <c r="B344" s="98">
        <v>44829</v>
      </c>
      <c r="C344" s="78" t="s">
        <v>76</v>
      </c>
      <c r="D344" s="79">
        <v>0.5</v>
      </c>
      <c r="E344" s="76" t="str">
        <f>IF(ISBLANK(Log[[#This Row],[Item]]),"",_xlfn.XLOOKUP(Log[[#This Row],[Item]],Calories[Name],Calories[Unit]))</f>
        <v>ea</v>
      </c>
      <c r="F344" s="65">
        <f>IF(ISBLANK(Log[[#This Row],[Item]]),"",_xlfn.XLOOKUP(Log[[#This Row],[Item]],Calories[Name],Calories[Cals])*Log[[#This Row],[Qty]])</f>
        <v>2.4</v>
      </c>
      <c r="G344" s="71">
        <f>IF(ISBLANK(Log[[#This Row],[Item]]),"",_xlfn.XLOOKUP(Log[[#This Row],[Item]],Calories[Name],Calories[Carbs])*Log[[#This Row],[Qty]])</f>
        <v>0.55000000000000004</v>
      </c>
      <c r="H344" s="71">
        <f>IF(ISBLANK(Log[[#This Row],[Item]]),"",_xlfn.XLOOKUP(Log[[#This Row],[Item]],Calories[Name],Calories[Fibre])*Log[[#This Row],[Qty]])</f>
        <v>0.2</v>
      </c>
      <c r="I344" s="71">
        <f>IF(ISBLANK(Log[[#This Row],[Item]]),"",(Log[[#This Row],[Carbs]]-Log[[#This Row],[Fibre]]))</f>
        <v>0.35000000000000003</v>
      </c>
      <c r="J344" s="103">
        <f>IF(ISBLANK(Log[[#This Row],[Item]]),"",_xlfn.XLOOKUP(Log[[#This Row],[Item]],Calories[Name],Calories[Sodium])*Log[[#This Row],[Qty]])</f>
        <v>1.2</v>
      </c>
      <c r="K344" s="71">
        <f>IF(ISBLANK(Log[[#This Row],[Item]]),"",_xlfn.XLOOKUP(Log[[#This Row],[Item]],Calories[Name],Calories[Protein])*Log[[#This Row],[Qty]])</f>
        <v>0.15</v>
      </c>
      <c r="L344" s="71">
        <f>IF(ISBLANK(Log[[#This Row],[Item]]),"",_xlfn.XLOOKUP(Log[[#This Row],[Item]],Calories[Name],Calories[Chol.])*Log[[#This Row],[Qty]])</f>
        <v>0</v>
      </c>
      <c r="M344" s="75"/>
      <c r="N344" s="75"/>
      <c r="O344" s="75"/>
    </row>
    <row r="345" spans="1:15" s="66" customFormat="1" ht="25.15" customHeight="1">
      <c r="A345" s="75"/>
      <c r="B345" s="98">
        <v>44829</v>
      </c>
      <c r="C345" s="78" t="s">
        <v>15</v>
      </c>
      <c r="D345" s="79">
        <v>0.5</v>
      </c>
      <c r="E345" s="76" t="str">
        <f>IF(ISBLANK(Log[[#This Row],[Item]]),"",_xlfn.XLOOKUP(Log[[#This Row],[Item]],Calories[Name],Calories[Unit]))</f>
        <v>tbsp</v>
      </c>
      <c r="F345" s="65">
        <f>IF(ISBLANK(Log[[#This Row],[Item]]),"",_xlfn.XLOOKUP(Log[[#This Row],[Item]],Calories[Name],Calories[Cals])*Log[[#This Row],[Qty]])</f>
        <v>60</v>
      </c>
      <c r="G345" s="71">
        <f>IF(ISBLANK(Log[[#This Row],[Item]]),"",_xlfn.XLOOKUP(Log[[#This Row],[Item]],Calories[Name],Calories[Carbs])*Log[[#This Row],[Qty]])</f>
        <v>0</v>
      </c>
      <c r="H345" s="71">
        <f>IF(ISBLANK(Log[[#This Row],[Item]]),"",_xlfn.XLOOKUP(Log[[#This Row],[Item]],Calories[Name],Calories[Fibre])*Log[[#This Row],[Qty]])</f>
        <v>0</v>
      </c>
      <c r="I345" s="71">
        <f>IF(ISBLANK(Log[[#This Row],[Item]]),"",(Log[[#This Row],[Carbs]]-Log[[#This Row],[Fibre]]))</f>
        <v>0</v>
      </c>
      <c r="J345" s="103">
        <f>IF(ISBLANK(Log[[#This Row],[Item]]),"",_xlfn.XLOOKUP(Log[[#This Row],[Item]],Calories[Name],Calories[Sodium])*Log[[#This Row],[Qty]])</f>
        <v>0</v>
      </c>
      <c r="K345" s="71">
        <f>IF(ISBLANK(Log[[#This Row],[Item]]),"",_xlfn.XLOOKUP(Log[[#This Row],[Item]],Calories[Name],Calories[Protein])*Log[[#This Row],[Qty]])</f>
        <v>0</v>
      </c>
      <c r="L345" s="71">
        <f>IF(ISBLANK(Log[[#This Row],[Item]]),"",_xlfn.XLOOKUP(Log[[#This Row],[Item]],Calories[Name],Calories[Chol.])*Log[[#This Row],[Qty]])</f>
        <v>0</v>
      </c>
      <c r="M345" s="75"/>
      <c r="N345" s="75"/>
      <c r="O345" s="75"/>
    </row>
    <row r="346" spans="1:15" s="66" customFormat="1" ht="25.15" customHeight="1">
      <c r="A346" s="75"/>
      <c r="B346" s="98">
        <v>44829</v>
      </c>
      <c r="C346" s="78" t="s">
        <v>96</v>
      </c>
      <c r="D346" s="79">
        <v>6</v>
      </c>
      <c r="E346" s="76" t="str">
        <f>IF(ISBLANK(Log[[#This Row],[Item]]),"",_xlfn.XLOOKUP(Log[[#This Row],[Item]],Calories[Name],Calories[Unit]))</f>
        <v>g</v>
      </c>
      <c r="F346" s="65">
        <f>IF(ISBLANK(Log[[#This Row],[Item]]),"",_xlfn.XLOOKUP(Log[[#This Row],[Item]],Calories[Name],Calories[Cals])*Log[[#This Row],[Qty]])</f>
        <v>9.375</v>
      </c>
      <c r="G346" s="71">
        <f>IF(ISBLANK(Log[[#This Row],[Item]]),"",_xlfn.XLOOKUP(Log[[#This Row],[Item]],Calories[Name],Calories[Carbs])*Log[[#This Row],[Qty]])</f>
        <v>5.625</v>
      </c>
      <c r="H346" s="71">
        <f>IF(ISBLANK(Log[[#This Row],[Item]]),"",_xlfn.XLOOKUP(Log[[#This Row],[Item]],Calories[Name],Calories[Fibre])*Log[[#This Row],[Qty]])</f>
        <v>5.625</v>
      </c>
      <c r="I346" s="71">
        <f>IF(ISBLANK(Log[[#This Row],[Item]]),"",(Log[[#This Row],[Carbs]]-Log[[#This Row],[Fibre]]))</f>
        <v>0</v>
      </c>
      <c r="J346" s="103">
        <f>IF(ISBLANK(Log[[#This Row],[Item]]),"",_xlfn.XLOOKUP(Log[[#This Row],[Item]],Calories[Name],Calories[Sodium])*Log[[#This Row],[Qty]])</f>
        <v>0</v>
      </c>
      <c r="K346" s="71">
        <f>IF(ISBLANK(Log[[#This Row],[Item]]),"",_xlfn.XLOOKUP(Log[[#This Row],[Item]],Calories[Name],Calories[Protein])*Log[[#This Row],[Qty]])</f>
        <v>0</v>
      </c>
      <c r="L346" s="71">
        <f>IF(ISBLANK(Log[[#This Row],[Item]]),"",_xlfn.XLOOKUP(Log[[#This Row],[Item]],Calories[Name],Calories[Chol.])*Log[[#This Row],[Qty]])</f>
        <v>0</v>
      </c>
      <c r="M346" s="75"/>
      <c r="N346" s="75"/>
      <c r="O346" s="75"/>
    </row>
    <row r="347" spans="1:15" s="66" customFormat="1" ht="25.15" customHeight="1">
      <c r="A347" s="75"/>
      <c r="B347" s="98">
        <v>44829</v>
      </c>
      <c r="C347" s="78" t="s">
        <v>89</v>
      </c>
      <c r="D347" s="79">
        <v>10</v>
      </c>
      <c r="E347" s="76" t="str">
        <f>IF(ISBLANK(Log[[#This Row],[Item]]),"",_xlfn.XLOOKUP(Log[[#This Row],[Item]],Calories[Name],Calories[Unit]))</f>
        <v>ea</v>
      </c>
      <c r="F347" s="65">
        <f>IF(ISBLANK(Log[[#This Row],[Item]]),"",_xlfn.XLOOKUP(Log[[#This Row],[Item]],Calories[Name],Calories[Cals])*Log[[#This Row],[Qty]])</f>
        <v>66.666666666666671</v>
      </c>
      <c r="G347" s="71">
        <f>IF(ISBLANK(Log[[#This Row],[Item]]),"",_xlfn.XLOOKUP(Log[[#This Row],[Item]],Calories[Name],Calories[Carbs])*Log[[#This Row],[Qty]])</f>
        <v>13.333333333333332</v>
      </c>
      <c r="H347" s="71">
        <f>IF(ISBLANK(Log[[#This Row],[Item]]),"",_xlfn.XLOOKUP(Log[[#This Row],[Item]],Calories[Name],Calories[Fibre])*Log[[#This Row],[Qty]])</f>
        <v>0</v>
      </c>
      <c r="I347" s="71">
        <f>IF(ISBLANK(Log[[#This Row],[Item]]),"",(Log[[#This Row],[Carbs]]-Log[[#This Row],[Fibre]]))</f>
        <v>13.333333333333332</v>
      </c>
      <c r="J347" s="103">
        <f>IF(ISBLANK(Log[[#This Row],[Item]]),"",_xlfn.XLOOKUP(Log[[#This Row],[Item]],Calories[Name],Calories[Sodium])*Log[[#This Row],[Qty]])</f>
        <v>70.833333333333329</v>
      </c>
      <c r="K347" s="71">
        <f>IF(ISBLANK(Log[[#This Row],[Item]]),"",_xlfn.XLOOKUP(Log[[#This Row],[Item]],Calories[Name],Calories[Protein])*Log[[#This Row],[Qty]])</f>
        <v>1.6666666666666665</v>
      </c>
      <c r="L347" s="71">
        <f>IF(ISBLANK(Log[[#This Row],[Item]]),"",_xlfn.XLOOKUP(Log[[#This Row],[Item]],Calories[Name],Calories[Chol.])*Log[[#This Row],[Qty]])</f>
        <v>0</v>
      </c>
      <c r="M347" s="75"/>
      <c r="N347" s="75"/>
      <c r="O347" s="75"/>
    </row>
    <row r="348" spans="1:15" s="66" customFormat="1" ht="25.15" customHeight="1">
      <c r="A348" s="75"/>
      <c r="B348" s="98">
        <v>44829</v>
      </c>
      <c r="C348" s="78" t="s">
        <v>60</v>
      </c>
      <c r="D348" s="79">
        <v>4</v>
      </c>
      <c r="E348" s="76" t="str">
        <f>IF(ISBLANK(Log[[#This Row],[Item]]),"",_xlfn.XLOOKUP(Log[[#This Row],[Item]],Calories[Name],Calories[Unit]))</f>
        <v>tbsp</v>
      </c>
      <c r="F348" s="65">
        <f>IF(ISBLANK(Log[[#This Row],[Item]]),"",_xlfn.XLOOKUP(Log[[#This Row],[Item]],Calories[Name],Calories[Cals])*Log[[#This Row],[Qty]])</f>
        <v>20</v>
      </c>
      <c r="G348" s="71">
        <f>IF(ISBLANK(Log[[#This Row],[Item]]),"",_xlfn.XLOOKUP(Log[[#This Row],[Item]],Calories[Name],Calories[Carbs])*Log[[#This Row],[Qty]])</f>
        <v>4</v>
      </c>
      <c r="H348" s="71">
        <f>IF(ISBLANK(Log[[#This Row],[Item]]),"",_xlfn.XLOOKUP(Log[[#This Row],[Item]],Calories[Name],Calories[Fibre])*Log[[#This Row],[Qty]])</f>
        <v>2</v>
      </c>
      <c r="I348" s="71">
        <f>IF(ISBLANK(Log[[#This Row],[Item]]),"",(Log[[#This Row],[Carbs]]-Log[[#This Row],[Fibre]]))</f>
        <v>2</v>
      </c>
      <c r="J348" s="103">
        <f>IF(ISBLANK(Log[[#This Row],[Item]]),"",_xlfn.XLOOKUP(Log[[#This Row],[Item]],Calories[Name],Calories[Sodium])*Log[[#This Row],[Qty]])</f>
        <v>560</v>
      </c>
      <c r="K348" s="71">
        <f>IF(ISBLANK(Log[[#This Row],[Item]]),"",_xlfn.XLOOKUP(Log[[#This Row],[Item]],Calories[Name],Calories[Protein])*Log[[#This Row],[Qty]])</f>
        <v>2</v>
      </c>
      <c r="L348" s="71">
        <f>IF(ISBLANK(Log[[#This Row],[Item]]),"",_xlfn.XLOOKUP(Log[[#This Row],[Item]],Calories[Name],Calories[Chol.])*Log[[#This Row],[Qty]])</f>
        <v>0</v>
      </c>
      <c r="M348" s="75"/>
      <c r="N348" s="75"/>
      <c r="O348" s="75"/>
    </row>
    <row r="349" spans="1:15" s="66" customFormat="1" ht="25.15" customHeight="1">
      <c r="A349" s="75"/>
      <c r="B349" s="98">
        <v>44829</v>
      </c>
      <c r="C349" s="78" t="s">
        <v>44</v>
      </c>
      <c r="D349" s="79">
        <v>1</v>
      </c>
      <c r="E349" s="76" t="str">
        <f>IF(ISBLANK(Log[[#This Row],[Item]]),"",_xlfn.XLOOKUP(Log[[#This Row],[Item]],Calories[Name],Calories[Unit]))</f>
        <v>ea</v>
      </c>
      <c r="F349" s="65">
        <f>IF(ISBLANK(Log[[#This Row],[Item]]),"",_xlfn.XLOOKUP(Log[[#This Row],[Item]],Calories[Name],Calories[Cals])*Log[[#This Row],[Qty]])</f>
        <v>40</v>
      </c>
      <c r="G349" s="71">
        <f>IF(ISBLANK(Log[[#This Row],[Item]]),"",_xlfn.XLOOKUP(Log[[#This Row],[Item]],Calories[Name],Calories[Carbs])*Log[[#This Row],[Qty]])</f>
        <v>6</v>
      </c>
      <c r="H349" s="71">
        <f>IF(ISBLANK(Log[[#This Row],[Item]]),"",_xlfn.XLOOKUP(Log[[#This Row],[Item]],Calories[Name],Calories[Fibre])*Log[[#This Row],[Qty]])</f>
        <v>2</v>
      </c>
      <c r="I349" s="71">
        <f>IF(ISBLANK(Log[[#This Row],[Item]]),"",(Log[[#This Row],[Carbs]]-Log[[#This Row],[Fibre]]))</f>
        <v>4</v>
      </c>
      <c r="J349" s="103">
        <f>IF(ISBLANK(Log[[#This Row],[Item]]),"",_xlfn.XLOOKUP(Log[[#This Row],[Item]],Calories[Name],Calories[Sodium])*Log[[#This Row],[Qty]])</f>
        <v>20</v>
      </c>
      <c r="K349" s="71">
        <f>IF(ISBLANK(Log[[#This Row],[Item]]),"",_xlfn.XLOOKUP(Log[[#This Row],[Item]],Calories[Name],Calories[Protein])*Log[[#This Row],[Qty]])</f>
        <v>1.5</v>
      </c>
      <c r="L349" s="71">
        <f>IF(ISBLANK(Log[[#This Row],[Item]]),"",_xlfn.XLOOKUP(Log[[#This Row],[Item]],Calories[Name],Calories[Chol.])*Log[[#This Row],[Qty]])</f>
        <v>0</v>
      </c>
      <c r="M349" s="75"/>
      <c r="N349" s="75"/>
      <c r="O349" s="75"/>
    </row>
    <row r="350" spans="1:15" s="66" customFormat="1" ht="25.15" customHeight="1">
      <c r="A350" s="75"/>
      <c r="B350" s="98">
        <v>44829</v>
      </c>
      <c r="C350" s="64" t="s">
        <v>97</v>
      </c>
      <c r="D350" s="79">
        <v>-400</v>
      </c>
      <c r="E350" s="76" t="str">
        <f>IF(ISBLANK(Log[[#This Row],[Item]]),"",_xlfn.XLOOKUP(Log[[#This Row],[Item]],Calories[Name],Calories[Unit]))</f>
        <v>kcal</v>
      </c>
      <c r="F350" s="65">
        <f>IF(ISBLANK(Log[[#This Row],[Item]]),"",_xlfn.XLOOKUP(Log[[#This Row],[Item]],Calories[Name],Calories[Cals])*Log[[#This Row],[Qty]])</f>
        <v>-400</v>
      </c>
      <c r="G350" s="71">
        <f>IF(ISBLANK(Log[[#This Row],[Item]]),"",_xlfn.XLOOKUP(Log[[#This Row],[Item]],Calories[Name],Calories[Carbs])*Log[[#This Row],[Qty]])</f>
        <v>0</v>
      </c>
      <c r="H350" s="71">
        <f>IF(ISBLANK(Log[[#This Row],[Item]]),"",_xlfn.XLOOKUP(Log[[#This Row],[Item]],Calories[Name],Calories[Fibre])*Log[[#This Row],[Qty]])</f>
        <v>0</v>
      </c>
      <c r="I350" s="71">
        <f>IF(ISBLANK(Log[[#This Row],[Item]]),"",(Log[[#This Row],[Carbs]]-Log[[#This Row],[Fibre]]))</f>
        <v>0</v>
      </c>
      <c r="J350" s="103">
        <f>IF(ISBLANK(Log[[#This Row],[Item]]),"",_xlfn.XLOOKUP(Log[[#This Row],[Item]],Calories[Name],Calories[Sodium])*Log[[#This Row],[Qty]])</f>
        <v>0</v>
      </c>
      <c r="K350" s="71">
        <f>IF(ISBLANK(Log[[#This Row],[Item]]),"",_xlfn.XLOOKUP(Log[[#This Row],[Item]],Calories[Name],Calories[Protein])*Log[[#This Row],[Qty]])</f>
        <v>0</v>
      </c>
      <c r="L350" s="71">
        <f>IF(ISBLANK(Log[[#This Row],[Item]]),"",_xlfn.XLOOKUP(Log[[#This Row],[Item]],Calories[Name],Calories[Chol.])*Log[[#This Row],[Qty]])</f>
        <v>0</v>
      </c>
      <c r="M350" s="75" t="s">
        <v>98</v>
      </c>
      <c r="N350" s="75"/>
      <c r="O350" s="75"/>
    </row>
    <row r="351" spans="1:15" s="66" customFormat="1" ht="25.15" customHeight="1">
      <c r="A351" s="75"/>
      <c r="B351" s="98">
        <v>44829</v>
      </c>
      <c r="C351" s="78" t="s">
        <v>88</v>
      </c>
      <c r="D351" s="79">
        <v>3</v>
      </c>
      <c r="E351" s="76" t="str">
        <f>IF(ISBLANK(Log[[#This Row],[Item]]),"",_xlfn.XLOOKUP(Log[[#This Row],[Item]],Calories[Name],Calories[Unit]))</f>
        <v>ea</v>
      </c>
      <c r="F351" s="65">
        <f>IF(ISBLANK(Log[[#This Row],[Item]]),"",_xlfn.XLOOKUP(Log[[#This Row],[Item]],Calories[Name],Calories[Cals])*Log[[#This Row],[Qty]])</f>
        <v>105</v>
      </c>
      <c r="G351" s="71">
        <f>IF(ISBLANK(Log[[#This Row],[Item]]),"",_xlfn.XLOOKUP(Log[[#This Row],[Item]],Calories[Name],Calories[Carbs])*Log[[#This Row],[Qty]])</f>
        <v>0</v>
      </c>
      <c r="H351" s="71">
        <f>IF(ISBLANK(Log[[#This Row],[Item]]),"",_xlfn.XLOOKUP(Log[[#This Row],[Item]],Calories[Name],Calories[Fibre])*Log[[#This Row],[Qty]])</f>
        <v>0</v>
      </c>
      <c r="I351" s="71">
        <f>IF(ISBLANK(Log[[#This Row],[Item]]),"",(Log[[#This Row],[Carbs]]-Log[[#This Row],[Fibre]]))</f>
        <v>0</v>
      </c>
      <c r="J351" s="103">
        <f>IF(ISBLANK(Log[[#This Row],[Item]]),"",_xlfn.XLOOKUP(Log[[#This Row],[Item]],Calories[Name],Calories[Sodium])*Log[[#This Row],[Qty]])</f>
        <v>600</v>
      </c>
      <c r="K351" s="71">
        <f>IF(ISBLANK(Log[[#This Row],[Item]]),"",_xlfn.XLOOKUP(Log[[#This Row],[Item]],Calories[Name],Calories[Protein])*Log[[#This Row],[Qty]])</f>
        <v>19.5</v>
      </c>
      <c r="L351" s="71">
        <f>IF(ISBLANK(Log[[#This Row],[Item]]),"",_xlfn.XLOOKUP(Log[[#This Row],[Item]],Calories[Name],Calories[Chol.])*Log[[#This Row],[Qty]])</f>
        <v>67.5</v>
      </c>
      <c r="M351" s="75"/>
      <c r="N351" s="75"/>
      <c r="O351" s="75"/>
    </row>
    <row r="352" spans="1:15" s="66" customFormat="1" ht="25.15" customHeight="1">
      <c r="A352" s="75"/>
      <c r="B352" s="98">
        <v>44829</v>
      </c>
      <c r="C352" s="78" t="s">
        <v>25</v>
      </c>
      <c r="D352" s="79">
        <v>3</v>
      </c>
      <c r="E352" s="76" t="str">
        <f>IF(ISBLANK(Log[[#This Row],[Item]]),"",_xlfn.XLOOKUP(Log[[#This Row],[Item]],Calories[Name],Calories[Unit]))</f>
        <v>tbsp</v>
      </c>
      <c r="F352" s="65">
        <f>IF(ISBLANK(Log[[#This Row],[Item]]),"",_xlfn.XLOOKUP(Log[[#This Row],[Item]],Calories[Name],Calories[Cals])*Log[[#This Row],[Qty]])</f>
        <v>306</v>
      </c>
      <c r="G352" s="71">
        <f>IF(ISBLANK(Log[[#This Row],[Item]]),"",_xlfn.XLOOKUP(Log[[#This Row],[Item]],Calories[Name],Calories[Carbs])*Log[[#This Row],[Qty]])</f>
        <v>0</v>
      </c>
      <c r="H352" s="71">
        <f>IF(ISBLANK(Log[[#This Row],[Item]]),"",_xlfn.XLOOKUP(Log[[#This Row],[Item]],Calories[Name],Calories[Fibre])*Log[[#This Row],[Qty]])</f>
        <v>0</v>
      </c>
      <c r="I352" s="71">
        <f>IF(ISBLANK(Log[[#This Row],[Item]]),"",(Log[[#This Row],[Carbs]]-Log[[#This Row],[Fibre]]))</f>
        <v>0</v>
      </c>
      <c r="J352" s="103">
        <f>IF(ISBLANK(Log[[#This Row],[Item]]),"",_xlfn.XLOOKUP(Log[[#This Row],[Item]],Calories[Name],Calories[Sodium])*Log[[#This Row],[Qty]])</f>
        <v>270</v>
      </c>
      <c r="K352" s="71">
        <f>IF(ISBLANK(Log[[#This Row],[Item]]),"",_xlfn.XLOOKUP(Log[[#This Row],[Item]],Calories[Name],Calories[Protein])*Log[[#This Row],[Qty]])</f>
        <v>0.36</v>
      </c>
      <c r="L352" s="71">
        <f>IF(ISBLANK(Log[[#This Row],[Item]]),"",_xlfn.XLOOKUP(Log[[#This Row],[Item]],Calories[Name],Calories[Chol.])*Log[[#This Row],[Qty]])</f>
        <v>93</v>
      </c>
      <c r="M352" s="75"/>
      <c r="N352" s="75"/>
      <c r="O352" s="75"/>
    </row>
    <row r="353" spans="1:15" s="66" customFormat="1" ht="25.15" customHeight="1">
      <c r="A353" s="75"/>
      <c r="B353" s="98">
        <v>44829</v>
      </c>
      <c r="C353" s="64" t="s">
        <v>21</v>
      </c>
      <c r="D353" s="79">
        <v>2</v>
      </c>
      <c r="E353" s="76" t="str">
        <f>IF(ISBLANK(Log[[#This Row],[Item]]),"",_xlfn.XLOOKUP(Log[[#This Row],[Item]],Calories[Name],Calories[Unit]))</f>
        <v>c</v>
      </c>
      <c r="F353" s="65">
        <f>IF(ISBLANK(Log[[#This Row],[Item]]),"",_xlfn.XLOOKUP(Log[[#This Row],[Item]],Calories[Name],Calories[Cals])*Log[[#This Row],[Qty]])</f>
        <v>50</v>
      </c>
      <c r="G353" s="71">
        <f>IF(ISBLANK(Log[[#This Row],[Item]]),"",_xlfn.XLOOKUP(Log[[#This Row],[Item]],Calories[Name],Calories[Carbs])*Log[[#This Row],[Qty]])</f>
        <v>10</v>
      </c>
      <c r="H353" s="71">
        <f>IF(ISBLANK(Log[[#This Row],[Item]]),"",_xlfn.XLOOKUP(Log[[#This Row],[Item]],Calories[Name],Calories[Fibre])*Log[[#This Row],[Qty]])</f>
        <v>6</v>
      </c>
      <c r="I353" s="71">
        <f>IF(ISBLANK(Log[[#This Row],[Item]]),"",(Log[[#This Row],[Carbs]]-Log[[#This Row],[Fibre]]))</f>
        <v>4</v>
      </c>
      <c r="J353" s="103">
        <f>IF(ISBLANK(Log[[#This Row],[Item]]),"",_xlfn.XLOOKUP(Log[[#This Row],[Item]],Calories[Name],Calories[Sodium])*Log[[#This Row],[Qty]])</f>
        <v>60</v>
      </c>
      <c r="K353" s="71">
        <f>IF(ISBLANK(Log[[#This Row],[Item]]),"",_xlfn.XLOOKUP(Log[[#This Row],[Item]],Calories[Name],Calories[Protein])*Log[[#This Row],[Qty]])</f>
        <v>4</v>
      </c>
      <c r="L353" s="71">
        <f>IF(ISBLANK(Log[[#This Row],[Item]]),"",_xlfn.XLOOKUP(Log[[#This Row],[Item]],Calories[Name],Calories[Chol.])*Log[[#This Row],[Qty]])</f>
        <v>0</v>
      </c>
      <c r="M353" s="75"/>
      <c r="N353" s="75"/>
      <c r="O353" s="75"/>
    </row>
    <row r="354" spans="1:15" s="66" customFormat="1" ht="25.15" customHeight="1">
      <c r="A354" s="75"/>
      <c r="B354" s="98">
        <v>44829</v>
      </c>
      <c r="C354" s="78" t="s">
        <v>45</v>
      </c>
      <c r="D354" s="79">
        <v>4</v>
      </c>
      <c r="E354" s="76" t="str">
        <f>IF(ISBLANK(Log[[#This Row],[Item]]),"",_xlfn.XLOOKUP(Log[[#This Row],[Item]],Calories[Name],Calories[Unit]))</f>
        <v>pinch</v>
      </c>
      <c r="F354" s="65">
        <f>IF(ISBLANK(Log[[#This Row],[Item]]),"",_xlfn.XLOOKUP(Log[[#This Row],[Item]],Calories[Name],Calories[Cals])*Log[[#This Row],[Qty]])</f>
        <v>0</v>
      </c>
      <c r="G354" s="71">
        <f>IF(ISBLANK(Log[[#This Row],[Item]]),"",_xlfn.XLOOKUP(Log[[#This Row],[Item]],Calories[Name],Calories[Carbs])*Log[[#This Row],[Qty]])</f>
        <v>0</v>
      </c>
      <c r="H354" s="71">
        <f>IF(ISBLANK(Log[[#This Row],[Item]]),"",_xlfn.XLOOKUP(Log[[#This Row],[Item]],Calories[Name],Calories[Fibre])*Log[[#This Row],[Qty]])</f>
        <v>0</v>
      </c>
      <c r="I354" s="71">
        <f>IF(ISBLANK(Log[[#This Row],[Item]]),"",(Log[[#This Row],[Carbs]]-Log[[#This Row],[Fibre]]))</f>
        <v>0</v>
      </c>
      <c r="J354" s="103">
        <f>IF(ISBLANK(Log[[#This Row],[Item]]),"",_xlfn.XLOOKUP(Log[[#This Row],[Item]],Calories[Name],Calories[Sodium])*Log[[#This Row],[Qty]])</f>
        <v>558.11519999999996</v>
      </c>
      <c r="K354" s="71">
        <f>IF(ISBLANK(Log[[#This Row],[Item]]),"",_xlfn.XLOOKUP(Log[[#This Row],[Item]],Calories[Name],Calories[Protein])*Log[[#This Row],[Qty]])</f>
        <v>0</v>
      </c>
      <c r="L354" s="71">
        <f>IF(ISBLANK(Log[[#This Row],[Item]]),"",_xlfn.XLOOKUP(Log[[#This Row],[Item]],Calories[Name],Calories[Chol.])*Log[[#This Row],[Qty]])</f>
        <v>0</v>
      </c>
      <c r="M354" s="75"/>
      <c r="N354" s="75"/>
      <c r="O354" s="75"/>
    </row>
    <row r="355" spans="1:15" s="66" customFormat="1" ht="25.15" customHeight="1">
      <c r="A355" s="75"/>
      <c r="B355" s="98">
        <v>44829</v>
      </c>
      <c r="C355" s="64" t="s">
        <v>99</v>
      </c>
      <c r="D355" s="79">
        <v>1</v>
      </c>
      <c r="E355" s="76" t="str">
        <f>IF(ISBLANK(Log[[#This Row],[Item]]),"",_xlfn.XLOOKUP(Log[[#This Row],[Item]],Calories[Name],Calories[Unit]))</f>
        <v>c</v>
      </c>
      <c r="F355" s="65">
        <f>IF(ISBLANK(Log[[#This Row],[Item]]),"",_xlfn.XLOOKUP(Log[[#This Row],[Item]],Calories[Name],Calories[Cals])*Log[[#This Row],[Qty]])</f>
        <v>130</v>
      </c>
      <c r="G355" s="71">
        <f>IF(ISBLANK(Log[[#This Row],[Item]]),"",_xlfn.XLOOKUP(Log[[#This Row],[Item]],Calories[Name],Calories[Carbs])*Log[[#This Row],[Qty]])</f>
        <v>26.7</v>
      </c>
      <c r="H355" s="71">
        <f>IF(ISBLANK(Log[[#This Row],[Item]]),"",_xlfn.XLOOKUP(Log[[#This Row],[Item]],Calories[Name],Calories[Fibre])*Log[[#This Row],[Qty]])</f>
        <v>3.1</v>
      </c>
      <c r="I355" s="71">
        <f>IF(ISBLANK(Log[[#This Row],[Item]]),"",(Log[[#This Row],[Carbs]]-Log[[#This Row],[Fibre]]))</f>
        <v>23.599999999999998</v>
      </c>
      <c r="J355" s="103">
        <f>IF(ISBLANK(Log[[#This Row],[Item]]),"",_xlfn.XLOOKUP(Log[[#This Row],[Item]],Calories[Name],Calories[Sodium])*Log[[#This Row],[Qty]])</f>
        <v>0</v>
      </c>
      <c r="K355" s="71">
        <f>IF(ISBLANK(Log[[#This Row],[Item]]),"",_xlfn.XLOOKUP(Log[[#This Row],[Item]],Calories[Name],Calories[Protein])*Log[[#This Row],[Qty]])</f>
        <v>3.7</v>
      </c>
      <c r="L355" s="71">
        <f>IF(ISBLANK(Log[[#This Row],[Item]]),"",_xlfn.XLOOKUP(Log[[#This Row],[Item]],Calories[Name],Calories[Chol.])*Log[[#This Row],[Qty]])</f>
        <v>0</v>
      </c>
      <c r="M355" s="75"/>
      <c r="N355" s="75"/>
      <c r="O355" s="75"/>
    </row>
    <row r="356" spans="1:15" s="66" customFormat="1" ht="25.15" customHeight="1">
      <c r="A356" s="75"/>
      <c r="B356" s="98">
        <v>44830</v>
      </c>
      <c r="C356" s="78" t="s">
        <v>52</v>
      </c>
      <c r="D356" s="79"/>
      <c r="E356" s="76" t="str">
        <f>IF(ISBLANK(Log[[#This Row],[Item]]),"",_xlfn.XLOOKUP(Log[[#This Row],[Item]],Calories[Name],Calories[Unit]))</f>
        <v>ea</v>
      </c>
      <c r="F356" s="65">
        <f>IF(ISBLANK(Log[[#This Row],[Item]]),"",_xlfn.XLOOKUP(Log[[#This Row],[Item]],Calories[Name],Calories[Cals])*Log[[#This Row],[Qty]])</f>
        <v>0</v>
      </c>
      <c r="G356" s="71">
        <f>IF(ISBLANK(Log[[#This Row],[Item]]),"",_xlfn.XLOOKUP(Log[[#This Row],[Item]],Calories[Name],Calories[Carbs])*Log[[#This Row],[Qty]])</f>
        <v>0</v>
      </c>
      <c r="H356" s="71">
        <f>IF(ISBLANK(Log[[#This Row],[Item]]),"",_xlfn.XLOOKUP(Log[[#This Row],[Item]],Calories[Name],Calories[Fibre])*Log[[#This Row],[Qty]])</f>
        <v>0</v>
      </c>
      <c r="I356" s="71">
        <f>IF(ISBLANK(Log[[#This Row],[Item]]),"",(Log[[#This Row],[Carbs]]-Log[[#This Row],[Fibre]]))</f>
        <v>0</v>
      </c>
      <c r="J356" s="103">
        <f>IF(ISBLANK(Log[[#This Row],[Item]]),"",_xlfn.XLOOKUP(Log[[#This Row],[Item]],Calories[Name],Calories[Sodium])*Log[[#This Row],[Qty]])</f>
        <v>0</v>
      </c>
      <c r="K356" s="71">
        <f>IF(ISBLANK(Log[[#This Row],[Item]]),"",_xlfn.XLOOKUP(Log[[#This Row],[Item]],Calories[Name],Calories[Protein])*Log[[#This Row],[Qty]])</f>
        <v>0</v>
      </c>
      <c r="L356" s="71">
        <f>IF(ISBLANK(Log[[#This Row],[Item]]),"",_xlfn.XLOOKUP(Log[[#This Row],[Item]],Calories[Name],Calories[Chol.])*Log[[#This Row],[Qty]])</f>
        <v>0</v>
      </c>
      <c r="M356" s="75"/>
      <c r="N356" s="75"/>
      <c r="O356" s="75"/>
    </row>
    <row r="357" spans="1:15" s="66" customFormat="1" ht="25.15" customHeight="1">
      <c r="A357" s="75"/>
      <c r="B357" s="98">
        <v>44830</v>
      </c>
      <c r="C357" s="78" t="s">
        <v>53</v>
      </c>
      <c r="D357" s="79">
        <v>1</v>
      </c>
      <c r="E357" s="76" t="str">
        <f>IF(ISBLANK(Log[[#This Row],[Item]]),"",_xlfn.XLOOKUP(Log[[#This Row],[Item]],Calories[Name],Calories[Unit]))</f>
        <v>ea</v>
      </c>
      <c r="F357" s="65">
        <f>IF(ISBLANK(Log[[#This Row],[Item]]),"",_xlfn.XLOOKUP(Log[[#This Row],[Item]],Calories[Name],Calories[Cals])*Log[[#This Row],[Qty]])</f>
        <v>0</v>
      </c>
      <c r="G357" s="71">
        <f>IF(ISBLANK(Log[[#This Row],[Item]]),"",_xlfn.XLOOKUP(Log[[#This Row],[Item]],Calories[Name],Calories[Carbs])*Log[[#This Row],[Qty]])</f>
        <v>0</v>
      </c>
      <c r="H357" s="71">
        <f>IF(ISBLANK(Log[[#This Row],[Item]]),"",_xlfn.XLOOKUP(Log[[#This Row],[Item]],Calories[Name],Calories[Fibre])*Log[[#This Row],[Qty]])</f>
        <v>0</v>
      </c>
      <c r="I357" s="71">
        <f>IF(ISBLANK(Log[[#This Row],[Item]]),"",(Log[[#This Row],[Carbs]]-Log[[#This Row],[Fibre]]))</f>
        <v>0</v>
      </c>
      <c r="J357" s="103">
        <f>IF(ISBLANK(Log[[#This Row],[Item]]),"",_xlfn.XLOOKUP(Log[[#This Row],[Item]],Calories[Name],Calories[Sodium])*Log[[#This Row],[Qty]])</f>
        <v>0</v>
      </c>
      <c r="K357" s="71">
        <f>IF(ISBLANK(Log[[#This Row],[Item]]),"",_xlfn.XLOOKUP(Log[[#This Row],[Item]],Calories[Name],Calories[Protein])*Log[[#This Row],[Qty]])</f>
        <v>0</v>
      </c>
      <c r="L357" s="71">
        <f>IF(ISBLANK(Log[[#This Row],[Item]]),"",_xlfn.XLOOKUP(Log[[#This Row],[Item]],Calories[Name],Calories[Chol.])*Log[[#This Row],[Qty]])</f>
        <v>0</v>
      </c>
      <c r="M357" s="75"/>
      <c r="N357" s="75"/>
      <c r="O357" s="75"/>
    </row>
    <row r="358" spans="1:15" s="66" customFormat="1" ht="25.15" customHeight="1">
      <c r="A358" s="75"/>
      <c r="B358" s="98">
        <v>44830</v>
      </c>
      <c r="C358" s="78" t="s">
        <v>54</v>
      </c>
      <c r="D358" s="79">
        <v>1</v>
      </c>
      <c r="E358" s="76" t="str">
        <f>IF(ISBLANK(Log[[#This Row],[Item]]),"",_xlfn.XLOOKUP(Log[[#This Row],[Item]],Calories[Name],Calories[Unit]))</f>
        <v>ea</v>
      </c>
      <c r="F358" s="65">
        <f>IF(ISBLANK(Log[[#This Row],[Item]]),"",_xlfn.XLOOKUP(Log[[#This Row],[Item]],Calories[Name],Calories[Cals])*Log[[#This Row],[Qty]])</f>
        <v>0</v>
      </c>
      <c r="G358" s="71">
        <f>IF(ISBLANK(Log[[#This Row],[Item]]),"",_xlfn.XLOOKUP(Log[[#This Row],[Item]],Calories[Name],Calories[Carbs])*Log[[#This Row],[Qty]])</f>
        <v>0</v>
      </c>
      <c r="H358" s="71">
        <f>IF(ISBLANK(Log[[#This Row],[Item]]),"",_xlfn.XLOOKUP(Log[[#This Row],[Item]],Calories[Name],Calories[Fibre])*Log[[#This Row],[Qty]])</f>
        <v>0</v>
      </c>
      <c r="I358" s="71">
        <f>IF(ISBLANK(Log[[#This Row],[Item]]),"",(Log[[#This Row],[Carbs]]-Log[[#This Row],[Fibre]]))</f>
        <v>0</v>
      </c>
      <c r="J358" s="103">
        <f>IF(ISBLANK(Log[[#This Row],[Item]]),"",_xlfn.XLOOKUP(Log[[#This Row],[Item]],Calories[Name],Calories[Sodium])*Log[[#This Row],[Qty]])</f>
        <v>0</v>
      </c>
      <c r="K358" s="71">
        <f>IF(ISBLANK(Log[[#This Row],[Item]]),"",_xlfn.XLOOKUP(Log[[#This Row],[Item]],Calories[Name],Calories[Protein])*Log[[#This Row],[Qty]])</f>
        <v>0</v>
      </c>
      <c r="L358" s="71">
        <f>IF(ISBLANK(Log[[#This Row],[Item]]),"",_xlfn.XLOOKUP(Log[[#This Row],[Item]],Calories[Name],Calories[Chol.])*Log[[#This Row],[Qty]])</f>
        <v>0</v>
      </c>
      <c r="M358" s="75"/>
      <c r="N358" s="75"/>
      <c r="O358" s="75"/>
    </row>
    <row r="359" spans="1:15" s="66" customFormat="1" ht="25.15" customHeight="1">
      <c r="A359" s="75"/>
      <c r="B359" s="98">
        <v>44830</v>
      </c>
      <c r="C359" s="78" t="s">
        <v>55</v>
      </c>
      <c r="D359" s="79">
        <v>1</v>
      </c>
      <c r="E359" s="76" t="str">
        <f>IF(ISBLANK(Log[[#This Row],[Item]]),"",_xlfn.XLOOKUP(Log[[#This Row],[Item]],Calories[Name],Calories[Unit]))</f>
        <v>ea</v>
      </c>
      <c r="F359" s="65">
        <f>IF(ISBLANK(Log[[#This Row],[Item]]),"",_xlfn.XLOOKUP(Log[[#This Row],[Item]],Calories[Name],Calories[Cals])*Log[[#This Row],[Qty]])</f>
        <v>0</v>
      </c>
      <c r="G359" s="71">
        <f>IF(ISBLANK(Log[[#This Row],[Item]]),"",_xlfn.XLOOKUP(Log[[#This Row],[Item]],Calories[Name],Calories[Carbs])*Log[[#This Row],[Qty]])</f>
        <v>0</v>
      </c>
      <c r="H359" s="71">
        <f>IF(ISBLANK(Log[[#This Row],[Item]]),"",_xlfn.XLOOKUP(Log[[#This Row],[Item]],Calories[Name],Calories[Fibre])*Log[[#This Row],[Qty]])</f>
        <v>0</v>
      </c>
      <c r="I359" s="71">
        <f>IF(ISBLANK(Log[[#This Row],[Item]]),"",(Log[[#This Row],[Carbs]]-Log[[#This Row],[Fibre]]))</f>
        <v>0</v>
      </c>
      <c r="J359" s="103">
        <f>IF(ISBLANK(Log[[#This Row],[Item]]),"",_xlfn.XLOOKUP(Log[[#This Row],[Item]],Calories[Name],Calories[Sodium])*Log[[#This Row],[Qty]])</f>
        <v>0</v>
      </c>
      <c r="K359" s="71">
        <f>IF(ISBLANK(Log[[#This Row],[Item]]),"",_xlfn.XLOOKUP(Log[[#This Row],[Item]],Calories[Name],Calories[Protein])*Log[[#This Row],[Qty]])</f>
        <v>0</v>
      </c>
      <c r="L359" s="71">
        <f>IF(ISBLANK(Log[[#This Row],[Item]]),"",_xlfn.XLOOKUP(Log[[#This Row],[Item]],Calories[Name],Calories[Chol.])*Log[[#This Row],[Qty]])</f>
        <v>0</v>
      </c>
      <c r="M359" s="75"/>
      <c r="N359" s="75"/>
      <c r="O359" s="75"/>
    </row>
    <row r="360" spans="1:15" s="66" customFormat="1" ht="25.15" customHeight="1">
      <c r="A360" s="75"/>
      <c r="B360" s="98">
        <v>44830</v>
      </c>
      <c r="C360" s="78" t="s">
        <v>96</v>
      </c>
      <c r="D360" s="79">
        <v>8</v>
      </c>
      <c r="E360" s="76" t="str">
        <f>IF(ISBLANK(Log[[#This Row],[Item]]),"",_xlfn.XLOOKUP(Log[[#This Row],[Item]],Calories[Name],Calories[Unit]))</f>
        <v>g</v>
      </c>
      <c r="F360" s="65">
        <f>IF(ISBLANK(Log[[#This Row],[Item]]),"",_xlfn.XLOOKUP(Log[[#This Row],[Item]],Calories[Name],Calories[Cals])*Log[[#This Row],[Qty]])</f>
        <v>12.5</v>
      </c>
      <c r="G360" s="71">
        <f>IF(ISBLANK(Log[[#This Row],[Item]]),"",_xlfn.XLOOKUP(Log[[#This Row],[Item]],Calories[Name],Calories[Carbs])*Log[[#This Row],[Qty]])</f>
        <v>7.5</v>
      </c>
      <c r="H360" s="71">
        <f>IF(ISBLANK(Log[[#This Row],[Item]]),"",_xlfn.XLOOKUP(Log[[#This Row],[Item]],Calories[Name],Calories[Fibre])*Log[[#This Row],[Qty]])</f>
        <v>7.5</v>
      </c>
      <c r="I360" s="71">
        <f>IF(ISBLANK(Log[[#This Row],[Item]]),"",(Log[[#This Row],[Carbs]]-Log[[#This Row],[Fibre]]))</f>
        <v>0</v>
      </c>
      <c r="J360" s="103">
        <f>IF(ISBLANK(Log[[#This Row],[Item]]),"",_xlfn.XLOOKUP(Log[[#This Row],[Item]],Calories[Name],Calories[Sodium])*Log[[#This Row],[Qty]])</f>
        <v>0</v>
      </c>
      <c r="K360" s="71">
        <f>IF(ISBLANK(Log[[#This Row],[Item]]),"",_xlfn.XLOOKUP(Log[[#This Row],[Item]],Calories[Name],Calories[Protein])*Log[[#This Row],[Qty]])</f>
        <v>0</v>
      </c>
      <c r="L360" s="71">
        <f>IF(ISBLANK(Log[[#This Row],[Item]]),"",_xlfn.XLOOKUP(Log[[#This Row],[Item]],Calories[Name],Calories[Chol.])*Log[[#This Row],[Qty]])</f>
        <v>0</v>
      </c>
      <c r="M360" s="75"/>
      <c r="N360" s="75"/>
      <c r="O360" s="75"/>
    </row>
    <row r="361" spans="1:15" s="66" customFormat="1" ht="25.15" customHeight="1">
      <c r="A361" s="75"/>
      <c r="B361" s="98">
        <v>44830</v>
      </c>
      <c r="C361" s="78" t="s">
        <v>73</v>
      </c>
      <c r="D361" s="79">
        <v>1</v>
      </c>
      <c r="E361" s="76" t="str">
        <f>IF(ISBLANK(Log[[#This Row],[Item]]),"",_xlfn.XLOOKUP(Log[[#This Row],[Item]],Calories[Name],Calories[Unit]))</f>
        <v>ea</v>
      </c>
      <c r="F361" s="65">
        <f>IF(ISBLANK(Log[[#This Row],[Item]]),"",_xlfn.XLOOKUP(Log[[#This Row],[Item]],Calories[Name],Calories[Cals])*Log[[#This Row],[Qty]])</f>
        <v>47.5</v>
      </c>
      <c r="G361" s="71">
        <f>IF(ISBLANK(Log[[#This Row],[Item]]),"",_xlfn.XLOOKUP(Log[[#This Row],[Item]],Calories[Name],Calories[Carbs])*Log[[#This Row],[Qty]])</f>
        <v>2.375</v>
      </c>
      <c r="H361" s="71">
        <f>IF(ISBLANK(Log[[#This Row],[Item]]),"",_xlfn.XLOOKUP(Log[[#This Row],[Item]],Calories[Name],Calories[Fibre])*Log[[#This Row],[Qty]])</f>
        <v>0.125</v>
      </c>
      <c r="I361" s="71">
        <f>IF(ISBLANK(Log[[#This Row],[Item]]),"",(Log[[#This Row],[Carbs]]-Log[[#This Row],[Fibre]]))</f>
        <v>2.25</v>
      </c>
      <c r="J361" s="103">
        <f>IF(ISBLANK(Log[[#This Row],[Item]]),"",_xlfn.XLOOKUP(Log[[#This Row],[Item]],Calories[Name],Calories[Sodium])*Log[[#This Row],[Qty]])</f>
        <v>110</v>
      </c>
      <c r="K361" s="71">
        <f>IF(ISBLANK(Log[[#This Row],[Item]]),"",_xlfn.XLOOKUP(Log[[#This Row],[Item]],Calories[Name],Calories[Protein])*Log[[#This Row],[Qty]])</f>
        <v>2.75</v>
      </c>
      <c r="L361" s="71">
        <f>IF(ISBLANK(Log[[#This Row],[Item]]),"",_xlfn.XLOOKUP(Log[[#This Row],[Item]],Calories[Name],Calories[Chol.])*Log[[#This Row],[Qty]])</f>
        <v>10</v>
      </c>
      <c r="M361" s="75"/>
      <c r="N361" s="75"/>
      <c r="O361" s="75"/>
    </row>
    <row r="362" spans="1:15" s="66" customFormat="1" ht="25.15" customHeight="1">
      <c r="A362" s="75"/>
      <c r="B362" s="98">
        <v>44830</v>
      </c>
      <c r="C362" s="78" t="s">
        <v>36</v>
      </c>
      <c r="D362" s="79">
        <v>1</v>
      </c>
      <c r="E362" s="76" t="str">
        <f>IF(ISBLANK(Log[[#This Row],[Item]]),"",_xlfn.XLOOKUP(Log[[#This Row],[Item]],Calories[Name],Calories[Unit]))</f>
        <v>ea</v>
      </c>
      <c r="F362" s="65">
        <f>IF(ISBLANK(Log[[#This Row],[Item]]),"",_xlfn.XLOOKUP(Log[[#This Row],[Item]],Calories[Name],Calories[Cals])*Log[[#This Row],[Qty]])</f>
        <v>240</v>
      </c>
      <c r="G362" s="71">
        <f>IF(ISBLANK(Log[[#This Row],[Item]]),"",_xlfn.XLOOKUP(Log[[#This Row],[Item]],Calories[Name],Calories[Carbs])*Log[[#This Row],[Qty]])</f>
        <v>13</v>
      </c>
      <c r="H362" s="71">
        <f>IF(ISBLANK(Log[[#This Row],[Item]]),"",_xlfn.XLOOKUP(Log[[#This Row],[Item]],Calories[Name],Calories[Fibre])*Log[[#This Row],[Qty]])</f>
        <v>10</v>
      </c>
      <c r="I362" s="71">
        <f>IF(ISBLANK(Log[[#This Row],[Item]]),"",(Log[[#This Row],[Carbs]]-Log[[#This Row],[Fibre]]))</f>
        <v>3</v>
      </c>
      <c r="J362" s="103">
        <f>IF(ISBLANK(Log[[#This Row],[Item]]),"",_xlfn.XLOOKUP(Log[[#This Row],[Item]],Calories[Name],Calories[Sodium])*Log[[#This Row],[Qty]])</f>
        <v>11</v>
      </c>
      <c r="K362" s="71">
        <f>IF(ISBLANK(Log[[#This Row],[Item]]),"",_xlfn.XLOOKUP(Log[[#This Row],[Item]],Calories[Name],Calories[Protein])*Log[[#This Row],[Qty]])</f>
        <v>3</v>
      </c>
      <c r="L362" s="71">
        <f>IF(ISBLANK(Log[[#This Row],[Item]]),"",_xlfn.XLOOKUP(Log[[#This Row],[Item]],Calories[Name],Calories[Chol.])*Log[[#This Row],[Qty]])</f>
        <v>0</v>
      </c>
      <c r="M362" s="75"/>
      <c r="N362" s="75"/>
      <c r="O362" s="75"/>
    </row>
    <row r="363" spans="1:15" s="66" customFormat="1" ht="25.15" customHeight="1">
      <c r="A363" s="75"/>
      <c r="B363" s="98">
        <v>44830</v>
      </c>
      <c r="C363" s="78" t="s">
        <v>100</v>
      </c>
      <c r="D363" s="79">
        <v>0.5</v>
      </c>
      <c r="E363" s="76" t="str">
        <f>IF(ISBLANK(Log[[#This Row],[Item]]),"",_xlfn.XLOOKUP(Log[[#This Row],[Item]],Calories[Name],Calories[Unit]))</f>
        <v>can</v>
      </c>
      <c r="F363" s="65">
        <f>IF(ISBLANK(Log[[#This Row],[Item]]),"",_xlfn.XLOOKUP(Log[[#This Row],[Item]],Calories[Name],Calories[Cals])*Log[[#This Row],[Qty]])</f>
        <v>120</v>
      </c>
      <c r="G363" s="71">
        <f>IF(ISBLANK(Log[[#This Row],[Item]]),"",_xlfn.XLOOKUP(Log[[#This Row],[Item]],Calories[Name],Calories[Carbs])*Log[[#This Row],[Qty]])</f>
        <v>0</v>
      </c>
      <c r="H363" s="71">
        <f>IF(ISBLANK(Log[[#This Row],[Item]]),"",_xlfn.XLOOKUP(Log[[#This Row],[Item]],Calories[Name],Calories[Fibre])*Log[[#This Row],[Qty]])</f>
        <v>0</v>
      </c>
      <c r="I363" s="71">
        <f>IF(ISBLANK(Log[[#This Row],[Item]]),"",(Log[[#This Row],[Carbs]]-Log[[#This Row],[Fibre]]))</f>
        <v>0</v>
      </c>
      <c r="J363" s="103">
        <f>IF(ISBLANK(Log[[#This Row],[Item]]),"",_xlfn.XLOOKUP(Log[[#This Row],[Item]],Calories[Name],Calories[Sodium])*Log[[#This Row],[Qty]])</f>
        <v>280</v>
      </c>
      <c r="K363" s="71">
        <f>IF(ISBLANK(Log[[#This Row],[Item]]),"",_xlfn.XLOOKUP(Log[[#This Row],[Item]],Calories[Name],Calories[Protein])*Log[[#This Row],[Qty]])</f>
        <v>18</v>
      </c>
      <c r="L363" s="71">
        <f>IF(ISBLANK(Log[[#This Row],[Item]]),"",_xlfn.XLOOKUP(Log[[#This Row],[Item]],Calories[Name],Calories[Chol.])*Log[[#This Row],[Qty]])</f>
        <v>35</v>
      </c>
      <c r="M363" s="75"/>
      <c r="N363" s="75"/>
      <c r="O363" s="75"/>
    </row>
    <row r="364" spans="1:15" s="66" customFormat="1" ht="25.15" customHeight="1">
      <c r="A364" s="75"/>
      <c r="B364" s="98">
        <v>44830</v>
      </c>
      <c r="C364" s="78" t="s">
        <v>60</v>
      </c>
      <c r="D364" s="79">
        <v>3</v>
      </c>
      <c r="E364" s="76" t="str">
        <f>IF(ISBLANK(Log[[#This Row],[Item]]),"",_xlfn.XLOOKUP(Log[[#This Row],[Item]],Calories[Name],Calories[Unit]))</f>
        <v>tbsp</v>
      </c>
      <c r="F364" s="65">
        <f>IF(ISBLANK(Log[[#This Row],[Item]]),"",_xlfn.XLOOKUP(Log[[#This Row],[Item]],Calories[Name],Calories[Cals])*Log[[#This Row],[Qty]])</f>
        <v>15</v>
      </c>
      <c r="G364" s="71">
        <f>IF(ISBLANK(Log[[#This Row],[Item]]),"",_xlfn.XLOOKUP(Log[[#This Row],[Item]],Calories[Name],Calories[Carbs])*Log[[#This Row],[Qty]])</f>
        <v>3</v>
      </c>
      <c r="H364" s="71">
        <f>IF(ISBLANK(Log[[#This Row],[Item]]),"",_xlfn.XLOOKUP(Log[[#This Row],[Item]],Calories[Name],Calories[Fibre])*Log[[#This Row],[Qty]])</f>
        <v>1.5</v>
      </c>
      <c r="I364" s="71">
        <f>IF(ISBLANK(Log[[#This Row],[Item]]),"",(Log[[#This Row],[Carbs]]-Log[[#This Row],[Fibre]]))</f>
        <v>1.5</v>
      </c>
      <c r="J364" s="103">
        <f>IF(ISBLANK(Log[[#This Row],[Item]]),"",_xlfn.XLOOKUP(Log[[#This Row],[Item]],Calories[Name],Calories[Sodium])*Log[[#This Row],[Qty]])</f>
        <v>420</v>
      </c>
      <c r="K364" s="71">
        <f>IF(ISBLANK(Log[[#This Row],[Item]]),"",_xlfn.XLOOKUP(Log[[#This Row],[Item]],Calories[Name],Calories[Protein])*Log[[#This Row],[Qty]])</f>
        <v>1.5</v>
      </c>
      <c r="L364" s="71">
        <f>IF(ISBLANK(Log[[#This Row],[Item]]),"",_xlfn.XLOOKUP(Log[[#This Row],[Item]],Calories[Name],Calories[Chol.])*Log[[#This Row],[Qty]])</f>
        <v>0</v>
      </c>
      <c r="M364" s="75"/>
      <c r="N364" s="75"/>
      <c r="O364" s="75"/>
    </row>
    <row r="365" spans="1:15" s="66" customFormat="1" ht="25.15" customHeight="1">
      <c r="A365" s="75"/>
      <c r="B365" s="98">
        <v>44830</v>
      </c>
      <c r="C365" s="78" t="s">
        <v>76</v>
      </c>
      <c r="D365" s="79">
        <v>0.75</v>
      </c>
      <c r="E365" s="76" t="str">
        <f>IF(ISBLANK(Log[[#This Row],[Item]]),"",_xlfn.XLOOKUP(Log[[#This Row],[Item]],Calories[Name],Calories[Unit]))</f>
        <v>ea</v>
      </c>
      <c r="F365" s="65">
        <f>IF(ISBLANK(Log[[#This Row],[Item]]),"",_xlfn.XLOOKUP(Log[[#This Row],[Item]],Calories[Name],Calories[Cals])*Log[[#This Row],[Qty]])</f>
        <v>3.5999999999999996</v>
      </c>
      <c r="G365" s="71">
        <f>IF(ISBLANK(Log[[#This Row],[Item]]),"",_xlfn.XLOOKUP(Log[[#This Row],[Item]],Calories[Name],Calories[Carbs])*Log[[#This Row],[Qty]])</f>
        <v>0.82500000000000007</v>
      </c>
      <c r="H365" s="71">
        <f>IF(ISBLANK(Log[[#This Row],[Item]]),"",_xlfn.XLOOKUP(Log[[#This Row],[Item]],Calories[Name],Calories[Fibre])*Log[[#This Row],[Qty]])</f>
        <v>0.30000000000000004</v>
      </c>
      <c r="I365" s="71">
        <f>IF(ISBLANK(Log[[#This Row],[Item]]),"",(Log[[#This Row],[Carbs]]-Log[[#This Row],[Fibre]]))</f>
        <v>0.52500000000000002</v>
      </c>
      <c r="J365" s="103">
        <f>IF(ISBLANK(Log[[#This Row],[Item]]),"",_xlfn.XLOOKUP(Log[[#This Row],[Item]],Calories[Name],Calories[Sodium])*Log[[#This Row],[Qty]])</f>
        <v>1.7999999999999998</v>
      </c>
      <c r="K365" s="71">
        <f>IF(ISBLANK(Log[[#This Row],[Item]]),"",_xlfn.XLOOKUP(Log[[#This Row],[Item]],Calories[Name],Calories[Protein])*Log[[#This Row],[Qty]])</f>
        <v>0.22499999999999998</v>
      </c>
      <c r="L365" s="71">
        <f>IF(ISBLANK(Log[[#This Row],[Item]]),"",_xlfn.XLOOKUP(Log[[#This Row],[Item]],Calories[Name],Calories[Chol.])*Log[[#This Row],[Qty]])</f>
        <v>0</v>
      </c>
      <c r="M365" s="75"/>
      <c r="N365" s="75"/>
      <c r="O365" s="75"/>
    </row>
    <row r="366" spans="1:15" s="66" customFormat="1" ht="25.15" customHeight="1">
      <c r="A366" s="75"/>
      <c r="B366" s="98">
        <v>44830</v>
      </c>
      <c r="C366" s="78" t="s">
        <v>51</v>
      </c>
      <c r="D366" s="79">
        <v>0.25</v>
      </c>
      <c r="E366" s="76" t="str">
        <f>IF(ISBLANK(Log[[#This Row],[Item]]),"",_xlfn.XLOOKUP(Log[[#This Row],[Item]],Calories[Name],Calories[Unit]))</f>
        <v>c</v>
      </c>
      <c r="F366" s="65">
        <f>IF(ISBLANK(Log[[#This Row],[Item]]),"",_xlfn.XLOOKUP(Log[[#This Row],[Item]],Calories[Name],Calories[Cals])*Log[[#This Row],[Qty]])</f>
        <v>11.55</v>
      </c>
      <c r="G366" s="71">
        <f>IF(ISBLANK(Log[[#This Row],[Item]]),"",_xlfn.XLOOKUP(Log[[#This Row],[Item]],Calories[Name],Calories[Carbs])*Log[[#This Row],[Qty]])</f>
        <v>2.25</v>
      </c>
      <c r="H366" s="71">
        <f>IF(ISBLANK(Log[[#This Row],[Item]]),"",_xlfn.XLOOKUP(Log[[#This Row],[Item]],Calories[Name],Calories[Fibre])*Log[[#This Row],[Qty]])</f>
        <v>0.77500000000000002</v>
      </c>
      <c r="I366" s="71">
        <f>IF(ISBLANK(Log[[#This Row],[Item]]),"",(Log[[#This Row],[Carbs]]-Log[[#This Row],[Fibre]]))</f>
        <v>1.4750000000000001</v>
      </c>
      <c r="J366" s="103">
        <f>IF(ISBLANK(Log[[#This Row],[Item]]),"",_xlfn.XLOOKUP(Log[[#This Row],[Item]],Calories[Name],Calories[Sodium])*Log[[#This Row],[Qty]])</f>
        <v>1.5</v>
      </c>
      <c r="K366" s="71">
        <f>IF(ISBLANK(Log[[#This Row],[Item]]),"",_xlfn.XLOOKUP(Log[[#This Row],[Item]],Calories[Name],Calories[Protein])*Log[[#This Row],[Qty]])</f>
        <v>0.375</v>
      </c>
      <c r="L366" s="71">
        <f>IF(ISBLANK(Log[[#This Row],[Item]]),"",_xlfn.XLOOKUP(Log[[#This Row],[Item]],Calories[Name],Calories[Chol.])*Log[[#This Row],[Qty]])</f>
        <v>0</v>
      </c>
      <c r="M366" s="75"/>
      <c r="N366" s="75"/>
      <c r="O366" s="75"/>
    </row>
    <row r="367" spans="1:15" s="66" customFormat="1" ht="25.15" customHeight="1">
      <c r="A367" s="75"/>
      <c r="B367" s="98">
        <v>44830</v>
      </c>
      <c r="C367" s="78" t="s">
        <v>35</v>
      </c>
      <c r="D367" s="79">
        <v>2</v>
      </c>
      <c r="E367" s="76" t="str">
        <f>IF(ISBLANK(Log[[#This Row],[Item]]),"",_xlfn.XLOOKUP(Log[[#This Row],[Item]],Calories[Name],Calories[Unit]))</f>
        <v>tbsp</v>
      </c>
      <c r="F367" s="65">
        <f>IF(ISBLANK(Log[[#This Row],[Item]]),"",_xlfn.XLOOKUP(Log[[#This Row],[Item]],Calories[Name],Calories[Cals])*Log[[#This Row],[Qty]])</f>
        <v>180</v>
      </c>
      <c r="G367" s="71">
        <f>IF(ISBLANK(Log[[#This Row],[Item]]),"",_xlfn.XLOOKUP(Log[[#This Row],[Item]],Calories[Name],Calories[Carbs])*Log[[#This Row],[Qty]])</f>
        <v>0</v>
      </c>
      <c r="H367" s="71">
        <f>IF(ISBLANK(Log[[#This Row],[Item]]),"",_xlfn.XLOOKUP(Log[[#This Row],[Item]],Calories[Name],Calories[Fibre])*Log[[#This Row],[Qty]])</f>
        <v>0</v>
      </c>
      <c r="I367" s="71">
        <f>IF(ISBLANK(Log[[#This Row],[Item]]),"",(Log[[#This Row],[Carbs]]-Log[[#This Row],[Fibre]]))</f>
        <v>0</v>
      </c>
      <c r="J367" s="103">
        <f>IF(ISBLANK(Log[[#This Row],[Item]]),"",_xlfn.XLOOKUP(Log[[#This Row],[Item]],Calories[Name],Calories[Sodium])*Log[[#This Row],[Qty]])</f>
        <v>180</v>
      </c>
      <c r="K367" s="71">
        <f>IF(ISBLANK(Log[[#This Row],[Item]]),"",_xlfn.XLOOKUP(Log[[#This Row],[Item]],Calories[Name],Calories[Protein])*Log[[#This Row],[Qty]])</f>
        <v>0</v>
      </c>
      <c r="L367" s="71">
        <f>IF(ISBLANK(Log[[#This Row],[Item]]),"",_xlfn.XLOOKUP(Log[[#This Row],[Item]],Calories[Name],Calories[Chol.])*Log[[#This Row],[Qty]])</f>
        <v>10</v>
      </c>
      <c r="M367" s="75"/>
      <c r="N367" s="75"/>
      <c r="O367" s="75"/>
    </row>
    <row r="368" spans="1:15" s="66" customFormat="1" ht="25.15" customHeight="1">
      <c r="A368" s="75"/>
      <c r="B368" s="98">
        <v>44830</v>
      </c>
      <c r="C368" s="78" t="s">
        <v>80</v>
      </c>
      <c r="D368" s="79">
        <v>0.25</v>
      </c>
      <c r="E368" s="76" t="str">
        <f>IF(ISBLANK(Log[[#This Row],[Item]]),"",_xlfn.XLOOKUP(Log[[#This Row],[Item]],Calories[Name],Calories[Unit]))</f>
        <v>c</v>
      </c>
      <c r="F368" s="65">
        <f>IF(ISBLANK(Log[[#This Row],[Item]]),"",_xlfn.XLOOKUP(Log[[#This Row],[Item]],Calories[Name],Calories[Cals])*Log[[#This Row],[Qty]])</f>
        <v>156.5</v>
      </c>
      <c r="G368" s="71">
        <f>IF(ISBLANK(Log[[#This Row],[Item]]),"",_xlfn.XLOOKUP(Log[[#This Row],[Item]],Calories[Name],Calories[Carbs])*Log[[#This Row],[Qty]])</f>
        <v>27.25</v>
      </c>
      <c r="H368" s="71">
        <f>IF(ISBLANK(Log[[#This Row],[Item]]),"",_xlfn.XLOOKUP(Log[[#This Row],[Item]],Calories[Name],Calories[Fibre])*Log[[#This Row],[Qty]])</f>
        <v>3</v>
      </c>
      <c r="I368" s="71">
        <f>IF(ISBLANK(Log[[#This Row],[Item]]),"",(Log[[#This Row],[Carbs]]-Log[[#This Row],[Fibre]]))</f>
        <v>24.25</v>
      </c>
      <c r="J368" s="103">
        <f>IF(ISBLANK(Log[[#This Row],[Item]]),"",_xlfn.XLOOKUP(Log[[#This Row],[Item]],Calories[Name],Calories[Sodium])*Log[[#This Row],[Qty]])</f>
        <v>2.125</v>
      </c>
      <c r="K368" s="71">
        <f>IF(ISBLANK(Log[[#This Row],[Item]]),"",_xlfn.XLOOKUP(Log[[#This Row],[Item]],Calories[Name],Calories[Protein])*Log[[#This Row],[Qty]])</f>
        <v>6</v>
      </c>
      <c r="L368" s="71">
        <f>IF(ISBLANK(Log[[#This Row],[Item]]),"",_xlfn.XLOOKUP(Log[[#This Row],[Item]],Calories[Name],Calories[Chol.])*Log[[#This Row],[Qty]])</f>
        <v>0</v>
      </c>
      <c r="M368" s="75"/>
      <c r="N368" s="75"/>
      <c r="O368" s="75"/>
    </row>
    <row r="369" spans="1:15" s="66" customFormat="1" ht="25.15" customHeight="1">
      <c r="A369" s="75"/>
      <c r="B369" s="98">
        <v>44830</v>
      </c>
      <c r="C369" s="78" t="s">
        <v>94</v>
      </c>
      <c r="D369" s="79">
        <v>341</v>
      </c>
      <c r="E369" s="76" t="str">
        <f>IF(ISBLANK(Log[[#This Row],[Item]]),"",_xlfn.XLOOKUP(Log[[#This Row],[Item]],Calories[Name],Calories[Unit]))</f>
        <v>kcal</v>
      </c>
      <c r="F369" s="65">
        <f>IF(ISBLANK(Log[[#This Row],[Item]]),"",_xlfn.XLOOKUP(Log[[#This Row],[Item]],Calories[Name],Calories[Cals])*Log[[#This Row],[Qty]])</f>
        <v>-341</v>
      </c>
      <c r="G369" s="71">
        <f>IF(ISBLANK(Log[[#This Row],[Item]]),"",_xlfn.XLOOKUP(Log[[#This Row],[Item]],Calories[Name],Calories[Carbs])*Log[[#This Row],[Qty]])</f>
        <v>0</v>
      </c>
      <c r="H369" s="71">
        <f>IF(ISBLANK(Log[[#This Row],[Item]]),"",_xlfn.XLOOKUP(Log[[#This Row],[Item]],Calories[Name],Calories[Fibre])*Log[[#This Row],[Qty]])</f>
        <v>0</v>
      </c>
      <c r="I369" s="71">
        <f>IF(ISBLANK(Log[[#This Row],[Item]]),"",(Log[[#This Row],[Carbs]]-Log[[#This Row],[Fibre]]))</f>
        <v>0</v>
      </c>
      <c r="J369" s="103">
        <f>IF(ISBLANK(Log[[#This Row],[Item]]),"",_xlfn.XLOOKUP(Log[[#This Row],[Item]],Calories[Name],Calories[Sodium])*Log[[#This Row],[Qty]])</f>
        <v>0</v>
      </c>
      <c r="K369" s="71">
        <f>IF(ISBLANK(Log[[#This Row],[Item]]),"",_xlfn.XLOOKUP(Log[[#This Row],[Item]],Calories[Name],Calories[Protein])*Log[[#This Row],[Qty]])</f>
        <v>0</v>
      </c>
      <c r="L369" s="71">
        <f>IF(ISBLANK(Log[[#This Row],[Item]]),"",_xlfn.XLOOKUP(Log[[#This Row],[Item]],Calories[Name],Calories[Chol.])*Log[[#This Row],[Qty]])</f>
        <v>0</v>
      </c>
      <c r="M369" s="75"/>
      <c r="N369" s="75"/>
      <c r="O369" s="75"/>
    </row>
    <row r="370" spans="1:15" s="66" customFormat="1" ht="25.15" customHeight="1">
      <c r="A370" s="75"/>
      <c r="B370" s="98">
        <v>44830</v>
      </c>
      <c r="C370" s="78" t="s">
        <v>94</v>
      </c>
      <c r="D370" s="79">
        <v>221</v>
      </c>
      <c r="E370" s="76" t="str">
        <f>IF(ISBLANK(Log[[#This Row],[Item]]),"",_xlfn.XLOOKUP(Log[[#This Row],[Item]],Calories[Name],Calories[Unit]))</f>
        <v>kcal</v>
      </c>
      <c r="F370" s="65">
        <f>IF(ISBLANK(Log[[#This Row],[Item]]),"",_xlfn.XLOOKUP(Log[[#This Row],[Item]],Calories[Name],Calories[Cals])*Log[[#This Row],[Qty]])</f>
        <v>-221</v>
      </c>
      <c r="G370" s="71">
        <f>IF(ISBLANK(Log[[#This Row],[Item]]),"",_xlfn.XLOOKUP(Log[[#This Row],[Item]],Calories[Name],Calories[Carbs])*Log[[#This Row],[Qty]])</f>
        <v>0</v>
      </c>
      <c r="H370" s="71">
        <f>IF(ISBLANK(Log[[#This Row],[Item]]),"",_xlfn.XLOOKUP(Log[[#This Row],[Item]],Calories[Name],Calories[Fibre])*Log[[#This Row],[Qty]])</f>
        <v>0</v>
      </c>
      <c r="I370" s="71">
        <f>IF(ISBLANK(Log[[#This Row],[Item]]),"",(Log[[#This Row],[Carbs]]-Log[[#This Row],[Fibre]]))</f>
        <v>0</v>
      </c>
      <c r="J370" s="103">
        <f>IF(ISBLANK(Log[[#This Row],[Item]]),"",_xlfn.XLOOKUP(Log[[#This Row],[Item]],Calories[Name],Calories[Sodium])*Log[[#This Row],[Qty]])</f>
        <v>0</v>
      </c>
      <c r="K370" s="71">
        <f>IF(ISBLANK(Log[[#This Row],[Item]]),"",_xlfn.XLOOKUP(Log[[#This Row],[Item]],Calories[Name],Calories[Protein])*Log[[#This Row],[Qty]])</f>
        <v>0</v>
      </c>
      <c r="L370" s="71">
        <f>IF(ISBLANK(Log[[#This Row],[Item]]),"",_xlfn.XLOOKUP(Log[[#This Row],[Item]],Calories[Name],Calories[Chol.])*Log[[#This Row],[Qty]])</f>
        <v>0</v>
      </c>
      <c r="M370" s="75"/>
      <c r="N370" s="75"/>
      <c r="O370" s="75"/>
    </row>
    <row r="371" spans="1:15" s="66" customFormat="1" ht="25.15" customHeight="1">
      <c r="A371" s="75"/>
      <c r="B371" s="98">
        <v>44830</v>
      </c>
      <c r="C371" s="64" t="s">
        <v>101</v>
      </c>
      <c r="D371" s="79">
        <v>190</v>
      </c>
      <c r="E371" s="76" t="str">
        <f>IF(ISBLANK(Log[[#This Row],[Item]]),"",_xlfn.XLOOKUP(Log[[#This Row],[Item]],Calories[Name],Calories[Unit]))</f>
        <v>g</v>
      </c>
      <c r="F371" s="65">
        <f>IF(ISBLANK(Log[[#This Row],[Item]]),"",_xlfn.XLOOKUP(Log[[#This Row],[Item]],Calories[Name],Calories[Cals])*Log[[#This Row],[Qty]])</f>
        <v>393.29999999999995</v>
      </c>
      <c r="G371" s="71">
        <f>IF(ISBLANK(Log[[#This Row],[Item]]),"",_xlfn.XLOOKUP(Log[[#This Row],[Item]],Calories[Name],Calories[Carbs])*Log[[#This Row],[Qty]])</f>
        <v>0</v>
      </c>
      <c r="H371" s="71">
        <f>IF(ISBLANK(Log[[#This Row],[Item]]),"",_xlfn.XLOOKUP(Log[[#This Row],[Item]],Calories[Name],Calories[Fibre])*Log[[#This Row],[Qty]])</f>
        <v>0</v>
      </c>
      <c r="I371" s="71">
        <f>IF(ISBLANK(Log[[#This Row],[Item]]),"",(Log[[#This Row],[Carbs]]-Log[[#This Row],[Fibre]]))</f>
        <v>0</v>
      </c>
      <c r="J371" s="103">
        <f>IF(ISBLANK(Log[[#This Row],[Item]]),"",_xlfn.XLOOKUP(Log[[#This Row],[Item]],Calories[Name],Calories[Sodium])*Log[[#This Row],[Qty]])</f>
        <v>778.99999999999989</v>
      </c>
      <c r="K371" s="71">
        <f>IF(ISBLANK(Log[[#This Row],[Item]]),"",_xlfn.XLOOKUP(Log[[#This Row],[Item]],Calories[Name],Calories[Protein])*Log[[#This Row],[Qty]])</f>
        <v>48.867999999999995</v>
      </c>
      <c r="L371" s="71">
        <f>IF(ISBLANK(Log[[#This Row],[Item]]),"",_xlfn.XLOOKUP(Log[[#This Row],[Item]],Calories[Name],Calories[Chol.])*Log[[#This Row],[Qty]])</f>
        <v>178.6</v>
      </c>
      <c r="M371" s="75"/>
      <c r="N371" s="75"/>
      <c r="O371" s="75"/>
    </row>
    <row r="372" spans="1:15" s="66" customFormat="1" ht="25.15" customHeight="1">
      <c r="A372" s="75"/>
      <c r="B372" s="98">
        <v>44830</v>
      </c>
      <c r="C372" s="78" t="s">
        <v>61</v>
      </c>
      <c r="D372" s="79">
        <v>10</v>
      </c>
      <c r="E372" s="76" t="str">
        <f>IF(ISBLANK(Log[[#This Row],[Item]]),"",_xlfn.XLOOKUP(Log[[#This Row],[Item]],Calories[Name],Calories[Unit]))</f>
        <v>leaf</v>
      </c>
      <c r="F372" s="65">
        <f>IF(ISBLANK(Log[[#This Row],[Item]]),"",_xlfn.XLOOKUP(Log[[#This Row],[Item]],Calories[Name],Calories[Cals])*Log[[#This Row],[Qty]])</f>
        <v>20</v>
      </c>
      <c r="G372" s="71">
        <f>IF(ISBLANK(Log[[#This Row],[Item]]),"",_xlfn.XLOOKUP(Log[[#This Row],[Item]],Calories[Name],Calories[Carbs])*Log[[#This Row],[Qty]])</f>
        <v>3.3000000000000003</v>
      </c>
      <c r="H372" s="71">
        <f>IF(ISBLANK(Log[[#This Row],[Item]]),"",_xlfn.XLOOKUP(Log[[#This Row],[Item]],Calories[Name],Calories[Fibre])*Log[[#This Row],[Qty]])</f>
        <v>2</v>
      </c>
      <c r="I372" s="71">
        <f>IF(ISBLANK(Log[[#This Row],[Item]]),"",(Log[[#This Row],[Carbs]]-Log[[#This Row],[Fibre]]))</f>
        <v>1.3000000000000003</v>
      </c>
      <c r="J372" s="103">
        <f>IF(ISBLANK(Log[[#This Row],[Item]]),"",_xlfn.XLOOKUP(Log[[#This Row],[Item]],Calories[Name],Calories[Sodium])*Log[[#This Row],[Qty]])</f>
        <v>10</v>
      </c>
      <c r="K372" s="71">
        <f>IF(ISBLANK(Log[[#This Row],[Item]]),"",_xlfn.XLOOKUP(Log[[#This Row],[Item]],Calories[Name],Calories[Protein])*Log[[#This Row],[Qty]])</f>
        <v>2</v>
      </c>
      <c r="L372" s="71">
        <f>IF(ISBLANK(Log[[#This Row],[Item]]),"",_xlfn.XLOOKUP(Log[[#This Row],[Item]],Calories[Name],Calories[Chol.])*Log[[#This Row],[Qty]])</f>
        <v>0</v>
      </c>
      <c r="M372" s="75"/>
      <c r="N372" s="75"/>
      <c r="O372" s="75"/>
    </row>
    <row r="373" spans="1:15" s="66" customFormat="1" ht="25.15" customHeight="1">
      <c r="A373" s="75"/>
      <c r="B373" s="98">
        <v>44830</v>
      </c>
      <c r="C373" s="78" t="s">
        <v>43</v>
      </c>
      <c r="D373" s="79">
        <v>5</v>
      </c>
      <c r="E373" s="76" t="str">
        <f>IF(ISBLANK(Log[[#This Row],[Item]]),"",_xlfn.XLOOKUP(Log[[#This Row],[Item]],Calories[Name],Calories[Unit]))</f>
        <v>ea</v>
      </c>
      <c r="F373" s="65">
        <f>IF(ISBLANK(Log[[#This Row],[Item]]),"",_xlfn.XLOOKUP(Log[[#This Row],[Item]],Calories[Name],Calories[Cals])*Log[[#This Row],[Qty]])</f>
        <v>115</v>
      </c>
      <c r="G373" s="71">
        <f>IF(ISBLANK(Log[[#This Row],[Item]]),"",_xlfn.XLOOKUP(Log[[#This Row],[Item]],Calories[Name],Calories[Carbs])*Log[[#This Row],[Qty]])</f>
        <v>26.5</v>
      </c>
      <c r="H373" s="71">
        <f>IF(ISBLANK(Log[[#This Row],[Item]]),"",_xlfn.XLOOKUP(Log[[#This Row],[Item]],Calories[Name],Calories[Fibre])*Log[[#This Row],[Qty]])</f>
        <v>1.5</v>
      </c>
      <c r="I373" s="71">
        <f>IF(ISBLANK(Log[[#This Row],[Item]]),"",(Log[[#This Row],[Carbs]]-Log[[#This Row],[Fibre]]))</f>
        <v>25</v>
      </c>
      <c r="J373" s="103">
        <f>IF(ISBLANK(Log[[#This Row],[Item]]),"",_xlfn.XLOOKUP(Log[[#This Row],[Item]],Calories[Name],Calories[Sodium])*Log[[#This Row],[Qty]])</f>
        <v>570</v>
      </c>
      <c r="K373" s="71">
        <f>IF(ISBLANK(Log[[#This Row],[Item]]),"",_xlfn.XLOOKUP(Log[[#This Row],[Item]],Calories[Name],Calories[Protein])*Log[[#This Row],[Qty]])</f>
        <v>0.5</v>
      </c>
      <c r="L373" s="71">
        <f>IF(ISBLANK(Log[[#This Row],[Item]]),"",_xlfn.XLOOKUP(Log[[#This Row],[Item]],Calories[Name],Calories[Chol.])*Log[[#This Row],[Qty]])</f>
        <v>0</v>
      </c>
      <c r="M373" s="75"/>
      <c r="N373" s="75"/>
      <c r="O373" s="75"/>
    </row>
    <row r="374" spans="1:15" s="66" customFormat="1" ht="25.15" customHeight="1">
      <c r="A374" s="75"/>
      <c r="B374" s="98">
        <v>44830</v>
      </c>
      <c r="C374" s="78" t="s">
        <v>45</v>
      </c>
      <c r="D374" s="79">
        <v>2</v>
      </c>
      <c r="E374" s="76" t="str">
        <f>IF(ISBLANK(Log[[#This Row],[Item]]),"",_xlfn.XLOOKUP(Log[[#This Row],[Item]],Calories[Name],Calories[Unit]))</f>
        <v>pinch</v>
      </c>
      <c r="F374" s="65">
        <f>IF(ISBLANK(Log[[#This Row],[Item]]),"",_xlfn.XLOOKUP(Log[[#This Row],[Item]],Calories[Name],Calories[Cals])*Log[[#This Row],[Qty]])</f>
        <v>0</v>
      </c>
      <c r="G374" s="71">
        <f>IF(ISBLANK(Log[[#This Row],[Item]]),"",_xlfn.XLOOKUP(Log[[#This Row],[Item]],Calories[Name],Calories[Carbs])*Log[[#This Row],[Qty]])</f>
        <v>0</v>
      </c>
      <c r="H374" s="71">
        <f>IF(ISBLANK(Log[[#This Row],[Item]]),"",_xlfn.XLOOKUP(Log[[#This Row],[Item]],Calories[Name],Calories[Fibre])*Log[[#This Row],[Qty]])</f>
        <v>0</v>
      </c>
      <c r="I374" s="71">
        <f>IF(ISBLANK(Log[[#This Row],[Item]]),"",(Log[[#This Row],[Carbs]]-Log[[#This Row],[Fibre]]))</f>
        <v>0</v>
      </c>
      <c r="J374" s="103">
        <f>IF(ISBLANK(Log[[#This Row],[Item]]),"",_xlfn.XLOOKUP(Log[[#This Row],[Item]],Calories[Name],Calories[Sodium])*Log[[#This Row],[Qty]])</f>
        <v>279.05759999999998</v>
      </c>
      <c r="K374" s="71">
        <f>IF(ISBLANK(Log[[#This Row],[Item]]),"",_xlfn.XLOOKUP(Log[[#This Row],[Item]],Calories[Name],Calories[Protein])*Log[[#This Row],[Qty]])</f>
        <v>0</v>
      </c>
      <c r="L374" s="71">
        <f>IF(ISBLANK(Log[[#This Row],[Item]]),"",_xlfn.XLOOKUP(Log[[#This Row],[Item]],Calories[Name],Calories[Chol.])*Log[[#This Row],[Qty]])</f>
        <v>0</v>
      </c>
      <c r="M374" s="75"/>
      <c r="N374" s="75"/>
      <c r="O374" s="75"/>
    </row>
    <row r="375" spans="1:15" s="66" customFormat="1" ht="25.15" customHeight="1">
      <c r="A375" s="75"/>
      <c r="B375" s="98">
        <v>44830</v>
      </c>
      <c r="C375" s="78" t="s">
        <v>102</v>
      </c>
      <c r="D375" s="79">
        <v>0.67</v>
      </c>
      <c r="E375" s="76" t="str">
        <f>IF(ISBLANK(Log[[#This Row],[Item]]),"",_xlfn.XLOOKUP(Log[[#This Row],[Item]],Calories[Name],Calories[Unit]))</f>
        <v>tbsp</v>
      </c>
      <c r="F375" s="65">
        <f>IF(ISBLANK(Log[[#This Row],[Item]]),"",_xlfn.XLOOKUP(Log[[#This Row],[Item]],Calories[Name],Calories[Cals])*Log[[#This Row],[Qty]])</f>
        <v>30.150000000000002</v>
      </c>
      <c r="G375" s="71">
        <f>IF(ISBLANK(Log[[#This Row],[Item]]),"",_xlfn.XLOOKUP(Log[[#This Row],[Item]],Calories[Name],Calories[Carbs])*Log[[#This Row],[Qty]])</f>
        <v>6.7</v>
      </c>
      <c r="H375" s="71">
        <f>IF(ISBLANK(Log[[#This Row],[Item]]),"",_xlfn.XLOOKUP(Log[[#This Row],[Item]],Calories[Name],Calories[Fibre])*Log[[#This Row],[Qty]])</f>
        <v>0</v>
      </c>
      <c r="I375" s="71">
        <f>IF(ISBLANK(Log[[#This Row],[Item]]),"",(Log[[#This Row],[Carbs]]-Log[[#This Row],[Fibre]]))</f>
        <v>6.7</v>
      </c>
      <c r="J375" s="103">
        <f>IF(ISBLANK(Log[[#This Row],[Item]]),"",_xlfn.XLOOKUP(Log[[#This Row],[Item]],Calories[Name],Calories[Sodium])*Log[[#This Row],[Qty]])</f>
        <v>365.15000000000003</v>
      </c>
      <c r="K375" s="71">
        <f>IF(ISBLANK(Log[[#This Row],[Item]]),"",_xlfn.XLOOKUP(Log[[#This Row],[Item]],Calories[Name],Calories[Protein])*Log[[#This Row],[Qty]])</f>
        <v>0</v>
      </c>
      <c r="L375" s="71">
        <f>IF(ISBLANK(Log[[#This Row],[Item]]),"",_xlfn.XLOOKUP(Log[[#This Row],[Item]],Calories[Name],Calories[Chol.])*Log[[#This Row],[Qty]])</f>
        <v>0</v>
      </c>
      <c r="M375" s="75"/>
      <c r="N375" s="75"/>
      <c r="O375" s="75"/>
    </row>
    <row r="376" spans="1:15" s="66" customFormat="1" ht="25.15" customHeight="1">
      <c r="A376" s="75"/>
      <c r="B376" s="98">
        <v>44830</v>
      </c>
      <c r="C376" s="78" t="s">
        <v>89</v>
      </c>
      <c r="D376" s="79">
        <v>8</v>
      </c>
      <c r="E376" s="76" t="str">
        <f>IF(ISBLANK(Log[[#This Row],[Item]]),"",_xlfn.XLOOKUP(Log[[#This Row],[Item]],Calories[Name],Calories[Unit]))</f>
        <v>ea</v>
      </c>
      <c r="F376" s="65">
        <f>IF(ISBLANK(Log[[#This Row],[Item]]),"",_xlfn.XLOOKUP(Log[[#This Row],[Item]],Calories[Name],Calories[Cals])*Log[[#This Row],[Qty]])</f>
        <v>53.333333333333336</v>
      </c>
      <c r="G376" s="71">
        <f>IF(ISBLANK(Log[[#This Row],[Item]]),"",_xlfn.XLOOKUP(Log[[#This Row],[Item]],Calories[Name],Calories[Carbs])*Log[[#This Row],[Qty]])</f>
        <v>10.666666666666666</v>
      </c>
      <c r="H376" s="71">
        <f>IF(ISBLANK(Log[[#This Row],[Item]]),"",_xlfn.XLOOKUP(Log[[#This Row],[Item]],Calories[Name],Calories[Fibre])*Log[[#This Row],[Qty]])</f>
        <v>0</v>
      </c>
      <c r="I376" s="71">
        <f>IF(ISBLANK(Log[[#This Row],[Item]]),"",(Log[[#This Row],[Carbs]]-Log[[#This Row],[Fibre]]))</f>
        <v>10.666666666666666</v>
      </c>
      <c r="J376" s="103">
        <f>IF(ISBLANK(Log[[#This Row],[Item]]),"",_xlfn.XLOOKUP(Log[[#This Row],[Item]],Calories[Name],Calories[Sodium])*Log[[#This Row],[Qty]])</f>
        <v>56.666666666666664</v>
      </c>
      <c r="K376" s="71">
        <f>IF(ISBLANK(Log[[#This Row],[Item]]),"",_xlfn.XLOOKUP(Log[[#This Row],[Item]],Calories[Name],Calories[Protein])*Log[[#This Row],[Qty]])</f>
        <v>1.3333333333333333</v>
      </c>
      <c r="L376" s="71">
        <f>IF(ISBLANK(Log[[#This Row],[Item]]),"",_xlfn.XLOOKUP(Log[[#This Row],[Item]],Calories[Name],Calories[Chol.])*Log[[#This Row],[Qty]])</f>
        <v>0</v>
      </c>
      <c r="M376" s="75"/>
      <c r="N376" s="75"/>
      <c r="O376" s="75"/>
    </row>
    <row r="377" spans="1:15" s="66" customFormat="1" ht="25.15" customHeight="1">
      <c r="A377" s="75"/>
      <c r="B377" s="98">
        <v>44830</v>
      </c>
      <c r="C377" s="78" t="s">
        <v>47</v>
      </c>
      <c r="D377" s="79">
        <v>1</v>
      </c>
      <c r="E377" s="76" t="str">
        <f>IF(ISBLANK(Log[[#This Row],[Item]]),"",_xlfn.XLOOKUP(Log[[#This Row],[Item]],Calories[Name],Calories[Unit]))</f>
        <v>can</v>
      </c>
      <c r="F377" s="65">
        <f>IF(ISBLANK(Log[[#This Row],[Item]]),"",_xlfn.XLOOKUP(Log[[#This Row],[Item]],Calories[Name],Calories[Cals])*Log[[#This Row],[Qty]])</f>
        <v>130</v>
      </c>
      <c r="G377" s="71">
        <f>IF(ISBLANK(Log[[#This Row],[Item]]),"",_xlfn.XLOOKUP(Log[[#This Row],[Item]],Calories[Name],Calories[Carbs])*Log[[#This Row],[Qty]])</f>
        <v>2</v>
      </c>
      <c r="H377" s="71">
        <f>IF(ISBLANK(Log[[#This Row],[Item]]),"",_xlfn.XLOOKUP(Log[[#This Row],[Item]],Calories[Name],Calories[Fibre])*Log[[#This Row],[Qty]])</f>
        <v>0</v>
      </c>
      <c r="I377" s="71">
        <f>IF(ISBLANK(Log[[#This Row],[Item]]),"",(Log[[#This Row],[Carbs]]-Log[[#This Row],[Fibre]]))</f>
        <v>2</v>
      </c>
      <c r="J377" s="103">
        <f>IF(ISBLANK(Log[[#This Row],[Item]]),"",_xlfn.XLOOKUP(Log[[#This Row],[Item]],Calories[Name],Calories[Sodium])*Log[[#This Row],[Qty]])</f>
        <v>210</v>
      </c>
      <c r="K377" s="71">
        <f>IF(ISBLANK(Log[[#This Row],[Item]]),"",_xlfn.XLOOKUP(Log[[#This Row],[Item]],Calories[Name],Calories[Protein])*Log[[#This Row],[Qty]])</f>
        <v>13</v>
      </c>
      <c r="L377" s="71">
        <f>IF(ISBLANK(Log[[#This Row],[Item]]),"",_xlfn.XLOOKUP(Log[[#This Row],[Item]],Calories[Name],Calories[Chol.])*Log[[#This Row],[Qty]])</f>
        <v>75</v>
      </c>
      <c r="M377" s="75"/>
      <c r="N377" s="75"/>
      <c r="O377" s="75"/>
    </row>
    <row r="378" spans="1:15" s="66" customFormat="1" ht="25.15" customHeight="1">
      <c r="A378" s="75"/>
      <c r="B378" s="98">
        <v>44831</v>
      </c>
      <c r="C378" s="78" t="s">
        <v>52</v>
      </c>
      <c r="D378" s="79">
        <v>1</v>
      </c>
      <c r="E378" s="76" t="str">
        <f>IF(ISBLANK(Log[[#This Row],[Item]]),"",_xlfn.XLOOKUP(Log[[#This Row],[Item]],Calories[Name],Calories[Unit]))</f>
        <v>ea</v>
      </c>
      <c r="F378" s="65">
        <f>IF(ISBLANK(Log[[#This Row],[Item]]),"",_xlfn.XLOOKUP(Log[[#This Row],[Item]],Calories[Name],Calories[Cals])*Log[[#This Row],[Qty]])</f>
        <v>0</v>
      </c>
      <c r="G378" s="71">
        <f>IF(ISBLANK(Log[[#This Row],[Item]]),"",_xlfn.XLOOKUP(Log[[#This Row],[Item]],Calories[Name],Calories[Carbs])*Log[[#This Row],[Qty]])</f>
        <v>0</v>
      </c>
      <c r="H378" s="71">
        <f>IF(ISBLANK(Log[[#This Row],[Item]]),"",_xlfn.XLOOKUP(Log[[#This Row],[Item]],Calories[Name],Calories[Fibre])*Log[[#This Row],[Qty]])</f>
        <v>0</v>
      </c>
      <c r="I378" s="71">
        <f>IF(ISBLANK(Log[[#This Row],[Item]]),"",(Log[[#This Row],[Carbs]]-Log[[#This Row],[Fibre]]))</f>
        <v>0</v>
      </c>
      <c r="J378" s="103">
        <f>IF(ISBLANK(Log[[#This Row],[Item]]),"",_xlfn.XLOOKUP(Log[[#This Row],[Item]],Calories[Name],Calories[Sodium])*Log[[#This Row],[Qty]])</f>
        <v>0</v>
      </c>
      <c r="K378" s="71">
        <f>IF(ISBLANK(Log[[#This Row],[Item]]),"",_xlfn.XLOOKUP(Log[[#This Row],[Item]],Calories[Name],Calories[Protein])*Log[[#This Row],[Qty]])</f>
        <v>0</v>
      </c>
      <c r="L378" s="71">
        <f>IF(ISBLANK(Log[[#This Row],[Item]]),"",_xlfn.XLOOKUP(Log[[#This Row],[Item]],Calories[Name],Calories[Chol.])*Log[[#This Row],[Qty]])</f>
        <v>0</v>
      </c>
      <c r="M378" s="75"/>
      <c r="N378" s="75"/>
      <c r="O378" s="75"/>
    </row>
    <row r="379" spans="1:15" s="66" customFormat="1" ht="25.15" customHeight="1">
      <c r="A379" s="75"/>
      <c r="B379" s="98">
        <v>44831</v>
      </c>
      <c r="C379" s="78" t="s">
        <v>53</v>
      </c>
      <c r="D379" s="79">
        <v>1</v>
      </c>
      <c r="E379" s="76" t="str">
        <f>IF(ISBLANK(Log[[#This Row],[Item]]),"",_xlfn.XLOOKUP(Log[[#This Row],[Item]],Calories[Name],Calories[Unit]))</f>
        <v>ea</v>
      </c>
      <c r="F379" s="65">
        <f>IF(ISBLANK(Log[[#This Row],[Item]]),"",_xlfn.XLOOKUP(Log[[#This Row],[Item]],Calories[Name],Calories[Cals])*Log[[#This Row],[Qty]])</f>
        <v>0</v>
      </c>
      <c r="G379" s="71">
        <f>IF(ISBLANK(Log[[#This Row],[Item]]),"",_xlfn.XLOOKUP(Log[[#This Row],[Item]],Calories[Name],Calories[Carbs])*Log[[#This Row],[Qty]])</f>
        <v>0</v>
      </c>
      <c r="H379" s="71">
        <f>IF(ISBLANK(Log[[#This Row],[Item]]),"",_xlfn.XLOOKUP(Log[[#This Row],[Item]],Calories[Name],Calories[Fibre])*Log[[#This Row],[Qty]])</f>
        <v>0</v>
      </c>
      <c r="I379" s="71">
        <f>IF(ISBLANK(Log[[#This Row],[Item]]),"",(Log[[#This Row],[Carbs]]-Log[[#This Row],[Fibre]]))</f>
        <v>0</v>
      </c>
      <c r="J379" s="103">
        <f>IF(ISBLANK(Log[[#This Row],[Item]]),"",_xlfn.XLOOKUP(Log[[#This Row],[Item]],Calories[Name],Calories[Sodium])*Log[[#This Row],[Qty]])</f>
        <v>0</v>
      </c>
      <c r="K379" s="71">
        <f>IF(ISBLANK(Log[[#This Row],[Item]]),"",_xlfn.XLOOKUP(Log[[#This Row],[Item]],Calories[Name],Calories[Protein])*Log[[#This Row],[Qty]])</f>
        <v>0</v>
      </c>
      <c r="L379" s="71">
        <f>IF(ISBLANK(Log[[#This Row],[Item]]),"",_xlfn.XLOOKUP(Log[[#This Row],[Item]],Calories[Name],Calories[Chol.])*Log[[#This Row],[Qty]])</f>
        <v>0</v>
      </c>
      <c r="M379" s="75"/>
      <c r="N379" s="75"/>
      <c r="O379" s="75"/>
    </row>
    <row r="380" spans="1:15" s="66" customFormat="1" ht="25.15" customHeight="1">
      <c r="A380" s="75"/>
      <c r="B380" s="98">
        <v>44831</v>
      </c>
      <c r="C380" s="78" t="s">
        <v>54</v>
      </c>
      <c r="D380" s="79">
        <v>1</v>
      </c>
      <c r="E380" s="76" t="str">
        <f>IF(ISBLANK(Log[[#This Row],[Item]]),"",_xlfn.XLOOKUP(Log[[#This Row],[Item]],Calories[Name],Calories[Unit]))</f>
        <v>ea</v>
      </c>
      <c r="F380" s="65">
        <f>IF(ISBLANK(Log[[#This Row],[Item]]),"",_xlfn.XLOOKUP(Log[[#This Row],[Item]],Calories[Name],Calories[Cals])*Log[[#This Row],[Qty]])</f>
        <v>0</v>
      </c>
      <c r="G380" s="71">
        <f>IF(ISBLANK(Log[[#This Row],[Item]]),"",_xlfn.XLOOKUP(Log[[#This Row],[Item]],Calories[Name],Calories[Carbs])*Log[[#This Row],[Qty]])</f>
        <v>0</v>
      </c>
      <c r="H380" s="71">
        <f>IF(ISBLANK(Log[[#This Row],[Item]]),"",_xlfn.XLOOKUP(Log[[#This Row],[Item]],Calories[Name],Calories[Fibre])*Log[[#This Row],[Qty]])</f>
        <v>0</v>
      </c>
      <c r="I380" s="71">
        <f>IF(ISBLANK(Log[[#This Row],[Item]]),"",(Log[[#This Row],[Carbs]]-Log[[#This Row],[Fibre]]))</f>
        <v>0</v>
      </c>
      <c r="J380" s="103">
        <f>IF(ISBLANK(Log[[#This Row],[Item]]),"",_xlfn.XLOOKUP(Log[[#This Row],[Item]],Calories[Name],Calories[Sodium])*Log[[#This Row],[Qty]])</f>
        <v>0</v>
      </c>
      <c r="K380" s="71">
        <f>IF(ISBLANK(Log[[#This Row],[Item]]),"",_xlfn.XLOOKUP(Log[[#This Row],[Item]],Calories[Name],Calories[Protein])*Log[[#This Row],[Qty]])</f>
        <v>0</v>
      </c>
      <c r="L380" s="71">
        <f>IF(ISBLANK(Log[[#This Row],[Item]]),"",_xlfn.XLOOKUP(Log[[#This Row],[Item]],Calories[Name],Calories[Chol.])*Log[[#This Row],[Qty]])</f>
        <v>0</v>
      </c>
      <c r="M380" s="75"/>
      <c r="N380" s="75"/>
      <c r="O380" s="75"/>
    </row>
    <row r="381" spans="1:15" s="66" customFormat="1" ht="25.15" customHeight="1">
      <c r="A381" s="75"/>
      <c r="B381" s="98">
        <v>44831</v>
      </c>
      <c r="C381" s="78" t="s">
        <v>55</v>
      </c>
      <c r="D381" s="79">
        <v>1</v>
      </c>
      <c r="E381" s="76" t="str">
        <f>IF(ISBLANK(Log[[#This Row],[Item]]),"",_xlfn.XLOOKUP(Log[[#This Row],[Item]],Calories[Name],Calories[Unit]))</f>
        <v>ea</v>
      </c>
      <c r="F381" s="65">
        <f>IF(ISBLANK(Log[[#This Row],[Item]]),"",_xlfn.XLOOKUP(Log[[#This Row],[Item]],Calories[Name],Calories[Cals])*Log[[#This Row],[Qty]])</f>
        <v>0</v>
      </c>
      <c r="G381" s="71">
        <f>IF(ISBLANK(Log[[#This Row],[Item]]),"",_xlfn.XLOOKUP(Log[[#This Row],[Item]],Calories[Name],Calories[Carbs])*Log[[#This Row],[Qty]])</f>
        <v>0</v>
      </c>
      <c r="H381" s="71">
        <f>IF(ISBLANK(Log[[#This Row],[Item]]),"",_xlfn.XLOOKUP(Log[[#This Row],[Item]],Calories[Name],Calories[Fibre])*Log[[#This Row],[Qty]])</f>
        <v>0</v>
      </c>
      <c r="I381" s="71">
        <f>IF(ISBLANK(Log[[#This Row],[Item]]),"",(Log[[#This Row],[Carbs]]-Log[[#This Row],[Fibre]]))</f>
        <v>0</v>
      </c>
      <c r="J381" s="103">
        <f>IF(ISBLANK(Log[[#This Row],[Item]]),"",_xlfn.XLOOKUP(Log[[#This Row],[Item]],Calories[Name],Calories[Sodium])*Log[[#This Row],[Qty]])</f>
        <v>0</v>
      </c>
      <c r="K381" s="71">
        <f>IF(ISBLANK(Log[[#This Row],[Item]]),"",_xlfn.XLOOKUP(Log[[#This Row],[Item]],Calories[Name],Calories[Protein])*Log[[#This Row],[Qty]])</f>
        <v>0</v>
      </c>
      <c r="L381" s="71">
        <f>IF(ISBLANK(Log[[#This Row],[Item]]),"",_xlfn.XLOOKUP(Log[[#This Row],[Item]],Calories[Name],Calories[Chol.])*Log[[#This Row],[Qty]])</f>
        <v>0</v>
      </c>
      <c r="M381" s="75"/>
      <c r="N381" s="75"/>
      <c r="O381" s="75"/>
    </row>
    <row r="382" spans="1:15" s="66" customFormat="1" ht="25.15" customHeight="1">
      <c r="A382" s="75"/>
      <c r="B382" s="98">
        <v>44831</v>
      </c>
      <c r="C382" s="78" t="s">
        <v>36</v>
      </c>
      <c r="D382" s="79">
        <v>1</v>
      </c>
      <c r="E382" s="76" t="str">
        <f>IF(ISBLANK(Log[[#This Row],[Item]]),"",_xlfn.XLOOKUP(Log[[#This Row],[Item]],Calories[Name],Calories[Unit]))</f>
        <v>ea</v>
      </c>
      <c r="F382" s="65">
        <f>IF(ISBLANK(Log[[#This Row],[Item]]),"",_xlfn.XLOOKUP(Log[[#This Row],[Item]],Calories[Name],Calories[Cals])*Log[[#This Row],[Qty]])</f>
        <v>240</v>
      </c>
      <c r="G382" s="71">
        <f>IF(ISBLANK(Log[[#This Row],[Item]]),"",_xlfn.XLOOKUP(Log[[#This Row],[Item]],Calories[Name],Calories[Carbs])*Log[[#This Row],[Qty]])</f>
        <v>13</v>
      </c>
      <c r="H382" s="71">
        <f>IF(ISBLANK(Log[[#This Row],[Item]]),"",_xlfn.XLOOKUP(Log[[#This Row],[Item]],Calories[Name],Calories[Fibre])*Log[[#This Row],[Qty]])</f>
        <v>10</v>
      </c>
      <c r="I382" s="71">
        <f>IF(ISBLANK(Log[[#This Row],[Item]]),"",(Log[[#This Row],[Carbs]]-Log[[#This Row],[Fibre]]))</f>
        <v>3</v>
      </c>
      <c r="J382" s="103">
        <f>IF(ISBLANK(Log[[#This Row],[Item]]),"",_xlfn.XLOOKUP(Log[[#This Row],[Item]],Calories[Name],Calories[Sodium])*Log[[#This Row],[Qty]])</f>
        <v>11</v>
      </c>
      <c r="K382" s="71">
        <f>IF(ISBLANK(Log[[#This Row],[Item]]),"",_xlfn.XLOOKUP(Log[[#This Row],[Item]],Calories[Name],Calories[Protein])*Log[[#This Row],[Qty]])</f>
        <v>3</v>
      </c>
      <c r="L382" s="71">
        <f>IF(ISBLANK(Log[[#This Row],[Item]]),"",_xlfn.XLOOKUP(Log[[#This Row],[Item]],Calories[Name],Calories[Chol.])*Log[[#This Row],[Qty]])</f>
        <v>0</v>
      </c>
      <c r="M382" s="75"/>
      <c r="N382" s="75"/>
      <c r="O382" s="75"/>
    </row>
    <row r="383" spans="1:15" s="66" customFormat="1" ht="25.15" customHeight="1">
      <c r="A383" s="75"/>
      <c r="B383" s="98">
        <v>44831</v>
      </c>
      <c r="C383" s="78" t="s">
        <v>35</v>
      </c>
      <c r="D383" s="79">
        <v>1</v>
      </c>
      <c r="E383" s="76" t="str">
        <f>IF(ISBLANK(Log[[#This Row],[Item]]),"",_xlfn.XLOOKUP(Log[[#This Row],[Item]],Calories[Name],Calories[Unit]))</f>
        <v>tbsp</v>
      </c>
      <c r="F383" s="65">
        <f>IF(ISBLANK(Log[[#This Row],[Item]]),"",_xlfn.XLOOKUP(Log[[#This Row],[Item]],Calories[Name],Calories[Cals])*Log[[#This Row],[Qty]])</f>
        <v>90</v>
      </c>
      <c r="G383" s="71">
        <f>IF(ISBLANK(Log[[#This Row],[Item]]),"",_xlfn.XLOOKUP(Log[[#This Row],[Item]],Calories[Name],Calories[Carbs])*Log[[#This Row],[Qty]])</f>
        <v>0</v>
      </c>
      <c r="H383" s="71">
        <f>IF(ISBLANK(Log[[#This Row],[Item]]),"",_xlfn.XLOOKUP(Log[[#This Row],[Item]],Calories[Name],Calories[Fibre])*Log[[#This Row],[Qty]])</f>
        <v>0</v>
      </c>
      <c r="I383" s="71">
        <f>IF(ISBLANK(Log[[#This Row],[Item]]),"",(Log[[#This Row],[Carbs]]-Log[[#This Row],[Fibre]]))</f>
        <v>0</v>
      </c>
      <c r="J383" s="103">
        <f>IF(ISBLANK(Log[[#This Row],[Item]]),"",_xlfn.XLOOKUP(Log[[#This Row],[Item]],Calories[Name],Calories[Sodium])*Log[[#This Row],[Qty]])</f>
        <v>90</v>
      </c>
      <c r="K383" s="71">
        <f>IF(ISBLANK(Log[[#This Row],[Item]]),"",_xlfn.XLOOKUP(Log[[#This Row],[Item]],Calories[Name],Calories[Protein])*Log[[#This Row],[Qty]])</f>
        <v>0</v>
      </c>
      <c r="L383" s="71">
        <f>IF(ISBLANK(Log[[#This Row],[Item]]),"",_xlfn.XLOOKUP(Log[[#This Row],[Item]],Calories[Name],Calories[Chol.])*Log[[#This Row],[Qty]])</f>
        <v>5</v>
      </c>
      <c r="M383" s="75"/>
      <c r="N383" s="75"/>
      <c r="O383" s="75"/>
    </row>
    <row r="384" spans="1:15" s="66" customFormat="1" ht="25.15" customHeight="1">
      <c r="A384" s="75"/>
      <c r="B384" s="98">
        <v>44831</v>
      </c>
      <c r="C384" s="78" t="s">
        <v>87</v>
      </c>
      <c r="D384" s="79">
        <v>0.25</v>
      </c>
      <c r="E384" s="76" t="str">
        <f>IF(ISBLANK(Log[[#This Row],[Item]]),"",_xlfn.XLOOKUP(Log[[#This Row],[Item]],Calories[Name],Calories[Unit]))</f>
        <v>tsp</v>
      </c>
      <c r="F384" s="65">
        <f>IF(ISBLANK(Log[[#This Row],[Item]]),"",_xlfn.XLOOKUP(Log[[#This Row],[Item]],Calories[Name],Calories[Cals])*Log[[#This Row],[Qty]])</f>
        <v>1.5</v>
      </c>
      <c r="G384" s="71">
        <f>IF(ISBLANK(Log[[#This Row],[Item]]),"",_xlfn.XLOOKUP(Log[[#This Row],[Item]],Calories[Name],Calories[Carbs])*Log[[#This Row],[Qty]])</f>
        <v>0.3</v>
      </c>
      <c r="H384" s="71">
        <f>IF(ISBLANK(Log[[#This Row],[Item]]),"",_xlfn.XLOOKUP(Log[[#This Row],[Item]],Calories[Name],Calories[Fibre])*Log[[#This Row],[Qty]])</f>
        <v>2.5000000000000001E-2</v>
      </c>
      <c r="I384" s="71">
        <f>IF(ISBLANK(Log[[#This Row],[Item]]),"",(Log[[#This Row],[Carbs]]-Log[[#This Row],[Fibre]]))</f>
        <v>0.27499999999999997</v>
      </c>
      <c r="J384" s="103">
        <f>IF(ISBLANK(Log[[#This Row],[Item]]),"",_xlfn.XLOOKUP(Log[[#This Row],[Item]],Calories[Name],Calories[Sodium])*Log[[#This Row],[Qty]])</f>
        <v>34.5</v>
      </c>
      <c r="K384" s="71">
        <f>IF(ISBLANK(Log[[#This Row],[Item]]),"",_xlfn.XLOOKUP(Log[[#This Row],[Item]],Calories[Name],Calories[Protein])*Log[[#This Row],[Qty]])</f>
        <v>2.5000000000000001E-2</v>
      </c>
      <c r="L384" s="71">
        <f>IF(ISBLANK(Log[[#This Row],[Item]]),"",_xlfn.XLOOKUP(Log[[#This Row],[Item]],Calories[Name],Calories[Chol.])*Log[[#This Row],[Qty]])</f>
        <v>0</v>
      </c>
      <c r="M384" s="75"/>
      <c r="N384" s="75"/>
      <c r="O384" s="75"/>
    </row>
    <row r="385" spans="1:15" s="66" customFormat="1" ht="25.15" customHeight="1">
      <c r="A385" s="75"/>
      <c r="B385" s="98">
        <v>44831</v>
      </c>
      <c r="C385" s="78" t="s">
        <v>103</v>
      </c>
      <c r="D385" s="79">
        <v>1</v>
      </c>
      <c r="E385" s="76" t="str">
        <f>IF(ISBLANK(Log[[#This Row],[Item]]),"",_xlfn.XLOOKUP(Log[[#This Row],[Item]],Calories[Name],Calories[Unit]))</f>
        <v>ea</v>
      </c>
      <c r="F385" s="65">
        <f>IF(ISBLANK(Log[[#This Row],[Item]]),"",_xlfn.XLOOKUP(Log[[#This Row],[Item]],Calories[Name],Calories[Cals])*Log[[#This Row],[Qty]])</f>
        <v>440</v>
      </c>
      <c r="G385" s="71">
        <f>IF(ISBLANK(Log[[#This Row],[Item]]),"",_xlfn.XLOOKUP(Log[[#This Row],[Item]],Calories[Name],Calories[Carbs])*Log[[#This Row],[Qty]])</f>
        <v>31</v>
      </c>
      <c r="H385" s="71">
        <f>IF(ISBLANK(Log[[#This Row],[Item]]),"",_xlfn.XLOOKUP(Log[[#This Row],[Item]],Calories[Name],Calories[Fibre])*Log[[#This Row],[Qty]])</f>
        <v>2</v>
      </c>
      <c r="I385" s="71">
        <f>IF(ISBLANK(Log[[#This Row],[Item]]),"",(Log[[#This Row],[Carbs]]-Log[[#This Row],[Fibre]]))</f>
        <v>29</v>
      </c>
      <c r="J385" s="103">
        <f>IF(ISBLANK(Log[[#This Row],[Item]]),"",_xlfn.XLOOKUP(Log[[#This Row],[Item]],Calories[Name],Calories[Sodium])*Log[[#This Row],[Qty]])</f>
        <v>840</v>
      </c>
      <c r="K385" s="71">
        <f>IF(ISBLANK(Log[[#This Row],[Item]]),"",_xlfn.XLOOKUP(Log[[#This Row],[Item]],Calories[Name],Calories[Protein])*Log[[#This Row],[Qty]])</f>
        <v>20</v>
      </c>
      <c r="L385" s="71">
        <f>IF(ISBLANK(Log[[#This Row],[Item]]),"",_xlfn.XLOOKUP(Log[[#This Row],[Item]],Calories[Name],Calories[Chol.])*Log[[#This Row],[Qty]])</f>
        <v>220</v>
      </c>
      <c r="M385" s="75"/>
      <c r="N385" s="75"/>
      <c r="O385" s="75"/>
    </row>
    <row r="386" spans="1:15" s="66" customFormat="1" ht="25.15" customHeight="1">
      <c r="A386" s="75"/>
      <c r="B386" s="98">
        <v>44831</v>
      </c>
      <c r="C386" s="78" t="s">
        <v>104</v>
      </c>
      <c r="D386" s="79">
        <v>1</v>
      </c>
      <c r="E386" s="76" t="str">
        <f>IF(ISBLANK(Log[[#This Row],[Item]]),"",_xlfn.XLOOKUP(Log[[#This Row],[Item]],Calories[Name],Calories[Unit]))</f>
        <v>c</v>
      </c>
      <c r="F386" s="65">
        <f>IF(ISBLANK(Log[[#This Row],[Item]]),"",_xlfn.XLOOKUP(Log[[#This Row],[Item]],Calories[Name],Calories[Cals])*Log[[#This Row],[Qty]])</f>
        <v>450</v>
      </c>
      <c r="G386" s="71">
        <f>IF(ISBLANK(Log[[#This Row],[Item]]),"",_xlfn.XLOOKUP(Log[[#This Row],[Item]],Calories[Name],Calories[Carbs])*Log[[#This Row],[Qty]])</f>
        <v>9</v>
      </c>
      <c r="H386" s="71">
        <f>IF(ISBLANK(Log[[#This Row],[Item]]),"",_xlfn.XLOOKUP(Log[[#This Row],[Item]],Calories[Name],Calories[Fibre])*Log[[#This Row],[Qty]])</f>
        <v>0</v>
      </c>
      <c r="I386" s="71">
        <f>IF(ISBLANK(Log[[#This Row],[Item]]),"",(Log[[#This Row],[Carbs]]-Log[[#This Row],[Fibre]]))</f>
        <v>9</v>
      </c>
      <c r="J386" s="103">
        <f>IF(ISBLANK(Log[[#This Row],[Item]]),"",_xlfn.XLOOKUP(Log[[#This Row],[Item]],Calories[Name],Calories[Sodium])*Log[[#This Row],[Qty]])</f>
        <v>60</v>
      </c>
      <c r="K386" s="71">
        <f>IF(ISBLANK(Log[[#This Row],[Item]]),"",_xlfn.XLOOKUP(Log[[#This Row],[Item]],Calories[Name],Calories[Protein])*Log[[#This Row],[Qty]])</f>
        <v>3</v>
      </c>
      <c r="L386" s="71">
        <f>IF(ISBLANK(Log[[#This Row],[Item]]),"",_xlfn.XLOOKUP(Log[[#This Row],[Item]],Calories[Name],Calories[Chol.])*Log[[#This Row],[Qty]])</f>
        <v>0</v>
      </c>
      <c r="M386" s="75"/>
      <c r="N386" s="75"/>
      <c r="O386" s="75"/>
    </row>
    <row r="387" spans="1:15" s="66" customFormat="1" ht="25.15" customHeight="1">
      <c r="A387" s="75"/>
      <c r="B387" s="98">
        <v>44831</v>
      </c>
      <c r="C387" s="78" t="s">
        <v>105</v>
      </c>
      <c r="D387" s="79">
        <v>100</v>
      </c>
      <c r="E387" s="76" t="str">
        <f>IF(ISBLANK(Log[[#This Row],[Item]]),"",_xlfn.XLOOKUP(Log[[#This Row],[Item]],Calories[Name],Calories[Unit]))</f>
        <v>g</v>
      </c>
      <c r="F387" s="65">
        <f>IF(ISBLANK(Log[[#This Row],[Item]]),"",_xlfn.XLOOKUP(Log[[#This Row],[Item]],Calories[Name],Calories[Cals])*Log[[#This Row],[Qty]])</f>
        <v>530</v>
      </c>
      <c r="G387" s="71">
        <f>IF(ISBLANK(Log[[#This Row],[Item]]),"",_xlfn.XLOOKUP(Log[[#This Row],[Item]],Calories[Name],Calories[Carbs])*Log[[#This Row],[Qty]])</f>
        <v>7.1</v>
      </c>
      <c r="H387" s="71">
        <f>IF(ISBLANK(Log[[#This Row],[Item]]),"",_xlfn.XLOOKUP(Log[[#This Row],[Item]],Calories[Name],Calories[Fibre])*Log[[#This Row],[Qty]])</f>
        <v>3</v>
      </c>
      <c r="I387" s="71">
        <f>IF(ISBLANK(Log[[#This Row],[Item]]),"",(Log[[#This Row],[Carbs]]-Log[[#This Row],[Fibre]]))</f>
        <v>4.0999999999999996</v>
      </c>
      <c r="J387" s="103">
        <f>IF(ISBLANK(Log[[#This Row],[Item]]),"",_xlfn.XLOOKUP(Log[[#This Row],[Item]],Calories[Name],Calories[Sodium])*Log[[#This Row],[Qty]])</f>
        <v>12</v>
      </c>
      <c r="K387" s="71">
        <f>IF(ISBLANK(Log[[#This Row],[Item]]),"",_xlfn.XLOOKUP(Log[[#This Row],[Item]],Calories[Name],Calories[Protein])*Log[[#This Row],[Qty]])</f>
        <v>50</v>
      </c>
      <c r="L387" s="71">
        <f>IF(ISBLANK(Log[[#This Row],[Item]]),"",_xlfn.XLOOKUP(Log[[#This Row],[Item]],Calories[Name],Calories[Chol.])*Log[[#This Row],[Qty]])</f>
        <v>0</v>
      </c>
      <c r="M387" s="75"/>
      <c r="N387" s="75"/>
      <c r="O387" s="75"/>
    </row>
    <row r="388" spans="1:15" s="66" customFormat="1" ht="25.15" customHeight="1">
      <c r="A388" s="75"/>
      <c r="B388" s="98">
        <v>44831</v>
      </c>
      <c r="C388" s="78" t="s">
        <v>64</v>
      </c>
      <c r="D388" s="79">
        <v>2</v>
      </c>
      <c r="E388" s="76" t="str">
        <f>IF(ISBLANK(Log[[#This Row],[Item]]),"",_xlfn.XLOOKUP(Log[[#This Row],[Item]],Calories[Name],Calories[Unit]))</f>
        <v>c</v>
      </c>
      <c r="F388" s="65">
        <f>IF(ISBLANK(Log[[#This Row],[Item]]),"",_xlfn.XLOOKUP(Log[[#This Row],[Item]],Calories[Name],Calories[Cals])*Log[[#This Row],[Qty]])</f>
        <v>62</v>
      </c>
      <c r="G388" s="71">
        <f>IF(ISBLANK(Log[[#This Row],[Item]]),"",_xlfn.XLOOKUP(Log[[#This Row],[Item]],Calories[Name],Calories[Carbs])*Log[[#This Row],[Qty]])</f>
        <v>14.06</v>
      </c>
      <c r="H388" s="71">
        <f>IF(ISBLANK(Log[[#This Row],[Item]]),"",_xlfn.XLOOKUP(Log[[#This Row],[Item]],Calories[Name],Calories[Fibre])*Log[[#This Row],[Qty]])</f>
        <v>6.4</v>
      </c>
      <c r="I388" s="71">
        <f>IF(ISBLANK(Log[[#This Row],[Item]]),"",(Log[[#This Row],[Carbs]]-Log[[#This Row],[Fibre]]))</f>
        <v>7.66</v>
      </c>
      <c r="J388" s="103">
        <f>IF(ISBLANK(Log[[#This Row],[Item]]),"",_xlfn.XLOOKUP(Log[[#This Row],[Item]],Calories[Name],Calories[Sodium])*Log[[#This Row],[Qty]])</f>
        <v>16</v>
      </c>
      <c r="K388" s="71">
        <f>IF(ISBLANK(Log[[#This Row],[Item]]),"",_xlfn.XLOOKUP(Log[[#This Row],[Item]],Calories[Name],Calories[Protein])*Log[[#This Row],[Qty]])</f>
        <v>4</v>
      </c>
      <c r="L388" s="71">
        <f>IF(ISBLANK(Log[[#This Row],[Item]]),"",_xlfn.XLOOKUP(Log[[#This Row],[Item]],Calories[Name],Calories[Chol.])*Log[[#This Row],[Qty]])</f>
        <v>0</v>
      </c>
      <c r="M388" s="75"/>
      <c r="N388" s="75"/>
      <c r="O388" s="75"/>
    </row>
    <row r="389" spans="1:15" s="66" customFormat="1" ht="25.15" customHeight="1">
      <c r="A389" s="75"/>
      <c r="B389" s="98">
        <v>44831</v>
      </c>
      <c r="C389" s="78" t="s">
        <v>45</v>
      </c>
      <c r="D389" s="79">
        <v>3</v>
      </c>
      <c r="E389" s="76" t="str">
        <f>IF(ISBLANK(Log[[#This Row],[Item]]),"",_xlfn.XLOOKUP(Log[[#This Row],[Item]],Calories[Name],Calories[Unit]))</f>
        <v>pinch</v>
      </c>
      <c r="F389" s="65">
        <f>IF(ISBLANK(Log[[#This Row],[Item]]),"",_xlfn.XLOOKUP(Log[[#This Row],[Item]],Calories[Name],Calories[Cals])*Log[[#This Row],[Qty]])</f>
        <v>0</v>
      </c>
      <c r="G389" s="71">
        <f>IF(ISBLANK(Log[[#This Row],[Item]]),"",_xlfn.XLOOKUP(Log[[#This Row],[Item]],Calories[Name],Calories[Carbs])*Log[[#This Row],[Qty]])</f>
        <v>0</v>
      </c>
      <c r="H389" s="71">
        <f>IF(ISBLANK(Log[[#This Row],[Item]]),"",_xlfn.XLOOKUP(Log[[#This Row],[Item]],Calories[Name],Calories[Fibre])*Log[[#This Row],[Qty]])</f>
        <v>0</v>
      </c>
      <c r="I389" s="71">
        <f>IF(ISBLANK(Log[[#This Row],[Item]]),"",(Log[[#This Row],[Carbs]]-Log[[#This Row],[Fibre]]))</f>
        <v>0</v>
      </c>
      <c r="J389" s="103">
        <f>IF(ISBLANK(Log[[#This Row],[Item]]),"",_xlfn.XLOOKUP(Log[[#This Row],[Item]],Calories[Name],Calories[Sodium])*Log[[#This Row],[Qty]])</f>
        <v>418.58639999999997</v>
      </c>
      <c r="K389" s="71">
        <f>IF(ISBLANK(Log[[#This Row],[Item]]),"",_xlfn.XLOOKUP(Log[[#This Row],[Item]],Calories[Name],Calories[Protein])*Log[[#This Row],[Qty]])</f>
        <v>0</v>
      </c>
      <c r="L389" s="71">
        <f>IF(ISBLANK(Log[[#This Row],[Item]]),"",_xlfn.XLOOKUP(Log[[#This Row],[Item]],Calories[Name],Calories[Chol.])*Log[[#This Row],[Qty]])</f>
        <v>0</v>
      </c>
      <c r="M389" s="75"/>
      <c r="N389" s="75"/>
      <c r="O389" s="75"/>
    </row>
    <row r="390" spans="1:15" s="66" customFormat="1" ht="25.15" customHeight="1">
      <c r="A390" s="75"/>
      <c r="B390" s="98">
        <v>44831</v>
      </c>
      <c r="C390" s="78" t="s">
        <v>89</v>
      </c>
      <c r="D390" s="79">
        <v>13</v>
      </c>
      <c r="E390" s="76" t="str">
        <f>IF(ISBLANK(Log[[#This Row],[Item]]),"",_xlfn.XLOOKUP(Log[[#This Row],[Item]],Calories[Name],Calories[Unit]))</f>
        <v>ea</v>
      </c>
      <c r="F390" s="65">
        <f>IF(ISBLANK(Log[[#This Row],[Item]]),"",_xlfn.XLOOKUP(Log[[#This Row],[Item]],Calories[Name],Calories[Cals])*Log[[#This Row],[Qty]])</f>
        <v>86.666666666666671</v>
      </c>
      <c r="G390" s="71">
        <f>IF(ISBLANK(Log[[#This Row],[Item]]),"",_xlfn.XLOOKUP(Log[[#This Row],[Item]],Calories[Name],Calories[Carbs])*Log[[#This Row],[Qty]])</f>
        <v>17.333333333333332</v>
      </c>
      <c r="H390" s="71">
        <f>IF(ISBLANK(Log[[#This Row],[Item]]),"",_xlfn.XLOOKUP(Log[[#This Row],[Item]],Calories[Name],Calories[Fibre])*Log[[#This Row],[Qty]])</f>
        <v>0</v>
      </c>
      <c r="I390" s="71">
        <f>IF(ISBLANK(Log[[#This Row],[Item]]),"",(Log[[#This Row],[Carbs]]-Log[[#This Row],[Fibre]]))</f>
        <v>17.333333333333332</v>
      </c>
      <c r="J390" s="103">
        <f>IF(ISBLANK(Log[[#This Row],[Item]]),"",_xlfn.XLOOKUP(Log[[#This Row],[Item]],Calories[Name],Calories[Sodium])*Log[[#This Row],[Qty]])</f>
        <v>92.083333333333329</v>
      </c>
      <c r="K390" s="71">
        <f>IF(ISBLANK(Log[[#This Row],[Item]]),"",_xlfn.XLOOKUP(Log[[#This Row],[Item]],Calories[Name],Calories[Protein])*Log[[#This Row],[Qty]])</f>
        <v>2.1666666666666665</v>
      </c>
      <c r="L390" s="71">
        <f>IF(ISBLANK(Log[[#This Row],[Item]]),"",_xlfn.XLOOKUP(Log[[#This Row],[Item]],Calories[Name],Calories[Chol.])*Log[[#This Row],[Qty]])</f>
        <v>0</v>
      </c>
      <c r="M390" s="75"/>
      <c r="N390" s="75"/>
      <c r="O390" s="75"/>
    </row>
    <row r="391" spans="1:15" s="66" customFormat="1" ht="25.15" customHeight="1">
      <c r="A391" s="75"/>
      <c r="B391" s="98">
        <v>44831</v>
      </c>
      <c r="C391" s="78" t="s">
        <v>47</v>
      </c>
      <c r="D391" s="79">
        <v>1</v>
      </c>
      <c r="E391" s="76" t="str">
        <f>IF(ISBLANK(Log[[#This Row],[Item]]),"",_xlfn.XLOOKUP(Log[[#This Row],[Item]],Calories[Name],Calories[Unit]))</f>
        <v>can</v>
      </c>
      <c r="F391" s="65">
        <f>IF(ISBLANK(Log[[#This Row],[Item]]),"",_xlfn.XLOOKUP(Log[[#This Row],[Item]],Calories[Name],Calories[Cals])*Log[[#This Row],[Qty]])</f>
        <v>130</v>
      </c>
      <c r="G391" s="71">
        <f>IF(ISBLANK(Log[[#This Row],[Item]]),"",_xlfn.XLOOKUP(Log[[#This Row],[Item]],Calories[Name],Calories[Carbs])*Log[[#This Row],[Qty]])</f>
        <v>2</v>
      </c>
      <c r="H391" s="71">
        <f>IF(ISBLANK(Log[[#This Row],[Item]]),"",_xlfn.XLOOKUP(Log[[#This Row],[Item]],Calories[Name],Calories[Fibre])*Log[[#This Row],[Qty]])</f>
        <v>0</v>
      </c>
      <c r="I391" s="71">
        <f>IF(ISBLANK(Log[[#This Row],[Item]]),"",(Log[[#This Row],[Carbs]]-Log[[#This Row],[Fibre]]))</f>
        <v>2</v>
      </c>
      <c r="J391" s="103">
        <f>IF(ISBLANK(Log[[#This Row],[Item]]),"",_xlfn.XLOOKUP(Log[[#This Row],[Item]],Calories[Name],Calories[Sodium])*Log[[#This Row],[Qty]])</f>
        <v>210</v>
      </c>
      <c r="K391" s="71">
        <f>IF(ISBLANK(Log[[#This Row],[Item]]),"",_xlfn.XLOOKUP(Log[[#This Row],[Item]],Calories[Name],Calories[Protein])*Log[[#This Row],[Qty]])</f>
        <v>13</v>
      </c>
      <c r="L391" s="71">
        <f>IF(ISBLANK(Log[[#This Row],[Item]]),"",_xlfn.XLOOKUP(Log[[#This Row],[Item]],Calories[Name],Calories[Chol.])*Log[[#This Row],[Qty]])</f>
        <v>75</v>
      </c>
      <c r="M391" s="75"/>
      <c r="N391" s="75"/>
      <c r="O391" s="75"/>
    </row>
    <row r="392" spans="1:15" s="66" customFormat="1" ht="25.15" customHeight="1">
      <c r="A392" s="75"/>
      <c r="B392" s="98">
        <v>44832</v>
      </c>
      <c r="C392" s="78" t="s">
        <v>52</v>
      </c>
      <c r="D392" s="79">
        <v>1</v>
      </c>
      <c r="E392" s="76" t="str">
        <f>IF(ISBLANK(Log[[#This Row],[Item]]),"",_xlfn.XLOOKUP(Log[[#This Row],[Item]],Calories[Name],Calories[Unit]))</f>
        <v>ea</v>
      </c>
      <c r="F392" s="65">
        <f>IF(ISBLANK(Log[[#This Row],[Item]]),"",_xlfn.XLOOKUP(Log[[#This Row],[Item]],Calories[Name],Calories[Cals])*Log[[#This Row],[Qty]])</f>
        <v>0</v>
      </c>
      <c r="G392" s="71">
        <f>IF(ISBLANK(Log[[#This Row],[Item]]),"",_xlfn.XLOOKUP(Log[[#This Row],[Item]],Calories[Name],Calories[Carbs])*Log[[#This Row],[Qty]])</f>
        <v>0</v>
      </c>
      <c r="H392" s="71">
        <f>IF(ISBLANK(Log[[#This Row],[Item]]),"",_xlfn.XLOOKUP(Log[[#This Row],[Item]],Calories[Name],Calories[Fibre])*Log[[#This Row],[Qty]])</f>
        <v>0</v>
      </c>
      <c r="I392" s="71">
        <f>IF(ISBLANK(Log[[#This Row],[Item]]),"",(Log[[#This Row],[Carbs]]-Log[[#This Row],[Fibre]]))</f>
        <v>0</v>
      </c>
      <c r="J392" s="103">
        <f>IF(ISBLANK(Log[[#This Row],[Item]]),"",_xlfn.XLOOKUP(Log[[#This Row],[Item]],Calories[Name],Calories[Sodium])*Log[[#This Row],[Qty]])</f>
        <v>0</v>
      </c>
      <c r="K392" s="71">
        <f>IF(ISBLANK(Log[[#This Row],[Item]]),"",_xlfn.XLOOKUP(Log[[#This Row],[Item]],Calories[Name],Calories[Protein])*Log[[#This Row],[Qty]])</f>
        <v>0</v>
      </c>
      <c r="L392" s="71">
        <f>IF(ISBLANK(Log[[#This Row],[Item]]),"",_xlfn.XLOOKUP(Log[[#This Row],[Item]],Calories[Name],Calories[Chol.])*Log[[#This Row],[Qty]])</f>
        <v>0</v>
      </c>
      <c r="M392" s="75"/>
      <c r="N392" s="75"/>
      <c r="O392" s="75"/>
    </row>
    <row r="393" spans="1:15" s="66" customFormat="1" ht="25.15" customHeight="1">
      <c r="A393" s="75"/>
      <c r="B393" s="98">
        <v>44832</v>
      </c>
      <c r="C393" s="78" t="s">
        <v>53</v>
      </c>
      <c r="D393" s="79">
        <v>1</v>
      </c>
      <c r="E393" s="76" t="str">
        <f>IF(ISBLANK(Log[[#This Row],[Item]]),"",_xlfn.XLOOKUP(Log[[#This Row],[Item]],Calories[Name],Calories[Unit]))</f>
        <v>ea</v>
      </c>
      <c r="F393" s="65">
        <f>IF(ISBLANK(Log[[#This Row],[Item]]),"",_xlfn.XLOOKUP(Log[[#This Row],[Item]],Calories[Name],Calories[Cals])*Log[[#This Row],[Qty]])</f>
        <v>0</v>
      </c>
      <c r="G393" s="71">
        <f>IF(ISBLANK(Log[[#This Row],[Item]]),"",_xlfn.XLOOKUP(Log[[#This Row],[Item]],Calories[Name],Calories[Carbs])*Log[[#This Row],[Qty]])</f>
        <v>0</v>
      </c>
      <c r="H393" s="71">
        <f>IF(ISBLANK(Log[[#This Row],[Item]]),"",_xlfn.XLOOKUP(Log[[#This Row],[Item]],Calories[Name],Calories[Fibre])*Log[[#This Row],[Qty]])</f>
        <v>0</v>
      </c>
      <c r="I393" s="71">
        <f>IF(ISBLANK(Log[[#This Row],[Item]]),"",(Log[[#This Row],[Carbs]]-Log[[#This Row],[Fibre]]))</f>
        <v>0</v>
      </c>
      <c r="J393" s="103">
        <f>IF(ISBLANK(Log[[#This Row],[Item]]),"",_xlfn.XLOOKUP(Log[[#This Row],[Item]],Calories[Name],Calories[Sodium])*Log[[#This Row],[Qty]])</f>
        <v>0</v>
      </c>
      <c r="K393" s="71">
        <f>IF(ISBLANK(Log[[#This Row],[Item]]),"",_xlfn.XLOOKUP(Log[[#This Row],[Item]],Calories[Name],Calories[Protein])*Log[[#This Row],[Qty]])</f>
        <v>0</v>
      </c>
      <c r="L393" s="71">
        <f>IF(ISBLANK(Log[[#This Row],[Item]]),"",_xlfn.XLOOKUP(Log[[#This Row],[Item]],Calories[Name],Calories[Chol.])*Log[[#This Row],[Qty]])</f>
        <v>0</v>
      </c>
      <c r="M393" s="75"/>
      <c r="N393" s="75"/>
      <c r="O393" s="75"/>
    </row>
    <row r="394" spans="1:15" s="66" customFormat="1" ht="25.15" customHeight="1">
      <c r="A394" s="75"/>
      <c r="B394" s="98">
        <v>44832</v>
      </c>
      <c r="C394" s="78" t="s">
        <v>54</v>
      </c>
      <c r="D394" s="79">
        <v>1</v>
      </c>
      <c r="E394" s="76" t="str">
        <f>IF(ISBLANK(Log[[#This Row],[Item]]),"",_xlfn.XLOOKUP(Log[[#This Row],[Item]],Calories[Name],Calories[Unit]))</f>
        <v>ea</v>
      </c>
      <c r="F394" s="65">
        <f>IF(ISBLANK(Log[[#This Row],[Item]]),"",_xlfn.XLOOKUP(Log[[#This Row],[Item]],Calories[Name],Calories[Cals])*Log[[#This Row],[Qty]])</f>
        <v>0</v>
      </c>
      <c r="G394" s="71">
        <f>IF(ISBLANK(Log[[#This Row],[Item]]),"",_xlfn.XLOOKUP(Log[[#This Row],[Item]],Calories[Name],Calories[Carbs])*Log[[#This Row],[Qty]])</f>
        <v>0</v>
      </c>
      <c r="H394" s="71">
        <f>IF(ISBLANK(Log[[#This Row],[Item]]),"",_xlfn.XLOOKUP(Log[[#This Row],[Item]],Calories[Name],Calories[Fibre])*Log[[#This Row],[Qty]])</f>
        <v>0</v>
      </c>
      <c r="I394" s="71">
        <f>IF(ISBLANK(Log[[#This Row],[Item]]),"",(Log[[#This Row],[Carbs]]-Log[[#This Row],[Fibre]]))</f>
        <v>0</v>
      </c>
      <c r="J394" s="103">
        <f>IF(ISBLANK(Log[[#This Row],[Item]]),"",_xlfn.XLOOKUP(Log[[#This Row],[Item]],Calories[Name],Calories[Sodium])*Log[[#This Row],[Qty]])</f>
        <v>0</v>
      </c>
      <c r="K394" s="71">
        <f>IF(ISBLANK(Log[[#This Row],[Item]]),"",_xlfn.XLOOKUP(Log[[#This Row],[Item]],Calories[Name],Calories[Protein])*Log[[#This Row],[Qty]])</f>
        <v>0</v>
      </c>
      <c r="L394" s="71">
        <f>IF(ISBLANK(Log[[#This Row],[Item]]),"",_xlfn.XLOOKUP(Log[[#This Row],[Item]],Calories[Name],Calories[Chol.])*Log[[#This Row],[Qty]])</f>
        <v>0</v>
      </c>
      <c r="M394" s="75"/>
      <c r="N394" s="75"/>
      <c r="O394" s="75"/>
    </row>
    <row r="395" spans="1:15" s="66" customFormat="1" ht="25.15" customHeight="1">
      <c r="A395" s="75"/>
      <c r="B395" s="98">
        <v>44832</v>
      </c>
      <c r="C395" s="78" t="s">
        <v>55</v>
      </c>
      <c r="D395" s="79">
        <v>1</v>
      </c>
      <c r="E395" s="76" t="str">
        <f>IF(ISBLANK(Log[[#This Row],[Item]]),"",_xlfn.XLOOKUP(Log[[#This Row],[Item]],Calories[Name],Calories[Unit]))</f>
        <v>ea</v>
      </c>
      <c r="F395" s="65">
        <f>IF(ISBLANK(Log[[#This Row],[Item]]),"",_xlfn.XLOOKUP(Log[[#This Row],[Item]],Calories[Name],Calories[Cals])*Log[[#This Row],[Qty]])</f>
        <v>0</v>
      </c>
      <c r="G395" s="71">
        <f>IF(ISBLANK(Log[[#This Row],[Item]]),"",_xlfn.XLOOKUP(Log[[#This Row],[Item]],Calories[Name],Calories[Carbs])*Log[[#This Row],[Qty]])</f>
        <v>0</v>
      </c>
      <c r="H395" s="71">
        <f>IF(ISBLANK(Log[[#This Row],[Item]]),"",_xlfn.XLOOKUP(Log[[#This Row],[Item]],Calories[Name],Calories[Fibre])*Log[[#This Row],[Qty]])</f>
        <v>0</v>
      </c>
      <c r="I395" s="71">
        <f>IF(ISBLANK(Log[[#This Row],[Item]]),"",(Log[[#This Row],[Carbs]]-Log[[#This Row],[Fibre]]))</f>
        <v>0</v>
      </c>
      <c r="J395" s="103">
        <f>IF(ISBLANK(Log[[#This Row],[Item]]),"",_xlfn.XLOOKUP(Log[[#This Row],[Item]],Calories[Name],Calories[Sodium])*Log[[#This Row],[Qty]])</f>
        <v>0</v>
      </c>
      <c r="K395" s="71">
        <f>IF(ISBLANK(Log[[#This Row],[Item]]),"",_xlfn.XLOOKUP(Log[[#This Row],[Item]],Calories[Name],Calories[Protein])*Log[[#This Row],[Qty]])</f>
        <v>0</v>
      </c>
      <c r="L395" s="71">
        <f>IF(ISBLANK(Log[[#This Row],[Item]]),"",_xlfn.XLOOKUP(Log[[#This Row],[Item]],Calories[Name],Calories[Chol.])*Log[[#This Row],[Qty]])</f>
        <v>0</v>
      </c>
      <c r="M395" s="75"/>
      <c r="N395" s="75"/>
      <c r="O395" s="75"/>
    </row>
    <row r="396" spans="1:15" s="66" customFormat="1" ht="25.15" customHeight="1">
      <c r="A396" s="75"/>
      <c r="B396" s="98">
        <v>44831</v>
      </c>
      <c r="C396" s="78" t="s">
        <v>96</v>
      </c>
      <c r="D396" s="79">
        <v>8</v>
      </c>
      <c r="E396" s="76" t="str">
        <f>IF(ISBLANK(Log[[#This Row],[Item]]),"",_xlfn.XLOOKUP(Log[[#This Row],[Item]],Calories[Name],Calories[Unit]))</f>
        <v>g</v>
      </c>
      <c r="F396" s="65">
        <f>IF(ISBLANK(Log[[#This Row],[Item]]),"",_xlfn.XLOOKUP(Log[[#This Row],[Item]],Calories[Name],Calories[Cals])*Log[[#This Row],[Qty]])</f>
        <v>12.5</v>
      </c>
      <c r="G396" s="71">
        <f>IF(ISBLANK(Log[[#This Row],[Item]]),"",_xlfn.XLOOKUP(Log[[#This Row],[Item]],Calories[Name],Calories[Carbs])*Log[[#This Row],[Qty]])</f>
        <v>7.5</v>
      </c>
      <c r="H396" s="71">
        <f>IF(ISBLANK(Log[[#This Row],[Item]]),"",_xlfn.XLOOKUP(Log[[#This Row],[Item]],Calories[Name],Calories[Fibre])*Log[[#This Row],[Qty]])</f>
        <v>7.5</v>
      </c>
      <c r="I396" s="71">
        <f>IF(ISBLANK(Log[[#This Row],[Item]]),"",(Log[[#This Row],[Carbs]]-Log[[#This Row],[Fibre]]))</f>
        <v>0</v>
      </c>
      <c r="J396" s="103">
        <f>IF(ISBLANK(Log[[#This Row],[Item]]),"",_xlfn.XLOOKUP(Log[[#This Row],[Item]],Calories[Name],Calories[Sodium])*Log[[#This Row],[Qty]])</f>
        <v>0</v>
      </c>
      <c r="K396" s="71">
        <f>IF(ISBLANK(Log[[#This Row],[Item]]),"",_xlfn.XLOOKUP(Log[[#This Row],[Item]],Calories[Name],Calories[Protein])*Log[[#This Row],[Qty]])</f>
        <v>0</v>
      </c>
      <c r="L396" s="71">
        <f>IF(ISBLANK(Log[[#This Row],[Item]]),"",_xlfn.XLOOKUP(Log[[#This Row],[Item]],Calories[Name],Calories[Chol.])*Log[[#This Row],[Qty]])</f>
        <v>0</v>
      </c>
      <c r="M396" s="75"/>
      <c r="N396" s="75"/>
      <c r="O396" s="75"/>
    </row>
    <row r="397" spans="1:15" s="66" customFormat="1" ht="25.15" customHeight="1">
      <c r="A397" s="75"/>
      <c r="B397" s="98">
        <v>44832</v>
      </c>
      <c r="C397" s="78" t="s">
        <v>96</v>
      </c>
      <c r="D397" s="79">
        <v>8</v>
      </c>
      <c r="E397" s="76" t="str">
        <f>IF(ISBLANK(Log[[#This Row],[Item]]),"",_xlfn.XLOOKUP(Log[[#This Row],[Item]],Calories[Name],Calories[Unit]))</f>
        <v>g</v>
      </c>
      <c r="F397" s="65">
        <f>IF(ISBLANK(Log[[#This Row],[Item]]),"",_xlfn.XLOOKUP(Log[[#This Row],[Item]],Calories[Name],Calories[Cals])*Log[[#This Row],[Qty]])</f>
        <v>12.5</v>
      </c>
      <c r="G397" s="71">
        <f>IF(ISBLANK(Log[[#This Row],[Item]]),"",_xlfn.XLOOKUP(Log[[#This Row],[Item]],Calories[Name],Calories[Carbs])*Log[[#This Row],[Qty]])</f>
        <v>7.5</v>
      </c>
      <c r="H397" s="71">
        <f>IF(ISBLANK(Log[[#This Row],[Item]]),"",_xlfn.XLOOKUP(Log[[#This Row],[Item]],Calories[Name],Calories[Fibre])*Log[[#This Row],[Qty]])</f>
        <v>7.5</v>
      </c>
      <c r="I397" s="71">
        <f>IF(ISBLANK(Log[[#This Row],[Item]]),"",(Log[[#This Row],[Carbs]]-Log[[#This Row],[Fibre]]))</f>
        <v>0</v>
      </c>
      <c r="J397" s="103">
        <f>IF(ISBLANK(Log[[#This Row],[Item]]),"",_xlfn.XLOOKUP(Log[[#This Row],[Item]],Calories[Name],Calories[Sodium])*Log[[#This Row],[Qty]])</f>
        <v>0</v>
      </c>
      <c r="K397" s="71">
        <f>IF(ISBLANK(Log[[#This Row],[Item]]),"",_xlfn.XLOOKUP(Log[[#This Row],[Item]],Calories[Name],Calories[Protein])*Log[[#This Row],[Qty]])</f>
        <v>0</v>
      </c>
      <c r="L397" s="71">
        <f>IF(ISBLANK(Log[[#This Row],[Item]]),"",_xlfn.XLOOKUP(Log[[#This Row],[Item]],Calories[Name],Calories[Chol.])*Log[[#This Row],[Qty]])</f>
        <v>0</v>
      </c>
      <c r="M397" s="75"/>
      <c r="N397" s="75"/>
      <c r="O397" s="75"/>
    </row>
    <row r="398" spans="1:15" s="66" customFormat="1" ht="25.15" customHeight="1">
      <c r="A398" s="75"/>
      <c r="B398" s="98">
        <v>44832</v>
      </c>
      <c r="C398" s="78" t="s">
        <v>94</v>
      </c>
      <c r="D398" s="79">
        <v>236</v>
      </c>
      <c r="E398" s="76" t="str">
        <f>IF(ISBLANK(Log[[#This Row],[Item]]),"",_xlfn.XLOOKUP(Log[[#This Row],[Item]],Calories[Name],Calories[Unit]))</f>
        <v>kcal</v>
      </c>
      <c r="F398" s="65">
        <f>IF(ISBLANK(Log[[#This Row],[Item]]),"",_xlfn.XLOOKUP(Log[[#This Row],[Item]],Calories[Name],Calories[Cals])*Log[[#This Row],[Qty]])</f>
        <v>-236</v>
      </c>
      <c r="G398" s="71">
        <f>IF(ISBLANK(Log[[#This Row],[Item]]),"",_xlfn.XLOOKUP(Log[[#This Row],[Item]],Calories[Name],Calories[Carbs])*Log[[#This Row],[Qty]])</f>
        <v>0</v>
      </c>
      <c r="H398" s="71">
        <f>IF(ISBLANK(Log[[#This Row],[Item]]),"",_xlfn.XLOOKUP(Log[[#This Row],[Item]],Calories[Name],Calories[Fibre])*Log[[#This Row],[Qty]])</f>
        <v>0</v>
      </c>
      <c r="I398" s="71">
        <f>IF(ISBLANK(Log[[#This Row],[Item]]),"",(Log[[#This Row],[Carbs]]-Log[[#This Row],[Fibre]]))</f>
        <v>0</v>
      </c>
      <c r="J398" s="103">
        <f>IF(ISBLANK(Log[[#This Row],[Item]]),"",_xlfn.XLOOKUP(Log[[#This Row],[Item]],Calories[Name],Calories[Sodium])*Log[[#This Row],[Qty]])</f>
        <v>0</v>
      </c>
      <c r="K398" s="71">
        <f>IF(ISBLANK(Log[[#This Row],[Item]]),"",_xlfn.XLOOKUP(Log[[#This Row],[Item]],Calories[Name],Calories[Protein])*Log[[#This Row],[Qty]])</f>
        <v>0</v>
      </c>
      <c r="L398" s="71">
        <f>IF(ISBLANK(Log[[#This Row],[Item]]),"",_xlfn.XLOOKUP(Log[[#This Row],[Item]],Calories[Name],Calories[Chol.])*Log[[#This Row],[Qty]])</f>
        <v>0</v>
      </c>
      <c r="M398" s="75"/>
      <c r="N398" s="75"/>
      <c r="O398" s="75"/>
    </row>
    <row r="399" spans="1:15" s="66" customFormat="1" ht="25.15" customHeight="1">
      <c r="A399" s="75"/>
      <c r="B399" s="98">
        <v>44832</v>
      </c>
      <c r="C399" s="78" t="s">
        <v>13</v>
      </c>
      <c r="D399" s="79">
        <v>3</v>
      </c>
      <c r="E399" s="76" t="str">
        <f>IF(ISBLANK(Log[[#This Row],[Item]]),"",_xlfn.XLOOKUP(Log[[#This Row],[Item]],Calories[Name],Calories[Unit]))</f>
        <v>ea</v>
      </c>
      <c r="F399" s="65">
        <f>IF(ISBLANK(Log[[#This Row],[Item]]),"",_xlfn.XLOOKUP(Log[[#This Row],[Item]],Calories[Name],Calories[Cals])*Log[[#This Row],[Qty]])</f>
        <v>216</v>
      </c>
      <c r="G399" s="71">
        <f>IF(ISBLANK(Log[[#This Row],[Item]]),"",_xlfn.XLOOKUP(Log[[#This Row],[Item]],Calories[Name],Calories[Carbs])*Log[[#This Row],[Qty]])</f>
        <v>0</v>
      </c>
      <c r="H399" s="71">
        <f>IF(ISBLANK(Log[[#This Row],[Item]]),"",_xlfn.XLOOKUP(Log[[#This Row],[Item]],Calories[Name],Calories[Fibre])*Log[[#This Row],[Qty]])</f>
        <v>0</v>
      </c>
      <c r="I399" s="71">
        <f>IF(ISBLANK(Log[[#This Row],[Item]]),"",(Log[[#This Row],[Carbs]]-Log[[#This Row],[Fibre]]))</f>
        <v>0</v>
      </c>
      <c r="J399" s="103">
        <f>IF(ISBLANK(Log[[#This Row],[Item]]),"",_xlfn.XLOOKUP(Log[[#This Row],[Item]],Calories[Name],Calories[Sodium])*Log[[#This Row],[Qty]])</f>
        <v>210</v>
      </c>
      <c r="K399" s="71">
        <f>IF(ISBLANK(Log[[#This Row],[Item]]),"",_xlfn.XLOOKUP(Log[[#This Row],[Item]],Calories[Name],Calories[Protein])*Log[[#This Row],[Qty]])</f>
        <v>18</v>
      </c>
      <c r="L399" s="71">
        <f>IF(ISBLANK(Log[[#This Row],[Item]]),"",_xlfn.XLOOKUP(Log[[#This Row],[Item]],Calories[Name],Calories[Chol.])*Log[[#This Row],[Qty]])</f>
        <v>633</v>
      </c>
      <c r="M399" s="75"/>
      <c r="N399" s="75"/>
      <c r="O399" s="75"/>
    </row>
    <row r="400" spans="1:15" s="66" customFormat="1" ht="25.15" customHeight="1">
      <c r="A400" s="75"/>
      <c r="B400" s="98">
        <v>44832</v>
      </c>
      <c r="C400" s="78" t="s">
        <v>35</v>
      </c>
      <c r="D400" s="79">
        <v>1.5</v>
      </c>
      <c r="E400" s="76" t="str">
        <f>IF(ISBLANK(Log[[#This Row],[Item]]),"",_xlfn.XLOOKUP(Log[[#This Row],[Item]],Calories[Name],Calories[Unit]))</f>
        <v>tbsp</v>
      </c>
      <c r="F400" s="65">
        <f>IF(ISBLANK(Log[[#This Row],[Item]]),"",_xlfn.XLOOKUP(Log[[#This Row],[Item]],Calories[Name],Calories[Cals])*Log[[#This Row],[Qty]])</f>
        <v>135</v>
      </c>
      <c r="G400" s="71">
        <f>IF(ISBLANK(Log[[#This Row],[Item]]),"",_xlfn.XLOOKUP(Log[[#This Row],[Item]],Calories[Name],Calories[Carbs])*Log[[#This Row],[Qty]])</f>
        <v>0</v>
      </c>
      <c r="H400" s="71">
        <f>IF(ISBLANK(Log[[#This Row],[Item]]),"",_xlfn.XLOOKUP(Log[[#This Row],[Item]],Calories[Name],Calories[Fibre])*Log[[#This Row],[Qty]])</f>
        <v>0</v>
      </c>
      <c r="I400" s="71">
        <f>IF(ISBLANK(Log[[#This Row],[Item]]),"",(Log[[#This Row],[Carbs]]-Log[[#This Row],[Fibre]]))</f>
        <v>0</v>
      </c>
      <c r="J400" s="103">
        <f>IF(ISBLANK(Log[[#This Row],[Item]]),"",_xlfn.XLOOKUP(Log[[#This Row],[Item]],Calories[Name],Calories[Sodium])*Log[[#This Row],[Qty]])</f>
        <v>135</v>
      </c>
      <c r="K400" s="71">
        <f>IF(ISBLANK(Log[[#This Row],[Item]]),"",_xlfn.XLOOKUP(Log[[#This Row],[Item]],Calories[Name],Calories[Protein])*Log[[#This Row],[Qty]])</f>
        <v>0</v>
      </c>
      <c r="L400" s="71">
        <f>IF(ISBLANK(Log[[#This Row],[Item]]),"",_xlfn.XLOOKUP(Log[[#This Row],[Item]],Calories[Name],Calories[Chol.])*Log[[#This Row],[Qty]])</f>
        <v>7.5</v>
      </c>
      <c r="M400" s="75"/>
      <c r="N400" s="75"/>
      <c r="O400" s="75"/>
    </row>
    <row r="401" spans="1:15" s="66" customFormat="1" ht="25.15" customHeight="1">
      <c r="A401" s="75"/>
      <c r="B401" s="98">
        <v>44832</v>
      </c>
      <c r="C401" s="78" t="s">
        <v>61</v>
      </c>
      <c r="D401" s="79">
        <v>8</v>
      </c>
      <c r="E401" s="76" t="str">
        <f>IF(ISBLANK(Log[[#This Row],[Item]]),"",_xlfn.XLOOKUP(Log[[#This Row],[Item]],Calories[Name],Calories[Unit]))</f>
        <v>leaf</v>
      </c>
      <c r="F401" s="65">
        <f>IF(ISBLANK(Log[[#This Row],[Item]]),"",_xlfn.XLOOKUP(Log[[#This Row],[Item]],Calories[Name],Calories[Cals])*Log[[#This Row],[Qty]])</f>
        <v>16</v>
      </c>
      <c r="G401" s="71">
        <f>IF(ISBLANK(Log[[#This Row],[Item]]),"",_xlfn.XLOOKUP(Log[[#This Row],[Item]],Calories[Name],Calories[Carbs])*Log[[#This Row],[Qty]])</f>
        <v>2.64</v>
      </c>
      <c r="H401" s="71">
        <f>IF(ISBLANK(Log[[#This Row],[Item]]),"",_xlfn.XLOOKUP(Log[[#This Row],[Item]],Calories[Name],Calories[Fibre])*Log[[#This Row],[Qty]])</f>
        <v>1.6</v>
      </c>
      <c r="I401" s="71">
        <f>IF(ISBLANK(Log[[#This Row],[Item]]),"",(Log[[#This Row],[Carbs]]-Log[[#This Row],[Fibre]]))</f>
        <v>1.04</v>
      </c>
      <c r="J401" s="103">
        <f>IF(ISBLANK(Log[[#This Row],[Item]]),"",_xlfn.XLOOKUP(Log[[#This Row],[Item]],Calories[Name],Calories[Sodium])*Log[[#This Row],[Qty]])</f>
        <v>8</v>
      </c>
      <c r="K401" s="71">
        <f>IF(ISBLANK(Log[[#This Row],[Item]]),"",_xlfn.XLOOKUP(Log[[#This Row],[Item]],Calories[Name],Calories[Protein])*Log[[#This Row],[Qty]])</f>
        <v>1.6</v>
      </c>
      <c r="L401" s="71">
        <f>IF(ISBLANK(Log[[#This Row],[Item]]),"",_xlfn.XLOOKUP(Log[[#This Row],[Item]],Calories[Name],Calories[Chol.])*Log[[#This Row],[Qty]])</f>
        <v>0</v>
      </c>
      <c r="M401" s="75"/>
      <c r="N401" s="75"/>
      <c r="O401" s="75"/>
    </row>
    <row r="402" spans="1:15" s="66" customFormat="1" ht="25.15" customHeight="1">
      <c r="A402" s="75"/>
      <c r="B402" s="98">
        <v>44832</v>
      </c>
      <c r="C402" s="78" t="s">
        <v>87</v>
      </c>
      <c r="D402" s="79">
        <v>1</v>
      </c>
      <c r="E402" s="76" t="str">
        <f>IF(ISBLANK(Log[[#This Row],[Item]]),"",_xlfn.XLOOKUP(Log[[#This Row],[Item]],Calories[Name],Calories[Unit]))</f>
        <v>tsp</v>
      </c>
      <c r="F402" s="65">
        <f>IF(ISBLANK(Log[[#This Row],[Item]]),"",_xlfn.XLOOKUP(Log[[#This Row],[Item]],Calories[Name],Calories[Cals])*Log[[#This Row],[Qty]])</f>
        <v>6</v>
      </c>
      <c r="G402" s="71">
        <f>IF(ISBLANK(Log[[#This Row],[Item]]),"",_xlfn.XLOOKUP(Log[[#This Row],[Item]],Calories[Name],Calories[Carbs])*Log[[#This Row],[Qty]])</f>
        <v>1.2</v>
      </c>
      <c r="H402" s="71">
        <f>IF(ISBLANK(Log[[#This Row],[Item]]),"",_xlfn.XLOOKUP(Log[[#This Row],[Item]],Calories[Name],Calories[Fibre])*Log[[#This Row],[Qty]])</f>
        <v>0.1</v>
      </c>
      <c r="I402" s="71">
        <f>IF(ISBLANK(Log[[#This Row],[Item]]),"",(Log[[#This Row],[Carbs]]-Log[[#This Row],[Fibre]]))</f>
        <v>1.0999999999999999</v>
      </c>
      <c r="J402" s="103">
        <f>IF(ISBLANK(Log[[#This Row],[Item]]),"",_xlfn.XLOOKUP(Log[[#This Row],[Item]],Calories[Name],Calories[Sodium])*Log[[#This Row],[Qty]])</f>
        <v>138</v>
      </c>
      <c r="K402" s="71">
        <f>IF(ISBLANK(Log[[#This Row],[Item]]),"",_xlfn.XLOOKUP(Log[[#This Row],[Item]],Calories[Name],Calories[Protein])*Log[[#This Row],[Qty]])</f>
        <v>0.1</v>
      </c>
      <c r="L402" s="71">
        <f>IF(ISBLANK(Log[[#This Row],[Item]]),"",_xlfn.XLOOKUP(Log[[#This Row],[Item]],Calories[Name],Calories[Chol.])*Log[[#This Row],[Qty]])</f>
        <v>0</v>
      </c>
      <c r="M402" s="75"/>
      <c r="N402" s="75"/>
      <c r="O402" s="75"/>
    </row>
    <row r="403" spans="1:15" s="66" customFormat="1" ht="25.15" customHeight="1">
      <c r="A403" s="75"/>
      <c r="B403" s="98">
        <v>44832</v>
      </c>
      <c r="C403" s="78" t="s">
        <v>40</v>
      </c>
      <c r="D403" s="79">
        <v>4</v>
      </c>
      <c r="E403" s="76" t="str">
        <f>IF(ISBLANK(Log[[#This Row],[Item]]),"",_xlfn.XLOOKUP(Log[[#This Row],[Item]],Calories[Name],Calories[Unit]))</f>
        <v>ea</v>
      </c>
      <c r="F403" s="65">
        <f>IF(ISBLANK(Log[[#This Row],[Item]]),"",_xlfn.XLOOKUP(Log[[#This Row],[Item]],Calories[Name],Calories[Cals])*Log[[#This Row],[Qty]])</f>
        <v>60</v>
      </c>
      <c r="G403" s="71">
        <f>IF(ISBLANK(Log[[#This Row],[Item]]),"",_xlfn.XLOOKUP(Log[[#This Row],[Item]],Calories[Name],Calories[Carbs])*Log[[#This Row],[Qty]])</f>
        <v>12</v>
      </c>
      <c r="H403" s="71">
        <f>IF(ISBLANK(Log[[#This Row],[Item]]),"",_xlfn.XLOOKUP(Log[[#This Row],[Item]],Calories[Name],Calories[Fibre])*Log[[#This Row],[Qty]])</f>
        <v>8</v>
      </c>
      <c r="I403" s="71">
        <f>IF(ISBLANK(Log[[#This Row],[Item]]),"",(Log[[#This Row],[Carbs]]-Log[[#This Row],[Fibre]]))</f>
        <v>4</v>
      </c>
      <c r="J403" s="103">
        <f>IF(ISBLANK(Log[[#This Row],[Item]]),"",_xlfn.XLOOKUP(Log[[#This Row],[Item]],Calories[Name],Calories[Sodium])*Log[[#This Row],[Qty]])</f>
        <v>160</v>
      </c>
      <c r="K403" s="71">
        <f>IF(ISBLANK(Log[[#This Row],[Item]]),"",_xlfn.XLOOKUP(Log[[#This Row],[Item]],Calories[Name],Calories[Protein])*Log[[#This Row],[Qty]])</f>
        <v>4</v>
      </c>
      <c r="L403" s="71">
        <f>IF(ISBLANK(Log[[#This Row],[Item]]),"",_xlfn.XLOOKUP(Log[[#This Row],[Item]],Calories[Name],Calories[Chol.])*Log[[#This Row],[Qty]])</f>
        <v>0</v>
      </c>
      <c r="M403" s="75"/>
      <c r="N403" s="75"/>
      <c r="O403" s="75"/>
    </row>
    <row r="404" spans="1:15" s="66" customFormat="1" ht="25.15" customHeight="1">
      <c r="A404" s="75"/>
      <c r="B404" s="98">
        <v>44832</v>
      </c>
      <c r="C404" s="78" t="s">
        <v>41</v>
      </c>
      <c r="D404" s="79">
        <v>154</v>
      </c>
      <c r="E404" s="76" t="str">
        <f>IF(ISBLANK(Log[[#This Row],[Item]]),"",_xlfn.XLOOKUP(Log[[#This Row],[Item]],Calories[Name],Calories[Unit]))</f>
        <v>g</v>
      </c>
      <c r="F404" s="65">
        <f>IF(ISBLANK(Log[[#This Row],[Item]]),"",_xlfn.XLOOKUP(Log[[#This Row],[Item]],Calories[Name],Calories[Cals])*Log[[#This Row],[Qty]])</f>
        <v>163.24</v>
      </c>
      <c r="G404" s="71">
        <f>IF(ISBLANK(Log[[#This Row],[Item]]),"",_xlfn.XLOOKUP(Log[[#This Row],[Item]],Calories[Name],Calories[Carbs])*Log[[#This Row],[Qty]])</f>
        <v>1.4014</v>
      </c>
      <c r="H404" s="71">
        <f>IF(ISBLANK(Log[[#This Row],[Item]]),"",_xlfn.XLOOKUP(Log[[#This Row],[Item]],Calories[Name],Calories[Fibre])*Log[[#This Row],[Qty]])</f>
        <v>0</v>
      </c>
      <c r="I404" s="71">
        <f>IF(ISBLANK(Log[[#This Row],[Item]]),"",(Log[[#This Row],[Carbs]]-Log[[#This Row],[Fibre]]))</f>
        <v>1.4014</v>
      </c>
      <c r="J404" s="103">
        <f>IF(ISBLANK(Log[[#This Row],[Item]]),"",_xlfn.XLOOKUP(Log[[#This Row],[Item]],Calories[Name],Calories[Sodium])*Log[[#This Row],[Qty]])</f>
        <v>227.92</v>
      </c>
      <c r="K404" s="71">
        <f>IF(ISBLANK(Log[[#This Row],[Item]]),"",_xlfn.XLOOKUP(Log[[#This Row],[Item]],Calories[Name],Calories[Protein])*Log[[#This Row],[Qty]])</f>
        <v>31.277399999999997</v>
      </c>
      <c r="L404" s="71">
        <f>IF(ISBLANK(Log[[#This Row],[Item]]),"",_xlfn.XLOOKUP(Log[[#This Row],[Item]],Calories[Name],Calories[Chol.])*Log[[#This Row],[Qty]])</f>
        <v>234.08</v>
      </c>
      <c r="M404" s="75"/>
      <c r="N404" s="75"/>
      <c r="O404" s="75"/>
    </row>
    <row r="405" spans="1:15" s="66" customFormat="1" ht="25.15" customHeight="1">
      <c r="A405" s="75"/>
      <c r="B405" s="98">
        <v>44832</v>
      </c>
      <c r="C405" s="78" t="s">
        <v>45</v>
      </c>
      <c r="D405" s="79">
        <v>3</v>
      </c>
      <c r="E405" s="76" t="str">
        <f>IF(ISBLANK(Log[[#This Row],[Item]]),"",_xlfn.XLOOKUP(Log[[#This Row],[Item]],Calories[Name],Calories[Unit]))</f>
        <v>pinch</v>
      </c>
      <c r="F405" s="65">
        <f>IF(ISBLANK(Log[[#This Row],[Item]]),"",_xlfn.XLOOKUP(Log[[#This Row],[Item]],Calories[Name],Calories[Cals])*Log[[#This Row],[Qty]])</f>
        <v>0</v>
      </c>
      <c r="G405" s="71">
        <f>IF(ISBLANK(Log[[#This Row],[Item]]),"",_xlfn.XLOOKUP(Log[[#This Row],[Item]],Calories[Name],Calories[Carbs])*Log[[#This Row],[Qty]])</f>
        <v>0</v>
      </c>
      <c r="H405" s="71">
        <f>IF(ISBLANK(Log[[#This Row],[Item]]),"",_xlfn.XLOOKUP(Log[[#This Row],[Item]],Calories[Name],Calories[Fibre])*Log[[#This Row],[Qty]])</f>
        <v>0</v>
      </c>
      <c r="I405" s="71">
        <f>IF(ISBLANK(Log[[#This Row],[Item]]),"",(Log[[#This Row],[Carbs]]-Log[[#This Row],[Fibre]]))</f>
        <v>0</v>
      </c>
      <c r="J405" s="103">
        <f>IF(ISBLANK(Log[[#This Row],[Item]]),"",_xlfn.XLOOKUP(Log[[#This Row],[Item]],Calories[Name],Calories[Sodium])*Log[[#This Row],[Qty]])</f>
        <v>418.58639999999997</v>
      </c>
      <c r="K405" s="71">
        <f>IF(ISBLANK(Log[[#This Row],[Item]]),"",_xlfn.XLOOKUP(Log[[#This Row],[Item]],Calories[Name],Calories[Protein])*Log[[#This Row],[Qty]])</f>
        <v>0</v>
      </c>
      <c r="L405" s="71">
        <f>IF(ISBLANK(Log[[#This Row],[Item]]),"",_xlfn.XLOOKUP(Log[[#This Row],[Item]],Calories[Name],Calories[Chol.])*Log[[#This Row],[Qty]])</f>
        <v>0</v>
      </c>
      <c r="M405" s="75"/>
      <c r="N405" s="75"/>
      <c r="O405" s="75"/>
    </row>
    <row r="406" spans="1:15" s="66" customFormat="1" ht="25.15" customHeight="1">
      <c r="A406" s="75"/>
      <c r="B406" s="98">
        <v>44832</v>
      </c>
      <c r="C406" s="78" t="s">
        <v>36</v>
      </c>
      <c r="D406" s="79">
        <v>1</v>
      </c>
      <c r="E406" s="76" t="str">
        <f>IF(ISBLANK(Log[[#This Row],[Item]]),"",_xlfn.XLOOKUP(Log[[#This Row],[Item]],Calories[Name],Calories[Unit]))</f>
        <v>ea</v>
      </c>
      <c r="F406" s="65">
        <f>IF(ISBLANK(Log[[#This Row],[Item]]),"",_xlfn.XLOOKUP(Log[[#This Row],[Item]],Calories[Name],Calories[Cals])*Log[[#This Row],[Qty]])</f>
        <v>240</v>
      </c>
      <c r="G406" s="71">
        <f>IF(ISBLANK(Log[[#This Row],[Item]]),"",_xlfn.XLOOKUP(Log[[#This Row],[Item]],Calories[Name],Calories[Carbs])*Log[[#This Row],[Qty]])</f>
        <v>13</v>
      </c>
      <c r="H406" s="71">
        <f>IF(ISBLANK(Log[[#This Row],[Item]]),"",_xlfn.XLOOKUP(Log[[#This Row],[Item]],Calories[Name],Calories[Fibre])*Log[[#This Row],[Qty]])</f>
        <v>10</v>
      </c>
      <c r="I406" s="71">
        <f>IF(ISBLANK(Log[[#This Row],[Item]]),"",(Log[[#This Row],[Carbs]]-Log[[#This Row],[Fibre]]))</f>
        <v>3</v>
      </c>
      <c r="J406" s="103">
        <f>IF(ISBLANK(Log[[#This Row],[Item]]),"",_xlfn.XLOOKUP(Log[[#This Row],[Item]],Calories[Name],Calories[Sodium])*Log[[#This Row],[Qty]])</f>
        <v>11</v>
      </c>
      <c r="K406" s="71">
        <f>IF(ISBLANK(Log[[#This Row],[Item]]),"",_xlfn.XLOOKUP(Log[[#This Row],[Item]],Calories[Name],Calories[Protein])*Log[[#This Row],[Qty]])</f>
        <v>3</v>
      </c>
      <c r="L406" s="71">
        <f>IF(ISBLANK(Log[[#This Row],[Item]]),"",_xlfn.XLOOKUP(Log[[#This Row],[Item]],Calories[Name],Calories[Chol.])*Log[[#This Row],[Qty]])</f>
        <v>0</v>
      </c>
      <c r="M406" s="75"/>
      <c r="N406" s="75"/>
      <c r="O406" s="75"/>
    </row>
    <row r="407" spans="1:15" s="66" customFormat="1" ht="25.15" customHeight="1">
      <c r="A407" s="75"/>
      <c r="B407" s="98">
        <v>44832</v>
      </c>
      <c r="C407" s="78" t="s">
        <v>42</v>
      </c>
      <c r="D407" s="79">
        <v>0.5</v>
      </c>
      <c r="E407" s="76" t="str">
        <f>IF(ISBLANK(Log[[#This Row],[Item]]),"",_xlfn.XLOOKUP(Log[[#This Row],[Item]],Calories[Name],Calories[Unit]))</f>
        <v>c</v>
      </c>
      <c r="F407" s="65">
        <f>IF(ISBLANK(Log[[#This Row],[Item]]),"",_xlfn.XLOOKUP(Log[[#This Row],[Item]],Calories[Name],Calories[Cals])*Log[[#This Row],[Qty]])</f>
        <v>2</v>
      </c>
      <c r="G407" s="71">
        <f>IF(ISBLANK(Log[[#This Row],[Item]]),"",_xlfn.XLOOKUP(Log[[#This Row],[Item]],Calories[Name],Calories[Carbs])*Log[[#This Row],[Qty]])</f>
        <v>0.29499999999999998</v>
      </c>
      <c r="H407" s="71">
        <f>IF(ISBLANK(Log[[#This Row],[Item]]),"",_xlfn.XLOOKUP(Log[[#This Row],[Item]],Calories[Name],Calories[Fibre])*Log[[#This Row],[Qty]])</f>
        <v>0.2</v>
      </c>
      <c r="I407" s="71">
        <f>IF(ISBLANK(Log[[#This Row],[Item]]),"",(Log[[#This Row],[Carbs]]-Log[[#This Row],[Fibre]]))</f>
        <v>9.4999999999999973E-2</v>
      </c>
      <c r="J407" s="103">
        <f>IF(ISBLANK(Log[[#This Row],[Item]]),"",_xlfn.XLOOKUP(Log[[#This Row],[Item]],Calories[Name],Calories[Sodium])*Log[[#This Row],[Qty]])</f>
        <v>3.5</v>
      </c>
      <c r="K407" s="71">
        <f>IF(ISBLANK(Log[[#This Row],[Item]]),"",_xlfn.XLOOKUP(Log[[#This Row],[Item]],Calories[Name],Calories[Protein])*Log[[#This Row],[Qty]])</f>
        <v>0.17</v>
      </c>
      <c r="L407" s="71">
        <f>IF(ISBLANK(Log[[#This Row],[Item]]),"",_xlfn.XLOOKUP(Log[[#This Row],[Item]],Calories[Name],Calories[Chol.])*Log[[#This Row],[Qty]])</f>
        <v>0</v>
      </c>
      <c r="M407" s="75"/>
      <c r="N407" s="75"/>
      <c r="O407" s="75"/>
    </row>
    <row r="408" spans="1:15" s="66" customFormat="1" ht="25.15" customHeight="1">
      <c r="A408" s="75"/>
      <c r="B408" s="98">
        <v>44832</v>
      </c>
      <c r="C408" s="78" t="s">
        <v>35</v>
      </c>
      <c r="D408" s="79">
        <v>1.5</v>
      </c>
      <c r="E408" s="76" t="str">
        <f>IF(ISBLANK(Log[[#This Row],[Item]]),"",_xlfn.XLOOKUP(Log[[#This Row],[Item]],Calories[Name],Calories[Unit]))</f>
        <v>tbsp</v>
      </c>
      <c r="F408" s="65">
        <f>IF(ISBLANK(Log[[#This Row],[Item]]),"",_xlfn.XLOOKUP(Log[[#This Row],[Item]],Calories[Name],Calories[Cals])*Log[[#This Row],[Qty]])</f>
        <v>135</v>
      </c>
      <c r="G408" s="71">
        <f>IF(ISBLANK(Log[[#This Row],[Item]]),"",_xlfn.XLOOKUP(Log[[#This Row],[Item]],Calories[Name],Calories[Carbs])*Log[[#This Row],[Qty]])</f>
        <v>0</v>
      </c>
      <c r="H408" s="71">
        <f>IF(ISBLANK(Log[[#This Row],[Item]]),"",_xlfn.XLOOKUP(Log[[#This Row],[Item]],Calories[Name],Calories[Fibre])*Log[[#This Row],[Qty]])</f>
        <v>0</v>
      </c>
      <c r="I408" s="71">
        <f>IF(ISBLANK(Log[[#This Row],[Item]]),"",(Log[[#This Row],[Carbs]]-Log[[#This Row],[Fibre]]))</f>
        <v>0</v>
      </c>
      <c r="J408" s="103">
        <f>IF(ISBLANK(Log[[#This Row],[Item]]),"",_xlfn.XLOOKUP(Log[[#This Row],[Item]],Calories[Name],Calories[Sodium])*Log[[#This Row],[Qty]])</f>
        <v>135</v>
      </c>
      <c r="K408" s="71">
        <f>IF(ISBLANK(Log[[#This Row],[Item]]),"",_xlfn.XLOOKUP(Log[[#This Row],[Item]],Calories[Name],Calories[Protein])*Log[[#This Row],[Qty]])</f>
        <v>0</v>
      </c>
      <c r="L408" s="71">
        <f>IF(ISBLANK(Log[[#This Row],[Item]]),"",_xlfn.XLOOKUP(Log[[#This Row],[Item]],Calories[Name],Calories[Chol.])*Log[[#This Row],[Qty]])</f>
        <v>7.5</v>
      </c>
      <c r="M408" s="75"/>
      <c r="N408" s="75"/>
      <c r="O408" s="75"/>
    </row>
    <row r="409" spans="1:15" s="66" customFormat="1" ht="25.15" customHeight="1">
      <c r="A409" s="75"/>
      <c r="B409" s="98">
        <v>44832</v>
      </c>
      <c r="C409" s="78" t="s">
        <v>100</v>
      </c>
      <c r="D409" s="79">
        <v>0.5</v>
      </c>
      <c r="E409" s="76" t="str">
        <f>IF(ISBLANK(Log[[#This Row],[Item]]),"",_xlfn.XLOOKUP(Log[[#This Row],[Item]],Calories[Name],Calories[Unit]))</f>
        <v>can</v>
      </c>
      <c r="F409" s="65">
        <f>IF(ISBLANK(Log[[#This Row],[Item]]),"",_xlfn.XLOOKUP(Log[[#This Row],[Item]],Calories[Name],Calories[Cals])*Log[[#This Row],[Qty]])</f>
        <v>120</v>
      </c>
      <c r="G409" s="71">
        <f>IF(ISBLANK(Log[[#This Row],[Item]]),"",_xlfn.XLOOKUP(Log[[#This Row],[Item]],Calories[Name],Calories[Carbs])*Log[[#This Row],[Qty]])</f>
        <v>0</v>
      </c>
      <c r="H409" s="71">
        <f>IF(ISBLANK(Log[[#This Row],[Item]]),"",_xlfn.XLOOKUP(Log[[#This Row],[Item]],Calories[Name],Calories[Fibre])*Log[[#This Row],[Qty]])</f>
        <v>0</v>
      </c>
      <c r="I409" s="71">
        <f>IF(ISBLANK(Log[[#This Row],[Item]]),"",(Log[[#This Row],[Carbs]]-Log[[#This Row],[Fibre]]))</f>
        <v>0</v>
      </c>
      <c r="J409" s="103">
        <f>IF(ISBLANK(Log[[#This Row],[Item]]),"",_xlfn.XLOOKUP(Log[[#This Row],[Item]],Calories[Name],Calories[Sodium])*Log[[#This Row],[Qty]])</f>
        <v>280</v>
      </c>
      <c r="K409" s="71">
        <f>IF(ISBLANK(Log[[#This Row],[Item]]),"",_xlfn.XLOOKUP(Log[[#This Row],[Item]],Calories[Name],Calories[Protein])*Log[[#This Row],[Qty]])</f>
        <v>18</v>
      </c>
      <c r="L409" s="71">
        <f>IF(ISBLANK(Log[[#This Row],[Item]]),"",_xlfn.XLOOKUP(Log[[#This Row],[Item]],Calories[Name],Calories[Chol.])*Log[[#This Row],[Qty]])</f>
        <v>35</v>
      </c>
      <c r="M409" s="75"/>
      <c r="N409" s="75"/>
      <c r="O409" s="75"/>
    </row>
    <row r="410" spans="1:15" s="66" customFormat="1" ht="25.15" customHeight="1">
      <c r="A410" s="75"/>
      <c r="B410" s="98">
        <v>44833</v>
      </c>
      <c r="C410" s="78" t="s">
        <v>52</v>
      </c>
      <c r="D410" s="79">
        <v>1</v>
      </c>
      <c r="E410" s="76" t="str">
        <f>IF(ISBLANK(Log[[#This Row],[Item]]),"",_xlfn.XLOOKUP(Log[[#This Row],[Item]],Calories[Name],Calories[Unit]))</f>
        <v>ea</v>
      </c>
      <c r="F410" s="65">
        <f>IF(ISBLANK(Log[[#This Row],[Item]]),"",_xlfn.XLOOKUP(Log[[#This Row],[Item]],Calories[Name],Calories[Cals])*Log[[#This Row],[Qty]])</f>
        <v>0</v>
      </c>
      <c r="G410" s="71">
        <f>IF(ISBLANK(Log[[#This Row],[Item]]),"",_xlfn.XLOOKUP(Log[[#This Row],[Item]],Calories[Name],Calories[Carbs])*Log[[#This Row],[Qty]])</f>
        <v>0</v>
      </c>
      <c r="H410" s="71">
        <f>IF(ISBLANK(Log[[#This Row],[Item]]),"",_xlfn.XLOOKUP(Log[[#This Row],[Item]],Calories[Name],Calories[Fibre])*Log[[#This Row],[Qty]])</f>
        <v>0</v>
      </c>
      <c r="I410" s="71">
        <f>IF(ISBLANK(Log[[#This Row],[Item]]),"",(Log[[#This Row],[Carbs]]-Log[[#This Row],[Fibre]]))</f>
        <v>0</v>
      </c>
      <c r="J410" s="103">
        <f>IF(ISBLANK(Log[[#This Row],[Item]]),"",_xlfn.XLOOKUP(Log[[#This Row],[Item]],Calories[Name],Calories[Sodium])*Log[[#This Row],[Qty]])</f>
        <v>0</v>
      </c>
      <c r="K410" s="71">
        <f>IF(ISBLANK(Log[[#This Row],[Item]]),"",_xlfn.XLOOKUP(Log[[#This Row],[Item]],Calories[Name],Calories[Protein])*Log[[#This Row],[Qty]])</f>
        <v>0</v>
      </c>
      <c r="L410" s="71">
        <f>IF(ISBLANK(Log[[#This Row],[Item]]),"",_xlfn.XLOOKUP(Log[[#This Row],[Item]],Calories[Name],Calories[Chol.])*Log[[#This Row],[Qty]])</f>
        <v>0</v>
      </c>
      <c r="M410" s="75"/>
      <c r="N410" s="75"/>
      <c r="O410" s="75"/>
    </row>
    <row r="411" spans="1:15" s="66" customFormat="1" ht="25.15" customHeight="1">
      <c r="A411" s="75"/>
      <c r="B411" s="98">
        <v>44833</v>
      </c>
      <c r="C411" s="78" t="s">
        <v>53</v>
      </c>
      <c r="D411" s="79">
        <v>1</v>
      </c>
      <c r="E411" s="76" t="str">
        <f>IF(ISBLANK(Log[[#This Row],[Item]]),"",_xlfn.XLOOKUP(Log[[#This Row],[Item]],Calories[Name],Calories[Unit]))</f>
        <v>ea</v>
      </c>
      <c r="F411" s="65">
        <f>IF(ISBLANK(Log[[#This Row],[Item]]),"",_xlfn.XLOOKUP(Log[[#This Row],[Item]],Calories[Name],Calories[Cals])*Log[[#This Row],[Qty]])</f>
        <v>0</v>
      </c>
      <c r="G411" s="71">
        <f>IF(ISBLANK(Log[[#This Row],[Item]]),"",_xlfn.XLOOKUP(Log[[#This Row],[Item]],Calories[Name],Calories[Carbs])*Log[[#This Row],[Qty]])</f>
        <v>0</v>
      </c>
      <c r="H411" s="71">
        <f>IF(ISBLANK(Log[[#This Row],[Item]]),"",_xlfn.XLOOKUP(Log[[#This Row],[Item]],Calories[Name],Calories[Fibre])*Log[[#This Row],[Qty]])</f>
        <v>0</v>
      </c>
      <c r="I411" s="71">
        <f>IF(ISBLANK(Log[[#This Row],[Item]]),"",(Log[[#This Row],[Carbs]]-Log[[#This Row],[Fibre]]))</f>
        <v>0</v>
      </c>
      <c r="J411" s="103">
        <f>IF(ISBLANK(Log[[#This Row],[Item]]),"",_xlfn.XLOOKUP(Log[[#This Row],[Item]],Calories[Name],Calories[Sodium])*Log[[#This Row],[Qty]])</f>
        <v>0</v>
      </c>
      <c r="K411" s="71">
        <f>IF(ISBLANK(Log[[#This Row],[Item]]),"",_xlfn.XLOOKUP(Log[[#This Row],[Item]],Calories[Name],Calories[Protein])*Log[[#This Row],[Qty]])</f>
        <v>0</v>
      </c>
      <c r="L411" s="71">
        <f>IF(ISBLANK(Log[[#This Row],[Item]]),"",_xlfn.XLOOKUP(Log[[#This Row],[Item]],Calories[Name],Calories[Chol.])*Log[[#This Row],[Qty]])</f>
        <v>0</v>
      </c>
      <c r="M411" s="75"/>
      <c r="N411" s="75"/>
      <c r="O411" s="75"/>
    </row>
    <row r="412" spans="1:15" s="66" customFormat="1" ht="25.15" customHeight="1">
      <c r="A412" s="75"/>
      <c r="B412" s="98">
        <v>44833</v>
      </c>
      <c r="C412" s="78" t="s">
        <v>54</v>
      </c>
      <c r="D412" s="79">
        <v>1</v>
      </c>
      <c r="E412" s="76" t="str">
        <f>IF(ISBLANK(Log[[#This Row],[Item]]),"",_xlfn.XLOOKUP(Log[[#This Row],[Item]],Calories[Name],Calories[Unit]))</f>
        <v>ea</v>
      </c>
      <c r="F412" s="65">
        <f>IF(ISBLANK(Log[[#This Row],[Item]]),"",_xlfn.XLOOKUP(Log[[#This Row],[Item]],Calories[Name],Calories[Cals])*Log[[#This Row],[Qty]])</f>
        <v>0</v>
      </c>
      <c r="G412" s="71">
        <f>IF(ISBLANK(Log[[#This Row],[Item]]),"",_xlfn.XLOOKUP(Log[[#This Row],[Item]],Calories[Name],Calories[Carbs])*Log[[#This Row],[Qty]])</f>
        <v>0</v>
      </c>
      <c r="H412" s="71">
        <f>IF(ISBLANK(Log[[#This Row],[Item]]),"",_xlfn.XLOOKUP(Log[[#This Row],[Item]],Calories[Name],Calories[Fibre])*Log[[#This Row],[Qty]])</f>
        <v>0</v>
      </c>
      <c r="I412" s="71">
        <f>IF(ISBLANK(Log[[#This Row],[Item]]),"",(Log[[#This Row],[Carbs]]-Log[[#This Row],[Fibre]]))</f>
        <v>0</v>
      </c>
      <c r="J412" s="103">
        <f>IF(ISBLANK(Log[[#This Row],[Item]]),"",_xlfn.XLOOKUP(Log[[#This Row],[Item]],Calories[Name],Calories[Sodium])*Log[[#This Row],[Qty]])</f>
        <v>0</v>
      </c>
      <c r="K412" s="71">
        <f>IF(ISBLANK(Log[[#This Row],[Item]]),"",_xlfn.XLOOKUP(Log[[#This Row],[Item]],Calories[Name],Calories[Protein])*Log[[#This Row],[Qty]])</f>
        <v>0</v>
      </c>
      <c r="L412" s="71">
        <f>IF(ISBLANK(Log[[#This Row],[Item]]),"",_xlfn.XLOOKUP(Log[[#This Row],[Item]],Calories[Name],Calories[Chol.])*Log[[#This Row],[Qty]])</f>
        <v>0</v>
      </c>
      <c r="M412" s="75"/>
      <c r="N412" s="75"/>
      <c r="O412" s="75"/>
    </row>
    <row r="413" spans="1:15" s="66" customFormat="1" ht="25.15" customHeight="1">
      <c r="A413" s="75"/>
      <c r="B413" s="98">
        <v>44833</v>
      </c>
      <c r="C413" s="78" t="s">
        <v>55</v>
      </c>
      <c r="D413" s="79">
        <v>1</v>
      </c>
      <c r="E413" s="76" t="str">
        <f>IF(ISBLANK(Log[[#This Row],[Item]]),"",_xlfn.XLOOKUP(Log[[#This Row],[Item]],Calories[Name],Calories[Unit]))</f>
        <v>ea</v>
      </c>
      <c r="F413" s="65">
        <f>IF(ISBLANK(Log[[#This Row],[Item]]),"",_xlfn.XLOOKUP(Log[[#This Row],[Item]],Calories[Name],Calories[Cals])*Log[[#This Row],[Qty]])</f>
        <v>0</v>
      </c>
      <c r="G413" s="71">
        <f>IF(ISBLANK(Log[[#This Row],[Item]]),"",_xlfn.XLOOKUP(Log[[#This Row],[Item]],Calories[Name],Calories[Carbs])*Log[[#This Row],[Qty]])</f>
        <v>0</v>
      </c>
      <c r="H413" s="71">
        <f>IF(ISBLANK(Log[[#This Row],[Item]]),"",_xlfn.XLOOKUP(Log[[#This Row],[Item]],Calories[Name],Calories[Fibre])*Log[[#This Row],[Qty]])</f>
        <v>0</v>
      </c>
      <c r="I413" s="71">
        <f>IF(ISBLANK(Log[[#This Row],[Item]]),"",(Log[[#This Row],[Carbs]]-Log[[#This Row],[Fibre]]))</f>
        <v>0</v>
      </c>
      <c r="J413" s="103">
        <f>IF(ISBLANK(Log[[#This Row],[Item]]),"",_xlfn.XLOOKUP(Log[[#This Row],[Item]],Calories[Name],Calories[Sodium])*Log[[#This Row],[Qty]])</f>
        <v>0</v>
      </c>
      <c r="K413" s="71">
        <f>IF(ISBLANK(Log[[#This Row],[Item]]),"",_xlfn.XLOOKUP(Log[[#This Row],[Item]],Calories[Name],Calories[Protein])*Log[[#This Row],[Qty]])</f>
        <v>0</v>
      </c>
      <c r="L413" s="71">
        <f>IF(ISBLANK(Log[[#This Row],[Item]]),"",_xlfn.XLOOKUP(Log[[#This Row],[Item]],Calories[Name],Calories[Chol.])*Log[[#This Row],[Qty]])</f>
        <v>0</v>
      </c>
      <c r="M413" s="75"/>
      <c r="N413" s="75"/>
      <c r="O413" s="75"/>
    </row>
    <row r="414" spans="1:15" s="66" customFormat="1" ht="25.15" customHeight="1">
      <c r="A414" s="75"/>
      <c r="B414" s="98">
        <v>44833</v>
      </c>
      <c r="C414" s="78" t="s">
        <v>96</v>
      </c>
      <c r="D414" s="79">
        <v>8</v>
      </c>
      <c r="E414" s="76" t="str">
        <f>IF(ISBLANK(Log[[#This Row],[Item]]),"",_xlfn.XLOOKUP(Log[[#This Row],[Item]],Calories[Name],Calories[Unit]))</f>
        <v>g</v>
      </c>
      <c r="F414" s="65">
        <f>IF(ISBLANK(Log[[#This Row],[Item]]),"",_xlfn.XLOOKUP(Log[[#This Row],[Item]],Calories[Name],Calories[Cals])*Log[[#This Row],[Qty]])</f>
        <v>12.5</v>
      </c>
      <c r="G414" s="71">
        <f>IF(ISBLANK(Log[[#This Row],[Item]]),"",_xlfn.XLOOKUP(Log[[#This Row],[Item]],Calories[Name],Calories[Carbs])*Log[[#This Row],[Qty]])</f>
        <v>7.5</v>
      </c>
      <c r="H414" s="71">
        <f>IF(ISBLANK(Log[[#This Row],[Item]]),"",_xlfn.XLOOKUP(Log[[#This Row],[Item]],Calories[Name],Calories[Fibre])*Log[[#This Row],[Qty]])</f>
        <v>7.5</v>
      </c>
      <c r="I414" s="71">
        <f>IF(ISBLANK(Log[[#This Row],[Item]]),"",(Log[[#This Row],[Carbs]]-Log[[#This Row],[Fibre]]))</f>
        <v>0</v>
      </c>
      <c r="J414" s="103">
        <f>IF(ISBLANK(Log[[#This Row],[Item]]),"",_xlfn.XLOOKUP(Log[[#This Row],[Item]],Calories[Name],Calories[Sodium])*Log[[#This Row],[Qty]])</f>
        <v>0</v>
      </c>
      <c r="K414" s="71">
        <f>IF(ISBLANK(Log[[#This Row],[Item]]),"",_xlfn.XLOOKUP(Log[[#This Row],[Item]],Calories[Name],Calories[Protein])*Log[[#This Row],[Qty]])</f>
        <v>0</v>
      </c>
      <c r="L414" s="71">
        <f>IF(ISBLANK(Log[[#This Row],[Item]]),"",_xlfn.XLOOKUP(Log[[#This Row],[Item]],Calories[Name],Calories[Chol.])*Log[[#This Row],[Qty]])</f>
        <v>0</v>
      </c>
      <c r="M414" s="75"/>
      <c r="N414" s="75"/>
      <c r="O414" s="75"/>
    </row>
    <row r="415" spans="1:15" s="66" customFormat="1" ht="25.15" customHeight="1">
      <c r="A415" s="75"/>
      <c r="B415" s="98">
        <v>44833</v>
      </c>
      <c r="C415" s="64" t="s">
        <v>106</v>
      </c>
      <c r="D415" s="79">
        <v>14.5</v>
      </c>
      <c r="E415" s="76" t="str">
        <f>IF(ISBLANK(Log[[#This Row],[Item]]),"",_xlfn.XLOOKUP(Log[[#This Row],[Item]],Calories[Name],Calories[Unit]))</f>
        <v>km</v>
      </c>
      <c r="F415" s="65">
        <f>IF(ISBLANK(Log[[#This Row],[Item]]),"",_xlfn.XLOOKUP(Log[[#This Row],[Item]],Calories[Name],Calories[Cals])*Log[[#This Row],[Qty]])</f>
        <v>-362.5</v>
      </c>
      <c r="G415" s="71">
        <f>IF(ISBLANK(Log[[#This Row],[Item]]),"",_xlfn.XLOOKUP(Log[[#This Row],[Item]],Calories[Name],Calories[Carbs])*Log[[#This Row],[Qty]])</f>
        <v>0</v>
      </c>
      <c r="H415" s="71">
        <f>IF(ISBLANK(Log[[#This Row],[Item]]),"",_xlfn.XLOOKUP(Log[[#This Row],[Item]],Calories[Name],Calories[Fibre])*Log[[#This Row],[Qty]])</f>
        <v>0</v>
      </c>
      <c r="I415" s="71">
        <f>IF(ISBLANK(Log[[#This Row],[Item]]),"",(Log[[#This Row],[Carbs]]-Log[[#This Row],[Fibre]]))</f>
        <v>0</v>
      </c>
      <c r="J415" s="103">
        <f>IF(ISBLANK(Log[[#This Row],[Item]]),"",_xlfn.XLOOKUP(Log[[#This Row],[Item]],Calories[Name],Calories[Sodium])*Log[[#This Row],[Qty]])</f>
        <v>0</v>
      </c>
      <c r="K415" s="71">
        <f>IF(ISBLANK(Log[[#This Row],[Item]]),"",_xlfn.XLOOKUP(Log[[#This Row],[Item]],Calories[Name],Calories[Protein])*Log[[#This Row],[Qty]])</f>
        <v>0</v>
      </c>
      <c r="L415" s="71">
        <f>IF(ISBLANK(Log[[#This Row],[Item]]),"",_xlfn.XLOOKUP(Log[[#This Row],[Item]],Calories[Name],Calories[Chol.])*Log[[#This Row],[Qty]])</f>
        <v>0</v>
      </c>
      <c r="M415" s="75"/>
      <c r="N415" s="75"/>
      <c r="O415" s="75"/>
    </row>
    <row r="416" spans="1:15" s="66" customFormat="1" ht="25.15" customHeight="1">
      <c r="A416" s="75"/>
      <c r="B416" s="98">
        <v>44833</v>
      </c>
      <c r="C416" s="78" t="s">
        <v>40</v>
      </c>
      <c r="D416" s="79">
        <v>5</v>
      </c>
      <c r="E416" s="76" t="str">
        <f>IF(ISBLANK(Log[[#This Row],[Item]]),"",_xlfn.XLOOKUP(Log[[#This Row],[Item]],Calories[Name],Calories[Unit]))</f>
        <v>ea</v>
      </c>
      <c r="F416" s="65">
        <f>IF(ISBLANK(Log[[#This Row],[Item]]),"",_xlfn.XLOOKUP(Log[[#This Row],[Item]],Calories[Name],Calories[Cals])*Log[[#This Row],[Qty]])</f>
        <v>75</v>
      </c>
      <c r="G416" s="71">
        <f>IF(ISBLANK(Log[[#This Row],[Item]]),"",_xlfn.XLOOKUP(Log[[#This Row],[Item]],Calories[Name],Calories[Carbs])*Log[[#This Row],[Qty]])</f>
        <v>15</v>
      </c>
      <c r="H416" s="71">
        <f>IF(ISBLANK(Log[[#This Row],[Item]]),"",_xlfn.XLOOKUP(Log[[#This Row],[Item]],Calories[Name],Calories[Fibre])*Log[[#This Row],[Qty]])</f>
        <v>10</v>
      </c>
      <c r="I416" s="71">
        <f>IF(ISBLANK(Log[[#This Row],[Item]]),"",(Log[[#This Row],[Carbs]]-Log[[#This Row],[Fibre]]))</f>
        <v>5</v>
      </c>
      <c r="J416" s="103">
        <f>IF(ISBLANK(Log[[#This Row],[Item]]),"",_xlfn.XLOOKUP(Log[[#This Row],[Item]],Calories[Name],Calories[Sodium])*Log[[#This Row],[Qty]])</f>
        <v>200</v>
      </c>
      <c r="K416" s="71">
        <f>IF(ISBLANK(Log[[#This Row],[Item]]),"",_xlfn.XLOOKUP(Log[[#This Row],[Item]],Calories[Name],Calories[Protein])*Log[[#This Row],[Qty]])</f>
        <v>5</v>
      </c>
      <c r="L416" s="71">
        <f>IF(ISBLANK(Log[[#This Row],[Item]]),"",_xlfn.XLOOKUP(Log[[#This Row],[Item]],Calories[Name],Calories[Chol.])*Log[[#This Row],[Qty]])</f>
        <v>0</v>
      </c>
      <c r="M416" s="75"/>
      <c r="N416" s="75"/>
      <c r="O416" s="75"/>
    </row>
    <row r="417" spans="1:15" s="66" customFormat="1" ht="25.15" customHeight="1">
      <c r="A417" s="75"/>
      <c r="B417" s="98">
        <v>44833</v>
      </c>
      <c r="C417" s="78" t="s">
        <v>13</v>
      </c>
      <c r="D417" s="79">
        <v>2.6</v>
      </c>
      <c r="E417" s="76" t="str">
        <f>IF(ISBLANK(Log[[#This Row],[Item]]),"",_xlfn.XLOOKUP(Log[[#This Row],[Item]],Calories[Name],Calories[Unit]))</f>
        <v>ea</v>
      </c>
      <c r="F417" s="65">
        <f>IF(ISBLANK(Log[[#This Row],[Item]]),"",_xlfn.XLOOKUP(Log[[#This Row],[Item]],Calories[Name],Calories[Cals])*Log[[#This Row],[Qty]])</f>
        <v>187.20000000000002</v>
      </c>
      <c r="G417" s="71">
        <f>IF(ISBLANK(Log[[#This Row],[Item]]),"",_xlfn.XLOOKUP(Log[[#This Row],[Item]],Calories[Name],Calories[Carbs])*Log[[#This Row],[Qty]])</f>
        <v>0</v>
      </c>
      <c r="H417" s="71">
        <f>IF(ISBLANK(Log[[#This Row],[Item]]),"",_xlfn.XLOOKUP(Log[[#This Row],[Item]],Calories[Name],Calories[Fibre])*Log[[#This Row],[Qty]])</f>
        <v>0</v>
      </c>
      <c r="I417" s="71">
        <f>IF(ISBLANK(Log[[#This Row],[Item]]),"",(Log[[#This Row],[Carbs]]-Log[[#This Row],[Fibre]]))</f>
        <v>0</v>
      </c>
      <c r="J417" s="103">
        <f>IF(ISBLANK(Log[[#This Row],[Item]]),"",_xlfn.XLOOKUP(Log[[#This Row],[Item]],Calories[Name],Calories[Sodium])*Log[[#This Row],[Qty]])</f>
        <v>182</v>
      </c>
      <c r="K417" s="71">
        <f>IF(ISBLANK(Log[[#This Row],[Item]]),"",_xlfn.XLOOKUP(Log[[#This Row],[Item]],Calories[Name],Calories[Protein])*Log[[#This Row],[Qty]])</f>
        <v>15.600000000000001</v>
      </c>
      <c r="L417" s="71">
        <f>IF(ISBLANK(Log[[#This Row],[Item]]),"",_xlfn.XLOOKUP(Log[[#This Row],[Item]],Calories[Name],Calories[Chol.])*Log[[#This Row],[Qty]])</f>
        <v>548.6</v>
      </c>
      <c r="M417" s="75"/>
      <c r="N417" s="75"/>
      <c r="O417" s="75"/>
    </row>
    <row r="418" spans="1:15" s="66" customFormat="1" ht="25.15" customHeight="1">
      <c r="A418" s="75"/>
      <c r="B418" s="98">
        <v>44833</v>
      </c>
      <c r="C418" s="78" t="s">
        <v>42</v>
      </c>
      <c r="D418" s="79">
        <v>0.2</v>
      </c>
      <c r="E418" s="76" t="str">
        <f>IF(ISBLANK(Log[[#This Row],[Item]]),"",_xlfn.XLOOKUP(Log[[#This Row],[Item]],Calories[Name],Calories[Unit]))</f>
        <v>c</v>
      </c>
      <c r="F418" s="65">
        <f>IF(ISBLANK(Log[[#This Row],[Item]]),"",_xlfn.XLOOKUP(Log[[#This Row],[Item]],Calories[Name],Calories[Cals])*Log[[#This Row],[Qty]])</f>
        <v>0.8</v>
      </c>
      <c r="G418" s="71">
        <f>IF(ISBLANK(Log[[#This Row],[Item]]),"",_xlfn.XLOOKUP(Log[[#This Row],[Item]],Calories[Name],Calories[Carbs])*Log[[#This Row],[Qty]])</f>
        <v>0.11799999999999999</v>
      </c>
      <c r="H418" s="71">
        <f>IF(ISBLANK(Log[[#This Row],[Item]]),"",_xlfn.XLOOKUP(Log[[#This Row],[Item]],Calories[Name],Calories[Fibre])*Log[[#This Row],[Qty]])</f>
        <v>8.0000000000000016E-2</v>
      </c>
      <c r="I418" s="71">
        <f>IF(ISBLANK(Log[[#This Row],[Item]]),"",(Log[[#This Row],[Carbs]]-Log[[#This Row],[Fibre]]))</f>
        <v>3.7999999999999978E-2</v>
      </c>
      <c r="J418" s="103">
        <f>IF(ISBLANK(Log[[#This Row],[Item]]),"",_xlfn.XLOOKUP(Log[[#This Row],[Item]],Calories[Name],Calories[Sodium])*Log[[#This Row],[Qty]])</f>
        <v>1.4000000000000001</v>
      </c>
      <c r="K418" s="71">
        <f>IF(ISBLANK(Log[[#This Row],[Item]]),"",_xlfn.XLOOKUP(Log[[#This Row],[Item]],Calories[Name],Calories[Protein])*Log[[#This Row],[Qty]])</f>
        <v>6.8000000000000005E-2</v>
      </c>
      <c r="L418" s="71">
        <f>IF(ISBLANK(Log[[#This Row],[Item]]),"",_xlfn.XLOOKUP(Log[[#This Row],[Item]],Calories[Name],Calories[Chol.])*Log[[#This Row],[Qty]])</f>
        <v>0</v>
      </c>
      <c r="M418" s="75"/>
      <c r="N418" s="75"/>
      <c r="O418" s="75"/>
    </row>
    <row r="419" spans="1:15" s="66" customFormat="1" ht="25.15" customHeight="1">
      <c r="A419" s="75"/>
      <c r="B419" s="98">
        <v>44833</v>
      </c>
      <c r="C419" s="78" t="s">
        <v>107</v>
      </c>
      <c r="D419" s="79">
        <v>0.3</v>
      </c>
      <c r="E419" s="76" t="str">
        <f>IF(ISBLANK(Log[[#This Row],[Item]]),"",_xlfn.XLOOKUP(Log[[#This Row],[Item]],Calories[Name],Calories[Unit]))</f>
        <v>1 can</v>
      </c>
      <c r="F419" s="65">
        <f>IF(ISBLANK(Log[[#This Row],[Item]]),"",_xlfn.XLOOKUP(Log[[#This Row],[Item]],Calories[Name],Calories[Cals])*Log[[#This Row],[Qty]])</f>
        <v>30</v>
      </c>
      <c r="G419" s="71">
        <f>IF(ISBLANK(Log[[#This Row],[Item]]),"",_xlfn.XLOOKUP(Log[[#This Row],[Item]],Calories[Name],Calories[Carbs])*Log[[#This Row],[Qty]])</f>
        <v>0</v>
      </c>
      <c r="H419" s="71">
        <f>IF(ISBLANK(Log[[#This Row],[Item]]),"",_xlfn.XLOOKUP(Log[[#This Row],[Item]],Calories[Name],Calories[Fibre])*Log[[#This Row],[Qty]])</f>
        <v>0</v>
      </c>
      <c r="I419" s="71">
        <f>IF(ISBLANK(Log[[#This Row],[Item]]),"",(Log[[#This Row],[Carbs]]-Log[[#This Row],[Fibre]]))</f>
        <v>0</v>
      </c>
      <c r="J419" s="103">
        <f>IF(ISBLANK(Log[[#This Row],[Item]]),"",_xlfn.XLOOKUP(Log[[#This Row],[Item]],Calories[Name],Calories[Sodium])*Log[[#This Row],[Qty]])</f>
        <v>222</v>
      </c>
      <c r="K419" s="71">
        <f>IF(ISBLANK(Log[[#This Row],[Item]]),"",_xlfn.XLOOKUP(Log[[#This Row],[Item]],Calories[Name],Calories[Protein])*Log[[#This Row],[Qty]])</f>
        <v>6.6</v>
      </c>
      <c r="L419" s="71">
        <f>IF(ISBLANK(Log[[#This Row],[Item]]),"",_xlfn.XLOOKUP(Log[[#This Row],[Item]],Calories[Name],Calories[Chol.])*Log[[#This Row],[Qty]])</f>
        <v>30</v>
      </c>
      <c r="M419" s="75"/>
      <c r="N419" s="75"/>
      <c r="O419" s="75"/>
    </row>
    <row r="420" spans="1:15" s="66" customFormat="1" ht="25.15" customHeight="1">
      <c r="A420" s="75"/>
      <c r="B420" s="98">
        <v>44833</v>
      </c>
      <c r="C420" s="78" t="s">
        <v>88</v>
      </c>
      <c r="D420" s="79">
        <v>3</v>
      </c>
      <c r="E420" s="76" t="str">
        <f>IF(ISBLANK(Log[[#This Row],[Item]]),"",_xlfn.XLOOKUP(Log[[#This Row],[Item]],Calories[Name],Calories[Unit]))</f>
        <v>ea</v>
      </c>
      <c r="F420" s="65">
        <f>IF(ISBLANK(Log[[#This Row],[Item]]),"",_xlfn.XLOOKUP(Log[[#This Row],[Item]],Calories[Name],Calories[Cals])*Log[[#This Row],[Qty]])</f>
        <v>105</v>
      </c>
      <c r="G420" s="71">
        <f>IF(ISBLANK(Log[[#This Row],[Item]]),"",_xlfn.XLOOKUP(Log[[#This Row],[Item]],Calories[Name],Calories[Carbs])*Log[[#This Row],[Qty]])</f>
        <v>0</v>
      </c>
      <c r="H420" s="71">
        <f>IF(ISBLANK(Log[[#This Row],[Item]]),"",_xlfn.XLOOKUP(Log[[#This Row],[Item]],Calories[Name],Calories[Fibre])*Log[[#This Row],[Qty]])</f>
        <v>0</v>
      </c>
      <c r="I420" s="71">
        <f>IF(ISBLANK(Log[[#This Row],[Item]]),"",(Log[[#This Row],[Carbs]]-Log[[#This Row],[Fibre]]))</f>
        <v>0</v>
      </c>
      <c r="J420" s="103">
        <f>IF(ISBLANK(Log[[#This Row],[Item]]),"",_xlfn.XLOOKUP(Log[[#This Row],[Item]],Calories[Name],Calories[Sodium])*Log[[#This Row],[Qty]])</f>
        <v>600</v>
      </c>
      <c r="K420" s="71">
        <f>IF(ISBLANK(Log[[#This Row],[Item]]),"",_xlfn.XLOOKUP(Log[[#This Row],[Item]],Calories[Name],Calories[Protein])*Log[[#This Row],[Qty]])</f>
        <v>19.5</v>
      </c>
      <c r="L420" s="71">
        <f>IF(ISBLANK(Log[[#This Row],[Item]]),"",_xlfn.XLOOKUP(Log[[#This Row],[Item]],Calories[Name],Calories[Chol.])*Log[[#This Row],[Qty]])</f>
        <v>67.5</v>
      </c>
      <c r="M420" s="75"/>
      <c r="N420" s="75"/>
      <c r="O420" s="75"/>
    </row>
    <row r="421" spans="1:15" s="66" customFormat="1" ht="25.15" customHeight="1">
      <c r="A421" s="75"/>
      <c r="B421" s="98">
        <v>44833</v>
      </c>
      <c r="C421" s="78" t="s">
        <v>25</v>
      </c>
      <c r="D421" s="79">
        <v>5</v>
      </c>
      <c r="E421" s="76" t="str">
        <f>IF(ISBLANK(Log[[#This Row],[Item]]),"",_xlfn.XLOOKUP(Log[[#This Row],[Item]],Calories[Name],Calories[Unit]))</f>
        <v>tbsp</v>
      </c>
      <c r="F421" s="65">
        <f>IF(ISBLANK(Log[[#This Row],[Item]]),"",_xlfn.XLOOKUP(Log[[#This Row],[Item]],Calories[Name],Calories[Cals])*Log[[#This Row],[Qty]])</f>
        <v>510</v>
      </c>
      <c r="G421" s="71">
        <f>IF(ISBLANK(Log[[#This Row],[Item]]),"",_xlfn.XLOOKUP(Log[[#This Row],[Item]],Calories[Name],Calories[Carbs])*Log[[#This Row],[Qty]])</f>
        <v>0</v>
      </c>
      <c r="H421" s="71">
        <f>IF(ISBLANK(Log[[#This Row],[Item]]),"",_xlfn.XLOOKUP(Log[[#This Row],[Item]],Calories[Name],Calories[Fibre])*Log[[#This Row],[Qty]])</f>
        <v>0</v>
      </c>
      <c r="I421" s="71">
        <f>IF(ISBLANK(Log[[#This Row],[Item]]),"",(Log[[#This Row],[Carbs]]-Log[[#This Row],[Fibre]]))</f>
        <v>0</v>
      </c>
      <c r="J421" s="103">
        <f>IF(ISBLANK(Log[[#This Row],[Item]]),"",_xlfn.XLOOKUP(Log[[#This Row],[Item]],Calories[Name],Calories[Sodium])*Log[[#This Row],[Qty]])</f>
        <v>450</v>
      </c>
      <c r="K421" s="71">
        <f>IF(ISBLANK(Log[[#This Row],[Item]]),"",_xlfn.XLOOKUP(Log[[#This Row],[Item]],Calories[Name],Calories[Protein])*Log[[#This Row],[Qty]])</f>
        <v>0.6</v>
      </c>
      <c r="L421" s="71">
        <f>IF(ISBLANK(Log[[#This Row],[Item]]),"",_xlfn.XLOOKUP(Log[[#This Row],[Item]],Calories[Name],Calories[Chol.])*Log[[#This Row],[Qty]])</f>
        <v>155</v>
      </c>
      <c r="M421" s="75"/>
      <c r="N421" s="75"/>
      <c r="O421" s="75"/>
    </row>
    <row r="422" spans="1:15" s="66" customFormat="1" ht="25.15" customHeight="1">
      <c r="A422" s="75"/>
      <c r="B422" s="98">
        <v>44833</v>
      </c>
      <c r="C422" s="78" t="s">
        <v>108</v>
      </c>
      <c r="D422" s="79">
        <v>160</v>
      </c>
      <c r="E422" s="76" t="str">
        <f>IF(ISBLANK(Log[[#This Row],[Item]]),"",_xlfn.XLOOKUP(Log[[#This Row],[Item]],Calories[Name],Calories[Unit]))</f>
        <v>g</v>
      </c>
      <c r="F422" s="65">
        <f>IF(ISBLANK(Log[[#This Row],[Item]]),"",_xlfn.XLOOKUP(Log[[#This Row],[Item]],Calories[Name],Calories[Cals])*Log[[#This Row],[Qty]])</f>
        <v>120</v>
      </c>
      <c r="G422" s="71">
        <f>IF(ISBLANK(Log[[#This Row],[Item]]),"",_xlfn.XLOOKUP(Log[[#This Row],[Item]],Calories[Name],Calories[Carbs])*Log[[#This Row],[Qty]])</f>
        <v>28.783999999999995</v>
      </c>
      <c r="H422" s="71">
        <f>IF(ISBLANK(Log[[#This Row],[Item]]),"",_xlfn.XLOOKUP(Log[[#This Row],[Item]],Calories[Name],Calories[Fibre])*Log[[#This Row],[Qty]])</f>
        <v>7.84</v>
      </c>
      <c r="I422" s="71">
        <f>IF(ISBLANK(Log[[#This Row],[Item]]),"",(Log[[#This Row],[Carbs]]-Log[[#This Row],[Fibre]]))</f>
        <v>20.943999999999996</v>
      </c>
      <c r="J422" s="103">
        <f>IF(ISBLANK(Log[[#This Row],[Item]]),"",_xlfn.XLOOKUP(Log[[#This Row],[Item]],Calories[Name],Calories[Sodium])*Log[[#This Row],[Qty]])</f>
        <v>16</v>
      </c>
      <c r="K422" s="71">
        <f>IF(ISBLANK(Log[[#This Row],[Item]]),"",_xlfn.XLOOKUP(Log[[#This Row],[Item]],Calories[Name],Calories[Protein])*Log[[#This Row],[Qty]])</f>
        <v>1.92</v>
      </c>
      <c r="L422" s="71">
        <f>IF(ISBLANK(Log[[#This Row],[Item]]),"",_xlfn.XLOOKUP(Log[[#This Row],[Item]],Calories[Name],Calories[Chol.])*Log[[#This Row],[Qty]])</f>
        <v>0</v>
      </c>
      <c r="M422" s="75"/>
      <c r="N422" s="75"/>
      <c r="O422" s="75"/>
    </row>
    <row r="423" spans="1:15" s="66" customFormat="1" ht="25.15" customHeight="1">
      <c r="A423" s="75"/>
      <c r="B423" s="98">
        <v>44833</v>
      </c>
      <c r="C423" s="78" t="s">
        <v>72</v>
      </c>
      <c r="D423" s="79">
        <v>140</v>
      </c>
      <c r="E423" s="76" t="str">
        <f>IF(ISBLANK(Log[[#This Row],[Item]]),"",_xlfn.XLOOKUP(Log[[#This Row],[Item]],Calories[Name],Calories[Unit]))</f>
        <v>g</v>
      </c>
      <c r="F423" s="65">
        <f>IF(ISBLANK(Log[[#This Row],[Item]]),"",_xlfn.XLOOKUP(Log[[#This Row],[Item]],Calories[Name],Calories[Cals])*Log[[#This Row],[Qty]])</f>
        <v>21</v>
      </c>
      <c r="G423" s="71">
        <f>IF(ISBLANK(Log[[#This Row],[Item]]),"",_xlfn.XLOOKUP(Log[[#This Row],[Item]],Calories[Name],Calories[Carbs])*Log[[#This Row],[Qty]])</f>
        <v>5.0400000000000009</v>
      </c>
      <c r="H423" s="71">
        <f>IF(ISBLANK(Log[[#This Row],[Item]]),"",_xlfn.XLOOKUP(Log[[#This Row],[Item]],Calories[Name],Calories[Fibre])*Log[[#This Row],[Qty]])</f>
        <v>0.70000000000000007</v>
      </c>
      <c r="I423" s="71">
        <f>IF(ISBLANK(Log[[#This Row],[Item]]),"",(Log[[#This Row],[Carbs]]-Log[[#This Row],[Fibre]]))</f>
        <v>4.3400000000000007</v>
      </c>
      <c r="J423" s="103">
        <f>IF(ISBLANK(Log[[#This Row],[Item]]),"",_xlfn.XLOOKUP(Log[[#This Row],[Item]],Calories[Name],Calories[Sodium])*Log[[#This Row],[Qty]])</f>
        <v>2.8000000000000003</v>
      </c>
      <c r="K423" s="71">
        <f>IF(ISBLANK(Log[[#This Row],[Item]]),"",_xlfn.XLOOKUP(Log[[#This Row],[Item]],Calories[Name],Calories[Protein])*Log[[#This Row],[Qty]])</f>
        <v>0.97999999999999987</v>
      </c>
      <c r="L423" s="71">
        <f>IF(ISBLANK(Log[[#This Row],[Item]]),"",_xlfn.XLOOKUP(Log[[#This Row],[Item]],Calories[Name],Calories[Chol.])*Log[[#This Row],[Qty]])</f>
        <v>0</v>
      </c>
      <c r="M423" s="75"/>
      <c r="N423" s="75"/>
      <c r="O423" s="75"/>
    </row>
    <row r="424" spans="1:15" s="66" customFormat="1" ht="25.15" customHeight="1">
      <c r="A424" s="75"/>
      <c r="B424" s="98">
        <v>44833</v>
      </c>
      <c r="C424" s="78" t="s">
        <v>45</v>
      </c>
      <c r="D424" s="79">
        <v>4</v>
      </c>
      <c r="E424" s="76" t="str">
        <f>IF(ISBLANK(Log[[#This Row],[Item]]),"",_xlfn.XLOOKUP(Log[[#This Row],[Item]],Calories[Name],Calories[Unit]))</f>
        <v>pinch</v>
      </c>
      <c r="F424" s="65">
        <f>IF(ISBLANK(Log[[#This Row],[Item]]),"",_xlfn.XLOOKUP(Log[[#This Row],[Item]],Calories[Name],Calories[Cals])*Log[[#This Row],[Qty]])</f>
        <v>0</v>
      </c>
      <c r="G424" s="71">
        <f>IF(ISBLANK(Log[[#This Row],[Item]]),"",_xlfn.XLOOKUP(Log[[#This Row],[Item]],Calories[Name],Calories[Carbs])*Log[[#This Row],[Qty]])</f>
        <v>0</v>
      </c>
      <c r="H424" s="71">
        <f>IF(ISBLANK(Log[[#This Row],[Item]]),"",_xlfn.XLOOKUP(Log[[#This Row],[Item]],Calories[Name],Calories[Fibre])*Log[[#This Row],[Qty]])</f>
        <v>0</v>
      </c>
      <c r="I424" s="71">
        <f>IF(ISBLANK(Log[[#This Row],[Item]]),"",(Log[[#This Row],[Carbs]]-Log[[#This Row],[Fibre]]))</f>
        <v>0</v>
      </c>
      <c r="J424" s="103">
        <f>IF(ISBLANK(Log[[#This Row],[Item]]),"",_xlfn.XLOOKUP(Log[[#This Row],[Item]],Calories[Name],Calories[Sodium])*Log[[#This Row],[Qty]])</f>
        <v>558.11519999999996</v>
      </c>
      <c r="K424" s="71">
        <f>IF(ISBLANK(Log[[#This Row],[Item]]),"",_xlfn.XLOOKUP(Log[[#This Row],[Item]],Calories[Name],Calories[Protein])*Log[[#This Row],[Qty]])</f>
        <v>0</v>
      </c>
      <c r="L424" s="71">
        <f>IF(ISBLANK(Log[[#This Row],[Item]]),"",_xlfn.XLOOKUP(Log[[#This Row],[Item]],Calories[Name],Calories[Chol.])*Log[[#This Row],[Qty]])</f>
        <v>0</v>
      </c>
      <c r="M424" s="75"/>
      <c r="N424" s="75"/>
      <c r="O424" s="75"/>
    </row>
    <row r="425" spans="1:15" s="66" customFormat="1" ht="25.15" customHeight="1">
      <c r="A425" s="75"/>
      <c r="B425" s="98">
        <v>44833</v>
      </c>
      <c r="C425" s="78" t="s">
        <v>89</v>
      </c>
      <c r="D425" s="79">
        <v>12</v>
      </c>
      <c r="E425" s="76" t="str">
        <f>IF(ISBLANK(Log[[#This Row],[Item]]),"",_xlfn.XLOOKUP(Log[[#This Row],[Item]],Calories[Name],Calories[Unit]))</f>
        <v>ea</v>
      </c>
      <c r="F425" s="65">
        <f>IF(ISBLANK(Log[[#This Row],[Item]]),"",_xlfn.XLOOKUP(Log[[#This Row],[Item]],Calories[Name],Calories[Cals])*Log[[#This Row],[Qty]])</f>
        <v>80</v>
      </c>
      <c r="G425" s="71">
        <f>IF(ISBLANK(Log[[#This Row],[Item]]),"",_xlfn.XLOOKUP(Log[[#This Row],[Item]],Calories[Name],Calories[Carbs])*Log[[#This Row],[Qty]])</f>
        <v>16</v>
      </c>
      <c r="H425" s="71">
        <f>IF(ISBLANK(Log[[#This Row],[Item]]),"",_xlfn.XLOOKUP(Log[[#This Row],[Item]],Calories[Name],Calories[Fibre])*Log[[#This Row],[Qty]])</f>
        <v>0</v>
      </c>
      <c r="I425" s="71">
        <f>IF(ISBLANK(Log[[#This Row],[Item]]),"",(Log[[#This Row],[Carbs]]-Log[[#This Row],[Fibre]]))</f>
        <v>16</v>
      </c>
      <c r="J425" s="103">
        <f>IF(ISBLANK(Log[[#This Row],[Item]]),"",_xlfn.XLOOKUP(Log[[#This Row],[Item]],Calories[Name],Calories[Sodium])*Log[[#This Row],[Qty]])</f>
        <v>85</v>
      </c>
      <c r="K425" s="71">
        <f>IF(ISBLANK(Log[[#This Row],[Item]]),"",_xlfn.XLOOKUP(Log[[#This Row],[Item]],Calories[Name],Calories[Protein])*Log[[#This Row],[Qty]])</f>
        <v>2</v>
      </c>
      <c r="L425" s="71">
        <f>IF(ISBLANK(Log[[#This Row],[Item]]),"",_xlfn.XLOOKUP(Log[[#This Row],[Item]],Calories[Name],Calories[Chol.])*Log[[#This Row],[Qty]])</f>
        <v>0</v>
      </c>
      <c r="M425" s="75"/>
      <c r="N425" s="75"/>
      <c r="O425" s="75"/>
    </row>
    <row r="426" spans="1:15" s="66" customFormat="1" ht="25.15" customHeight="1">
      <c r="A426" s="75"/>
      <c r="B426" s="98">
        <v>44833</v>
      </c>
      <c r="C426" s="78" t="s">
        <v>100</v>
      </c>
      <c r="D426" s="79">
        <v>0.5</v>
      </c>
      <c r="E426" s="76" t="str">
        <f>IF(ISBLANK(Log[[#This Row],[Item]]),"",_xlfn.XLOOKUP(Log[[#This Row],[Item]],Calories[Name],Calories[Unit]))</f>
        <v>can</v>
      </c>
      <c r="F426" s="65">
        <f>IF(ISBLANK(Log[[#This Row],[Item]]),"",_xlfn.XLOOKUP(Log[[#This Row],[Item]],Calories[Name],Calories[Cals])*Log[[#This Row],[Qty]])</f>
        <v>120</v>
      </c>
      <c r="G426" s="71">
        <f>IF(ISBLANK(Log[[#This Row],[Item]]),"",_xlfn.XLOOKUP(Log[[#This Row],[Item]],Calories[Name],Calories[Carbs])*Log[[#This Row],[Qty]])</f>
        <v>0</v>
      </c>
      <c r="H426" s="71">
        <f>IF(ISBLANK(Log[[#This Row],[Item]]),"",_xlfn.XLOOKUP(Log[[#This Row],[Item]],Calories[Name],Calories[Fibre])*Log[[#This Row],[Qty]])</f>
        <v>0</v>
      </c>
      <c r="I426" s="71">
        <f>IF(ISBLANK(Log[[#This Row],[Item]]),"",(Log[[#This Row],[Carbs]]-Log[[#This Row],[Fibre]]))</f>
        <v>0</v>
      </c>
      <c r="J426" s="103">
        <f>IF(ISBLANK(Log[[#This Row],[Item]]),"",_xlfn.XLOOKUP(Log[[#This Row],[Item]],Calories[Name],Calories[Sodium])*Log[[#This Row],[Qty]])</f>
        <v>280</v>
      </c>
      <c r="K426" s="71">
        <f>IF(ISBLANK(Log[[#This Row],[Item]]),"",_xlfn.XLOOKUP(Log[[#This Row],[Item]],Calories[Name],Calories[Protein])*Log[[#This Row],[Qty]])</f>
        <v>18</v>
      </c>
      <c r="L426" s="71">
        <f>IF(ISBLANK(Log[[#This Row],[Item]]),"",_xlfn.XLOOKUP(Log[[#This Row],[Item]],Calories[Name],Calories[Chol.])*Log[[#This Row],[Qty]])</f>
        <v>35</v>
      </c>
      <c r="M426" s="75"/>
      <c r="N426" s="75"/>
      <c r="O426" s="75"/>
    </row>
    <row r="427" spans="1:15" s="66" customFormat="1" ht="25.15" customHeight="1">
      <c r="A427" s="75"/>
      <c r="B427" s="98">
        <v>44833</v>
      </c>
      <c r="C427" s="78" t="s">
        <v>35</v>
      </c>
      <c r="D427" s="79">
        <v>2</v>
      </c>
      <c r="E427" s="76" t="str">
        <f>IF(ISBLANK(Log[[#This Row],[Item]]),"",_xlfn.XLOOKUP(Log[[#This Row],[Item]],Calories[Name],Calories[Unit]))</f>
        <v>tbsp</v>
      </c>
      <c r="F427" s="65">
        <f>IF(ISBLANK(Log[[#This Row],[Item]]),"",_xlfn.XLOOKUP(Log[[#This Row],[Item]],Calories[Name],Calories[Cals])*Log[[#This Row],[Qty]])</f>
        <v>180</v>
      </c>
      <c r="G427" s="71">
        <f>IF(ISBLANK(Log[[#This Row],[Item]]),"",_xlfn.XLOOKUP(Log[[#This Row],[Item]],Calories[Name],Calories[Carbs])*Log[[#This Row],[Qty]])</f>
        <v>0</v>
      </c>
      <c r="H427" s="71">
        <f>IF(ISBLANK(Log[[#This Row],[Item]]),"",_xlfn.XLOOKUP(Log[[#This Row],[Item]],Calories[Name],Calories[Fibre])*Log[[#This Row],[Qty]])</f>
        <v>0</v>
      </c>
      <c r="I427" s="71">
        <f>IF(ISBLANK(Log[[#This Row],[Item]]),"",(Log[[#This Row],[Carbs]]-Log[[#This Row],[Fibre]]))</f>
        <v>0</v>
      </c>
      <c r="J427" s="103">
        <f>IF(ISBLANK(Log[[#This Row],[Item]]),"",_xlfn.XLOOKUP(Log[[#This Row],[Item]],Calories[Name],Calories[Sodium])*Log[[#This Row],[Qty]])</f>
        <v>180</v>
      </c>
      <c r="K427" s="71">
        <f>IF(ISBLANK(Log[[#This Row],[Item]]),"",_xlfn.XLOOKUP(Log[[#This Row],[Item]],Calories[Name],Calories[Protein])*Log[[#This Row],[Qty]])</f>
        <v>0</v>
      </c>
      <c r="L427" s="71">
        <f>IF(ISBLANK(Log[[#This Row],[Item]]),"",_xlfn.XLOOKUP(Log[[#This Row],[Item]],Calories[Name],Calories[Chol.])*Log[[#This Row],[Qty]])</f>
        <v>10</v>
      </c>
      <c r="M427" s="75"/>
      <c r="N427" s="75"/>
      <c r="O427" s="75"/>
    </row>
    <row r="428" spans="1:15" s="66" customFormat="1" ht="25.15" customHeight="1">
      <c r="A428" s="75"/>
      <c r="B428" s="91">
        <v>44834</v>
      </c>
      <c r="C428" s="78" t="s">
        <v>52</v>
      </c>
      <c r="D428" s="79">
        <v>1</v>
      </c>
      <c r="E428" s="76" t="str">
        <f>IF(ISBLANK(Log[[#This Row],[Item]]),"",_xlfn.XLOOKUP(Log[[#This Row],[Item]],Calories[Name],Calories[Unit]))</f>
        <v>ea</v>
      </c>
      <c r="F428" s="65">
        <f>IF(ISBLANK(Log[[#This Row],[Item]]),"",_xlfn.XLOOKUP(Log[[#This Row],[Item]],Calories[Name],Calories[Cals])*Log[[#This Row],[Qty]])</f>
        <v>0</v>
      </c>
      <c r="G428" s="71">
        <f>IF(ISBLANK(Log[[#This Row],[Item]]),"",_xlfn.XLOOKUP(Log[[#This Row],[Item]],Calories[Name],Calories[Carbs])*Log[[#This Row],[Qty]])</f>
        <v>0</v>
      </c>
      <c r="H428" s="71">
        <f>IF(ISBLANK(Log[[#This Row],[Item]]),"",_xlfn.XLOOKUP(Log[[#This Row],[Item]],Calories[Name],Calories[Fibre])*Log[[#This Row],[Qty]])</f>
        <v>0</v>
      </c>
      <c r="I428" s="71">
        <f>IF(ISBLANK(Log[[#This Row],[Item]]),"",(Log[[#This Row],[Carbs]]-Log[[#This Row],[Fibre]]))</f>
        <v>0</v>
      </c>
      <c r="J428" s="103">
        <f>IF(ISBLANK(Log[[#This Row],[Item]]),"",_xlfn.XLOOKUP(Log[[#This Row],[Item]],Calories[Name],Calories[Sodium])*Log[[#This Row],[Qty]])</f>
        <v>0</v>
      </c>
      <c r="K428" s="71">
        <f>IF(ISBLANK(Log[[#This Row],[Item]]),"",_xlfn.XLOOKUP(Log[[#This Row],[Item]],Calories[Name],Calories[Protein])*Log[[#This Row],[Qty]])</f>
        <v>0</v>
      </c>
      <c r="L428" s="71">
        <f>IF(ISBLANK(Log[[#This Row],[Item]]),"",_xlfn.XLOOKUP(Log[[#This Row],[Item]],Calories[Name],Calories[Chol.])*Log[[#This Row],[Qty]])</f>
        <v>0</v>
      </c>
      <c r="M428" s="75"/>
      <c r="N428" s="75"/>
      <c r="O428" s="75"/>
    </row>
    <row r="429" spans="1:15" s="66" customFormat="1" ht="25.15" customHeight="1">
      <c r="A429" s="75"/>
      <c r="B429" s="91">
        <v>44834</v>
      </c>
      <c r="C429" s="78" t="s">
        <v>53</v>
      </c>
      <c r="D429" s="79">
        <v>1</v>
      </c>
      <c r="E429" s="76" t="str">
        <f>IF(ISBLANK(Log[[#This Row],[Item]]),"",_xlfn.XLOOKUP(Log[[#This Row],[Item]],Calories[Name],Calories[Unit]))</f>
        <v>ea</v>
      </c>
      <c r="F429" s="65">
        <f>IF(ISBLANK(Log[[#This Row],[Item]]),"",_xlfn.XLOOKUP(Log[[#This Row],[Item]],Calories[Name],Calories[Cals])*Log[[#This Row],[Qty]])</f>
        <v>0</v>
      </c>
      <c r="G429" s="71">
        <f>IF(ISBLANK(Log[[#This Row],[Item]]),"",_xlfn.XLOOKUP(Log[[#This Row],[Item]],Calories[Name],Calories[Carbs])*Log[[#This Row],[Qty]])</f>
        <v>0</v>
      </c>
      <c r="H429" s="71">
        <f>IF(ISBLANK(Log[[#This Row],[Item]]),"",_xlfn.XLOOKUP(Log[[#This Row],[Item]],Calories[Name],Calories[Fibre])*Log[[#This Row],[Qty]])</f>
        <v>0</v>
      </c>
      <c r="I429" s="71">
        <f>IF(ISBLANK(Log[[#This Row],[Item]]),"",(Log[[#This Row],[Carbs]]-Log[[#This Row],[Fibre]]))</f>
        <v>0</v>
      </c>
      <c r="J429" s="103">
        <f>IF(ISBLANK(Log[[#This Row],[Item]]),"",_xlfn.XLOOKUP(Log[[#This Row],[Item]],Calories[Name],Calories[Sodium])*Log[[#This Row],[Qty]])</f>
        <v>0</v>
      </c>
      <c r="K429" s="71">
        <f>IF(ISBLANK(Log[[#This Row],[Item]]),"",_xlfn.XLOOKUP(Log[[#This Row],[Item]],Calories[Name],Calories[Protein])*Log[[#This Row],[Qty]])</f>
        <v>0</v>
      </c>
      <c r="L429" s="71">
        <f>IF(ISBLANK(Log[[#This Row],[Item]]),"",_xlfn.XLOOKUP(Log[[#This Row],[Item]],Calories[Name],Calories[Chol.])*Log[[#This Row],[Qty]])</f>
        <v>0</v>
      </c>
      <c r="M429" s="75"/>
      <c r="N429" s="75"/>
      <c r="O429" s="75"/>
    </row>
    <row r="430" spans="1:15" s="66" customFormat="1" ht="25.15" customHeight="1">
      <c r="A430" s="75"/>
      <c r="B430" s="91">
        <v>44834</v>
      </c>
      <c r="C430" s="78" t="s">
        <v>54</v>
      </c>
      <c r="D430" s="79">
        <v>1</v>
      </c>
      <c r="E430" s="76" t="str">
        <f>IF(ISBLANK(Log[[#This Row],[Item]]),"",_xlfn.XLOOKUP(Log[[#This Row],[Item]],Calories[Name],Calories[Unit]))</f>
        <v>ea</v>
      </c>
      <c r="F430" s="65">
        <f>IF(ISBLANK(Log[[#This Row],[Item]]),"",_xlfn.XLOOKUP(Log[[#This Row],[Item]],Calories[Name],Calories[Cals])*Log[[#This Row],[Qty]])</f>
        <v>0</v>
      </c>
      <c r="G430" s="71">
        <f>IF(ISBLANK(Log[[#This Row],[Item]]),"",_xlfn.XLOOKUP(Log[[#This Row],[Item]],Calories[Name],Calories[Carbs])*Log[[#This Row],[Qty]])</f>
        <v>0</v>
      </c>
      <c r="H430" s="71">
        <f>IF(ISBLANK(Log[[#This Row],[Item]]),"",_xlfn.XLOOKUP(Log[[#This Row],[Item]],Calories[Name],Calories[Fibre])*Log[[#This Row],[Qty]])</f>
        <v>0</v>
      </c>
      <c r="I430" s="71">
        <f>IF(ISBLANK(Log[[#This Row],[Item]]),"",(Log[[#This Row],[Carbs]]-Log[[#This Row],[Fibre]]))</f>
        <v>0</v>
      </c>
      <c r="J430" s="103">
        <f>IF(ISBLANK(Log[[#This Row],[Item]]),"",_xlfn.XLOOKUP(Log[[#This Row],[Item]],Calories[Name],Calories[Sodium])*Log[[#This Row],[Qty]])</f>
        <v>0</v>
      </c>
      <c r="K430" s="71">
        <f>IF(ISBLANK(Log[[#This Row],[Item]]),"",_xlfn.XLOOKUP(Log[[#This Row],[Item]],Calories[Name],Calories[Protein])*Log[[#This Row],[Qty]])</f>
        <v>0</v>
      </c>
      <c r="L430" s="71">
        <f>IF(ISBLANK(Log[[#This Row],[Item]]),"",_xlfn.XLOOKUP(Log[[#This Row],[Item]],Calories[Name],Calories[Chol.])*Log[[#This Row],[Qty]])</f>
        <v>0</v>
      </c>
      <c r="M430" s="75"/>
      <c r="N430" s="75"/>
      <c r="O430" s="75"/>
    </row>
    <row r="431" spans="1:15" s="66" customFormat="1" ht="25.15" customHeight="1">
      <c r="A431" s="75"/>
      <c r="B431" s="91">
        <v>44834</v>
      </c>
      <c r="C431" s="78" t="s">
        <v>55</v>
      </c>
      <c r="D431" s="79">
        <v>1</v>
      </c>
      <c r="E431" s="76" t="str">
        <f>IF(ISBLANK(Log[[#This Row],[Item]]),"",_xlfn.XLOOKUP(Log[[#This Row],[Item]],Calories[Name],Calories[Unit]))</f>
        <v>ea</v>
      </c>
      <c r="F431" s="65">
        <f>IF(ISBLANK(Log[[#This Row],[Item]]),"",_xlfn.XLOOKUP(Log[[#This Row],[Item]],Calories[Name],Calories[Cals])*Log[[#This Row],[Qty]])</f>
        <v>0</v>
      </c>
      <c r="G431" s="71">
        <f>IF(ISBLANK(Log[[#This Row],[Item]]),"",_xlfn.XLOOKUP(Log[[#This Row],[Item]],Calories[Name],Calories[Carbs])*Log[[#This Row],[Qty]])</f>
        <v>0</v>
      </c>
      <c r="H431" s="71">
        <f>IF(ISBLANK(Log[[#This Row],[Item]]),"",_xlfn.XLOOKUP(Log[[#This Row],[Item]],Calories[Name],Calories[Fibre])*Log[[#This Row],[Qty]])</f>
        <v>0</v>
      </c>
      <c r="I431" s="71">
        <f>IF(ISBLANK(Log[[#This Row],[Item]]),"",(Log[[#This Row],[Carbs]]-Log[[#This Row],[Fibre]]))</f>
        <v>0</v>
      </c>
      <c r="J431" s="103">
        <f>IF(ISBLANK(Log[[#This Row],[Item]]),"",_xlfn.XLOOKUP(Log[[#This Row],[Item]],Calories[Name],Calories[Sodium])*Log[[#This Row],[Qty]])</f>
        <v>0</v>
      </c>
      <c r="K431" s="71">
        <f>IF(ISBLANK(Log[[#This Row],[Item]]),"",_xlfn.XLOOKUP(Log[[#This Row],[Item]],Calories[Name],Calories[Protein])*Log[[#This Row],[Qty]])</f>
        <v>0</v>
      </c>
      <c r="L431" s="71">
        <f>IF(ISBLANK(Log[[#This Row],[Item]]),"",_xlfn.XLOOKUP(Log[[#This Row],[Item]],Calories[Name],Calories[Chol.])*Log[[#This Row],[Qty]])</f>
        <v>0</v>
      </c>
      <c r="M431" s="75"/>
      <c r="N431" s="75"/>
      <c r="O431" s="75"/>
    </row>
    <row r="432" spans="1:15" s="66" customFormat="1" ht="25.15" customHeight="1">
      <c r="A432" s="75"/>
      <c r="B432" s="91">
        <v>44834</v>
      </c>
      <c r="C432" s="78" t="s">
        <v>13</v>
      </c>
      <c r="D432" s="79">
        <v>3</v>
      </c>
      <c r="E432" s="76" t="str">
        <f>IF(ISBLANK(Log[[#This Row],[Item]]),"",_xlfn.XLOOKUP(Log[[#This Row],[Item]],Calories[Name],Calories[Unit]))</f>
        <v>ea</v>
      </c>
      <c r="F432" s="65">
        <f>IF(ISBLANK(Log[[#This Row],[Item]]),"",_xlfn.XLOOKUP(Log[[#This Row],[Item]],Calories[Name],Calories[Cals])*Log[[#This Row],[Qty]])</f>
        <v>216</v>
      </c>
      <c r="G432" s="71">
        <f>IF(ISBLANK(Log[[#This Row],[Item]]),"",_xlfn.XLOOKUP(Log[[#This Row],[Item]],Calories[Name],Calories[Carbs])*Log[[#This Row],[Qty]])</f>
        <v>0</v>
      </c>
      <c r="H432" s="71">
        <f>IF(ISBLANK(Log[[#This Row],[Item]]),"",_xlfn.XLOOKUP(Log[[#This Row],[Item]],Calories[Name],Calories[Fibre])*Log[[#This Row],[Qty]])</f>
        <v>0</v>
      </c>
      <c r="I432" s="71">
        <f>IF(ISBLANK(Log[[#This Row],[Item]]),"",(Log[[#This Row],[Carbs]]-Log[[#This Row],[Fibre]]))</f>
        <v>0</v>
      </c>
      <c r="J432" s="103">
        <f>IF(ISBLANK(Log[[#This Row],[Item]]),"",_xlfn.XLOOKUP(Log[[#This Row],[Item]],Calories[Name],Calories[Sodium])*Log[[#This Row],[Qty]])</f>
        <v>210</v>
      </c>
      <c r="K432" s="71">
        <f>IF(ISBLANK(Log[[#This Row],[Item]]),"",_xlfn.XLOOKUP(Log[[#This Row],[Item]],Calories[Name],Calories[Protein])*Log[[#This Row],[Qty]])</f>
        <v>18</v>
      </c>
      <c r="L432" s="71">
        <f>IF(ISBLANK(Log[[#This Row],[Item]]),"",_xlfn.XLOOKUP(Log[[#This Row],[Item]],Calories[Name],Calories[Chol.])*Log[[#This Row],[Qty]])</f>
        <v>633</v>
      </c>
      <c r="M432" s="75"/>
      <c r="N432" s="75"/>
      <c r="O432" s="75"/>
    </row>
    <row r="433" spans="1:15" s="66" customFormat="1" ht="25.15" customHeight="1">
      <c r="A433" s="75"/>
      <c r="B433" s="91">
        <v>44834</v>
      </c>
      <c r="C433" s="78" t="s">
        <v>76</v>
      </c>
      <c r="D433" s="79">
        <v>0.75</v>
      </c>
      <c r="E433" s="76" t="str">
        <f>IF(ISBLANK(Log[[#This Row],[Item]]),"",_xlfn.XLOOKUP(Log[[#This Row],[Item]],Calories[Name],Calories[Unit]))</f>
        <v>ea</v>
      </c>
      <c r="F433" s="65">
        <f>IF(ISBLANK(Log[[#This Row],[Item]]),"",_xlfn.XLOOKUP(Log[[#This Row],[Item]],Calories[Name],Calories[Cals])*Log[[#This Row],[Qty]])</f>
        <v>3.5999999999999996</v>
      </c>
      <c r="G433" s="71">
        <f>IF(ISBLANK(Log[[#This Row],[Item]]),"",_xlfn.XLOOKUP(Log[[#This Row],[Item]],Calories[Name],Calories[Carbs])*Log[[#This Row],[Qty]])</f>
        <v>0.82500000000000007</v>
      </c>
      <c r="H433" s="71">
        <f>IF(ISBLANK(Log[[#This Row],[Item]]),"",_xlfn.XLOOKUP(Log[[#This Row],[Item]],Calories[Name],Calories[Fibre])*Log[[#This Row],[Qty]])</f>
        <v>0.30000000000000004</v>
      </c>
      <c r="I433" s="71">
        <f>IF(ISBLANK(Log[[#This Row],[Item]]),"",(Log[[#This Row],[Carbs]]-Log[[#This Row],[Fibre]]))</f>
        <v>0.52500000000000002</v>
      </c>
      <c r="J433" s="103">
        <f>IF(ISBLANK(Log[[#This Row],[Item]]),"",_xlfn.XLOOKUP(Log[[#This Row],[Item]],Calories[Name],Calories[Sodium])*Log[[#This Row],[Qty]])</f>
        <v>1.7999999999999998</v>
      </c>
      <c r="K433" s="71">
        <f>IF(ISBLANK(Log[[#This Row],[Item]]),"",_xlfn.XLOOKUP(Log[[#This Row],[Item]],Calories[Name],Calories[Protein])*Log[[#This Row],[Qty]])</f>
        <v>0.22499999999999998</v>
      </c>
      <c r="L433" s="71">
        <f>IF(ISBLANK(Log[[#This Row],[Item]]),"",_xlfn.XLOOKUP(Log[[#This Row],[Item]],Calories[Name],Calories[Chol.])*Log[[#This Row],[Qty]])</f>
        <v>0</v>
      </c>
      <c r="M433" s="75"/>
      <c r="N433" s="75"/>
      <c r="O433" s="75"/>
    </row>
    <row r="434" spans="1:15" s="66" customFormat="1" ht="25.15" customHeight="1">
      <c r="A434" s="75"/>
      <c r="B434" s="91">
        <v>44834</v>
      </c>
      <c r="C434" s="78" t="s">
        <v>107</v>
      </c>
      <c r="D434" s="79">
        <v>0.3</v>
      </c>
      <c r="E434" s="76" t="str">
        <f>IF(ISBLANK(Log[[#This Row],[Item]]),"",_xlfn.XLOOKUP(Log[[#This Row],[Item]],Calories[Name],Calories[Unit]))</f>
        <v>1 can</v>
      </c>
      <c r="F434" s="65">
        <f>IF(ISBLANK(Log[[#This Row],[Item]]),"",_xlfn.XLOOKUP(Log[[#This Row],[Item]],Calories[Name],Calories[Cals])*Log[[#This Row],[Qty]])</f>
        <v>30</v>
      </c>
      <c r="G434" s="71">
        <f>IF(ISBLANK(Log[[#This Row],[Item]]),"",_xlfn.XLOOKUP(Log[[#This Row],[Item]],Calories[Name],Calories[Carbs])*Log[[#This Row],[Qty]])</f>
        <v>0</v>
      </c>
      <c r="H434" s="71">
        <f>IF(ISBLANK(Log[[#This Row],[Item]]),"",_xlfn.XLOOKUP(Log[[#This Row],[Item]],Calories[Name],Calories[Fibre])*Log[[#This Row],[Qty]])</f>
        <v>0</v>
      </c>
      <c r="I434" s="71">
        <f>IF(ISBLANK(Log[[#This Row],[Item]]),"",(Log[[#This Row],[Carbs]]-Log[[#This Row],[Fibre]]))</f>
        <v>0</v>
      </c>
      <c r="J434" s="103">
        <f>IF(ISBLANK(Log[[#This Row],[Item]]),"",_xlfn.XLOOKUP(Log[[#This Row],[Item]],Calories[Name],Calories[Sodium])*Log[[#This Row],[Qty]])</f>
        <v>222</v>
      </c>
      <c r="K434" s="71">
        <f>IF(ISBLANK(Log[[#This Row],[Item]]),"",_xlfn.XLOOKUP(Log[[#This Row],[Item]],Calories[Name],Calories[Protein])*Log[[#This Row],[Qty]])</f>
        <v>6.6</v>
      </c>
      <c r="L434" s="71">
        <f>IF(ISBLANK(Log[[#This Row],[Item]]),"",_xlfn.XLOOKUP(Log[[#This Row],[Item]],Calories[Name],Calories[Chol.])*Log[[#This Row],[Qty]])</f>
        <v>30</v>
      </c>
      <c r="M434" s="75"/>
      <c r="N434" s="75"/>
      <c r="O434" s="75"/>
    </row>
    <row r="435" spans="1:15" s="66" customFormat="1" ht="25.15" customHeight="1">
      <c r="A435" s="75"/>
      <c r="B435" s="91">
        <v>44834</v>
      </c>
      <c r="C435" s="78" t="s">
        <v>45</v>
      </c>
      <c r="D435" s="79">
        <v>3</v>
      </c>
      <c r="E435" s="76" t="str">
        <f>IF(ISBLANK(Log[[#This Row],[Item]]),"",_xlfn.XLOOKUP(Log[[#This Row],[Item]],Calories[Name],Calories[Unit]))</f>
        <v>pinch</v>
      </c>
      <c r="F435" s="65">
        <f>IF(ISBLANK(Log[[#This Row],[Item]]),"",_xlfn.XLOOKUP(Log[[#This Row],[Item]],Calories[Name],Calories[Cals])*Log[[#This Row],[Qty]])</f>
        <v>0</v>
      </c>
      <c r="G435" s="71">
        <f>IF(ISBLANK(Log[[#This Row],[Item]]),"",_xlfn.XLOOKUP(Log[[#This Row],[Item]],Calories[Name],Calories[Carbs])*Log[[#This Row],[Qty]])</f>
        <v>0</v>
      </c>
      <c r="H435" s="71">
        <f>IF(ISBLANK(Log[[#This Row],[Item]]),"",_xlfn.XLOOKUP(Log[[#This Row],[Item]],Calories[Name],Calories[Fibre])*Log[[#This Row],[Qty]])</f>
        <v>0</v>
      </c>
      <c r="I435" s="71">
        <f>IF(ISBLANK(Log[[#This Row],[Item]]),"",(Log[[#This Row],[Carbs]]-Log[[#This Row],[Fibre]]))</f>
        <v>0</v>
      </c>
      <c r="J435" s="103">
        <f>IF(ISBLANK(Log[[#This Row],[Item]]),"",_xlfn.XLOOKUP(Log[[#This Row],[Item]],Calories[Name],Calories[Sodium])*Log[[#This Row],[Qty]])</f>
        <v>418.58639999999997</v>
      </c>
      <c r="K435" s="71">
        <f>IF(ISBLANK(Log[[#This Row],[Item]]),"",_xlfn.XLOOKUP(Log[[#This Row],[Item]],Calories[Name],Calories[Protein])*Log[[#This Row],[Qty]])</f>
        <v>0</v>
      </c>
      <c r="L435" s="71">
        <f>IF(ISBLANK(Log[[#This Row],[Item]]),"",_xlfn.XLOOKUP(Log[[#This Row],[Item]],Calories[Name],Calories[Chol.])*Log[[#This Row],[Qty]])</f>
        <v>0</v>
      </c>
      <c r="M435" s="75"/>
      <c r="N435" s="75"/>
      <c r="O435" s="75"/>
    </row>
    <row r="436" spans="1:15" s="66" customFormat="1" ht="25.15" customHeight="1">
      <c r="A436" s="75"/>
      <c r="B436" s="91">
        <v>44834</v>
      </c>
      <c r="C436" s="78" t="s">
        <v>106</v>
      </c>
      <c r="D436" s="79">
        <v>24.5</v>
      </c>
      <c r="E436" s="76" t="str">
        <f>IF(ISBLANK(Log[[#This Row],[Item]]),"",_xlfn.XLOOKUP(Log[[#This Row],[Item]],Calories[Name],Calories[Unit]))</f>
        <v>km</v>
      </c>
      <c r="F436" s="65">
        <f>IF(ISBLANK(Log[[#This Row],[Item]]),"",_xlfn.XLOOKUP(Log[[#This Row],[Item]],Calories[Name],Calories[Cals])*Log[[#This Row],[Qty]])</f>
        <v>-612.5</v>
      </c>
      <c r="G436" s="71">
        <f>IF(ISBLANK(Log[[#This Row],[Item]]),"",_xlfn.XLOOKUP(Log[[#This Row],[Item]],Calories[Name],Calories[Carbs])*Log[[#This Row],[Qty]])</f>
        <v>0</v>
      </c>
      <c r="H436" s="71">
        <f>IF(ISBLANK(Log[[#This Row],[Item]]),"",_xlfn.XLOOKUP(Log[[#This Row],[Item]],Calories[Name],Calories[Fibre])*Log[[#This Row],[Qty]])</f>
        <v>0</v>
      </c>
      <c r="I436" s="71">
        <f>IF(ISBLANK(Log[[#This Row],[Item]]),"",(Log[[#This Row],[Carbs]]-Log[[#This Row],[Fibre]]))</f>
        <v>0</v>
      </c>
      <c r="J436" s="103">
        <f>IF(ISBLANK(Log[[#This Row],[Item]]),"",_xlfn.XLOOKUP(Log[[#This Row],[Item]],Calories[Name],Calories[Sodium])*Log[[#This Row],[Qty]])</f>
        <v>0</v>
      </c>
      <c r="K436" s="71">
        <f>IF(ISBLANK(Log[[#This Row],[Item]]),"",_xlfn.XLOOKUP(Log[[#This Row],[Item]],Calories[Name],Calories[Protein])*Log[[#This Row],[Qty]])</f>
        <v>0</v>
      </c>
      <c r="L436" s="71">
        <f>IF(ISBLANK(Log[[#This Row],[Item]]),"",_xlfn.XLOOKUP(Log[[#This Row],[Item]],Calories[Name],Calories[Chol.])*Log[[#This Row],[Qty]])</f>
        <v>0</v>
      </c>
      <c r="M436" s="75"/>
      <c r="N436" s="75"/>
      <c r="O436" s="75"/>
    </row>
    <row r="437" spans="1:15" s="66" customFormat="1" ht="25.15" customHeight="1">
      <c r="A437" s="75"/>
      <c r="B437" s="91">
        <v>44834</v>
      </c>
      <c r="C437" s="78" t="s">
        <v>48</v>
      </c>
      <c r="D437" s="79">
        <v>4</v>
      </c>
      <c r="E437" s="76" t="str">
        <f>IF(ISBLANK(Log[[#This Row],[Item]]),"",_xlfn.XLOOKUP(Log[[#This Row],[Item]],Calories[Name],Calories[Unit]))</f>
        <v>c</v>
      </c>
      <c r="F437" s="65">
        <f>IF(ISBLANK(Log[[#This Row],[Item]]),"",_xlfn.XLOOKUP(Log[[#This Row],[Item]],Calories[Name],Calories[Cals])*Log[[#This Row],[Qty]])</f>
        <v>124</v>
      </c>
      <c r="G437" s="71">
        <f>IF(ISBLANK(Log[[#This Row],[Item]]),"",_xlfn.XLOOKUP(Log[[#This Row],[Item]],Calories[Name],Calories[Carbs])*Log[[#This Row],[Qty]])</f>
        <v>24.16</v>
      </c>
      <c r="H437" s="71">
        <f>IF(ISBLANK(Log[[#This Row],[Item]]),"",_xlfn.XLOOKUP(Log[[#This Row],[Item]],Calories[Name],Calories[Fibre])*Log[[#This Row],[Qty]])</f>
        <v>9.6</v>
      </c>
      <c r="I437" s="71">
        <f>IF(ISBLANK(Log[[#This Row],[Item]]),"",(Log[[#This Row],[Carbs]]-Log[[#This Row],[Fibre]]))</f>
        <v>14.56</v>
      </c>
      <c r="J437" s="103">
        <f>IF(ISBLANK(Log[[#This Row],[Item]]),"",_xlfn.XLOOKUP(Log[[#This Row],[Item]],Calories[Name],Calories[Sodium])*Log[[#This Row],[Qty]])</f>
        <v>120</v>
      </c>
      <c r="K437" s="71">
        <f>IF(ISBLANK(Log[[#This Row],[Item]]),"",_xlfn.XLOOKUP(Log[[#This Row],[Item]],Calories[Name],Calories[Protein])*Log[[#This Row],[Qty]])</f>
        <v>10.28</v>
      </c>
      <c r="L437" s="71">
        <f>IF(ISBLANK(Log[[#This Row],[Item]]),"",_xlfn.XLOOKUP(Log[[#This Row],[Item]],Calories[Name],Calories[Chol.])*Log[[#This Row],[Qty]])</f>
        <v>0</v>
      </c>
      <c r="M437" s="75"/>
      <c r="N437" s="75"/>
      <c r="O437" s="75"/>
    </row>
    <row r="438" spans="1:15" s="66" customFormat="1" ht="25.15" customHeight="1">
      <c r="A438" s="75"/>
      <c r="B438" s="91">
        <v>44834</v>
      </c>
      <c r="C438" s="78" t="s">
        <v>20</v>
      </c>
      <c r="D438" s="79">
        <v>240</v>
      </c>
      <c r="E438" s="76" t="str">
        <f>IF(ISBLANK(Log[[#This Row],[Item]]),"",_xlfn.XLOOKUP(Log[[#This Row],[Item]],Calories[Name],Calories[Unit]))</f>
        <v>mL</v>
      </c>
      <c r="F438" s="65">
        <f>IF(ISBLANK(Log[[#This Row],[Item]]),"",_xlfn.XLOOKUP(Log[[#This Row],[Item]],Calories[Name],Calories[Cals])*Log[[#This Row],[Qty]])</f>
        <v>400</v>
      </c>
      <c r="G438" s="71">
        <f>IF(ISBLANK(Log[[#This Row],[Item]]),"",_xlfn.XLOOKUP(Log[[#This Row],[Item]],Calories[Name],Calories[Carbs])*Log[[#This Row],[Qty]])</f>
        <v>16</v>
      </c>
      <c r="H438" s="71">
        <f>IF(ISBLANK(Log[[#This Row],[Item]]),"",_xlfn.XLOOKUP(Log[[#This Row],[Item]],Calories[Name],Calories[Fibre])*Log[[#This Row],[Qty]])</f>
        <v>0</v>
      </c>
      <c r="I438" s="71">
        <f>IF(ISBLANK(Log[[#This Row],[Item]]),"",(Log[[#This Row],[Carbs]]-Log[[#This Row],[Fibre]]))</f>
        <v>16</v>
      </c>
      <c r="J438" s="103">
        <f>IF(ISBLANK(Log[[#This Row],[Item]]),"",_xlfn.XLOOKUP(Log[[#This Row],[Item]],Calories[Name],Calories[Sodium])*Log[[#This Row],[Qty]])</f>
        <v>160</v>
      </c>
      <c r="K438" s="71">
        <f>IF(ISBLANK(Log[[#This Row],[Item]]),"",_xlfn.XLOOKUP(Log[[#This Row],[Item]],Calories[Name],Calories[Protein])*Log[[#This Row],[Qty]])</f>
        <v>8</v>
      </c>
      <c r="L438" s="71">
        <f>IF(ISBLANK(Log[[#This Row],[Item]]),"",_xlfn.XLOOKUP(Log[[#This Row],[Item]],Calories[Name],Calories[Chol.])*Log[[#This Row],[Qty]])</f>
        <v>120</v>
      </c>
      <c r="M438" s="75"/>
      <c r="N438" s="75"/>
      <c r="O438" s="75"/>
    </row>
    <row r="439" spans="1:15" s="66" customFormat="1" ht="25.15" customHeight="1">
      <c r="A439" s="75"/>
      <c r="B439" s="91">
        <v>44834</v>
      </c>
      <c r="C439" s="78" t="s">
        <v>91</v>
      </c>
      <c r="D439" s="79">
        <v>1</v>
      </c>
      <c r="E439" s="76" t="str">
        <f>IF(ISBLANK(Log[[#This Row],[Item]]),"",_xlfn.XLOOKUP(Log[[#This Row],[Item]],Calories[Name],Calories[Unit]))</f>
        <v>tbsp</v>
      </c>
      <c r="F439" s="65">
        <f>IF(ISBLANK(Log[[#This Row],[Item]]),"",_xlfn.XLOOKUP(Log[[#This Row],[Item]],Calories[Name],Calories[Cals])*Log[[#This Row],[Qty]])</f>
        <v>20</v>
      </c>
      <c r="G439" s="71">
        <f>IF(ISBLANK(Log[[#This Row],[Item]]),"",_xlfn.XLOOKUP(Log[[#This Row],[Item]],Calories[Name],Calories[Carbs])*Log[[#This Row],[Qty]])</f>
        <v>3.85</v>
      </c>
      <c r="H439" s="71">
        <f>IF(ISBLANK(Log[[#This Row],[Item]]),"",_xlfn.XLOOKUP(Log[[#This Row],[Item]],Calories[Name],Calories[Fibre])*Log[[#This Row],[Qty]])</f>
        <v>2.6</v>
      </c>
      <c r="I439" s="71">
        <f>IF(ISBLANK(Log[[#This Row],[Item]]),"",(Log[[#This Row],[Carbs]]-Log[[#This Row],[Fibre]]))</f>
        <v>1.25</v>
      </c>
      <c r="J439" s="103">
        <f>IF(ISBLANK(Log[[#This Row],[Item]]),"",_xlfn.XLOOKUP(Log[[#This Row],[Item]],Calories[Name],Calories[Sodium])*Log[[#This Row],[Qty]])</f>
        <v>2</v>
      </c>
      <c r="K439" s="71">
        <f>IF(ISBLANK(Log[[#This Row],[Item]]),"",_xlfn.XLOOKUP(Log[[#This Row],[Item]],Calories[Name],Calories[Protein])*Log[[#This Row],[Qty]])</f>
        <v>1.02</v>
      </c>
      <c r="L439" s="71">
        <f>IF(ISBLANK(Log[[#This Row],[Item]]),"",_xlfn.XLOOKUP(Log[[#This Row],[Item]],Calories[Name],Calories[Chol.])*Log[[#This Row],[Qty]])</f>
        <v>0</v>
      </c>
      <c r="M439" s="75"/>
      <c r="N439" s="75"/>
      <c r="O439" s="75"/>
    </row>
    <row r="440" spans="1:15" s="66" customFormat="1" ht="25.15" customHeight="1">
      <c r="A440" s="75"/>
      <c r="B440" s="91">
        <v>44834</v>
      </c>
      <c r="C440" s="78" t="s">
        <v>45</v>
      </c>
      <c r="D440" s="79">
        <v>4</v>
      </c>
      <c r="E440" s="76" t="str">
        <f>IF(ISBLANK(Log[[#This Row],[Item]]),"",_xlfn.XLOOKUP(Log[[#This Row],[Item]],Calories[Name],Calories[Unit]))</f>
        <v>pinch</v>
      </c>
      <c r="F440" s="65">
        <f>IF(ISBLANK(Log[[#This Row],[Item]]),"",_xlfn.XLOOKUP(Log[[#This Row],[Item]],Calories[Name],Calories[Cals])*Log[[#This Row],[Qty]])</f>
        <v>0</v>
      </c>
      <c r="G440" s="71">
        <f>IF(ISBLANK(Log[[#This Row],[Item]]),"",_xlfn.XLOOKUP(Log[[#This Row],[Item]],Calories[Name],Calories[Carbs])*Log[[#This Row],[Qty]])</f>
        <v>0</v>
      </c>
      <c r="H440" s="71">
        <f>IF(ISBLANK(Log[[#This Row],[Item]]),"",_xlfn.XLOOKUP(Log[[#This Row],[Item]],Calories[Name],Calories[Fibre])*Log[[#This Row],[Qty]])</f>
        <v>0</v>
      </c>
      <c r="I440" s="71">
        <f>IF(ISBLANK(Log[[#This Row],[Item]]),"",(Log[[#This Row],[Carbs]]-Log[[#This Row],[Fibre]]))</f>
        <v>0</v>
      </c>
      <c r="J440" s="103">
        <f>IF(ISBLANK(Log[[#This Row],[Item]]),"",_xlfn.XLOOKUP(Log[[#This Row],[Item]],Calories[Name],Calories[Sodium])*Log[[#This Row],[Qty]])</f>
        <v>558.11519999999996</v>
      </c>
      <c r="K440" s="71">
        <f>IF(ISBLANK(Log[[#This Row],[Item]]),"",_xlfn.XLOOKUP(Log[[#This Row],[Item]],Calories[Name],Calories[Protein])*Log[[#This Row],[Qty]])</f>
        <v>0</v>
      </c>
      <c r="L440" s="71">
        <f>IF(ISBLANK(Log[[#This Row],[Item]]),"",_xlfn.XLOOKUP(Log[[#This Row],[Item]],Calories[Name],Calories[Chol.])*Log[[#This Row],[Qty]])</f>
        <v>0</v>
      </c>
      <c r="M440" s="75"/>
      <c r="N440" s="75"/>
      <c r="O440" s="75"/>
    </row>
    <row r="441" spans="1:15" s="66" customFormat="1" ht="25.15" customHeight="1">
      <c r="A441" s="75"/>
      <c r="B441" s="91">
        <v>44834</v>
      </c>
      <c r="C441" s="78" t="s">
        <v>109</v>
      </c>
      <c r="D441" s="79">
        <v>228</v>
      </c>
      <c r="E441" s="76" t="str">
        <f>IF(ISBLANK(Log[[#This Row],[Item]]),"",_xlfn.XLOOKUP(Log[[#This Row],[Item]],Calories[Name],Calories[Unit]))</f>
        <v>g</v>
      </c>
      <c r="F441" s="65">
        <f>IF(ISBLANK(Log[[#This Row],[Item]]),"",_xlfn.XLOOKUP(Log[[#This Row],[Item]],Calories[Name],Calories[Cals])*Log[[#This Row],[Qty]])</f>
        <v>524.4</v>
      </c>
      <c r="G441" s="71">
        <f>IF(ISBLANK(Log[[#This Row],[Item]]),"",_xlfn.XLOOKUP(Log[[#This Row],[Item]],Calories[Name],Calories[Carbs])*Log[[#This Row],[Qty]])</f>
        <v>0</v>
      </c>
      <c r="H441" s="71">
        <f>IF(ISBLANK(Log[[#This Row],[Item]]),"",_xlfn.XLOOKUP(Log[[#This Row],[Item]],Calories[Name],Calories[Fibre])*Log[[#This Row],[Qty]])</f>
        <v>0</v>
      </c>
      <c r="I441" s="71">
        <f>IF(ISBLANK(Log[[#This Row],[Item]]),"",(Log[[#This Row],[Carbs]]-Log[[#This Row],[Fibre]]))</f>
        <v>0</v>
      </c>
      <c r="J441" s="103">
        <f>IF(ISBLANK(Log[[#This Row],[Item]]),"",_xlfn.XLOOKUP(Log[[#This Row],[Item]],Calories[Name],Calories[Sodium])*Log[[#This Row],[Qty]])</f>
        <v>932.52</v>
      </c>
      <c r="K441" s="71">
        <f>IF(ISBLANK(Log[[#This Row],[Item]]),"",_xlfn.XLOOKUP(Log[[#This Row],[Item]],Calories[Name],Calories[Protein])*Log[[#This Row],[Qty]])</f>
        <v>58.68719999999999</v>
      </c>
      <c r="L441" s="71">
        <f>IF(ISBLANK(Log[[#This Row],[Item]]),"",_xlfn.XLOOKUP(Log[[#This Row],[Item]],Calories[Name],Calories[Chol.])*Log[[#This Row],[Qty]])</f>
        <v>207.48000000000002</v>
      </c>
      <c r="M441" s="75"/>
      <c r="N441" s="75"/>
      <c r="O441" s="75"/>
    </row>
    <row r="442" spans="1:15" s="66" customFormat="1" ht="25.15" customHeight="1">
      <c r="A442" s="75"/>
      <c r="B442" s="91">
        <v>44834</v>
      </c>
      <c r="C442" s="78" t="s">
        <v>89</v>
      </c>
      <c r="D442" s="79">
        <v>7</v>
      </c>
      <c r="E442" s="76" t="str">
        <f>IF(ISBLANK(Log[[#This Row],[Item]]),"",_xlfn.XLOOKUP(Log[[#This Row],[Item]],Calories[Name],Calories[Unit]))</f>
        <v>ea</v>
      </c>
      <c r="F442" s="65">
        <f>IF(ISBLANK(Log[[#This Row],[Item]]),"",_xlfn.XLOOKUP(Log[[#This Row],[Item]],Calories[Name],Calories[Cals])*Log[[#This Row],[Qty]])</f>
        <v>46.666666666666671</v>
      </c>
      <c r="G442" s="71">
        <f>IF(ISBLANK(Log[[#This Row],[Item]]),"",_xlfn.XLOOKUP(Log[[#This Row],[Item]],Calories[Name],Calories[Carbs])*Log[[#This Row],[Qty]])</f>
        <v>9.3333333333333321</v>
      </c>
      <c r="H442" s="71">
        <f>IF(ISBLANK(Log[[#This Row],[Item]]),"",_xlfn.XLOOKUP(Log[[#This Row],[Item]],Calories[Name],Calories[Fibre])*Log[[#This Row],[Qty]])</f>
        <v>0</v>
      </c>
      <c r="I442" s="71">
        <f>IF(ISBLANK(Log[[#This Row],[Item]]),"",(Log[[#This Row],[Carbs]]-Log[[#This Row],[Fibre]]))</f>
        <v>9.3333333333333321</v>
      </c>
      <c r="J442" s="103">
        <f>IF(ISBLANK(Log[[#This Row],[Item]]),"",_xlfn.XLOOKUP(Log[[#This Row],[Item]],Calories[Name],Calories[Sodium])*Log[[#This Row],[Qty]])</f>
        <v>49.583333333333329</v>
      </c>
      <c r="K442" s="71">
        <f>IF(ISBLANK(Log[[#This Row],[Item]]),"",_xlfn.XLOOKUP(Log[[#This Row],[Item]],Calories[Name],Calories[Protein])*Log[[#This Row],[Qty]])</f>
        <v>1.1666666666666665</v>
      </c>
      <c r="L442" s="71">
        <f>IF(ISBLANK(Log[[#This Row],[Item]]),"",_xlfn.XLOOKUP(Log[[#This Row],[Item]],Calories[Name],Calories[Chol.])*Log[[#This Row],[Qty]])</f>
        <v>0</v>
      </c>
      <c r="M442" s="75"/>
      <c r="N442" s="75"/>
      <c r="O442" s="75"/>
    </row>
    <row r="443" spans="1:15" s="66" customFormat="1" ht="25.15" customHeight="1">
      <c r="A443" s="75"/>
      <c r="B443" s="98">
        <v>44835</v>
      </c>
      <c r="C443" s="78" t="s">
        <v>52</v>
      </c>
      <c r="D443" s="79">
        <v>1</v>
      </c>
      <c r="E443" s="76" t="str">
        <f>IF(ISBLANK(Log[[#This Row],[Item]]),"",_xlfn.XLOOKUP(Log[[#This Row],[Item]],Calories[Name],Calories[Unit]))</f>
        <v>ea</v>
      </c>
      <c r="F443" s="65">
        <f>IF(ISBLANK(Log[[#This Row],[Item]]),"",_xlfn.XLOOKUP(Log[[#This Row],[Item]],Calories[Name],Calories[Cals])*Log[[#This Row],[Qty]])</f>
        <v>0</v>
      </c>
      <c r="G443" s="71">
        <f>IF(ISBLANK(Log[[#This Row],[Item]]),"",_xlfn.XLOOKUP(Log[[#This Row],[Item]],Calories[Name],Calories[Carbs])*Log[[#This Row],[Qty]])</f>
        <v>0</v>
      </c>
      <c r="H443" s="71">
        <f>IF(ISBLANK(Log[[#This Row],[Item]]),"",_xlfn.XLOOKUP(Log[[#This Row],[Item]],Calories[Name],Calories[Fibre])*Log[[#This Row],[Qty]])</f>
        <v>0</v>
      </c>
      <c r="I443" s="71">
        <f>IF(ISBLANK(Log[[#This Row],[Item]]),"",(Log[[#This Row],[Carbs]]-Log[[#This Row],[Fibre]]))</f>
        <v>0</v>
      </c>
      <c r="J443" s="103">
        <f>IF(ISBLANK(Log[[#This Row],[Item]]),"",_xlfn.XLOOKUP(Log[[#This Row],[Item]],Calories[Name],Calories[Sodium])*Log[[#This Row],[Qty]])</f>
        <v>0</v>
      </c>
      <c r="K443" s="71">
        <f>IF(ISBLANK(Log[[#This Row],[Item]]),"",_xlfn.XLOOKUP(Log[[#This Row],[Item]],Calories[Name],Calories[Protein])*Log[[#This Row],[Qty]])</f>
        <v>0</v>
      </c>
      <c r="L443" s="71">
        <f>IF(ISBLANK(Log[[#This Row],[Item]]),"",_xlfn.XLOOKUP(Log[[#This Row],[Item]],Calories[Name],Calories[Chol.])*Log[[#This Row],[Qty]])</f>
        <v>0</v>
      </c>
      <c r="M443" s="75"/>
      <c r="N443" s="75"/>
      <c r="O443" s="75"/>
    </row>
    <row r="444" spans="1:15" s="66" customFormat="1" ht="25.15" customHeight="1">
      <c r="A444" s="75"/>
      <c r="B444" s="98">
        <v>44835</v>
      </c>
      <c r="C444" s="78" t="s">
        <v>53</v>
      </c>
      <c r="D444" s="79">
        <v>1</v>
      </c>
      <c r="E444" s="76" t="str">
        <f>IF(ISBLANK(Log[[#This Row],[Item]]),"",_xlfn.XLOOKUP(Log[[#This Row],[Item]],Calories[Name],Calories[Unit]))</f>
        <v>ea</v>
      </c>
      <c r="F444" s="65">
        <f>IF(ISBLANK(Log[[#This Row],[Item]]),"",_xlfn.XLOOKUP(Log[[#This Row],[Item]],Calories[Name],Calories[Cals])*Log[[#This Row],[Qty]])</f>
        <v>0</v>
      </c>
      <c r="G444" s="71">
        <f>IF(ISBLANK(Log[[#This Row],[Item]]),"",_xlfn.XLOOKUP(Log[[#This Row],[Item]],Calories[Name],Calories[Carbs])*Log[[#This Row],[Qty]])</f>
        <v>0</v>
      </c>
      <c r="H444" s="71">
        <f>IF(ISBLANK(Log[[#This Row],[Item]]),"",_xlfn.XLOOKUP(Log[[#This Row],[Item]],Calories[Name],Calories[Fibre])*Log[[#This Row],[Qty]])</f>
        <v>0</v>
      </c>
      <c r="I444" s="71">
        <f>IF(ISBLANK(Log[[#This Row],[Item]]),"",(Log[[#This Row],[Carbs]]-Log[[#This Row],[Fibre]]))</f>
        <v>0</v>
      </c>
      <c r="J444" s="103">
        <f>IF(ISBLANK(Log[[#This Row],[Item]]),"",_xlfn.XLOOKUP(Log[[#This Row],[Item]],Calories[Name],Calories[Sodium])*Log[[#This Row],[Qty]])</f>
        <v>0</v>
      </c>
      <c r="K444" s="71">
        <f>IF(ISBLANK(Log[[#This Row],[Item]]),"",_xlfn.XLOOKUP(Log[[#This Row],[Item]],Calories[Name],Calories[Protein])*Log[[#This Row],[Qty]])</f>
        <v>0</v>
      </c>
      <c r="L444" s="71">
        <f>IF(ISBLANK(Log[[#This Row],[Item]]),"",_xlfn.XLOOKUP(Log[[#This Row],[Item]],Calories[Name],Calories[Chol.])*Log[[#This Row],[Qty]])</f>
        <v>0</v>
      </c>
      <c r="M444" s="75"/>
      <c r="N444" s="75"/>
      <c r="O444" s="75"/>
    </row>
    <row r="445" spans="1:15" s="66" customFormat="1" ht="25.15" customHeight="1">
      <c r="A445" s="75"/>
      <c r="B445" s="98">
        <v>44835</v>
      </c>
      <c r="C445" s="78" t="s">
        <v>54</v>
      </c>
      <c r="D445" s="79"/>
      <c r="E445" s="76" t="str">
        <f>IF(ISBLANK(Log[[#This Row],[Item]]),"",_xlfn.XLOOKUP(Log[[#This Row],[Item]],Calories[Name],Calories[Unit]))</f>
        <v>ea</v>
      </c>
      <c r="F445" s="65">
        <f>IF(ISBLANK(Log[[#This Row],[Item]]),"",_xlfn.XLOOKUP(Log[[#This Row],[Item]],Calories[Name],Calories[Cals])*Log[[#This Row],[Qty]])</f>
        <v>0</v>
      </c>
      <c r="G445" s="71">
        <f>IF(ISBLANK(Log[[#This Row],[Item]]),"",_xlfn.XLOOKUP(Log[[#This Row],[Item]],Calories[Name],Calories[Carbs])*Log[[#This Row],[Qty]])</f>
        <v>0</v>
      </c>
      <c r="H445" s="71">
        <f>IF(ISBLANK(Log[[#This Row],[Item]]),"",_xlfn.XLOOKUP(Log[[#This Row],[Item]],Calories[Name],Calories[Fibre])*Log[[#This Row],[Qty]])</f>
        <v>0</v>
      </c>
      <c r="I445" s="71">
        <f>IF(ISBLANK(Log[[#This Row],[Item]]),"",(Log[[#This Row],[Carbs]]-Log[[#This Row],[Fibre]]))</f>
        <v>0</v>
      </c>
      <c r="J445" s="103">
        <f>IF(ISBLANK(Log[[#This Row],[Item]]),"",_xlfn.XLOOKUP(Log[[#This Row],[Item]],Calories[Name],Calories[Sodium])*Log[[#This Row],[Qty]])</f>
        <v>0</v>
      </c>
      <c r="K445" s="71">
        <f>IF(ISBLANK(Log[[#This Row],[Item]]),"",_xlfn.XLOOKUP(Log[[#This Row],[Item]],Calories[Name],Calories[Protein])*Log[[#This Row],[Qty]])</f>
        <v>0</v>
      </c>
      <c r="L445" s="71">
        <f>IF(ISBLANK(Log[[#This Row],[Item]]),"",_xlfn.XLOOKUP(Log[[#This Row],[Item]],Calories[Name],Calories[Chol.])*Log[[#This Row],[Qty]])</f>
        <v>0</v>
      </c>
      <c r="M445" s="75"/>
      <c r="N445" s="75"/>
      <c r="O445" s="75"/>
    </row>
    <row r="446" spans="1:15" s="66" customFormat="1" ht="25.15" customHeight="1">
      <c r="A446" s="75"/>
      <c r="B446" s="98">
        <v>44835</v>
      </c>
      <c r="C446" s="78" t="s">
        <v>55</v>
      </c>
      <c r="D446" s="79"/>
      <c r="E446" s="76" t="str">
        <f>IF(ISBLANK(Log[[#This Row],[Item]]),"",_xlfn.XLOOKUP(Log[[#This Row],[Item]],Calories[Name],Calories[Unit]))</f>
        <v>ea</v>
      </c>
      <c r="F446" s="65">
        <f>IF(ISBLANK(Log[[#This Row],[Item]]),"",_xlfn.XLOOKUP(Log[[#This Row],[Item]],Calories[Name],Calories[Cals])*Log[[#This Row],[Qty]])</f>
        <v>0</v>
      </c>
      <c r="G446" s="71">
        <f>IF(ISBLANK(Log[[#This Row],[Item]]),"",_xlfn.XLOOKUP(Log[[#This Row],[Item]],Calories[Name],Calories[Carbs])*Log[[#This Row],[Qty]])</f>
        <v>0</v>
      </c>
      <c r="H446" s="71">
        <f>IF(ISBLANK(Log[[#This Row],[Item]]),"",_xlfn.XLOOKUP(Log[[#This Row],[Item]],Calories[Name],Calories[Fibre])*Log[[#This Row],[Qty]])</f>
        <v>0</v>
      </c>
      <c r="I446" s="71">
        <f>IF(ISBLANK(Log[[#This Row],[Item]]),"",(Log[[#This Row],[Carbs]]-Log[[#This Row],[Fibre]]))</f>
        <v>0</v>
      </c>
      <c r="J446" s="103">
        <f>IF(ISBLANK(Log[[#This Row],[Item]]),"",_xlfn.XLOOKUP(Log[[#This Row],[Item]],Calories[Name],Calories[Sodium])*Log[[#This Row],[Qty]])</f>
        <v>0</v>
      </c>
      <c r="K446" s="71">
        <f>IF(ISBLANK(Log[[#This Row],[Item]]),"",_xlfn.XLOOKUP(Log[[#This Row],[Item]],Calories[Name],Calories[Protein])*Log[[#This Row],[Qty]])</f>
        <v>0</v>
      </c>
      <c r="L446" s="71">
        <f>IF(ISBLANK(Log[[#This Row],[Item]]),"",_xlfn.XLOOKUP(Log[[#This Row],[Item]],Calories[Name],Calories[Chol.])*Log[[#This Row],[Qty]])</f>
        <v>0</v>
      </c>
      <c r="M446" s="75"/>
      <c r="N446" s="75"/>
      <c r="O446" s="75"/>
    </row>
    <row r="447" spans="1:15" s="66" customFormat="1" ht="25.15" customHeight="1">
      <c r="A447" s="75"/>
      <c r="B447" s="98">
        <v>44835</v>
      </c>
      <c r="C447" s="78" t="s">
        <v>110</v>
      </c>
      <c r="D447" s="79">
        <v>120</v>
      </c>
      <c r="E447" s="76" t="str">
        <f>IF(ISBLANK(Log[[#This Row],[Item]]),"",_xlfn.XLOOKUP(Log[[#This Row],[Item]],Calories[Name],Calories[Unit]))</f>
        <v>g</v>
      </c>
      <c r="F447" s="65">
        <f>IF(ISBLANK(Log[[#This Row],[Item]]),"",_xlfn.XLOOKUP(Log[[#This Row],[Item]],Calories[Name],Calories[Cals])*Log[[#This Row],[Qty]])</f>
        <v>105.6</v>
      </c>
      <c r="G447" s="71">
        <f>IF(ISBLANK(Log[[#This Row],[Item]]),"",_xlfn.XLOOKUP(Log[[#This Row],[Item]],Calories[Name],Calories[Carbs])*Log[[#This Row],[Qty]])</f>
        <v>5.76</v>
      </c>
      <c r="H447" s="71">
        <f>IF(ISBLANK(Log[[#This Row],[Item]]),"",_xlfn.XLOOKUP(Log[[#This Row],[Item]],Calories[Name],Calories[Fibre])*Log[[#This Row],[Qty]])</f>
        <v>0</v>
      </c>
      <c r="I447" s="71">
        <f>IF(ISBLANK(Log[[#This Row],[Item]]),"",(Log[[#This Row],[Carbs]]-Log[[#This Row],[Fibre]]))</f>
        <v>5.76</v>
      </c>
      <c r="J447" s="103">
        <f>IF(ISBLANK(Log[[#This Row],[Item]]),"",_xlfn.XLOOKUP(Log[[#This Row],[Item]],Calories[Name],Calories[Sodium])*Log[[#This Row],[Qty]])</f>
        <v>278.39999999999998</v>
      </c>
      <c r="K447" s="71">
        <f>IF(ISBLANK(Log[[#This Row],[Item]]),"",_xlfn.XLOOKUP(Log[[#This Row],[Item]],Calories[Name],Calories[Protein])*Log[[#This Row],[Qty]])</f>
        <v>14.399999999999999</v>
      </c>
      <c r="L447" s="71">
        <f>IF(ISBLANK(Log[[#This Row],[Item]]),"",_xlfn.XLOOKUP(Log[[#This Row],[Item]],Calories[Name],Calories[Chol.])*Log[[#This Row],[Qty]])</f>
        <v>14.399999999999999</v>
      </c>
      <c r="M447" s="75"/>
      <c r="N447" s="75"/>
      <c r="O447" s="75"/>
    </row>
    <row r="448" spans="1:15" s="66" customFormat="1" ht="25.15" customHeight="1">
      <c r="A448" s="75"/>
      <c r="B448" s="98">
        <v>44835</v>
      </c>
      <c r="C448" s="78" t="s">
        <v>100</v>
      </c>
      <c r="D448" s="79">
        <v>0.5</v>
      </c>
      <c r="E448" s="76" t="str">
        <f>IF(ISBLANK(Log[[#This Row],[Item]]),"",_xlfn.XLOOKUP(Log[[#This Row],[Item]],Calories[Name],Calories[Unit]))</f>
        <v>can</v>
      </c>
      <c r="F448" s="65">
        <f>IF(ISBLANK(Log[[#This Row],[Item]]),"",_xlfn.XLOOKUP(Log[[#This Row],[Item]],Calories[Name],Calories[Cals])*Log[[#This Row],[Qty]])</f>
        <v>120</v>
      </c>
      <c r="G448" s="71">
        <f>IF(ISBLANK(Log[[#This Row],[Item]]),"",_xlfn.XLOOKUP(Log[[#This Row],[Item]],Calories[Name],Calories[Carbs])*Log[[#This Row],[Qty]])</f>
        <v>0</v>
      </c>
      <c r="H448" s="71">
        <f>IF(ISBLANK(Log[[#This Row],[Item]]),"",_xlfn.XLOOKUP(Log[[#This Row],[Item]],Calories[Name],Calories[Fibre])*Log[[#This Row],[Qty]])</f>
        <v>0</v>
      </c>
      <c r="I448" s="71">
        <f>IF(ISBLANK(Log[[#This Row],[Item]]),"",(Log[[#This Row],[Carbs]]-Log[[#This Row],[Fibre]]))</f>
        <v>0</v>
      </c>
      <c r="J448" s="103">
        <f>IF(ISBLANK(Log[[#This Row],[Item]]),"",_xlfn.XLOOKUP(Log[[#This Row],[Item]],Calories[Name],Calories[Sodium])*Log[[#This Row],[Qty]])</f>
        <v>280</v>
      </c>
      <c r="K448" s="71">
        <f>IF(ISBLANK(Log[[#This Row],[Item]]),"",_xlfn.XLOOKUP(Log[[#This Row],[Item]],Calories[Name],Calories[Protein])*Log[[#This Row],[Qty]])</f>
        <v>18</v>
      </c>
      <c r="L448" s="71">
        <f>IF(ISBLANK(Log[[#This Row],[Item]]),"",_xlfn.XLOOKUP(Log[[#This Row],[Item]],Calories[Name],Calories[Chol.])*Log[[#This Row],[Qty]])</f>
        <v>35</v>
      </c>
      <c r="M448" s="75"/>
      <c r="N448" s="75"/>
      <c r="O448" s="75"/>
    </row>
    <row r="449" spans="1:15" s="66" customFormat="1" ht="25.15" customHeight="1">
      <c r="A449" s="75"/>
      <c r="B449" s="98">
        <v>44835</v>
      </c>
      <c r="C449" s="78" t="s">
        <v>36</v>
      </c>
      <c r="D449" s="79">
        <v>1</v>
      </c>
      <c r="E449" s="76" t="str">
        <f>IF(ISBLANK(Log[[#This Row],[Item]]),"",_xlfn.XLOOKUP(Log[[#This Row],[Item]],Calories[Name],Calories[Unit]))</f>
        <v>ea</v>
      </c>
      <c r="F449" s="65">
        <f>IF(ISBLANK(Log[[#This Row],[Item]]),"",_xlfn.XLOOKUP(Log[[#This Row],[Item]],Calories[Name],Calories[Cals])*Log[[#This Row],[Qty]])</f>
        <v>240</v>
      </c>
      <c r="G449" s="71">
        <f>IF(ISBLANK(Log[[#This Row],[Item]]),"",_xlfn.XLOOKUP(Log[[#This Row],[Item]],Calories[Name],Calories[Carbs])*Log[[#This Row],[Qty]])</f>
        <v>13</v>
      </c>
      <c r="H449" s="71">
        <f>IF(ISBLANK(Log[[#This Row],[Item]]),"",_xlfn.XLOOKUP(Log[[#This Row],[Item]],Calories[Name],Calories[Fibre])*Log[[#This Row],[Qty]])</f>
        <v>10</v>
      </c>
      <c r="I449" s="71">
        <f>IF(ISBLANK(Log[[#This Row],[Item]]),"",(Log[[#This Row],[Carbs]]-Log[[#This Row],[Fibre]]))</f>
        <v>3</v>
      </c>
      <c r="J449" s="103">
        <f>IF(ISBLANK(Log[[#This Row],[Item]]),"",_xlfn.XLOOKUP(Log[[#This Row],[Item]],Calories[Name],Calories[Sodium])*Log[[#This Row],[Qty]])</f>
        <v>11</v>
      </c>
      <c r="K449" s="71">
        <f>IF(ISBLANK(Log[[#This Row],[Item]]),"",_xlfn.XLOOKUP(Log[[#This Row],[Item]],Calories[Name],Calories[Protein])*Log[[#This Row],[Qty]])</f>
        <v>3</v>
      </c>
      <c r="L449" s="71">
        <f>IF(ISBLANK(Log[[#This Row],[Item]]),"",_xlfn.XLOOKUP(Log[[#This Row],[Item]],Calories[Name],Calories[Chol.])*Log[[#This Row],[Qty]])</f>
        <v>0</v>
      </c>
      <c r="M449" s="75"/>
      <c r="N449" s="75"/>
      <c r="O449" s="75"/>
    </row>
    <row r="450" spans="1:15" s="66" customFormat="1" ht="25.15" customHeight="1">
      <c r="A450" s="75"/>
      <c r="B450" s="98">
        <v>44835</v>
      </c>
      <c r="C450" s="78" t="s">
        <v>106</v>
      </c>
      <c r="D450" s="79">
        <v>12.6</v>
      </c>
      <c r="E450" s="76" t="str">
        <f>IF(ISBLANK(Log[[#This Row],[Item]]),"",_xlfn.XLOOKUP(Log[[#This Row],[Item]],Calories[Name],Calories[Unit]))</f>
        <v>km</v>
      </c>
      <c r="F450" s="65">
        <f>IF(ISBLANK(Log[[#This Row],[Item]]),"",_xlfn.XLOOKUP(Log[[#This Row],[Item]],Calories[Name],Calories[Cals])*Log[[#This Row],[Qty]])</f>
        <v>-315</v>
      </c>
      <c r="G450" s="71">
        <f>IF(ISBLANK(Log[[#This Row],[Item]]),"",_xlfn.XLOOKUP(Log[[#This Row],[Item]],Calories[Name],Calories[Carbs])*Log[[#This Row],[Qty]])</f>
        <v>0</v>
      </c>
      <c r="H450" s="71">
        <f>IF(ISBLANK(Log[[#This Row],[Item]]),"",_xlfn.XLOOKUP(Log[[#This Row],[Item]],Calories[Name],Calories[Fibre])*Log[[#This Row],[Qty]])</f>
        <v>0</v>
      </c>
      <c r="I450" s="71">
        <f>IF(ISBLANK(Log[[#This Row],[Item]]),"",(Log[[#This Row],[Carbs]]-Log[[#This Row],[Fibre]]))</f>
        <v>0</v>
      </c>
      <c r="J450" s="103">
        <f>IF(ISBLANK(Log[[#This Row],[Item]]),"",_xlfn.XLOOKUP(Log[[#This Row],[Item]],Calories[Name],Calories[Sodium])*Log[[#This Row],[Qty]])</f>
        <v>0</v>
      </c>
      <c r="K450" s="71">
        <f>IF(ISBLANK(Log[[#This Row],[Item]]),"",_xlfn.XLOOKUP(Log[[#This Row],[Item]],Calories[Name],Calories[Protein])*Log[[#This Row],[Qty]])</f>
        <v>0</v>
      </c>
      <c r="L450" s="71">
        <f>IF(ISBLANK(Log[[#This Row],[Item]]),"",_xlfn.XLOOKUP(Log[[#This Row],[Item]],Calories[Name],Calories[Chol.])*Log[[#This Row],[Qty]])</f>
        <v>0</v>
      </c>
      <c r="M450" s="75"/>
      <c r="N450" s="75"/>
      <c r="O450" s="75"/>
    </row>
    <row r="451" spans="1:15" s="66" customFormat="1" ht="25.15" customHeight="1">
      <c r="A451" s="75"/>
      <c r="B451" s="98">
        <v>44835</v>
      </c>
      <c r="C451" s="78"/>
      <c r="D451" s="79"/>
      <c r="E451" s="76" t="str">
        <f>IF(ISBLANK(Log[[#This Row],[Item]]),"",_xlfn.XLOOKUP(Log[[#This Row],[Item]],Calories[Name],Calories[Unit]))</f>
        <v/>
      </c>
      <c r="F451" s="65" t="str">
        <f>IF(ISBLANK(Log[[#This Row],[Item]]),"",_xlfn.XLOOKUP(Log[[#This Row],[Item]],Calories[Name],Calories[Cals])*Log[[#This Row],[Qty]])</f>
        <v/>
      </c>
      <c r="G451" s="71" t="str">
        <f>IF(ISBLANK(Log[[#This Row],[Item]]),"",_xlfn.XLOOKUP(Log[[#This Row],[Item]],Calories[Name],Calories[Carbs])*Log[[#This Row],[Qty]])</f>
        <v/>
      </c>
      <c r="H451" s="71" t="str">
        <f>IF(ISBLANK(Log[[#This Row],[Item]]),"",_xlfn.XLOOKUP(Log[[#This Row],[Item]],Calories[Name],Calories[Fibre])*Log[[#This Row],[Qty]])</f>
        <v/>
      </c>
      <c r="I451" s="71" t="str">
        <f>IF(ISBLANK(Log[[#This Row],[Item]]),"",(Log[[#This Row],[Carbs]]-Log[[#This Row],[Fibre]]))</f>
        <v/>
      </c>
      <c r="J451" s="103" t="str">
        <f>IF(ISBLANK(Log[[#This Row],[Item]]),"",_xlfn.XLOOKUP(Log[[#This Row],[Item]],Calories[Name],Calories[Sodium])*Log[[#This Row],[Qty]])</f>
        <v/>
      </c>
      <c r="K451" s="71" t="str">
        <f>IF(ISBLANK(Log[[#This Row],[Item]]),"",_xlfn.XLOOKUP(Log[[#This Row],[Item]],Calories[Name],Calories[Protein])*Log[[#This Row],[Qty]])</f>
        <v/>
      </c>
      <c r="L451" s="71" t="str">
        <f>IF(ISBLANK(Log[[#This Row],[Item]]),"",_xlfn.XLOOKUP(Log[[#This Row],[Item]],Calories[Name],Calories[Chol.])*Log[[#This Row],[Qty]])</f>
        <v/>
      </c>
      <c r="M451" s="75"/>
      <c r="N451" s="75"/>
      <c r="O451" s="75"/>
    </row>
    <row r="452" spans="1:15" s="66" customFormat="1" ht="25.15" customHeight="1">
      <c r="A452" s="75"/>
      <c r="B452" s="98">
        <v>44835</v>
      </c>
      <c r="C452" s="78"/>
      <c r="D452" s="79"/>
      <c r="E452" s="76" t="str">
        <f>IF(ISBLANK(Log[[#This Row],[Item]]),"",_xlfn.XLOOKUP(Log[[#This Row],[Item]],Calories[Name],Calories[Unit]))</f>
        <v/>
      </c>
      <c r="F452" s="65" t="str">
        <f>IF(ISBLANK(Log[[#This Row],[Item]]),"",_xlfn.XLOOKUP(Log[[#This Row],[Item]],Calories[Name],Calories[Cals])*Log[[#This Row],[Qty]])</f>
        <v/>
      </c>
      <c r="G452" s="71" t="str">
        <f>IF(ISBLANK(Log[[#This Row],[Item]]),"",_xlfn.XLOOKUP(Log[[#This Row],[Item]],Calories[Name],Calories[Carbs])*Log[[#This Row],[Qty]])</f>
        <v/>
      </c>
      <c r="H452" s="71" t="str">
        <f>IF(ISBLANK(Log[[#This Row],[Item]]),"",_xlfn.XLOOKUP(Log[[#This Row],[Item]],Calories[Name],Calories[Fibre])*Log[[#This Row],[Qty]])</f>
        <v/>
      </c>
      <c r="I452" s="71" t="str">
        <f>IF(ISBLANK(Log[[#This Row],[Item]]),"",(Log[[#This Row],[Carbs]]-Log[[#This Row],[Fibre]]))</f>
        <v/>
      </c>
      <c r="J452" s="103" t="str">
        <f>IF(ISBLANK(Log[[#This Row],[Item]]),"",_xlfn.XLOOKUP(Log[[#This Row],[Item]],Calories[Name],Calories[Sodium])*Log[[#This Row],[Qty]])</f>
        <v/>
      </c>
      <c r="K452" s="71" t="str">
        <f>IF(ISBLANK(Log[[#This Row],[Item]]),"",_xlfn.XLOOKUP(Log[[#This Row],[Item]],Calories[Name],Calories[Protein])*Log[[#This Row],[Qty]])</f>
        <v/>
      </c>
      <c r="L452" s="71" t="str">
        <f>IF(ISBLANK(Log[[#This Row],[Item]]),"",_xlfn.XLOOKUP(Log[[#This Row],[Item]],Calories[Name],Calories[Chol.])*Log[[#This Row],[Qty]])</f>
        <v/>
      </c>
      <c r="M452" s="75"/>
      <c r="N452" s="75"/>
      <c r="O452" s="75"/>
    </row>
    <row r="453" spans="1:15" s="66" customFormat="1" ht="25.15" customHeight="1">
      <c r="A453" s="75"/>
      <c r="B453" s="98">
        <v>44835</v>
      </c>
      <c r="C453" s="78"/>
      <c r="D453" s="79"/>
      <c r="E453" s="76" t="str">
        <f>IF(ISBLANK(Log[[#This Row],[Item]]),"",_xlfn.XLOOKUP(Log[[#This Row],[Item]],Calories[Name],Calories[Unit]))</f>
        <v/>
      </c>
      <c r="F453" s="65" t="str">
        <f>IF(ISBLANK(Log[[#This Row],[Item]]),"",_xlfn.XLOOKUP(Log[[#This Row],[Item]],Calories[Name],Calories[Cals])*Log[[#This Row],[Qty]])</f>
        <v/>
      </c>
      <c r="G453" s="71" t="str">
        <f>IF(ISBLANK(Log[[#This Row],[Item]]),"",_xlfn.XLOOKUP(Log[[#This Row],[Item]],Calories[Name],Calories[Carbs])*Log[[#This Row],[Qty]])</f>
        <v/>
      </c>
      <c r="H453" s="71" t="str">
        <f>IF(ISBLANK(Log[[#This Row],[Item]]),"",_xlfn.XLOOKUP(Log[[#This Row],[Item]],Calories[Name],Calories[Fibre])*Log[[#This Row],[Qty]])</f>
        <v/>
      </c>
      <c r="I453" s="71" t="str">
        <f>IF(ISBLANK(Log[[#This Row],[Item]]),"",(Log[[#This Row],[Carbs]]-Log[[#This Row],[Fibre]]))</f>
        <v/>
      </c>
      <c r="J453" s="103" t="str">
        <f>IF(ISBLANK(Log[[#This Row],[Item]]),"",_xlfn.XLOOKUP(Log[[#This Row],[Item]],Calories[Name],Calories[Sodium])*Log[[#This Row],[Qty]])</f>
        <v/>
      </c>
      <c r="K453" s="71" t="str">
        <f>IF(ISBLANK(Log[[#This Row],[Item]]),"",_xlfn.XLOOKUP(Log[[#This Row],[Item]],Calories[Name],Calories[Protein])*Log[[#This Row],[Qty]])</f>
        <v/>
      </c>
      <c r="L453" s="71" t="str">
        <f>IF(ISBLANK(Log[[#This Row],[Item]]),"",_xlfn.XLOOKUP(Log[[#This Row],[Item]],Calories[Name],Calories[Chol.])*Log[[#This Row],[Qty]])</f>
        <v/>
      </c>
      <c r="M453" s="75"/>
      <c r="N453" s="75"/>
      <c r="O453" s="75"/>
    </row>
    <row r="454" spans="1:15" s="66" customFormat="1" ht="25.15" customHeight="1">
      <c r="A454" s="75"/>
      <c r="B454" s="98">
        <v>44835</v>
      </c>
      <c r="C454" s="78"/>
      <c r="D454" s="79"/>
      <c r="E454" s="76" t="str">
        <f>IF(ISBLANK(Log[[#This Row],[Item]]),"",_xlfn.XLOOKUP(Log[[#This Row],[Item]],Calories[Name],Calories[Unit]))</f>
        <v/>
      </c>
      <c r="F454" s="65" t="str">
        <f>IF(ISBLANK(Log[[#This Row],[Item]]),"",_xlfn.XLOOKUP(Log[[#This Row],[Item]],Calories[Name],Calories[Cals])*Log[[#This Row],[Qty]])</f>
        <v/>
      </c>
      <c r="G454" s="71" t="str">
        <f>IF(ISBLANK(Log[[#This Row],[Item]]),"",_xlfn.XLOOKUP(Log[[#This Row],[Item]],Calories[Name],Calories[Carbs])*Log[[#This Row],[Qty]])</f>
        <v/>
      </c>
      <c r="H454" s="71" t="str">
        <f>IF(ISBLANK(Log[[#This Row],[Item]]),"",_xlfn.XLOOKUP(Log[[#This Row],[Item]],Calories[Name],Calories[Fibre])*Log[[#This Row],[Qty]])</f>
        <v/>
      </c>
      <c r="I454" s="71" t="str">
        <f>IF(ISBLANK(Log[[#This Row],[Item]]),"",(Log[[#This Row],[Carbs]]-Log[[#This Row],[Fibre]]))</f>
        <v/>
      </c>
      <c r="J454" s="103" t="str">
        <f>IF(ISBLANK(Log[[#This Row],[Item]]),"",_xlfn.XLOOKUP(Log[[#This Row],[Item]],Calories[Name],Calories[Sodium])*Log[[#This Row],[Qty]])</f>
        <v/>
      </c>
      <c r="K454" s="71" t="str">
        <f>IF(ISBLANK(Log[[#This Row],[Item]]),"",_xlfn.XLOOKUP(Log[[#This Row],[Item]],Calories[Name],Calories[Protein])*Log[[#This Row],[Qty]])</f>
        <v/>
      </c>
      <c r="L454" s="71" t="str">
        <f>IF(ISBLANK(Log[[#This Row],[Item]]),"",_xlfn.XLOOKUP(Log[[#This Row],[Item]],Calories[Name],Calories[Chol.])*Log[[#This Row],[Qty]])</f>
        <v/>
      </c>
      <c r="M454" s="75"/>
      <c r="N454" s="75"/>
      <c r="O454" s="75"/>
    </row>
    <row r="455" spans="1:15" s="66" customFormat="1" ht="25.15" customHeight="1">
      <c r="A455" s="75"/>
      <c r="B455" s="98"/>
      <c r="C455" s="78"/>
      <c r="D455" s="79"/>
      <c r="E455" s="76" t="str">
        <f>IF(ISBLANK(Log[[#This Row],[Item]]),"",_xlfn.XLOOKUP(Log[[#This Row],[Item]],Calories[Name],Calories[Unit]))</f>
        <v/>
      </c>
      <c r="F455" s="65" t="str">
        <f>IF(ISBLANK(Log[[#This Row],[Item]]),"",_xlfn.XLOOKUP(Log[[#This Row],[Item]],Calories[Name],Calories[Cals])*Log[[#This Row],[Qty]])</f>
        <v/>
      </c>
      <c r="G455" s="71" t="str">
        <f>IF(ISBLANK(Log[[#This Row],[Item]]),"",_xlfn.XLOOKUP(Log[[#This Row],[Item]],Calories[Name],Calories[Carbs])*Log[[#This Row],[Qty]])</f>
        <v/>
      </c>
      <c r="H455" s="71" t="str">
        <f>IF(ISBLANK(Log[[#This Row],[Item]]),"",_xlfn.XLOOKUP(Log[[#This Row],[Item]],Calories[Name],Calories[Fibre])*Log[[#This Row],[Qty]])</f>
        <v/>
      </c>
      <c r="I455" s="71" t="str">
        <f>IF(ISBLANK(Log[[#This Row],[Item]]),"",(Log[[#This Row],[Carbs]]-Log[[#This Row],[Fibre]]))</f>
        <v/>
      </c>
      <c r="J455" s="103" t="str">
        <f>IF(ISBLANK(Log[[#This Row],[Item]]),"",_xlfn.XLOOKUP(Log[[#This Row],[Item]],Calories[Name],Calories[Sodium])*Log[[#This Row],[Qty]])</f>
        <v/>
      </c>
      <c r="K455" s="71" t="str">
        <f>IF(ISBLANK(Log[[#This Row],[Item]]),"",_xlfn.XLOOKUP(Log[[#This Row],[Item]],Calories[Name],Calories[Protein])*Log[[#This Row],[Qty]])</f>
        <v/>
      </c>
      <c r="L455" s="71" t="str">
        <f>IF(ISBLANK(Log[[#This Row],[Item]]),"",_xlfn.XLOOKUP(Log[[#This Row],[Item]],Calories[Name],Calories[Chol.])*Log[[#This Row],[Qty]])</f>
        <v/>
      </c>
      <c r="M455" s="75"/>
      <c r="N455" s="75"/>
      <c r="O455" s="75"/>
    </row>
    <row r="456" spans="1:15" s="66" customFormat="1" ht="25.15" customHeight="1">
      <c r="A456" s="75"/>
      <c r="B456" s="98"/>
      <c r="C456" s="78"/>
      <c r="D456" s="79"/>
      <c r="E456" s="76" t="str">
        <f>IF(ISBLANK(Log[[#This Row],[Item]]),"",_xlfn.XLOOKUP(Log[[#This Row],[Item]],Calories[Name],Calories[Unit]))</f>
        <v/>
      </c>
      <c r="F456" s="65" t="str">
        <f>IF(ISBLANK(Log[[#This Row],[Item]]),"",_xlfn.XLOOKUP(Log[[#This Row],[Item]],Calories[Name],Calories[Cals])*Log[[#This Row],[Qty]])</f>
        <v/>
      </c>
      <c r="G456" s="71" t="str">
        <f>IF(ISBLANK(Log[[#This Row],[Item]]),"",_xlfn.XLOOKUP(Log[[#This Row],[Item]],Calories[Name],Calories[Carbs])*Log[[#This Row],[Qty]])</f>
        <v/>
      </c>
      <c r="H456" s="71" t="str">
        <f>IF(ISBLANK(Log[[#This Row],[Item]]),"",_xlfn.XLOOKUP(Log[[#This Row],[Item]],Calories[Name],Calories[Fibre])*Log[[#This Row],[Qty]])</f>
        <v/>
      </c>
      <c r="I456" s="71" t="str">
        <f>IF(ISBLANK(Log[[#This Row],[Item]]),"",(Log[[#This Row],[Carbs]]-Log[[#This Row],[Fibre]]))</f>
        <v/>
      </c>
      <c r="J456" s="103" t="str">
        <f>IF(ISBLANK(Log[[#This Row],[Item]]),"",_xlfn.XLOOKUP(Log[[#This Row],[Item]],Calories[Name],Calories[Sodium])*Log[[#This Row],[Qty]])</f>
        <v/>
      </c>
      <c r="K456" s="71" t="str">
        <f>IF(ISBLANK(Log[[#This Row],[Item]]),"",_xlfn.XLOOKUP(Log[[#This Row],[Item]],Calories[Name],Calories[Protein])*Log[[#This Row],[Qty]])</f>
        <v/>
      </c>
      <c r="L456" s="71" t="str">
        <f>IF(ISBLANK(Log[[#This Row],[Item]]),"",_xlfn.XLOOKUP(Log[[#This Row],[Item]],Calories[Name],Calories[Chol.])*Log[[#This Row],[Qty]])</f>
        <v/>
      </c>
      <c r="M456" s="75"/>
      <c r="N456" s="75"/>
      <c r="O456" s="75"/>
    </row>
    <row r="457" spans="1:15" s="66" customFormat="1" ht="25.15" customHeight="1">
      <c r="A457" s="75"/>
      <c r="B457" s="98"/>
      <c r="C457" s="78"/>
      <c r="D457" s="79"/>
      <c r="E457" s="76" t="str">
        <f>IF(ISBLANK(Log[[#This Row],[Item]]),"",_xlfn.XLOOKUP(Log[[#This Row],[Item]],Calories[Name],Calories[Unit]))</f>
        <v/>
      </c>
      <c r="F457" s="65" t="str">
        <f>IF(ISBLANK(Log[[#This Row],[Item]]),"",_xlfn.XLOOKUP(Log[[#This Row],[Item]],Calories[Name],Calories[Cals])*Log[[#This Row],[Qty]])</f>
        <v/>
      </c>
      <c r="G457" s="71" t="str">
        <f>IF(ISBLANK(Log[[#This Row],[Item]]),"",_xlfn.XLOOKUP(Log[[#This Row],[Item]],Calories[Name],Calories[Carbs])*Log[[#This Row],[Qty]])</f>
        <v/>
      </c>
      <c r="H457" s="71" t="str">
        <f>IF(ISBLANK(Log[[#This Row],[Item]]),"",_xlfn.XLOOKUP(Log[[#This Row],[Item]],Calories[Name],Calories[Fibre])*Log[[#This Row],[Qty]])</f>
        <v/>
      </c>
      <c r="I457" s="71" t="str">
        <f>IF(ISBLANK(Log[[#This Row],[Item]]),"",(Log[[#This Row],[Carbs]]-Log[[#This Row],[Fibre]]))</f>
        <v/>
      </c>
      <c r="J457" s="103" t="str">
        <f>IF(ISBLANK(Log[[#This Row],[Item]]),"",_xlfn.XLOOKUP(Log[[#This Row],[Item]],Calories[Name],Calories[Sodium])*Log[[#This Row],[Qty]])</f>
        <v/>
      </c>
      <c r="K457" s="71" t="str">
        <f>IF(ISBLANK(Log[[#This Row],[Item]]),"",_xlfn.XLOOKUP(Log[[#This Row],[Item]],Calories[Name],Calories[Protein])*Log[[#This Row],[Qty]])</f>
        <v/>
      </c>
      <c r="L457" s="71" t="str">
        <f>IF(ISBLANK(Log[[#This Row],[Item]]),"",_xlfn.XLOOKUP(Log[[#This Row],[Item]],Calories[Name],Calories[Chol.])*Log[[#This Row],[Qty]])</f>
        <v/>
      </c>
      <c r="M457" s="75"/>
      <c r="N457" s="75"/>
      <c r="O457" s="75"/>
    </row>
    <row r="458" spans="1:15" s="66" customFormat="1" ht="25.15" customHeight="1">
      <c r="A458" s="75"/>
      <c r="B458" s="98"/>
      <c r="C458" s="78"/>
      <c r="D458" s="79"/>
      <c r="E458" s="76" t="str">
        <f>IF(ISBLANK(Log[[#This Row],[Item]]),"",_xlfn.XLOOKUP(Log[[#This Row],[Item]],Calories[Name],Calories[Unit]))</f>
        <v/>
      </c>
      <c r="F458" s="65" t="str">
        <f>IF(ISBLANK(Log[[#This Row],[Item]]),"",_xlfn.XLOOKUP(Log[[#This Row],[Item]],Calories[Name],Calories[Cals])*Log[[#This Row],[Qty]])</f>
        <v/>
      </c>
      <c r="G458" s="71" t="str">
        <f>IF(ISBLANK(Log[[#This Row],[Item]]),"",_xlfn.XLOOKUP(Log[[#This Row],[Item]],Calories[Name],Calories[Carbs])*Log[[#This Row],[Qty]])</f>
        <v/>
      </c>
      <c r="H458" s="71" t="str">
        <f>IF(ISBLANK(Log[[#This Row],[Item]]),"",_xlfn.XLOOKUP(Log[[#This Row],[Item]],Calories[Name],Calories[Fibre])*Log[[#This Row],[Qty]])</f>
        <v/>
      </c>
      <c r="I458" s="71" t="str">
        <f>IF(ISBLANK(Log[[#This Row],[Item]]),"",(Log[[#This Row],[Carbs]]-Log[[#This Row],[Fibre]]))</f>
        <v/>
      </c>
      <c r="J458" s="103" t="str">
        <f>IF(ISBLANK(Log[[#This Row],[Item]]),"",_xlfn.XLOOKUP(Log[[#This Row],[Item]],Calories[Name],Calories[Sodium])*Log[[#This Row],[Qty]])</f>
        <v/>
      </c>
      <c r="K458" s="71" t="str">
        <f>IF(ISBLANK(Log[[#This Row],[Item]]),"",_xlfn.XLOOKUP(Log[[#This Row],[Item]],Calories[Name],Calories[Protein])*Log[[#This Row],[Qty]])</f>
        <v/>
      </c>
      <c r="L458" s="71" t="str">
        <f>IF(ISBLANK(Log[[#This Row],[Item]]),"",_xlfn.XLOOKUP(Log[[#This Row],[Item]],Calories[Name],Calories[Chol.])*Log[[#This Row],[Qty]])</f>
        <v/>
      </c>
      <c r="M458" s="75"/>
      <c r="N458" s="75"/>
      <c r="O458" s="75"/>
    </row>
    <row r="459" spans="1:15" s="66" customFormat="1" ht="25.15" customHeight="1">
      <c r="A459" s="75"/>
      <c r="B459" s="98"/>
      <c r="C459" s="78"/>
      <c r="D459" s="79"/>
      <c r="E459" s="76" t="str">
        <f>IF(ISBLANK(Log[[#This Row],[Item]]),"",_xlfn.XLOOKUP(Log[[#This Row],[Item]],Calories[Name],Calories[Unit]))</f>
        <v/>
      </c>
      <c r="F459" s="65" t="str">
        <f>IF(ISBLANK(Log[[#This Row],[Item]]),"",_xlfn.XLOOKUP(Log[[#This Row],[Item]],Calories[Name],Calories[Cals])*Log[[#This Row],[Qty]])</f>
        <v/>
      </c>
      <c r="G459" s="71" t="str">
        <f>IF(ISBLANK(Log[[#This Row],[Item]]),"",_xlfn.XLOOKUP(Log[[#This Row],[Item]],Calories[Name],Calories[Carbs])*Log[[#This Row],[Qty]])</f>
        <v/>
      </c>
      <c r="H459" s="71" t="str">
        <f>IF(ISBLANK(Log[[#This Row],[Item]]),"",_xlfn.XLOOKUP(Log[[#This Row],[Item]],Calories[Name],Calories[Fibre])*Log[[#This Row],[Qty]])</f>
        <v/>
      </c>
      <c r="I459" s="71" t="str">
        <f>IF(ISBLANK(Log[[#This Row],[Item]]),"",(Log[[#This Row],[Carbs]]-Log[[#This Row],[Fibre]]))</f>
        <v/>
      </c>
      <c r="J459" s="103" t="str">
        <f>IF(ISBLANK(Log[[#This Row],[Item]]),"",_xlfn.XLOOKUP(Log[[#This Row],[Item]],Calories[Name],Calories[Sodium])*Log[[#This Row],[Qty]])</f>
        <v/>
      </c>
      <c r="K459" s="71" t="str">
        <f>IF(ISBLANK(Log[[#This Row],[Item]]),"",_xlfn.XLOOKUP(Log[[#This Row],[Item]],Calories[Name],Calories[Protein])*Log[[#This Row],[Qty]])</f>
        <v/>
      </c>
      <c r="L459" s="71" t="str">
        <f>IF(ISBLANK(Log[[#This Row],[Item]]),"",_xlfn.XLOOKUP(Log[[#This Row],[Item]],Calories[Name],Calories[Chol.])*Log[[#This Row],[Qty]])</f>
        <v/>
      </c>
      <c r="M459" s="75"/>
      <c r="N459" s="75"/>
      <c r="O459" s="75"/>
    </row>
    <row r="460" spans="1:15" s="66" customFormat="1" ht="25.15" customHeight="1">
      <c r="A460" s="75"/>
      <c r="B460" s="98"/>
      <c r="C460" s="78"/>
      <c r="D460" s="79"/>
      <c r="E460" s="76" t="str">
        <f>IF(ISBLANK(Log[[#This Row],[Item]]),"",_xlfn.XLOOKUP(Log[[#This Row],[Item]],Calories[Name],Calories[Unit]))</f>
        <v/>
      </c>
      <c r="F460" s="65" t="str">
        <f>IF(ISBLANK(Log[[#This Row],[Item]]),"",_xlfn.XLOOKUP(Log[[#This Row],[Item]],Calories[Name],Calories[Cals])*Log[[#This Row],[Qty]])</f>
        <v/>
      </c>
      <c r="G460" s="71" t="str">
        <f>IF(ISBLANK(Log[[#This Row],[Item]]),"",_xlfn.XLOOKUP(Log[[#This Row],[Item]],Calories[Name],Calories[Carbs])*Log[[#This Row],[Qty]])</f>
        <v/>
      </c>
      <c r="H460" s="71" t="str">
        <f>IF(ISBLANK(Log[[#This Row],[Item]]),"",_xlfn.XLOOKUP(Log[[#This Row],[Item]],Calories[Name],Calories[Fibre])*Log[[#This Row],[Qty]])</f>
        <v/>
      </c>
      <c r="I460" s="71" t="str">
        <f>IF(ISBLANK(Log[[#This Row],[Item]]),"",(Log[[#This Row],[Carbs]]-Log[[#This Row],[Fibre]]))</f>
        <v/>
      </c>
      <c r="J460" s="103" t="str">
        <f>IF(ISBLANK(Log[[#This Row],[Item]]),"",_xlfn.XLOOKUP(Log[[#This Row],[Item]],Calories[Name],Calories[Sodium])*Log[[#This Row],[Qty]])</f>
        <v/>
      </c>
      <c r="K460" s="71" t="str">
        <f>IF(ISBLANK(Log[[#This Row],[Item]]),"",_xlfn.XLOOKUP(Log[[#This Row],[Item]],Calories[Name],Calories[Protein])*Log[[#This Row],[Qty]])</f>
        <v/>
      </c>
      <c r="L460" s="71" t="str">
        <f>IF(ISBLANK(Log[[#This Row],[Item]]),"",_xlfn.XLOOKUP(Log[[#This Row],[Item]],Calories[Name],Calories[Chol.])*Log[[#This Row],[Qty]])</f>
        <v/>
      </c>
      <c r="M460" s="75"/>
      <c r="N460" s="75"/>
      <c r="O460" s="75"/>
    </row>
    <row r="461" spans="1:15" s="66" customFormat="1" ht="25.15" customHeight="1">
      <c r="A461" s="75"/>
      <c r="B461" s="98"/>
      <c r="C461" s="78"/>
      <c r="D461" s="79"/>
      <c r="E461" s="76" t="str">
        <f>IF(ISBLANK(Log[[#This Row],[Item]]),"",_xlfn.XLOOKUP(Log[[#This Row],[Item]],Calories[Name],Calories[Unit]))</f>
        <v/>
      </c>
      <c r="F461" s="65" t="str">
        <f>IF(ISBLANK(Log[[#This Row],[Item]]),"",_xlfn.XLOOKUP(Log[[#This Row],[Item]],Calories[Name],Calories[Cals])*Log[[#This Row],[Qty]])</f>
        <v/>
      </c>
      <c r="G461" s="71" t="str">
        <f>IF(ISBLANK(Log[[#This Row],[Item]]),"",_xlfn.XLOOKUP(Log[[#This Row],[Item]],Calories[Name],Calories[Carbs])*Log[[#This Row],[Qty]])</f>
        <v/>
      </c>
      <c r="H461" s="71" t="str">
        <f>IF(ISBLANK(Log[[#This Row],[Item]]),"",_xlfn.XLOOKUP(Log[[#This Row],[Item]],Calories[Name],Calories[Fibre])*Log[[#This Row],[Qty]])</f>
        <v/>
      </c>
      <c r="I461" s="71" t="str">
        <f>IF(ISBLANK(Log[[#This Row],[Item]]),"",(Log[[#This Row],[Carbs]]-Log[[#This Row],[Fibre]]))</f>
        <v/>
      </c>
      <c r="J461" s="103" t="str">
        <f>IF(ISBLANK(Log[[#This Row],[Item]]),"",_xlfn.XLOOKUP(Log[[#This Row],[Item]],Calories[Name],Calories[Sodium])*Log[[#This Row],[Qty]])</f>
        <v/>
      </c>
      <c r="K461" s="71" t="str">
        <f>IF(ISBLANK(Log[[#This Row],[Item]]),"",_xlfn.XLOOKUP(Log[[#This Row],[Item]],Calories[Name],Calories[Protein])*Log[[#This Row],[Qty]])</f>
        <v/>
      </c>
      <c r="L461" s="71" t="str">
        <f>IF(ISBLANK(Log[[#This Row],[Item]]),"",_xlfn.XLOOKUP(Log[[#This Row],[Item]],Calories[Name],Calories[Chol.])*Log[[#This Row],[Qty]])</f>
        <v/>
      </c>
      <c r="M461" s="75"/>
      <c r="N461" s="75"/>
      <c r="O461" s="75"/>
    </row>
    <row r="462" spans="1:15" s="66" customFormat="1" ht="25.15" customHeight="1">
      <c r="A462" s="75"/>
      <c r="B462" s="98"/>
      <c r="C462" s="78"/>
      <c r="D462" s="79"/>
      <c r="E462" s="76" t="str">
        <f>IF(ISBLANK(Log[[#This Row],[Item]]),"",_xlfn.XLOOKUP(Log[[#This Row],[Item]],Calories[Name],Calories[Unit]))</f>
        <v/>
      </c>
      <c r="F462" s="65" t="str">
        <f>IF(ISBLANK(Log[[#This Row],[Item]]),"",_xlfn.XLOOKUP(Log[[#This Row],[Item]],Calories[Name],Calories[Cals])*Log[[#This Row],[Qty]])</f>
        <v/>
      </c>
      <c r="G462" s="71" t="str">
        <f>IF(ISBLANK(Log[[#This Row],[Item]]),"",_xlfn.XLOOKUP(Log[[#This Row],[Item]],Calories[Name],Calories[Carbs])*Log[[#This Row],[Qty]])</f>
        <v/>
      </c>
      <c r="H462" s="71" t="str">
        <f>IF(ISBLANK(Log[[#This Row],[Item]]),"",_xlfn.XLOOKUP(Log[[#This Row],[Item]],Calories[Name],Calories[Fibre])*Log[[#This Row],[Qty]])</f>
        <v/>
      </c>
      <c r="I462" s="71" t="str">
        <f>IF(ISBLANK(Log[[#This Row],[Item]]),"",(Log[[#This Row],[Carbs]]-Log[[#This Row],[Fibre]]))</f>
        <v/>
      </c>
      <c r="J462" s="103" t="str">
        <f>IF(ISBLANK(Log[[#This Row],[Item]]),"",_xlfn.XLOOKUP(Log[[#This Row],[Item]],Calories[Name],Calories[Sodium])*Log[[#This Row],[Qty]])</f>
        <v/>
      </c>
      <c r="K462" s="71" t="str">
        <f>IF(ISBLANK(Log[[#This Row],[Item]]),"",_xlfn.XLOOKUP(Log[[#This Row],[Item]],Calories[Name],Calories[Protein])*Log[[#This Row],[Qty]])</f>
        <v/>
      </c>
      <c r="L462" s="71" t="str">
        <f>IF(ISBLANK(Log[[#This Row],[Item]]),"",_xlfn.XLOOKUP(Log[[#This Row],[Item]],Calories[Name],Calories[Chol.])*Log[[#This Row],[Qty]])</f>
        <v/>
      </c>
      <c r="M462" s="75"/>
      <c r="N462" s="75"/>
      <c r="O462" s="75"/>
    </row>
    <row r="463" spans="1:15" s="66" customFormat="1" ht="25.15" customHeight="1">
      <c r="A463" s="75"/>
      <c r="B463" s="98"/>
      <c r="C463" s="78"/>
      <c r="D463" s="79"/>
      <c r="E463" s="76" t="str">
        <f>IF(ISBLANK(Log[[#This Row],[Item]]),"",_xlfn.XLOOKUP(Log[[#This Row],[Item]],Calories[Name],Calories[Unit]))</f>
        <v/>
      </c>
      <c r="F463" s="65" t="str">
        <f>IF(ISBLANK(Log[[#This Row],[Item]]),"",_xlfn.XLOOKUP(Log[[#This Row],[Item]],Calories[Name],Calories[Cals])*Log[[#This Row],[Qty]])</f>
        <v/>
      </c>
      <c r="G463" s="71" t="str">
        <f>IF(ISBLANK(Log[[#This Row],[Item]]),"",_xlfn.XLOOKUP(Log[[#This Row],[Item]],Calories[Name],Calories[Carbs])*Log[[#This Row],[Qty]])</f>
        <v/>
      </c>
      <c r="H463" s="71" t="str">
        <f>IF(ISBLANK(Log[[#This Row],[Item]]),"",_xlfn.XLOOKUP(Log[[#This Row],[Item]],Calories[Name],Calories[Fibre])*Log[[#This Row],[Qty]])</f>
        <v/>
      </c>
      <c r="I463" s="71" t="str">
        <f>IF(ISBLANK(Log[[#This Row],[Item]]),"",(Log[[#This Row],[Carbs]]-Log[[#This Row],[Fibre]]))</f>
        <v/>
      </c>
      <c r="J463" s="103" t="str">
        <f>IF(ISBLANK(Log[[#This Row],[Item]]),"",_xlfn.XLOOKUP(Log[[#This Row],[Item]],Calories[Name],Calories[Sodium])*Log[[#This Row],[Qty]])</f>
        <v/>
      </c>
      <c r="K463" s="71" t="str">
        <f>IF(ISBLANK(Log[[#This Row],[Item]]),"",_xlfn.XLOOKUP(Log[[#This Row],[Item]],Calories[Name],Calories[Protein])*Log[[#This Row],[Qty]])</f>
        <v/>
      </c>
      <c r="L463" s="71" t="str">
        <f>IF(ISBLANK(Log[[#This Row],[Item]]),"",_xlfn.XLOOKUP(Log[[#This Row],[Item]],Calories[Name],Calories[Chol.])*Log[[#This Row],[Qty]])</f>
        <v/>
      </c>
      <c r="M463" s="75"/>
      <c r="N463" s="75"/>
      <c r="O463" s="75"/>
    </row>
    <row r="464" spans="1:15" s="66" customFormat="1" ht="25.15" customHeight="1">
      <c r="A464" s="75"/>
      <c r="B464" s="98"/>
      <c r="C464" s="78"/>
      <c r="D464" s="79"/>
      <c r="E464" s="76" t="str">
        <f>IF(ISBLANK(Log[[#This Row],[Item]]),"",_xlfn.XLOOKUP(Log[[#This Row],[Item]],Calories[Name],Calories[Unit]))</f>
        <v/>
      </c>
      <c r="F464" s="65" t="str">
        <f>IF(ISBLANK(Log[[#This Row],[Item]]),"",_xlfn.XLOOKUP(Log[[#This Row],[Item]],Calories[Name],Calories[Cals])*Log[[#This Row],[Qty]])</f>
        <v/>
      </c>
      <c r="G464" s="71" t="str">
        <f>IF(ISBLANK(Log[[#This Row],[Item]]),"",_xlfn.XLOOKUP(Log[[#This Row],[Item]],Calories[Name],Calories[Carbs])*Log[[#This Row],[Qty]])</f>
        <v/>
      </c>
      <c r="H464" s="71" t="str">
        <f>IF(ISBLANK(Log[[#This Row],[Item]]),"",_xlfn.XLOOKUP(Log[[#This Row],[Item]],Calories[Name],Calories[Fibre])*Log[[#This Row],[Qty]])</f>
        <v/>
      </c>
      <c r="I464" s="71" t="str">
        <f>IF(ISBLANK(Log[[#This Row],[Item]]),"",(Log[[#This Row],[Carbs]]-Log[[#This Row],[Fibre]]))</f>
        <v/>
      </c>
      <c r="J464" s="103" t="str">
        <f>IF(ISBLANK(Log[[#This Row],[Item]]),"",_xlfn.XLOOKUP(Log[[#This Row],[Item]],Calories[Name],Calories[Sodium])*Log[[#This Row],[Qty]])</f>
        <v/>
      </c>
      <c r="K464" s="71" t="str">
        <f>IF(ISBLANK(Log[[#This Row],[Item]]),"",_xlfn.XLOOKUP(Log[[#This Row],[Item]],Calories[Name],Calories[Protein])*Log[[#This Row],[Qty]])</f>
        <v/>
      </c>
      <c r="L464" s="71" t="str">
        <f>IF(ISBLANK(Log[[#This Row],[Item]]),"",_xlfn.XLOOKUP(Log[[#This Row],[Item]],Calories[Name],Calories[Chol.])*Log[[#This Row],[Qty]])</f>
        <v/>
      </c>
      <c r="M464" s="75"/>
      <c r="N464" s="75"/>
      <c r="O464" s="75"/>
    </row>
    <row r="465" spans="1:15" s="66" customFormat="1" ht="25.15" customHeight="1">
      <c r="A465" s="75"/>
      <c r="B465" s="98"/>
      <c r="C465" s="78"/>
      <c r="D465" s="79"/>
      <c r="E465" s="76" t="str">
        <f>IF(ISBLANK(Log[[#This Row],[Item]]),"",_xlfn.XLOOKUP(Log[[#This Row],[Item]],Calories[Name],Calories[Unit]))</f>
        <v/>
      </c>
      <c r="F465" s="65" t="str">
        <f>IF(ISBLANK(Log[[#This Row],[Item]]),"",_xlfn.XLOOKUP(Log[[#This Row],[Item]],Calories[Name],Calories[Cals])*Log[[#This Row],[Qty]])</f>
        <v/>
      </c>
      <c r="G465" s="71" t="str">
        <f>IF(ISBLANK(Log[[#This Row],[Item]]),"",_xlfn.XLOOKUP(Log[[#This Row],[Item]],Calories[Name],Calories[Carbs])*Log[[#This Row],[Qty]])</f>
        <v/>
      </c>
      <c r="H465" s="71" t="str">
        <f>IF(ISBLANK(Log[[#This Row],[Item]]),"",_xlfn.XLOOKUP(Log[[#This Row],[Item]],Calories[Name],Calories[Fibre])*Log[[#This Row],[Qty]])</f>
        <v/>
      </c>
      <c r="I465" s="71" t="str">
        <f>IF(ISBLANK(Log[[#This Row],[Item]]),"",(Log[[#This Row],[Carbs]]-Log[[#This Row],[Fibre]]))</f>
        <v/>
      </c>
      <c r="J465" s="103" t="str">
        <f>IF(ISBLANK(Log[[#This Row],[Item]]),"",_xlfn.XLOOKUP(Log[[#This Row],[Item]],Calories[Name],Calories[Sodium])*Log[[#This Row],[Qty]])</f>
        <v/>
      </c>
      <c r="K465" s="71" t="str">
        <f>IF(ISBLANK(Log[[#This Row],[Item]]),"",_xlfn.XLOOKUP(Log[[#This Row],[Item]],Calories[Name],Calories[Protein])*Log[[#This Row],[Qty]])</f>
        <v/>
      </c>
      <c r="L465" s="71" t="str">
        <f>IF(ISBLANK(Log[[#This Row],[Item]]),"",_xlfn.XLOOKUP(Log[[#This Row],[Item]],Calories[Name],Calories[Chol.])*Log[[#This Row],[Qty]])</f>
        <v/>
      </c>
      <c r="M465" s="75"/>
      <c r="N465" s="75"/>
      <c r="O465" s="75"/>
    </row>
    <row r="466" spans="1:15" s="66" customFormat="1" ht="25.15" customHeight="1">
      <c r="A466" s="75"/>
      <c r="B466" s="98"/>
      <c r="C466" s="78"/>
      <c r="D466" s="79"/>
      <c r="E466" s="76" t="str">
        <f>IF(ISBLANK(Log[[#This Row],[Item]]),"",_xlfn.XLOOKUP(Log[[#This Row],[Item]],Calories[Name],Calories[Unit]))</f>
        <v/>
      </c>
      <c r="F466" s="65" t="str">
        <f>IF(ISBLANK(Log[[#This Row],[Item]]),"",_xlfn.XLOOKUP(Log[[#This Row],[Item]],Calories[Name],Calories[Cals])*Log[[#This Row],[Qty]])</f>
        <v/>
      </c>
      <c r="G466" s="71" t="str">
        <f>IF(ISBLANK(Log[[#This Row],[Item]]),"",_xlfn.XLOOKUP(Log[[#This Row],[Item]],Calories[Name],Calories[Carbs])*Log[[#This Row],[Qty]])</f>
        <v/>
      </c>
      <c r="H466" s="71" t="str">
        <f>IF(ISBLANK(Log[[#This Row],[Item]]),"",_xlfn.XLOOKUP(Log[[#This Row],[Item]],Calories[Name],Calories[Fibre])*Log[[#This Row],[Qty]])</f>
        <v/>
      </c>
      <c r="I466" s="71" t="str">
        <f>IF(ISBLANK(Log[[#This Row],[Item]]),"",(Log[[#This Row],[Carbs]]-Log[[#This Row],[Fibre]]))</f>
        <v/>
      </c>
      <c r="J466" s="103" t="str">
        <f>IF(ISBLANK(Log[[#This Row],[Item]]),"",_xlfn.XLOOKUP(Log[[#This Row],[Item]],Calories[Name],Calories[Sodium])*Log[[#This Row],[Qty]])</f>
        <v/>
      </c>
      <c r="K466" s="71" t="str">
        <f>IF(ISBLANK(Log[[#This Row],[Item]]),"",_xlfn.XLOOKUP(Log[[#This Row],[Item]],Calories[Name],Calories[Protein])*Log[[#This Row],[Qty]])</f>
        <v/>
      </c>
      <c r="L466" s="71" t="str">
        <f>IF(ISBLANK(Log[[#This Row],[Item]]),"",_xlfn.XLOOKUP(Log[[#This Row],[Item]],Calories[Name],Calories[Chol.])*Log[[#This Row],[Qty]])</f>
        <v/>
      </c>
      <c r="M466" s="75"/>
      <c r="N466" s="75"/>
      <c r="O466" s="75"/>
    </row>
    <row r="467" spans="1:15" s="66" customFormat="1" ht="25.15" customHeight="1">
      <c r="A467" s="75"/>
      <c r="B467" s="98"/>
      <c r="C467" s="78"/>
      <c r="D467" s="79"/>
      <c r="E467" s="76" t="str">
        <f>IF(ISBLANK(Log[[#This Row],[Item]]),"",_xlfn.XLOOKUP(Log[[#This Row],[Item]],Calories[Name],Calories[Unit]))</f>
        <v/>
      </c>
      <c r="F467" s="65" t="str">
        <f>IF(ISBLANK(Log[[#This Row],[Item]]),"",_xlfn.XLOOKUP(Log[[#This Row],[Item]],Calories[Name],Calories[Cals])*Log[[#This Row],[Qty]])</f>
        <v/>
      </c>
      <c r="G467" s="71" t="str">
        <f>IF(ISBLANK(Log[[#This Row],[Item]]),"",_xlfn.XLOOKUP(Log[[#This Row],[Item]],Calories[Name],Calories[Carbs])*Log[[#This Row],[Qty]])</f>
        <v/>
      </c>
      <c r="H467" s="71" t="str">
        <f>IF(ISBLANK(Log[[#This Row],[Item]]),"",_xlfn.XLOOKUP(Log[[#This Row],[Item]],Calories[Name],Calories[Fibre])*Log[[#This Row],[Qty]])</f>
        <v/>
      </c>
      <c r="I467" s="71" t="str">
        <f>IF(ISBLANK(Log[[#This Row],[Item]]),"",(Log[[#This Row],[Carbs]]-Log[[#This Row],[Fibre]]))</f>
        <v/>
      </c>
      <c r="J467" s="103" t="str">
        <f>IF(ISBLANK(Log[[#This Row],[Item]]),"",_xlfn.XLOOKUP(Log[[#This Row],[Item]],Calories[Name],Calories[Sodium])*Log[[#This Row],[Qty]])</f>
        <v/>
      </c>
      <c r="K467" s="71" t="str">
        <f>IF(ISBLANK(Log[[#This Row],[Item]]),"",_xlfn.XLOOKUP(Log[[#This Row],[Item]],Calories[Name],Calories[Protein])*Log[[#This Row],[Qty]])</f>
        <v/>
      </c>
      <c r="L467" s="71" t="str">
        <f>IF(ISBLANK(Log[[#This Row],[Item]]),"",_xlfn.XLOOKUP(Log[[#This Row],[Item]],Calories[Name],Calories[Chol.])*Log[[#This Row],[Qty]])</f>
        <v/>
      </c>
      <c r="M467" s="75"/>
      <c r="N467" s="75"/>
      <c r="O467" s="75"/>
    </row>
    <row r="468" spans="1:15" s="66" customFormat="1" ht="25.15" customHeight="1">
      <c r="A468" s="75"/>
      <c r="B468" s="98"/>
      <c r="C468" s="78"/>
      <c r="D468" s="79"/>
      <c r="E468" s="76" t="str">
        <f>IF(ISBLANK(Log[[#This Row],[Item]]),"",_xlfn.XLOOKUP(Log[[#This Row],[Item]],Calories[Name],Calories[Unit]))</f>
        <v/>
      </c>
      <c r="F468" s="65" t="str">
        <f>IF(ISBLANK(Log[[#This Row],[Item]]),"",_xlfn.XLOOKUP(Log[[#This Row],[Item]],Calories[Name],Calories[Cals])*Log[[#This Row],[Qty]])</f>
        <v/>
      </c>
      <c r="G468" s="71" t="str">
        <f>IF(ISBLANK(Log[[#This Row],[Item]]),"",_xlfn.XLOOKUP(Log[[#This Row],[Item]],Calories[Name],Calories[Carbs])*Log[[#This Row],[Qty]])</f>
        <v/>
      </c>
      <c r="H468" s="71" t="str">
        <f>IF(ISBLANK(Log[[#This Row],[Item]]),"",_xlfn.XLOOKUP(Log[[#This Row],[Item]],Calories[Name],Calories[Fibre])*Log[[#This Row],[Qty]])</f>
        <v/>
      </c>
      <c r="I468" s="71" t="str">
        <f>IF(ISBLANK(Log[[#This Row],[Item]]),"",(Log[[#This Row],[Carbs]]-Log[[#This Row],[Fibre]]))</f>
        <v/>
      </c>
      <c r="J468" s="103" t="str">
        <f>IF(ISBLANK(Log[[#This Row],[Item]]),"",_xlfn.XLOOKUP(Log[[#This Row],[Item]],Calories[Name],Calories[Sodium])*Log[[#This Row],[Qty]])</f>
        <v/>
      </c>
      <c r="K468" s="71" t="str">
        <f>IF(ISBLANK(Log[[#This Row],[Item]]),"",_xlfn.XLOOKUP(Log[[#This Row],[Item]],Calories[Name],Calories[Protein])*Log[[#This Row],[Qty]])</f>
        <v/>
      </c>
      <c r="L468" s="71" t="str">
        <f>IF(ISBLANK(Log[[#This Row],[Item]]),"",_xlfn.XLOOKUP(Log[[#This Row],[Item]],Calories[Name],Calories[Chol.])*Log[[#This Row],[Qty]])</f>
        <v/>
      </c>
      <c r="M468" s="75"/>
      <c r="N468" s="75"/>
      <c r="O468" s="75"/>
    </row>
    <row r="469" spans="1:15" s="66" customFormat="1" ht="25.15" customHeight="1">
      <c r="A469" s="75"/>
      <c r="B469" s="98"/>
      <c r="C469" s="78"/>
      <c r="D469" s="79"/>
      <c r="E469" s="76" t="str">
        <f>IF(ISBLANK(Log[[#This Row],[Item]]),"",_xlfn.XLOOKUP(Log[[#This Row],[Item]],Calories[Name],Calories[Unit]))</f>
        <v/>
      </c>
      <c r="F469" s="65" t="str">
        <f>IF(ISBLANK(Log[[#This Row],[Item]]),"",_xlfn.XLOOKUP(Log[[#This Row],[Item]],Calories[Name],Calories[Cals])*Log[[#This Row],[Qty]])</f>
        <v/>
      </c>
      <c r="G469" s="71" t="str">
        <f>IF(ISBLANK(Log[[#This Row],[Item]]),"",_xlfn.XLOOKUP(Log[[#This Row],[Item]],Calories[Name],Calories[Carbs])*Log[[#This Row],[Qty]])</f>
        <v/>
      </c>
      <c r="H469" s="71" t="str">
        <f>IF(ISBLANK(Log[[#This Row],[Item]]),"",_xlfn.XLOOKUP(Log[[#This Row],[Item]],Calories[Name],Calories[Fibre])*Log[[#This Row],[Qty]])</f>
        <v/>
      </c>
      <c r="I469" s="71" t="str">
        <f>IF(ISBLANK(Log[[#This Row],[Item]]),"",(Log[[#This Row],[Carbs]]-Log[[#This Row],[Fibre]]))</f>
        <v/>
      </c>
      <c r="J469" s="103" t="str">
        <f>IF(ISBLANK(Log[[#This Row],[Item]]),"",_xlfn.XLOOKUP(Log[[#This Row],[Item]],Calories[Name],Calories[Sodium])*Log[[#This Row],[Qty]])</f>
        <v/>
      </c>
      <c r="K469" s="71" t="str">
        <f>IF(ISBLANK(Log[[#This Row],[Item]]),"",_xlfn.XLOOKUP(Log[[#This Row],[Item]],Calories[Name],Calories[Protein])*Log[[#This Row],[Qty]])</f>
        <v/>
      </c>
      <c r="L469" s="71" t="str">
        <f>IF(ISBLANK(Log[[#This Row],[Item]]),"",_xlfn.XLOOKUP(Log[[#This Row],[Item]],Calories[Name],Calories[Chol.])*Log[[#This Row],[Qty]])</f>
        <v/>
      </c>
      <c r="M469" s="75"/>
      <c r="N469" s="75"/>
      <c r="O469" s="75"/>
    </row>
    <row r="470" spans="1:15" s="66" customFormat="1" ht="25.15" customHeight="1">
      <c r="A470" s="75"/>
      <c r="B470" s="98"/>
      <c r="C470" s="78"/>
      <c r="D470" s="79"/>
      <c r="E470" s="76" t="str">
        <f>IF(ISBLANK(Log[[#This Row],[Item]]),"",_xlfn.XLOOKUP(Log[[#This Row],[Item]],Calories[Name],Calories[Unit]))</f>
        <v/>
      </c>
      <c r="F470" s="65" t="str">
        <f>IF(ISBLANK(Log[[#This Row],[Item]]),"",_xlfn.XLOOKUP(Log[[#This Row],[Item]],Calories[Name],Calories[Cals])*Log[[#This Row],[Qty]])</f>
        <v/>
      </c>
      <c r="G470" s="71" t="str">
        <f>IF(ISBLANK(Log[[#This Row],[Item]]),"",_xlfn.XLOOKUP(Log[[#This Row],[Item]],Calories[Name],Calories[Carbs])*Log[[#This Row],[Qty]])</f>
        <v/>
      </c>
      <c r="H470" s="71" t="str">
        <f>IF(ISBLANK(Log[[#This Row],[Item]]),"",_xlfn.XLOOKUP(Log[[#This Row],[Item]],Calories[Name],Calories[Fibre])*Log[[#This Row],[Qty]])</f>
        <v/>
      </c>
      <c r="I470" s="71" t="str">
        <f>IF(ISBLANK(Log[[#This Row],[Item]]),"",(Log[[#This Row],[Carbs]]-Log[[#This Row],[Fibre]]))</f>
        <v/>
      </c>
      <c r="J470" s="103" t="str">
        <f>IF(ISBLANK(Log[[#This Row],[Item]]),"",_xlfn.XLOOKUP(Log[[#This Row],[Item]],Calories[Name],Calories[Sodium])*Log[[#This Row],[Qty]])</f>
        <v/>
      </c>
      <c r="K470" s="71" t="str">
        <f>IF(ISBLANK(Log[[#This Row],[Item]]),"",_xlfn.XLOOKUP(Log[[#This Row],[Item]],Calories[Name],Calories[Protein])*Log[[#This Row],[Qty]])</f>
        <v/>
      </c>
      <c r="L470" s="71" t="str">
        <f>IF(ISBLANK(Log[[#This Row],[Item]]),"",_xlfn.XLOOKUP(Log[[#This Row],[Item]],Calories[Name],Calories[Chol.])*Log[[#This Row],[Qty]])</f>
        <v/>
      </c>
      <c r="M470" s="75"/>
      <c r="N470" s="75"/>
      <c r="O470" s="75"/>
    </row>
    <row r="471" spans="1:15" s="66" customFormat="1" ht="25.15" customHeight="1">
      <c r="A471" s="75"/>
      <c r="B471" s="98"/>
      <c r="C471" s="78"/>
      <c r="D471" s="79"/>
      <c r="E471" s="76" t="str">
        <f>IF(ISBLANK(Log[[#This Row],[Item]]),"",_xlfn.XLOOKUP(Log[[#This Row],[Item]],Calories[Name],Calories[Unit]))</f>
        <v/>
      </c>
      <c r="F471" s="65" t="str">
        <f>IF(ISBLANK(Log[[#This Row],[Item]]),"",_xlfn.XLOOKUP(Log[[#This Row],[Item]],Calories[Name],Calories[Cals])*Log[[#This Row],[Qty]])</f>
        <v/>
      </c>
      <c r="G471" s="71" t="str">
        <f>IF(ISBLANK(Log[[#This Row],[Item]]),"",_xlfn.XLOOKUP(Log[[#This Row],[Item]],Calories[Name],Calories[Carbs])*Log[[#This Row],[Qty]])</f>
        <v/>
      </c>
      <c r="H471" s="71" t="str">
        <f>IF(ISBLANK(Log[[#This Row],[Item]]),"",_xlfn.XLOOKUP(Log[[#This Row],[Item]],Calories[Name],Calories[Fibre])*Log[[#This Row],[Qty]])</f>
        <v/>
      </c>
      <c r="I471" s="71" t="str">
        <f>IF(ISBLANK(Log[[#This Row],[Item]]),"",(Log[[#This Row],[Carbs]]-Log[[#This Row],[Fibre]]))</f>
        <v/>
      </c>
      <c r="J471" s="103" t="str">
        <f>IF(ISBLANK(Log[[#This Row],[Item]]),"",_xlfn.XLOOKUP(Log[[#This Row],[Item]],Calories[Name],Calories[Sodium])*Log[[#This Row],[Qty]])</f>
        <v/>
      </c>
      <c r="K471" s="71" t="str">
        <f>IF(ISBLANK(Log[[#This Row],[Item]]),"",_xlfn.XLOOKUP(Log[[#This Row],[Item]],Calories[Name],Calories[Protein])*Log[[#This Row],[Qty]])</f>
        <v/>
      </c>
      <c r="L471" s="71" t="str">
        <f>IF(ISBLANK(Log[[#This Row],[Item]]),"",_xlfn.XLOOKUP(Log[[#This Row],[Item]],Calories[Name],Calories[Chol.])*Log[[#This Row],[Qty]])</f>
        <v/>
      </c>
      <c r="M471" s="75"/>
      <c r="N471" s="75"/>
      <c r="O471" s="75"/>
    </row>
    <row r="472" spans="1:15" s="66" customFormat="1" ht="25.15" customHeight="1">
      <c r="A472" s="75"/>
      <c r="B472" s="98"/>
      <c r="C472" s="78"/>
      <c r="D472" s="79"/>
      <c r="E472" s="76" t="str">
        <f>IF(ISBLANK(Log[[#This Row],[Item]]),"",_xlfn.XLOOKUP(Log[[#This Row],[Item]],Calories[Name],Calories[Unit]))</f>
        <v/>
      </c>
      <c r="F472" s="65" t="str">
        <f>IF(ISBLANK(Log[[#This Row],[Item]]),"",_xlfn.XLOOKUP(Log[[#This Row],[Item]],Calories[Name],Calories[Cals])*Log[[#This Row],[Qty]])</f>
        <v/>
      </c>
      <c r="G472" s="71" t="str">
        <f>IF(ISBLANK(Log[[#This Row],[Item]]),"",_xlfn.XLOOKUP(Log[[#This Row],[Item]],Calories[Name],Calories[Carbs])*Log[[#This Row],[Qty]])</f>
        <v/>
      </c>
      <c r="H472" s="71" t="str">
        <f>IF(ISBLANK(Log[[#This Row],[Item]]),"",_xlfn.XLOOKUP(Log[[#This Row],[Item]],Calories[Name],Calories[Fibre])*Log[[#This Row],[Qty]])</f>
        <v/>
      </c>
      <c r="I472" s="71" t="str">
        <f>IF(ISBLANK(Log[[#This Row],[Item]]),"",(Log[[#This Row],[Carbs]]-Log[[#This Row],[Fibre]]))</f>
        <v/>
      </c>
      <c r="J472" s="103" t="str">
        <f>IF(ISBLANK(Log[[#This Row],[Item]]),"",_xlfn.XLOOKUP(Log[[#This Row],[Item]],Calories[Name],Calories[Sodium])*Log[[#This Row],[Qty]])</f>
        <v/>
      </c>
      <c r="K472" s="71" t="str">
        <f>IF(ISBLANK(Log[[#This Row],[Item]]),"",_xlfn.XLOOKUP(Log[[#This Row],[Item]],Calories[Name],Calories[Protein])*Log[[#This Row],[Qty]])</f>
        <v/>
      </c>
      <c r="L472" s="71" t="str">
        <f>IF(ISBLANK(Log[[#This Row],[Item]]),"",_xlfn.XLOOKUP(Log[[#This Row],[Item]],Calories[Name],Calories[Chol.])*Log[[#This Row],[Qty]])</f>
        <v/>
      </c>
      <c r="M472" s="75"/>
      <c r="N472" s="75"/>
      <c r="O472" s="75"/>
    </row>
    <row r="473" spans="1:15" s="66" customFormat="1" ht="25.15" customHeight="1">
      <c r="A473" s="75"/>
      <c r="B473" s="98"/>
      <c r="C473" s="78"/>
      <c r="D473" s="79"/>
      <c r="E473" s="76" t="str">
        <f>IF(ISBLANK(Log[[#This Row],[Item]]),"",_xlfn.XLOOKUP(Log[[#This Row],[Item]],Calories[Name],Calories[Unit]))</f>
        <v/>
      </c>
      <c r="F473" s="65" t="str">
        <f>IF(ISBLANK(Log[[#This Row],[Item]]),"",_xlfn.XLOOKUP(Log[[#This Row],[Item]],Calories[Name],Calories[Cals])*Log[[#This Row],[Qty]])</f>
        <v/>
      </c>
      <c r="G473" s="71" t="str">
        <f>IF(ISBLANK(Log[[#This Row],[Item]]),"",_xlfn.XLOOKUP(Log[[#This Row],[Item]],Calories[Name],Calories[Carbs])*Log[[#This Row],[Qty]])</f>
        <v/>
      </c>
      <c r="H473" s="71" t="str">
        <f>IF(ISBLANK(Log[[#This Row],[Item]]),"",_xlfn.XLOOKUP(Log[[#This Row],[Item]],Calories[Name],Calories[Fibre])*Log[[#This Row],[Qty]])</f>
        <v/>
      </c>
      <c r="I473" s="71" t="str">
        <f>IF(ISBLANK(Log[[#This Row],[Item]]),"",(Log[[#This Row],[Carbs]]-Log[[#This Row],[Fibre]]))</f>
        <v/>
      </c>
      <c r="J473" s="103" t="str">
        <f>IF(ISBLANK(Log[[#This Row],[Item]]),"",_xlfn.XLOOKUP(Log[[#This Row],[Item]],Calories[Name],Calories[Sodium])*Log[[#This Row],[Qty]])</f>
        <v/>
      </c>
      <c r="K473" s="71" t="str">
        <f>IF(ISBLANK(Log[[#This Row],[Item]]),"",_xlfn.XLOOKUP(Log[[#This Row],[Item]],Calories[Name],Calories[Protein])*Log[[#This Row],[Qty]])</f>
        <v/>
      </c>
      <c r="L473" s="71" t="str">
        <f>IF(ISBLANK(Log[[#This Row],[Item]]),"",_xlfn.XLOOKUP(Log[[#This Row],[Item]],Calories[Name],Calories[Chol.])*Log[[#This Row],[Qty]])</f>
        <v/>
      </c>
      <c r="M473" s="75"/>
      <c r="N473" s="75"/>
      <c r="O473" s="75"/>
    </row>
    <row r="474" spans="1:15" s="66" customFormat="1" ht="25.15" customHeight="1">
      <c r="A474" s="75"/>
      <c r="B474" s="98"/>
      <c r="C474" s="78"/>
      <c r="D474" s="79"/>
      <c r="E474" s="76" t="str">
        <f>IF(ISBLANK(Log[[#This Row],[Item]]),"",_xlfn.XLOOKUP(Log[[#This Row],[Item]],Calories[Name],Calories[Unit]))</f>
        <v/>
      </c>
      <c r="F474" s="65" t="str">
        <f>IF(ISBLANK(Log[[#This Row],[Item]]),"",_xlfn.XLOOKUP(Log[[#This Row],[Item]],Calories[Name],Calories[Cals])*Log[[#This Row],[Qty]])</f>
        <v/>
      </c>
      <c r="G474" s="71" t="str">
        <f>IF(ISBLANK(Log[[#This Row],[Item]]),"",_xlfn.XLOOKUP(Log[[#This Row],[Item]],Calories[Name],Calories[Carbs])*Log[[#This Row],[Qty]])</f>
        <v/>
      </c>
      <c r="H474" s="71" t="str">
        <f>IF(ISBLANK(Log[[#This Row],[Item]]),"",_xlfn.XLOOKUP(Log[[#This Row],[Item]],Calories[Name],Calories[Fibre])*Log[[#This Row],[Qty]])</f>
        <v/>
      </c>
      <c r="I474" s="71" t="str">
        <f>IF(ISBLANK(Log[[#This Row],[Item]]),"",(Log[[#This Row],[Carbs]]-Log[[#This Row],[Fibre]]))</f>
        <v/>
      </c>
      <c r="J474" s="103" t="str">
        <f>IF(ISBLANK(Log[[#This Row],[Item]]),"",_xlfn.XLOOKUP(Log[[#This Row],[Item]],Calories[Name],Calories[Sodium])*Log[[#This Row],[Qty]])</f>
        <v/>
      </c>
      <c r="K474" s="71" t="str">
        <f>IF(ISBLANK(Log[[#This Row],[Item]]),"",_xlfn.XLOOKUP(Log[[#This Row],[Item]],Calories[Name],Calories[Protein])*Log[[#This Row],[Qty]])</f>
        <v/>
      </c>
      <c r="L474" s="71" t="str">
        <f>IF(ISBLANK(Log[[#This Row],[Item]]),"",_xlfn.XLOOKUP(Log[[#This Row],[Item]],Calories[Name],Calories[Chol.])*Log[[#This Row],[Qty]])</f>
        <v/>
      </c>
      <c r="M474" s="75"/>
      <c r="N474" s="75"/>
      <c r="O474" s="75"/>
    </row>
    <row r="475" spans="1:15" s="66" customFormat="1" ht="25.15" customHeight="1">
      <c r="A475" s="75"/>
      <c r="B475" s="98"/>
      <c r="C475" s="78"/>
      <c r="D475" s="79"/>
      <c r="E475" s="76" t="str">
        <f>IF(ISBLANK(Log[[#This Row],[Item]]),"",_xlfn.XLOOKUP(Log[[#This Row],[Item]],Calories[Name],Calories[Unit]))</f>
        <v/>
      </c>
      <c r="F475" s="65" t="str">
        <f>IF(ISBLANK(Log[[#This Row],[Item]]),"",_xlfn.XLOOKUP(Log[[#This Row],[Item]],Calories[Name],Calories[Cals])*Log[[#This Row],[Qty]])</f>
        <v/>
      </c>
      <c r="G475" s="71" t="str">
        <f>IF(ISBLANK(Log[[#This Row],[Item]]),"",_xlfn.XLOOKUP(Log[[#This Row],[Item]],Calories[Name],Calories[Carbs])*Log[[#This Row],[Qty]])</f>
        <v/>
      </c>
      <c r="H475" s="71" t="str">
        <f>IF(ISBLANK(Log[[#This Row],[Item]]),"",_xlfn.XLOOKUP(Log[[#This Row],[Item]],Calories[Name],Calories[Fibre])*Log[[#This Row],[Qty]])</f>
        <v/>
      </c>
      <c r="I475" s="71" t="str">
        <f>IF(ISBLANK(Log[[#This Row],[Item]]),"",(Log[[#This Row],[Carbs]]-Log[[#This Row],[Fibre]]))</f>
        <v/>
      </c>
      <c r="J475" s="103" t="str">
        <f>IF(ISBLANK(Log[[#This Row],[Item]]),"",_xlfn.XLOOKUP(Log[[#This Row],[Item]],Calories[Name],Calories[Sodium])*Log[[#This Row],[Qty]])</f>
        <v/>
      </c>
      <c r="K475" s="71" t="str">
        <f>IF(ISBLANK(Log[[#This Row],[Item]]),"",_xlfn.XLOOKUP(Log[[#This Row],[Item]],Calories[Name],Calories[Protein])*Log[[#This Row],[Qty]])</f>
        <v/>
      </c>
      <c r="L475" s="71" t="str">
        <f>IF(ISBLANK(Log[[#This Row],[Item]]),"",_xlfn.XLOOKUP(Log[[#This Row],[Item]],Calories[Name],Calories[Chol.])*Log[[#This Row],[Qty]])</f>
        <v/>
      </c>
      <c r="M475" s="75"/>
      <c r="N475" s="75"/>
      <c r="O475" s="75"/>
    </row>
    <row r="476" spans="1:15" s="66" customFormat="1" ht="25.15" customHeight="1">
      <c r="A476" s="75"/>
      <c r="B476" s="98"/>
      <c r="C476" s="78"/>
      <c r="D476" s="79"/>
      <c r="E476" s="76" t="str">
        <f>IF(ISBLANK(Log[[#This Row],[Item]]),"",_xlfn.XLOOKUP(Log[[#This Row],[Item]],Calories[Name],Calories[Unit]))</f>
        <v/>
      </c>
      <c r="F476" s="65" t="str">
        <f>IF(ISBLANK(Log[[#This Row],[Item]]),"",_xlfn.XLOOKUP(Log[[#This Row],[Item]],Calories[Name],Calories[Cals])*Log[[#This Row],[Qty]])</f>
        <v/>
      </c>
      <c r="G476" s="71" t="str">
        <f>IF(ISBLANK(Log[[#This Row],[Item]]),"",_xlfn.XLOOKUP(Log[[#This Row],[Item]],Calories[Name],Calories[Carbs])*Log[[#This Row],[Qty]])</f>
        <v/>
      </c>
      <c r="H476" s="71" t="str">
        <f>IF(ISBLANK(Log[[#This Row],[Item]]),"",_xlfn.XLOOKUP(Log[[#This Row],[Item]],Calories[Name],Calories[Fibre])*Log[[#This Row],[Qty]])</f>
        <v/>
      </c>
      <c r="I476" s="71" t="str">
        <f>IF(ISBLANK(Log[[#This Row],[Item]]),"",(Log[[#This Row],[Carbs]]-Log[[#This Row],[Fibre]]))</f>
        <v/>
      </c>
      <c r="J476" s="103" t="str">
        <f>IF(ISBLANK(Log[[#This Row],[Item]]),"",_xlfn.XLOOKUP(Log[[#This Row],[Item]],Calories[Name],Calories[Sodium])*Log[[#This Row],[Qty]])</f>
        <v/>
      </c>
      <c r="K476" s="71" t="str">
        <f>IF(ISBLANK(Log[[#This Row],[Item]]),"",_xlfn.XLOOKUP(Log[[#This Row],[Item]],Calories[Name],Calories[Protein])*Log[[#This Row],[Qty]])</f>
        <v/>
      </c>
      <c r="L476" s="71" t="str">
        <f>IF(ISBLANK(Log[[#This Row],[Item]]),"",_xlfn.XLOOKUP(Log[[#This Row],[Item]],Calories[Name],Calories[Chol.])*Log[[#This Row],[Qty]])</f>
        <v/>
      </c>
      <c r="M476" s="75"/>
      <c r="N476" s="75"/>
      <c r="O476" s="75"/>
    </row>
    <row r="477" spans="1:15" s="66" customFormat="1" ht="25.15" customHeight="1">
      <c r="A477" s="75"/>
      <c r="B477" s="98"/>
      <c r="C477" s="78"/>
      <c r="D477" s="79"/>
      <c r="E477" s="76" t="str">
        <f>IF(ISBLANK(Log[[#This Row],[Item]]),"",_xlfn.XLOOKUP(Log[[#This Row],[Item]],Calories[Name],Calories[Unit]))</f>
        <v/>
      </c>
      <c r="F477" s="65" t="str">
        <f>IF(ISBLANK(Log[[#This Row],[Item]]),"",_xlfn.XLOOKUP(Log[[#This Row],[Item]],Calories[Name],Calories[Cals])*Log[[#This Row],[Qty]])</f>
        <v/>
      </c>
      <c r="G477" s="71" t="str">
        <f>IF(ISBLANK(Log[[#This Row],[Item]]),"",_xlfn.XLOOKUP(Log[[#This Row],[Item]],Calories[Name],Calories[Carbs])*Log[[#This Row],[Qty]])</f>
        <v/>
      </c>
      <c r="H477" s="71" t="str">
        <f>IF(ISBLANK(Log[[#This Row],[Item]]),"",_xlfn.XLOOKUP(Log[[#This Row],[Item]],Calories[Name],Calories[Fibre])*Log[[#This Row],[Qty]])</f>
        <v/>
      </c>
      <c r="I477" s="71" t="str">
        <f>IF(ISBLANK(Log[[#This Row],[Item]]),"",(Log[[#This Row],[Carbs]]-Log[[#This Row],[Fibre]]))</f>
        <v/>
      </c>
      <c r="J477" s="103" t="str">
        <f>IF(ISBLANK(Log[[#This Row],[Item]]),"",_xlfn.XLOOKUP(Log[[#This Row],[Item]],Calories[Name],Calories[Sodium])*Log[[#This Row],[Qty]])</f>
        <v/>
      </c>
      <c r="K477" s="71" t="str">
        <f>IF(ISBLANK(Log[[#This Row],[Item]]),"",_xlfn.XLOOKUP(Log[[#This Row],[Item]],Calories[Name],Calories[Protein])*Log[[#This Row],[Qty]])</f>
        <v/>
      </c>
      <c r="L477" s="71" t="str">
        <f>IF(ISBLANK(Log[[#This Row],[Item]]),"",_xlfn.XLOOKUP(Log[[#This Row],[Item]],Calories[Name],Calories[Chol.])*Log[[#This Row],[Qty]])</f>
        <v/>
      </c>
      <c r="M477" s="75"/>
      <c r="N477" s="75"/>
      <c r="O477" s="75"/>
    </row>
    <row r="478" spans="1:15" s="66" customFormat="1" ht="25.15" customHeight="1">
      <c r="A478" s="75"/>
      <c r="B478" s="98"/>
      <c r="C478" s="78"/>
      <c r="D478" s="79"/>
      <c r="E478" s="76" t="str">
        <f>IF(ISBLANK(Log[[#This Row],[Item]]),"",_xlfn.XLOOKUP(Log[[#This Row],[Item]],Calories[Name],Calories[Unit]))</f>
        <v/>
      </c>
      <c r="F478" s="65" t="str">
        <f>IF(ISBLANK(Log[[#This Row],[Item]]),"",_xlfn.XLOOKUP(Log[[#This Row],[Item]],Calories[Name],Calories[Cals])*Log[[#This Row],[Qty]])</f>
        <v/>
      </c>
      <c r="G478" s="71" t="str">
        <f>IF(ISBLANK(Log[[#This Row],[Item]]),"",_xlfn.XLOOKUP(Log[[#This Row],[Item]],Calories[Name],Calories[Carbs])*Log[[#This Row],[Qty]])</f>
        <v/>
      </c>
      <c r="H478" s="71" t="str">
        <f>IF(ISBLANK(Log[[#This Row],[Item]]),"",_xlfn.XLOOKUP(Log[[#This Row],[Item]],Calories[Name],Calories[Fibre])*Log[[#This Row],[Qty]])</f>
        <v/>
      </c>
      <c r="I478" s="71" t="str">
        <f>IF(ISBLANK(Log[[#This Row],[Item]]),"",(Log[[#This Row],[Carbs]]-Log[[#This Row],[Fibre]]))</f>
        <v/>
      </c>
      <c r="J478" s="103" t="str">
        <f>IF(ISBLANK(Log[[#This Row],[Item]]),"",_xlfn.XLOOKUP(Log[[#This Row],[Item]],Calories[Name],Calories[Sodium])*Log[[#This Row],[Qty]])</f>
        <v/>
      </c>
      <c r="K478" s="71" t="str">
        <f>IF(ISBLANK(Log[[#This Row],[Item]]),"",_xlfn.XLOOKUP(Log[[#This Row],[Item]],Calories[Name],Calories[Protein])*Log[[#This Row],[Qty]])</f>
        <v/>
      </c>
      <c r="L478" s="71" t="str">
        <f>IF(ISBLANK(Log[[#This Row],[Item]]),"",_xlfn.XLOOKUP(Log[[#This Row],[Item]],Calories[Name],Calories[Chol.])*Log[[#This Row],[Qty]])</f>
        <v/>
      </c>
      <c r="M478" s="75"/>
      <c r="N478" s="75"/>
      <c r="O478" s="75"/>
    </row>
    <row r="479" spans="1:15" s="66" customFormat="1" ht="25.15" customHeight="1">
      <c r="A479" s="75"/>
      <c r="B479" s="98"/>
      <c r="C479" s="78"/>
      <c r="D479" s="79"/>
      <c r="E479" s="76" t="str">
        <f>IF(ISBLANK(Log[[#This Row],[Item]]),"",_xlfn.XLOOKUP(Log[[#This Row],[Item]],Calories[Name],Calories[Unit]))</f>
        <v/>
      </c>
      <c r="F479" s="65" t="str">
        <f>IF(ISBLANK(Log[[#This Row],[Item]]),"",_xlfn.XLOOKUP(Log[[#This Row],[Item]],Calories[Name],Calories[Cals])*Log[[#This Row],[Qty]])</f>
        <v/>
      </c>
      <c r="G479" s="71" t="str">
        <f>IF(ISBLANK(Log[[#This Row],[Item]]),"",_xlfn.XLOOKUP(Log[[#This Row],[Item]],Calories[Name],Calories[Carbs])*Log[[#This Row],[Qty]])</f>
        <v/>
      </c>
      <c r="H479" s="71" t="str">
        <f>IF(ISBLANK(Log[[#This Row],[Item]]),"",_xlfn.XLOOKUP(Log[[#This Row],[Item]],Calories[Name],Calories[Fibre])*Log[[#This Row],[Qty]])</f>
        <v/>
      </c>
      <c r="I479" s="71" t="str">
        <f>IF(ISBLANK(Log[[#This Row],[Item]]),"",(Log[[#This Row],[Carbs]]-Log[[#This Row],[Fibre]]))</f>
        <v/>
      </c>
      <c r="J479" s="103" t="str">
        <f>IF(ISBLANK(Log[[#This Row],[Item]]),"",_xlfn.XLOOKUP(Log[[#This Row],[Item]],Calories[Name],Calories[Sodium])*Log[[#This Row],[Qty]])</f>
        <v/>
      </c>
      <c r="K479" s="71" t="str">
        <f>IF(ISBLANK(Log[[#This Row],[Item]]),"",_xlfn.XLOOKUP(Log[[#This Row],[Item]],Calories[Name],Calories[Protein])*Log[[#This Row],[Qty]])</f>
        <v/>
      </c>
      <c r="L479" s="71" t="str">
        <f>IF(ISBLANK(Log[[#This Row],[Item]]),"",_xlfn.XLOOKUP(Log[[#This Row],[Item]],Calories[Name],Calories[Chol.])*Log[[#This Row],[Qty]])</f>
        <v/>
      </c>
      <c r="M479" s="75"/>
      <c r="N479" s="75"/>
      <c r="O479" s="75"/>
    </row>
    <row r="480" spans="1:15" s="66" customFormat="1" ht="25.15" customHeight="1">
      <c r="A480" s="75"/>
      <c r="B480" s="98"/>
      <c r="C480" s="78"/>
      <c r="D480" s="79"/>
      <c r="E480" s="76" t="str">
        <f>IF(ISBLANK(Log[[#This Row],[Item]]),"",_xlfn.XLOOKUP(Log[[#This Row],[Item]],Calories[Name],Calories[Unit]))</f>
        <v/>
      </c>
      <c r="F480" s="65" t="str">
        <f>IF(ISBLANK(Log[[#This Row],[Item]]),"",_xlfn.XLOOKUP(Log[[#This Row],[Item]],Calories[Name],Calories[Cals])*Log[[#This Row],[Qty]])</f>
        <v/>
      </c>
      <c r="G480" s="71" t="str">
        <f>IF(ISBLANK(Log[[#This Row],[Item]]),"",_xlfn.XLOOKUP(Log[[#This Row],[Item]],Calories[Name],Calories[Carbs])*Log[[#This Row],[Qty]])</f>
        <v/>
      </c>
      <c r="H480" s="71" t="str">
        <f>IF(ISBLANK(Log[[#This Row],[Item]]),"",_xlfn.XLOOKUP(Log[[#This Row],[Item]],Calories[Name],Calories[Fibre])*Log[[#This Row],[Qty]])</f>
        <v/>
      </c>
      <c r="I480" s="71" t="str">
        <f>IF(ISBLANK(Log[[#This Row],[Item]]),"",(Log[[#This Row],[Carbs]]-Log[[#This Row],[Fibre]]))</f>
        <v/>
      </c>
      <c r="J480" s="103" t="str">
        <f>IF(ISBLANK(Log[[#This Row],[Item]]),"",_xlfn.XLOOKUP(Log[[#This Row],[Item]],Calories[Name],Calories[Sodium])*Log[[#This Row],[Qty]])</f>
        <v/>
      </c>
      <c r="K480" s="71" t="str">
        <f>IF(ISBLANK(Log[[#This Row],[Item]]),"",_xlfn.XLOOKUP(Log[[#This Row],[Item]],Calories[Name],Calories[Protein])*Log[[#This Row],[Qty]])</f>
        <v/>
      </c>
      <c r="L480" s="71" t="str">
        <f>IF(ISBLANK(Log[[#This Row],[Item]]),"",_xlfn.XLOOKUP(Log[[#This Row],[Item]],Calories[Name],Calories[Chol.])*Log[[#This Row],[Qty]])</f>
        <v/>
      </c>
      <c r="M480" s="75"/>
      <c r="N480" s="75"/>
      <c r="O480" s="75"/>
    </row>
    <row r="481" spans="1:15" s="66" customFormat="1" ht="25.15" customHeight="1">
      <c r="A481" s="75"/>
      <c r="B481" s="98"/>
      <c r="C481" s="78"/>
      <c r="D481" s="79"/>
      <c r="E481" s="76" t="str">
        <f>IF(ISBLANK(Log[[#This Row],[Item]]),"",_xlfn.XLOOKUP(Log[[#This Row],[Item]],Calories[Name],Calories[Unit]))</f>
        <v/>
      </c>
      <c r="F481" s="65" t="str">
        <f>IF(ISBLANK(Log[[#This Row],[Item]]),"",_xlfn.XLOOKUP(Log[[#This Row],[Item]],Calories[Name],Calories[Cals])*Log[[#This Row],[Qty]])</f>
        <v/>
      </c>
      <c r="G481" s="71" t="str">
        <f>IF(ISBLANK(Log[[#This Row],[Item]]),"",_xlfn.XLOOKUP(Log[[#This Row],[Item]],Calories[Name],Calories[Carbs])*Log[[#This Row],[Qty]])</f>
        <v/>
      </c>
      <c r="H481" s="71" t="str">
        <f>IF(ISBLANK(Log[[#This Row],[Item]]),"",_xlfn.XLOOKUP(Log[[#This Row],[Item]],Calories[Name],Calories[Fibre])*Log[[#This Row],[Qty]])</f>
        <v/>
      </c>
      <c r="I481" s="71" t="str">
        <f>IF(ISBLANK(Log[[#This Row],[Item]]),"",(Log[[#This Row],[Carbs]]-Log[[#This Row],[Fibre]]))</f>
        <v/>
      </c>
      <c r="J481" s="103" t="str">
        <f>IF(ISBLANK(Log[[#This Row],[Item]]),"",_xlfn.XLOOKUP(Log[[#This Row],[Item]],Calories[Name],Calories[Sodium])*Log[[#This Row],[Qty]])</f>
        <v/>
      </c>
      <c r="K481" s="71" t="str">
        <f>IF(ISBLANK(Log[[#This Row],[Item]]),"",_xlfn.XLOOKUP(Log[[#This Row],[Item]],Calories[Name],Calories[Protein])*Log[[#This Row],[Qty]])</f>
        <v/>
      </c>
      <c r="L481" s="71" t="str">
        <f>IF(ISBLANK(Log[[#This Row],[Item]]),"",_xlfn.XLOOKUP(Log[[#This Row],[Item]],Calories[Name],Calories[Chol.])*Log[[#This Row],[Qty]])</f>
        <v/>
      </c>
      <c r="M481" s="75"/>
      <c r="N481" s="75"/>
      <c r="O481" s="75"/>
    </row>
    <row r="482" spans="1:15" s="66" customFormat="1" ht="25.15" customHeight="1">
      <c r="A482" s="75"/>
      <c r="B482" s="98"/>
      <c r="C482" s="78"/>
      <c r="D482" s="79"/>
      <c r="E482" s="76" t="str">
        <f>IF(ISBLANK(Log[[#This Row],[Item]]),"",_xlfn.XLOOKUP(Log[[#This Row],[Item]],Calories[Name],Calories[Unit]))</f>
        <v/>
      </c>
      <c r="F482" s="65" t="str">
        <f>IF(ISBLANK(Log[[#This Row],[Item]]),"",_xlfn.XLOOKUP(Log[[#This Row],[Item]],Calories[Name],Calories[Cals])*Log[[#This Row],[Qty]])</f>
        <v/>
      </c>
      <c r="G482" s="71" t="str">
        <f>IF(ISBLANK(Log[[#This Row],[Item]]),"",_xlfn.XLOOKUP(Log[[#This Row],[Item]],Calories[Name],Calories[Carbs])*Log[[#This Row],[Qty]])</f>
        <v/>
      </c>
      <c r="H482" s="71" t="str">
        <f>IF(ISBLANK(Log[[#This Row],[Item]]),"",_xlfn.XLOOKUP(Log[[#This Row],[Item]],Calories[Name],Calories[Fibre])*Log[[#This Row],[Qty]])</f>
        <v/>
      </c>
      <c r="I482" s="71" t="str">
        <f>IF(ISBLANK(Log[[#This Row],[Item]]),"",(Log[[#This Row],[Carbs]]-Log[[#This Row],[Fibre]]))</f>
        <v/>
      </c>
      <c r="J482" s="103" t="str">
        <f>IF(ISBLANK(Log[[#This Row],[Item]]),"",_xlfn.XLOOKUP(Log[[#This Row],[Item]],Calories[Name],Calories[Sodium])*Log[[#This Row],[Qty]])</f>
        <v/>
      </c>
      <c r="K482" s="71" t="str">
        <f>IF(ISBLANK(Log[[#This Row],[Item]]),"",_xlfn.XLOOKUP(Log[[#This Row],[Item]],Calories[Name],Calories[Protein])*Log[[#This Row],[Qty]])</f>
        <v/>
      </c>
      <c r="L482" s="71" t="str">
        <f>IF(ISBLANK(Log[[#This Row],[Item]]),"",_xlfn.XLOOKUP(Log[[#This Row],[Item]],Calories[Name],Calories[Chol.])*Log[[#This Row],[Qty]])</f>
        <v/>
      </c>
      <c r="M482" s="75"/>
      <c r="N482" s="75"/>
      <c r="O482" s="75"/>
    </row>
    <row r="483" spans="1:15" s="66" customFormat="1" ht="25.15" customHeight="1">
      <c r="A483" s="75"/>
      <c r="B483" s="98"/>
      <c r="C483" s="78"/>
      <c r="D483" s="79"/>
      <c r="E483" s="76" t="str">
        <f>IF(ISBLANK(Log[[#This Row],[Item]]),"",_xlfn.XLOOKUP(Log[[#This Row],[Item]],Calories[Name],Calories[Unit]))</f>
        <v/>
      </c>
      <c r="F483" s="65" t="str">
        <f>IF(ISBLANK(Log[[#This Row],[Item]]),"",_xlfn.XLOOKUP(Log[[#This Row],[Item]],Calories[Name],Calories[Cals])*Log[[#This Row],[Qty]])</f>
        <v/>
      </c>
      <c r="G483" s="71" t="str">
        <f>IF(ISBLANK(Log[[#This Row],[Item]]),"",_xlfn.XLOOKUP(Log[[#This Row],[Item]],Calories[Name],Calories[Carbs])*Log[[#This Row],[Qty]])</f>
        <v/>
      </c>
      <c r="H483" s="71" t="str">
        <f>IF(ISBLANK(Log[[#This Row],[Item]]),"",_xlfn.XLOOKUP(Log[[#This Row],[Item]],Calories[Name],Calories[Fibre])*Log[[#This Row],[Qty]])</f>
        <v/>
      </c>
      <c r="I483" s="71" t="str">
        <f>IF(ISBLANK(Log[[#This Row],[Item]]),"",(Log[[#This Row],[Carbs]]-Log[[#This Row],[Fibre]]))</f>
        <v/>
      </c>
      <c r="J483" s="103" t="str">
        <f>IF(ISBLANK(Log[[#This Row],[Item]]),"",_xlfn.XLOOKUP(Log[[#This Row],[Item]],Calories[Name],Calories[Sodium])*Log[[#This Row],[Qty]])</f>
        <v/>
      </c>
      <c r="K483" s="71" t="str">
        <f>IF(ISBLANK(Log[[#This Row],[Item]]),"",_xlfn.XLOOKUP(Log[[#This Row],[Item]],Calories[Name],Calories[Protein])*Log[[#This Row],[Qty]])</f>
        <v/>
      </c>
      <c r="L483" s="71" t="str">
        <f>IF(ISBLANK(Log[[#This Row],[Item]]),"",_xlfn.XLOOKUP(Log[[#This Row],[Item]],Calories[Name],Calories[Chol.])*Log[[#This Row],[Qty]])</f>
        <v/>
      </c>
      <c r="M483" s="75"/>
      <c r="N483" s="75"/>
      <c r="O483" s="75"/>
    </row>
    <row r="484" spans="1:15" s="66" customFormat="1" ht="25.15" customHeight="1">
      <c r="A484" s="75"/>
      <c r="B484" s="98"/>
      <c r="C484" s="78"/>
      <c r="D484" s="79"/>
      <c r="E484" s="76" t="str">
        <f>IF(ISBLANK(Log[[#This Row],[Item]]),"",_xlfn.XLOOKUP(Log[[#This Row],[Item]],Calories[Name],Calories[Unit]))</f>
        <v/>
      </c>
      <c r="F484" s="65" t="str">
        <f>IF(ISBLANK(Log[[#This Row],[Item]]),"",_xlfn.XLOOKUP(Log[[#This Row],[Item]],Calories[Name],Calories[Cals])*Log[[#This Row],[Qty]])</f>
        <v/>
      </c>
      <c r="G484" s="71" t="str">
        <f>IF(ISBLANK(Log[[#This Row],[Item]]),"",_xlfn.XLOOKUP(Log[[#This Row],[Item]],Calories[Name],Calories[Carbs])*Log[[#This Row],[Qty]])</f>
        <v/>
      </c>
      <c r="H484" s="71" t="str">
        <f>IF(ISBLANK(Log[[#This Row],[Item]]),"",_xlfn.XLOOKUP(Log[[#This Row],[Item]],Calories[Name],Calories[Fibre])*Log[[#This Row],[Qty]])</f>
        <v/>
      </c>
      <c r="I484" s="71" t="str">
        <f>IF(ISBLANK(Log[[#This Row],[Item]]),"",(Log[[#This Row],[Carbs]]-Log[[#This Row],[Fibre]]))</f>
        <v/>
      </c>
      <c r="J484" s="103" t="str">
        <f>IF(ISBLANK(Log[[#This Row],[Item]]),"",_xlfn.XLOOKUP(Log[[#This Row],[Item]],Calories[Name],Calories[Sodium])*Log[[#This Row],[Qty]])</f>
        <v/>
      </c>
      <c r="K484" s="71" t="str">
        <f>IF(ISBLANK(Log[[#This Row],[Item]]),"",_xlfn.XLOOKUP(Log[[#This Row],[Item]],Calories[Name],Calories[Protein])*Log[[#This Row],[Qty]])</f>
        <v/>
      </c>
      <c r="L484" s="71" t="str">
        <f>IF(ISBLANK(Log[[#This Row],[Item]]),"",_xlfn.XLOOKUP(Log[[#This Row],[Item]],Calories[Name],Calories[Chol.])*Log[[#This Row],[Qty]])</f>
        <v/>
      </c>
      <c r="M484" s="75"/>
      <c r="N484" s="75"/>
      <c r="O484" s="75"/>
    </row>
    <row r="485" spans="1:15" s="66" customFormat="1" ht="25.15" customHeight="1">
      <c r="A485" s="75"/>
      <c r="B485" s="98"/>
      <c r="C485" s="78"/>
      <c r="D485" s="79"/>
      <c r="E485" s="76" t="str">
        <f>IF(ISBLANK(Log[[#This Row],[Item]]),"",_xlfn.XLOOKUP(Log[[#This Row],[Item]],Calories[Name],Calories[Unit]))</f>
        <v/>
      </c>
      <c r="F485" s="65" t="str">
        <f>IF(ISBLANK(Log[[#This Row],[Item]]),"",_xlfn.XLOOKUP(Log[[#This Row],[Item]],Calories[Name],Calories[Cals])*Log[[#This Row],[Qty]])</f>
        <v/>
      </c>
      <c r="G485" s="71" t="str">
        <f>IF(ISBLANK(Log[[#This Row],[Item]]),"",_xlfn.XLOOKUP(Log[[#This Row],[Item]],Calories[Name],Calories[Carbs])*Log[[#This Row],[Qty]])</f>
        <v/>
      </c>
      <c r="H485" s="71" t="str">
        <f>IF(ISBLANK(Log[[#This Row],[Item]]),"",_xlfn.XLOOKUP(Log[[#This Row],[Item]],Calories[Name],Calories[Fibre])*Log[[#This Row],[Qty]])</f>
        <v/>
      </c>
      <c r="I485" s="71" t="str">
        <f>IF(ISBLANK(Log[[#This Row],[Item]]),"",(Log[[#This Row],[Carbs]]-Log[[#This Row],[Fibre]]))</f>
        <v/>
      </c>
      <c r="J485" s="103" t="str">
        <f>IF(ISBLANK(Log[[#This Row],[Item]]),"",_xlfn.XLOOKUP(Log[[#This Row],[Item]],Calories[Name],Calories[Sodium])*Log[[#This Row],[Qty]])</f>
        <v/>
      </c>
      <c r="K485" s="71" t="str">
        <f>IF(ISBLANK(Log[[#This Row],[Item]]),"",_xlfn.XLOOKUP(Log[[#This Row],[Item]],Calories[Name],Calories[Protein])*Log[[#This Row],[Qty]])</f>
        <v/>
      </c>
      <c r="L485" s="71" t="str">
        <f>IF(ISBLANK(Log[[#This Row],[Item]]),"",_xlfn.XLOOKUP(Log[[#This Row],[Item]],Calories[Name],Calories[Chol.])*Log[[#This Row],[Qty]])</f>
        <v/>
      </c>
      <c r="M485" s="75"/>
      <c r="N485" s="75"/>
      <c r="O485" s="75"/>
    </row>
    <row r="486" spans="1:15" s="66" customFormat="1" ht="25.15" customHeight="1">
      <c r="A486" s="75"/>
      <c r="B486" s="98"/>
      <c r="C486" s="78"/>
      <c r="D486" s="79"/>
      <c r="E486" s="76" t="str">
        <f>IF(ISBLANK(Log[[#This Row],[Item]]),"",_xlfn.XLOOKUP(Log[[#This Row],[Item]],Calories[Name],Calories[Unit]))</f>
        <v/>
      </c>
      <c r="F486" s="65" t="str">
        <f>IF(ISBLANK(Log[[#This Row],[Item]]),"",_xlfn.XLOOKUP(Log[[#This Row],[Item]],Calories[Name],Calories[Cals])*Log[[#This Row],[Qty]])</f>
        <v/>
      </c>
      <c r="G486" s="71" t="str">
        <f>IF(ISBLANK(Log[[#This Row],[Item]]),"",_xlfn.XLOOKUP(Log[[#This Row],[Item]],Calories[Name],Calories[Carbs])*Log[[#This Row],[Qty]])</f>
        <v/>
      </c>
      <c r="H486" s="71" t="str">
        <f>IF(ISBLANK(Log[[#This Row],[Item]]),"",_xlfn.XLOOKUP(Log[[#This Row],[Item]],Calories[Name],Calories[Fibre])*Log[[#This Row],[Qty]])</f>
        <v/>
      </c>
      <c r="I486" s="71" t="str">
        <f>IF(ISBLANK(Log[[#This Row],[Item]]),"",(Log[[#This Row],[Carbs]]-Log[[#This Row],[Fibre]]))</f>
        <v/>
      </c>
      <c r="J486" s="103" t="str">
        <f>IF(ISBLANK(Log[[#This Row],[Item]]),"",_xlfn.XLOOKUP(Log[[#This Row],[Item]],Calories[Name],Calories[Sodium])*Log[[#This Row],[Qty]])</f>
        <v/>
      </c>
      <c r="K486" s="71" t="str">
        <f>IF(ISBLANK(Log[[#This Row],[Item]]),"",_xlfn.XLOOKUP(Log[[#This Row],[Item]],Calories[Name],Calories[Protein])*Log[[#This Row],[Qty]])</f>
        <v/>
      </c>
      <c r="L486" s="71" t="str">
        <f>IF(ISBLANK(Log[[#This Row],[Item]]),"",_xlfn.XLOOKUP(Log[[#This Row],[Item]],Calories[Name],Calories[Chol.])*Log[[#This Row],[Qty]])</f>
        <v/>
      </c>
      <c r="M486" s="75"/>
      <c r="N486" s="75"/>
      <c r="O486" s="75"/>
    </row>
    <row r="487" spans="1:15" s="66" customFormat="1" ht="25.15" customHeight="1">
      <c r="A487" s="75"/>
      <c r="B487" s="98"/>
      <c r="C487" s="78"/>
      <c r="D487" s="79"/>
      <c r="E487" s="76" t="str">
        <f>IF(ISBLANK(Log[[#This Row],[Item]]),"",_xlfn.XLOOKUP(Log[[#This Row],[Item]],Calories[Name],Calories[Unit]))</f>
        <v/>
      </c>
      <c r="F487" s="65" t="str">
        <f>IF(ISBLANK(Log[[#This Row],[Item]]),"",_xlfn.XLOOKUP(Log[[#This Row],[Item]],Calories[Name],Calories[Cals])*Log[[#This Row],[Qty]])</f>
        <v/>
      </c>
      <c r="G487" s="71" t="str">
        <f>IF(ISBLANK(Log[[#This Row],[Item]]),"",_xlfn.XLOOKUP(Log[[#This Row],[Item]],Calories[Name],Calories[Carbs])*Log[[#This Row],[Qty]])</f>
        <v/>
      </c>
      <c r="H487" s="71" t="str">
        <f>IF(ISBLANK(Log[[#This Row],[Item]]),"",_xlfn.XLOOKUP(Log[[#This Row],[Item]],Calories[Name],Calories[Fibre])*Log[[#This Row],[Qty]])</f>
        <v/>
      </c>
      <c r="I487" s="71" t="str">
        <f>IF(ISBLANK(Log[[#This Row],[Item]]),"",(Log[[#This Row],[Carbs]]-Log[[#This Row],[Fibre]]))</f>
        <v/>
      </c>
      <c r="J487" s="103" t="str">
        <f>IF(ISBLANK(Log[[#This Row],[Item]]),"",_xlfn.XLOOKUP(Log[[#This Row],[Item]],Calories[Name],Calories[Sodium])*Log[[#This Row],[Qty]])</f>
        <v/>
      </c>
      <c r="K487" s="71" t="str">
        <f>IF(ISBLANK(Log[[#This Row],[Item]]),"",_xlfn.XLOOKUP(Log[[#This Row],[Item]],Calories[Name],Calories[Protein])*Log[[#This Row],[Qty]])</f>
        <v/>
      </c>
      <c r="L487" s="71" t="str">
        <f>IF(ISBLANK(Log[[#This Row],[Item]]),"",_xlfn.XLOOKUP(Log[[#This Row],[Item]],Calories[Name],Calories[Chol.])*Log[[#This Row],[Qty]])</f>
        <v/>
      </c>
      <c r="M487" s="75"/>
      <c r="N487" s="75"/>
      <c r="O487" s="75"/>
    </row>
    <row r="488" spans="1:15" s="66" customFormat="1" ht="25.15" customHeight="1">
      <c r="A488" s="75"/>
      <c r="B488" s="98"/>
      <c r="C488" s="78"/>
      <c r="D488" s="79"/>
      <c r="E488" s="76" t="str">
        <f>IF(ISBLANK(Log[[#This Row],[Item]]),"",_xlfn.XLOOKUP(Log[[#This Row],[Item]],Calories[Name],Calories[Unit]))</f>
        <v/>
      </c>
      <c r="F488" s="65" t="str">
        <f>IF(ISBLANK(Log[[#This Row],[Item]]),"",_xlfn.XLOOKUP(Log[[#This Row],[Item]],Calories[Name],Calories[Cals])*Log[[#This Row],[Qty]])</f>
        <v/>
      </c>
      <c r="G488" s="71" t="str">
        <f>IF(ISBLANK(Log[[#This Row],[Item]]),"",_xlfn.XLOOKUP(Log[[#This Row],[Item]],Calories[Name],Calories[Carbs])*Log[[#This Row],[Qty]])</f>
        <v/>
      </c>
      <c r="H488" s="71" t="str">
        <f>IF(ISBLANK(Log[[#This Row],[Item]]),"",_xlfn.XLOOKUP(Log[[#This Row],[Item]],Calories[Name],Calories[Fibre])*Log[[#This Row],[Qty]])</f>
        <v/>
      </c>
      <c r="I488" s="71" t="str">
        <f>IF(ISBLANK(Log[[#This Row],[Item]]),"",(Log[[#This Row],[Carbs]]-Log[[#This Row],[Fibre]]))</f>
        <v/>
      </c>
      <c r="J488" s="103" t="str">
        <f>IF(ISBLANK(Log[[#This Row],[Item]]),"",_xlfn.XLOOKUP(Log[[#This Row],[Item]],Calories[Name],Calories[Sodium])*Log[[#This Row],[Qty]])</f>
        <v/>
      </c>
      <c r="K488" s="71" t="str">
        <f>IF(ISBLANK(Log[[#This Row],[Item]]),"",_xlfn.XLOOKUP(Log[[#This Row],[Item]],Calories[Name],Calories[Protein])*Log[[#This Row],[Qty]])</f>
        <v/>
      </c>
      <c r="L488" s="71" t="str">
        <f>IF(ISBLANK(Log[[#This Row],[Item]]),"",_xlfn.XLOOKUP(Log[[#This Row],[Item]],Calories[Name],Calories[Chol.])*Log[[#This Row],[Qty]])</f>
        <v/>
      </c>
      <c r="M488" s="75"/>
      <c r="N488" s="75"/>
      <c r="O488" s="75"/>
    </row>
    <row r="489" spans="1:15" s="66" customFormat="1" ht="25.15" customHeight="1">
      <c r="A489" s="75"/>
      <c r="B489" s="98"/>
      <c r="C489" s="78"/>
      <c r="D489" s="79"/>
      <c r="E489" s="76" t="str">
        <f>IF(ISBLANK(Log[[#This Row],[Item]]),"",_xlfn.XLOOKUP(Log[[#This Row],[Item]],Calories[Name],Calories[Unit]))</f>
        <v/>
      </c>
      <c r="F489" s="65" t="str">
        <f>IF(ISBLANK(Log[[#This Row],[Item]]),"",_xlfn.XLOOKUP(Log[[#This Row],[Item]],Calories[Name],Calories[Cals])*Log[[#This Row],[Qty]])</f>
        <v/>
      </c>
      <c r="G489" s="71" t="str">
        <f>IF(ISBLANK(Log[[#This Row],[Item]]),"",_xlfn.XLOOKUP(Log[[#This Row],[Item]],Calories[Name],Calories[Carbs])*Log[[#This Row],[Qty]])</f>
        <v/>
      </c>
      <c r="H489" s="71" t="str">
        <f>IF(ISBLANK(Log[[#This Row],[Item]]),"",_xlfn.XLOOKUP(Log[[#This Row],[Item]],Calories[Name],Calories[Fibre])*Log[[#This Row],[Qty]])</f>
        <v/>
      </c>
      <c r="I489" s="71" t="str">
        <f>IF(ISBLANK(Log[[#This Row],[Item]]),"",(Log[[#This Row],[Carbs]]-Log[[#This Row],[Fibre]]))</f>
        <v/>
      </c>
      <c r="J489" s="103" t="str">
        <f>IF(ISBLANK(Log[[#This Row],[Item]]),"",_xlfn.XLOOKUP(Log[[#This Row],[Item]],Calories[Name],Calories[Sodium])*Log[[#This Row],[Qty]])</f>
        <v/>
      </c>
      <c r="K489" s="71" t="str">
        <f>IF(ISBLANK(Log[[#This Row],[Item]]),"",_xlfn.XLOOKUP(Log[[#This Row],[Item]],Calories[Name],Calories[Protein])*Log[[#This Row],[Qty]])</f>
        <v/>
      </c>
      <c r="L489" s="71" t="str">
        <f>IF(ISBLANK(Log[[#This Row],[Item]]),"",_xlfn.XLOOKUP(Log[[#This Row],[Item]],Calories[Name],Calories[Chol.])*Log[[#This Row],[Qty]])</f>
        <v/>
      </c>
      <c r="M489" s="75"/>
      <c r="N489" s="75"/>
      <c r="O489" s="75"/>
    </row>
    <row r="490" spans="1:15" s="66" customFormat="1" ht="25.15" customHeight="1">
      <c r="A490" s="75"/>
      <c r="B490" s="98"/>
      <c r="C490" s="78"/>
      <c r="D490" s="79"/>
      <c r="E490" s="76" t="str">
        <f>IF(ISBLANK(Log[[#This Row],[Item]]),"",_xlfn.XLOOKUP(Log[[#This Row],[Item]],Calories[Name],Calories[Unit]))</f>
        <v/>
      </c>
      <c r="F490" s="65" t="str">
        <f>IF(ISBLANK(Log[[#This Row],[Item]]),"",_xlfn.XLOOKUP(Log[[#This Row],[Item]],Calories[Name],Calories[Cals])*Log[[#This Row],[Qty]])</f>
        <v/>
      </c>
      <c r="G490" s="71" t="str">
        <f>IF(ISBLANK(Log[[#This Row],[Item]]),"",_xlfn.XLOOKUP(Log[[#This Row],[Item]],Calories[Name],Calories[Carbs])*Log[[#This Row],[Qty]])</f>
        <v/>
      </c>
      <c r="H490" s="71" t="str">
        <f>IF(ISBLANK(Log[[#This Row],[Item]]),"",_xlfn.XLOOKUP(Log[[#This Row],[Item]],Calories[Name],Calories[Fibre])*Log[[#This Row],[Qty]])</f>
        <v/>
      </c>
      <c r="I490" s="71" t="str">
        <f>IF(ISBLANK(Log[[#This Row],[Item]]),"",(Log[[#This Row],[Carbs]]-Log[[#This Row],[Fibre]]))</f>
        <v/>
      </c>
      <c r="J490" s="103" t="str">
        <f>IF(ISBLANK(Log[[#This Row],[Item]]),"",_xlfn.XLOOKUP(Log[[#This Row],[Item]],Calories[Name],Calories[Sodium])*Log[[#This Row],[Qty]])</f>
        <v/>
      </c>
      <c r="K490" s="71" t="str">
        <f>IF(ISBLANK(Log[[#This Row],[Item]]),"",_xlfn.XLOOKUP(Log[[#This Row],[Item]],Calories[Name],Calories[Protein])*Log[[#This Row],[Qty]])</f>
        <v/>
      </c>
      <c r="L490" s="71" t="str">
        <f>IF(ISBLANK(Log[[#This Row],[Item]]),"",_xlfn.XLOOKUP(Log[[#This Row],[Item]],Calories[Name],Calories[Chol.])*Log[[#This Row],[Qty]])</f>
        <v/>
      </c>
      <c r="M490" s="75"/>
      <c r="N490" s="75"/>
      <c r="O490" s="75"/>
    </row>
    <row r="491" spans="1:15" s="66" customFormat="1" ht="25.15" customHeight="1">
      <c r="A491" s="75"/>
      <c r="B491" s="98"/>
      <c r="C491" s="78"/>
      <c r="D491" s="79"/>
      <c r="E491" s="76" t="str">
        <f>IF(ISBLANK(Log[[#This Row],[Item]]),"",_xlfn.XLOOKUP(Log[[#This Row],[Item]],Calories[Name],Calories[Unit]))</f>
        <v/>
      </c>
      <c r="F491" s="65" t="str">
        <f>IF(ISBLANK(Log[[#This Row],[Item]]),"",_xlfn.XLOOKUP(Log[[#This Row],[Item]],Calories[Name],Calories[Cals])*Log[[#This Row],[Qty]])</f>
        <v/>
      </c>
      <c r="G491" s="71" t="str">
        <f>IF(ISBLANK(Log[[#This Row],[Item]]),"",_xlfn.XLOOKUP(Log[[#This Row],[Item]],Calories[Name],Calories[Carbs])*Log[[#This Row],[Qty]])</f>
        <v/>
      </c>
      <c r="H491" s="71" t="str">
        <f>IF(ISBLANK(Log[[#This Row],[Item]]),"",_xlfn.XLOOKUP(Log[[#This Row],[Item]],Calories[Name],Calories[Fibre])*Log[[#This Row],[Qty]])</f>
        <v/>
      </c>
      <c r="I491" s="71" t="str">
        <f>IF(ISBLANK(Log[[#This Row],[Item]]),"",(Log[[#This Row],[Carbs]]-Log[[#This Row],[Fibre]]))</f>
        <v/>
      </c>
      <c r="J491" s="103" t="str">
        <f>IF(ISBLANK(Log[[#This Row],[Item]]),"",_xlfn.XLOOKUP(Log[[#This Row],[Item]],Calories[Name],Calories[Sodium])*Log[[#This Row],[Qty]])</f>
        <v/>
      </c>
      <c r="K491" s="71" t="str">
        <f>IF(ISBLANK(Log[[#This Row],[Item]]),"",_xlfn.XLOOKUP(Log[[#This Row],[Item]],Calories[Name],Calories[Protein])*Log[[#This Row],[Qty]])</f>
        <v/>
      </c>
      <c r="L491" s="71" t="str">
        <f>IF(ISBLANK(Log[[#This Row],[Item]]),"",_xlfn.XLOOKUP(Log[[#This Row],[Item]],Calories[Name],Calories[Chol.])*Log[[#This Row],[Qty]])</f>
        <v/>
      </c>
      <c r="M491" s="75"/>
      <c r="N491" s="75"/>
      <c r="O491" s="75"/>
    </row>
    <row r="492" spans="1:15" s="66" customFormat="1" ht="25.15" customHeight="1">
      <c r="A492" s="75"/>
      <c r="B492" s="98"/>
      <c r="C492" s="78"/>
      <c r="D492" s="79"/>
      <c r="E492" s="76" t="str">
        <f>IF(ISBLANK(Log[[#This Row],[Item]]),"",_xlfn.XLOOKUP(Log[[#This Row],[Item]],Calories[Name],Calories[Unit]))</f>
        <v/>
      </c>
      <c r="F492" s="65" t="str">
        <f>IF(ISBLANK(Log[[#This Row],[Item]]),"",_xlfn.XLOOKUP(Log[[#This Row],[Item]],Calories[Name],Calories[Cals])*Log[[#This Row],[Qty]])</f>
        <v/>
      </c>
      <c r="G492" s="71" t="str">
        <f>IF(ISBLANK(Log[[#This Row],[Item]]),"",_xlfn.XLOOKUP(Log[[#This Row],[Item]],Calories[Name],Calories[Carbs])*Log[[#This Row],[Qty]])</f>
        <v/>
      </c>
      <c r="H492" s="71" t="str">
        <f>IF(ISBLANK(Log[[#This Row],[Item]]),"",_xlfn.XLOOKUP(Log[[#This Row],[Item]],Calories[Name],Calories[Fibre])*Log[[#This Row],[Qty]])</f>
        <v/>
      </c>
      <c r="I492" s="71" t="str">
        <f>IF(ISBLANK(Log[[#This Row],[Item]]),"",(Log[[#This Row],[Carbs]]-Log[[#This Row],[Fibre]]))</f>
        <v/>
      </c>
      <c r="J492" s="103" t="str">
        <f>IF(ISBLANK(Log[[#This Row],[Item]]),"",_xlfn.XLOOKUP(Log[[#This Row],[Item]],Calories[Name],Calories[Sodium])*Log[[#This Row],[Qty]])</f>
        <v/>
      </c>
      <c r="K492" s="71" t="str">
        <f>IF(ISBLANK(Log[[#This Row],[Item]]),"",_xlfn.XLOOKUP(Log[[#This Row],[Item]],Calories[Name],Calories[Protein])*Log[[#This Row],[Qty]])</f>
        <v/>
      </c>
      <c r="L492" s="71" t="str">
        <f>IF(ISBLANK(Log[[#This Row],[Item]]),"",_xlfn.XLOOKUP(Log[[#This Row],[Item]],Calories[Name],Calories[Chol.])*Log[[#This Row],[Qty]])</f>
        <v/>
      </c>
      <c r="M492" s="75"/>
      <c r="N492" s="75"/>
      <c r="O492" s="75"/>
    </row>
    <row r="493" spans="1:15" s="66" customFormat="1" ht="25.15" customHeight="1">
      <c r="A493" s="75"/>
      <c r="B493" s="98"/>
      <c r="C493" s="78"/>
      <c r="D493" s="79"/>
      <c r="E493" s="76" t="str">
        <f>IF(ISBLANK(Log[[#This Row],[Item]]),"",_xlfn.XLOOKUP(Log[[#This Row],[Item]],Calories[Name],Calories[Unit]))</f>
        <v/>
      </c>
      <c r="F493" s="65" t="str">
        <f>IF(ISBLANK(Log[[#This Row],[Item]]),"",_xlfn.XLOOKUP(Log[[#This Row],[Item]],Calories[Name],Calories[Cals])*Log[[#This Row],[Qty]])</f>
        <v/>
      </c>
      <c r="G493" s="71" t="str">
        <f>IF(ISBLANK(Log[[#This Row],[Item]]),"",_xlfn.XLOOKUP(Log[[#This Row],[Item]],Calories[Name],Calories[Carbs])*Log[[#This Row],[Qty]])</f>
        <v/>
      </c>
      <c r="H493" s="71" t="str">
        <f>IF(ISBLANK(Log[[#This Row],[Item]]),"",_xlfn.XLOOKUP(Log[[#This Row],[Item]],Calories[Name],Calories[Fibre])*Log[[#This Row],[Qty]])</f>
        <v/>
      </c>
      <c r="I493" s="71" t="str">
        <f>IF(ISBLANK(Log[[#This Row],[Item]]),"",(Log[[#This Row],[Carbs]]-Log[[#This Row],[Fibre]]))</f>
        <v/>
      </c>
      <c r="J493" s="103" t="str">
        <f>IF(ISBLANK(Log[[#This Row],[Item]]),"",_xlfn.XLOOKUP(Log[[#This Row],[Item]],Calories[Name],Calories[Sodium])*Log[[#This Row],[Qty]])</f>
        <v/>
      </c>
      <c r="K493" s="71" t="str">
        <f>IF(ISBLANK(Log[[#This Row],[Item]]),"",_xlfn.XLOOKUP(Log[[#This Row],[Item]],Calories[Name],Calories[Protein])*Log[[#This Row],[Qty]])</f>
        <v/>
      </c>
      <c r="L493" s="71" t="str">
        <f>IF(ISBLANK(Log[[#This Row],[Item]]),"",_xlfn.XLOOKUP(Log[[#This Row],[Item]],Calories[Name],Calories[Chol.])*Log[[#This Row],[Qty]])</f>
        <v/>
      </c>
      <c r="M493" s="75"/>
      <c r="N493" s="75"/>
      <c r="O493" s="75"/>
    </row>
    <row r="494" spans="1:15" s="66" customFormat="1" ht="25.15" customHeight="1">
      <c r="A494" s="75"/>
      <c r="B494" s="98"/>
      <c r="C494" s="78"/>
      <c r="D494" s="79"/>
      <c r="E494" s="76" t="str">
        <f>IF(ISBLANK(Log[[#This Row],[Item]]),"",_xlfn.XLOOKUP(Log[[#This Row],[Item]],Calories[Name],Calories[Unit]))</f>
        <v/>
      </c>
      <c r="F494" s="65" t="str">
        <f>IF(ISBLANK(Log[[#This Row],[Item]]),"",_xlfn.XLOOKUP(Log[[#This Row],[Item]],Calories[Name],Calories[Cals])*Log[[#This Row],[Qty]])</f>
        <v/>
      </c>
      <c r="G494" s="71" t="str">
        <f>IF(ISBLANK(Log[[#This Row],[Item]]),"",_xlfn.XLOOKUP(Log[[#This Row],[Item]],Calories[Name],Calories[Carbs])*Log[[#This Row],[Qty]])</f>
        <v/>
      </c>
      <c r="H494" s="71" t="str">
        <f>IF(ISBLANK(Log[[#This Row],[Item]]),"",_xlfn.XLOOKUP(Log[[#This Row],[Item]],Calories[Name],Calories[Fibre])*Log[[#This Row],[Qty]])</f>
        <v/>
      </c>
      <c r="I494" s="71" t="str">
        <f>IF(ISBLANK(Log[[#This Row],[Item]]),"",(Log[[#This Row],[Carbs]]-Log[[#This Row],[Fibre]]))</f>
        <v/>
      </c>
      <c r="J494" s="103" t="str">
        <f>IF(ISBLANK(Log[[#This Row],[Item]]),"",_xlfn.XLOOKUP(Log[[#This Row],[Item]],Calories[Name],Calories[Sodium])*Log[[#This Row],[Qty]])</f>
        <v/>
      </c>
      <c r="K494" s="71" t="str">
        <f>IF(ISBLANK(Log[[#This Row],[Item]]),"",_xlfn.XLOOKUP(Log[[#This Row],[Item]],Calories[Name],Calories[Protein])*Log[[#This Row],[Qty]])</f>
        <v/>
      </c>
      <c r="L494" s="71" t="str">
        <f>IF(ISBLANK(Log[[#This Row],[Item]]),"",_xlfn.XLOOKUP(Log[[#This Row],[Item]],Calories[Name],Calories[Chol.])*Log[[#This Row],[Qty]])</f>
        <v/>
      </c>
      <c r="M494" s="75"/>
      <c r="N494" s="75"/>
      <c r="O494" s="75"/>
    </row>
    <row r="495" spans="1:15" s="66" customFormat="1" ht="25.15" customHeight="1">
      <c r="A495" s="75"/>
      <c r="B495" s="98"/>
      <c r="C495" s="78"/>
      <c r="D495" s="79"/>
      <c r="E495" s="76" t="str">
        <f>IF(ISBLANK(Log[[#This Row],[Item]]),"",_xlfn.XLOOKUP(Log[[#This Row],[Item]],Calories[Name],Calories[Unit]))</f>
        <v/>
      </c>
      <c r="F495" s="65" t="str">
        <f>IF(ISBLANK(Log[[#This Row],[Item]]),"",_xlfn.XLOOKUP(Log[[#This Row],[Item]],Calories[Name],Calories[Cals])*Log[[#This Row],[Qty]])</f>
        <v/>
      </c>
      <c r="G495" s="71" t="str">
        <f>IF(ISBLANK(Log[[#This Row],[Item]]),"",_xlfn.XLOOKUP(Log[[#This Row],[Item]],Calories[Name],Calories[Carbs])*Log[[#This Row],[Qty]])</f>
        <v/>
      </c>
      <c r="H495" s="71" t="str">
        <f>IF(ISBLANK(Log[[#This Row],[Item]]),"",_xlfn.XLOOKUP(Log[[#This Row],[Item]],Calories[Name],Calories[Fibre])*Log[[#This Row],[Qty]])</f>
        <v/>
      </c>
      <c r="I495" s="71" t="str">
        <f>IF(ISBLANK(Log[[#This Row],[Item]]),"",(Log[[#This Row],[Carbs]]-Log[[#This Row],[Fibre]]))</f>
        <v/>
      </c>
      <c r="J495" s="103" t="str">
        <f>IF(ISBLANK(Log[[#This Row],[Item]]),"",_xlfn.XLOOKUP(Log[[#This Row],[Item]],Calories[Name],Calories[Sodium])*Log[[#This Row],[Qty]])</f>
        <v/>
      </c>
      <c r="K495" s="71" t="str">
        <f>IF(ISBLANK(Log[[#This Row],[Item]]),"",_xlfn.XLOOKUP(Log[[#This Row],[Item]],Calories[Name],Calories[Protein])*Log[[#This Row],[Qty]])</f>
        <v/>
      </c>
      <c r="L495" s="71" t="str">
        <f>IF(ISBLANK(Log[[#This Row],[Item]]),"",_xlfn.XLOOKUP(Log[[#This Row],[Item]],Calories[Name],Calories[Chol.])*Log[[#This Row],[Qty]])</f>
        <v/>
      </c>
      <c r="M495" s="75"/>
      <c r="N495" s="75"/>
      <c r="O495" s="75"/>
    </row>
    <row r="496" spans="1:15" s="66" customFormat="1" ht="25.15" customHeight="1">
      <c r="A496" s="75"/>
      <c r="B496" s="98"/>
      <c r="C496" s="78"/>
      <c r="D496" s="79"/>
      <c r="E496" s="76" t="str">
        <f>IF(ISBLANK(Log[[#This Row],[Item]]),"",_xlfn.XLOOKUP(Log[[#This Row],[Item]],Calories[Name],Calories[Unit]))</f>
        <v/>
      </c>
      <c r="F496" s="65" t="str">
        <f>IF(ISBLANK(Log[[#This Row],[Item]]),"",_xlfn.XLOOKUP(Log[[#This Row],[Item]],Calories[Name],Calories[Cals])*Log[[#This Row],[Qty]])</f>
        <v/>
      </c>
      <c r="G496" s="71" t="str">
        <f>IF(ISBLANK(Log[[#This Row],[Item]]),"",_xlfn.XLOOKUP(Log[[#This Row],[Item]],Calories[Name],Calories[Carbs])*Log[[#This Row],[Qty]])</f>
        <v/>
      </c>
      <c r="H496" s="71" t="str">
        <f>IF(ISBLANK(Log[[#This Row],[Item]]),"",_xlfn.XLOOKUP(Log[[#This Row],[Item]],Calories[Name],Calories[Fibre])*Log[[#This Row],[Qty]])</f>
        <v/>
      </c>
      <c r="I496" s="71" t="str">
        <f>IF(ISBLANK(Log[[#This Row],[Item]]),"",(Log[[#This Row],[Carbs]]-Log[[#This Row],[Fibre]]))</f>
        <v/>
      </c>
      <c r="J496" s="103" t="str">
        <f>IF(ISBLANK(Log[[#This Row],[Item]]),"",_xlfn.XLOOKUP(Log[[#This Row],[Item]],Calories[Name],Calories[Sodium])*Log[[#This Row],[Qty]])</f>
        <v/>
      </c>
      <c r="K496" s="71" t="str">
        <f>IF(ISBLANK(Log[[#This Row],[Item]]),"",_xlfn.XLOOKUP(Log[[#This Row],[Item]],Calories[Name],Calories[Protein])*Log[[#This Row],[Qty]])</f>
        <v/>
      </c>
      <c r="L496" s="71" t="str">
        <f>IF(ISBLANK(Log[[#This Row],[Item]]),"",_xlfn.XLOOKUP(Log[[#This Row],[Item]],Calories[Name],Calories[Chol.])*Log[[#This Row],[Qty]])</f>
        <v/>
      </c>
      <c r="M496" s="75"/>
      <c r="N496" s="75"/>
      <c r="O496" s="75"/>
    </row>
    <row r="497" spans="1:15" s="66" customFormat="1" ht="25.15" customHeight="1">
      <c r="A497" s="75"/>
      <c r="B497" s="98"/>
      <c r="C497" s="78"/>
      <c r="D497" s="79"/>
      <c r="E497" s="76" t="str">
        <f>IF(ISBLANK(Log[[#This Row],[Item]]),"",_xlfn.XLOOKUP(Log[[#This Row],[Item]],Calories[Name],Calories[Unit]))</f>
        <v/>
      </c>
      <c r="F497" s="65" t="str">
        <f>IF(ISBLANK(Log[[#This Row],[Item]]),"",_xlfn.XLOOKUP(Log[[#This Row],[Item]],Calories[Name],Calories[Cals])*Log[[#This Row],[Qty]])</f>
        <v/>
      </c>
      <c r="G497" s="71" t="str">
        <f>IF(ISBLANK(Log[[#This Row],[Item]]),"",_xlfn.XLOOKUP(Log[[#This Row],[Item]],Calories[Name],Calories[Carbs])*Log[[#This Row],[Qty]])</f>
        <v/>
      </c>
      <c r="H497" s="71" t="str">
        <f>IF(ISBLANK(Log[[#This Row],[Item]]),"",_xlfn.XLOOKUP(Log[[#This Row],[Item]],Calories[Name],Calories[Fibre])*Log[[#This Row],[Qty]])</f>
        <v/>
      </c>
      <c r="I497" s="71" t="str">
        <f>IF(ISBLANK(Log[[#This Row],[Item]]),"",(Log[[#This Row],[Carbs]]-Log[[#This Row],[Fibre]]))</f>
        <v/>
      </c>
      <c r="J497" s="103" t="str">
        <f>IF(ISBLANK(Log[[#This Row],[Item]]),"",_xlfn.XLOOKUP(Log[[#This Row],[Item]],Calories[Name],Calories[Sodium])*Log[[#This Row],[Qty]])</f>
        <v/>
      </c>
      <c r="K497" s="71" t="str">
        <f>IF(ISBLANK(Log[[#This Row],[Item]]),"",_xlfn.XLOOKUP(Log[[#This Row],[Item]],Calories[Name],Calories[Protein])*Log[[#This Row],[Qty]])</f>
        <v/>
      </c>
      <c r="L497" s="71" t="str">
        <f>IF(ISBLANK(Log[[#This Row],[Item]]),"",_xlfn.XLOOKUP(Log[[#This Row],[Item]],Calories[Name],Calories[Chol.])*Log[[#This Row],[Qty]])</f>
        <v/>
      </c>
      <c r="M497" s="75"/>
      <c r="N497" s="75"/>
      <c r="O497" s="75"/>
    </row>
    <row r="498" spans="1:15" s="66" customFormat="1" ht="25.15" customHeight="1">
      <c r="A498" s="75"/>
      <c r="B498" s="98"/>
      <c r="C498" s="78"/>
      <c r="D498" s="79"/>
      <c r="E498" s="76" t="str">
        <f>IF(ISBLANK(Log[[#This Row],[Item]]),"",_xlfn.XLOOKUP(Log[[#This Row],[Item]],Calories[Name],Calories[Unit]))</f>
        <v/>
      </c>
      <c r="F498" s="65" t="str">
        <f>IF(ISBLANK(Log[[#This Row],[Item]]),"",_xlfn.XLOOKUP(Log[[#This Row],[Item]],Calories[Name],Calories[Cals])*Log[[#This Row],[Qty]])</f>
        <v/>
      </c>
      <c r="G498" s="71" t="str">
        <f>IF(ISBLANK(Log[[#This Row],[Item]]),"",_xlfn.XLOOKUP(Log[[#This Row],[Item]],Calories[Name],Calories[Carbs])*Log[[#This Row],[Qty]])</f>
        <v/>
      </c>
      <c r="H498" s="71" t="str">
        <f>IF(ISBLANK(Log[[#This Row],[Item]]),"",_xlfn.XLOOKUP(Log[[#This Row],[Item]],Calories[Name],Calories[Fibre])*Log[[#This Row],[Qty]])</f>
        <v/>
      </c>
      <c r="I498" s="71" t="str">
        <f>IF(ISBLANK(Log[[#This Row],[Item]]),"",(Log[[#This Row],[Carbs]]-Log[[#This Row],[Fibre]]))</f>
        <v/>
      </c>
      <c r="J498" s="103" t="str">
        <f>IF(ISBLANK(Log[[#This Row],[Item]]),"",_xlfn.XLOOKUP(Log[[#This Row],[Item]],Calories[Name],Calories[Sodium])*Log[[#This Row],[Qty]])</f>
        <v/>
      </c>
      <c r="K498" s="71" t="str">
        <f>IF(ISBLANK(Log[[#This Row],[Item]]),"",_xlfn.XLOOKUP(Log[[#This Row],[Item]],Calories[Name],Calories[Protein])*Log[[#This Row],[Qty]])</f>
        <v/>
      </c>
      <c r="L498" s="71" t="str">
        <f>IF(ISBLANK(Log[[#This Row],[Item]]),"",_xlfn.XLOOKUP(Log[[#This Row],[Item]],Calories[Name],Calories[Chol.])*Log[[#This Row],[Qty]])</f>
        <v/>
      </c>
      <c r="M498" s="75"/>
      <c r="N498" s="75"/>
      <c r="O498" s="75"/>
    </row>
    <row r="499" spans="1:15" s="66" customFormat="1" ht="25.15" customHeight="1">
      <c r="A499" s="75"/>
      <c r="B499" s="98"/>
      <c r="C499" s="78"/>
      <c r="D499" s="79"/>
      <c r="E499" s="76" t="str">
        <f>IF(ISBLANK(Log[[#This Row],[Item]]),"",_xlfn.XLOOKUP(Log[[#This Row],[Item]],Calories[Name],Calories[Unit]))</f>
        <v/>
      </c>
      <c r="F499" s="65" t="str">
        <f>IF(ISBLANK(Log[[#This Row],[Item]]),"",_xlfn.XLOOKUP(Log[[#This Row],[Item]],Calories[Name],Calories[Cals])*Log[[#This Row],[Qty]])</f>
        <v/>
      </c>
      <c r="G499" s="71" t="str">
        <f>IF(ISBLANK(Log[[#This Row],[Item]]),"",_xlfn.XLOOKUP(Log[[#This Row],[Item]],Calories[Name],Calories[Carbs])*Log[[#This Row],[Qty]])</f>
        <v/>
      </c>
      <c r="H499" s="71" t="str">
        <f>IF(ISBLANK(Log[[#This Row],[Item]]),"",_xlfn.XLOOKUP(Log[[#This Row],[Item]],Calories[Name],Calories[Fibre])*Log[[#This Row],[Qty]])</f>
        <v/>
      </c>
      <c r="I499" s="71" t="str">
        <f>IF(ISBLANK(Log[[#This Row],[Item]]),"",(Log[[#This Row],[Carbs]]-Log[[#This Row],[Fibre]]))</f>
        <v/>
      </c>
      <c r="J499" s="103" t="str">
        <f>IF(ISBLANK(Log[[#This Row],[Item]]),"",_xlfn.XLOOKUP(Log[[#This Row],[Item]],Calories[Name],Calories[Sodium])*Log[[#This Row],[Qty]])</f>
        <v/>
      </c>
      <c r="K499" s="71" t="str">
        <f>IF(ISBLANK(Log[[#This Row],[Item]]),"",_xlfn.XLOOKUP(Log[[#This Row],[Item]],Calories[Name],Calories[Protein])*Log[[#This Row],[Qty]])</f>
        <v/>
      </c>
      <c r="L499" s="71" t="str">
        <f>IF(ISBLANK(Log[[#This Row],[Item]]),"",_xlfn.XLOOKUP(Log[[#This Row],[Item]],Calories[Name],Calories[Chol.])*Log[[#This Row],[Qty]])</f>
        <v/>
      </c>
      <c r="M499" s="75"/>
      <c r="N499" s="75"/>
      <c r="O499" s="75"/>
    </row>
    <row r="500" spans="1:15" s="66" customFormat="1" ht="25.15" customHeight="1">
      <c r="A500" s="75"/>
      <c r="B500" s="98"/>
      <c r="C500" s="78"/>
      <c r="D500" s="79"/>
      <c r="E500" s="76" t="str">
        <f>IF(ISBLANK(Log[[#This Row],[Item]]),"",_xlfn.XLOOKUP(Log[[#This Row],[Item]],Calories[Name],Calories[Unit]))</f>
        <v/>
      </c>
      <c r="F500" s="65" t="str">
        <f>IF(ISBLANK(Log[[#This Row],[Item]]),"",_xlfn.XLOOKUP(Log[[#This Row],[Item]],Calories[Name],Calories[Cals])*Log[[#This Row],[Qty]])</f>
        <v/>
      </c>
      <c r="G500" s="71" t="str">
        <f>IF(ISBLANK(Log[[#This Row],[Item]]),"",_xlfn.XLOOKUP(Log[[#This Row],[Item]],Calories[Name],Calories[Carbs])*Log[[#This Row],[Qty]])</f>
        <v/>
      </c>
      <c r="H500" s="71" t="str">
        <f>IF(ISBLANK(Log[[#This Row],[Item]]),"",_xlfn.XLOOKUP(Log[[#This Row],[Item]],Calories[Name],Calories[Fibre])*Log[[#This Row],[Qty]])</f>
        <v/>
      </c>
      <c r="I500" s="71" t="str">
        <f>IF(ISBLANK(Log[[#This Row],[Item]]),"",(Log[[#This Row],[Carbs]]-Log[[#This Row],[Fibre]]))</f>
        <v/>
      </c>
      <c r="J500" s="103" t="str">
        <f>IF(ISBLANK(Log[[#This Row],[Item]]),"",_xlfn.XLOOKUP(Log[[#This Row],[Item]],Calories[Name],Calories[Sodium])*Log[[#This Row],[Qty]])</f>
        <v/>
      </c>
      <c r="K500" s="71" t="str">
        <f>IF(ISBLANK(Log[[#This Row],[Item]]),"",_xlfn.XLOOKUP(Log[[#This Row],[Item]],Calories[Name],Calories[Protein])*Log[[#This Row],[Qty]])</f>
        <v/>
      </c>
      <c r="L500" s="71" t="str">
        <f>IF(ISBLANK(Log[[#This Row],[Item]]),"",_xlfn.XLOOKUP(Log[[#This Row],[Item]],Calories[Name],Calories[Chol.])*Log[[#This Row],[Qty]])</f>
        <v/>
      </c>
      <c r="M500" s="75"/>
      <c r="N500" s="75"/>
      <c r="O500" s="75"/>
    </row>
    <row r="501" spans="1:15" s="66" customFormat="1" ht="25.15" customHeight="1">
      <c r="A501" s="75"/>
      <c r="B501" s="98"/>
      <c r="C501" s="78"/>
      <c r="D501" s="79"/>
      <c r="E501" s="76" t="str">
        <f>IF(ISBLANK(Log[[#This Row],[Item]]),"",_xlfn.XLOOKUP(Log[[#This Row],[Item]],Calories[Name],Calories[Unit]))</f>
        <v/>
      </c>
      <c r="F501" s="65" t="str">
        <f>IF(ISBLANK(Log[[#This Row],[Item]]),"",_xlfn.XLOOKUP(Log[[#This Row],[Item]],Calories[Name],Calories[Cals])*Log[[#This Row],[Qty]])</f>
        <v/>
      </c>
      <c r="G501" s="71" t="str">
        <f>IF(ISBLANK(Log[[#This Row],[Item]]),"",_xlfn.XLOOKUP(Log[[#This Row],[Item]],Calories[Name],Calories[Carbs])*Log[[#This Row],[Qty]])</f>
        <v/>
      </c>
      <c r="H501" s="71" t="str">
        <f>IF(ISBLANK(Log[[#This Row],[Item]]),"",_xlfn.XLOOKUP(Log[[#This Row],[Item]],Calories[Name],Calories[Fibre])*Log[[#This Row],[Qty]])</f>
        <v/>
      </c>
      <c r="I501" s="71" t="str">
        <f>IF(ISBLANK(Log[[#This Row],[Item]]),"",(Log[[#This Row],[Carbs]]-Log[[#This Row],[Fibre]]))</f>
        <v/>
      </c>
      <c r="J501" s="103" t="str">
        <f>IF(ISBLANK(Log[[#This Row],[Item]]),"",_xlfn.XLOOKUP(Log[[#This Row],[Item]],Calories[Name],Calories[Sodium])*Log[[#This Row],[Qty]])</f>
        <v/>
      </c>
      <c r="K501" s="71" t="str">
        <f>IF(ISBLANK(Log[[#This Row],[Item]]),"",_xlfn.XLOOKUP(Log[[#This Row],[Item]],Calories[Name],Calories[Protein])*Log[[#This Row],[Qty]])</f>
        <v/>
      </c>
      <c r="L501" s="71" t="str">
        <f>IF(ISBLANK(Log[[#This Row],[Item]]),"",_xlfn.XLOOKUP(Log[[#This Row],[Item]],Calories[Name],Calories[Chol.])*Log[[#This Row],[Qty]])</f>
        <v/>
      </c>
      <c r="M501" s="75"/>
      <c r="N501" s="75"/>
      <c r="O501" s="75"/>
    </row>
    <row r="502" spans="1:15" s="66" customFormat="1" ht="25.15" customHeight="1">
      <c r="A502" s="75"/>
      <c r="B502" s="98"/>
      <c r="C502" s="78"/>
      <c r="D502" s="79"/>
      <c r="E502" s="76" t="str">
        <f>IF(ISBLANK(Log[[#This Row],[Item]]),"",_xlfn.XLOOKUP(Log[[#This Row],[Item]],Calories[Name],Calories[Unit]))</f>
        <v/>
      </c>
      <c r="F502" s="65" t="str">
        <f>IF(ISBLANK(Log[[#This Row],[Item]]),"",_xlfn.XLOOKUP(Log[[#This Row],[Item]],Calories[Name],Calories[Cals])*Log[[#This Row],[Qty]])</f>
        <v/>
      </c>
      <c r="G502" s="71" t="str">
        <f>IF(ISBLANK(Log[[#This Row],[Item]]),"",_xlfn.XLOOKUP(Log[[#This Row],[Item]],Calories[Name],Calories[Carbs])*Log[[#This Row],[Qty]])</f>
        <v/>
      </c>
      <c r="H502" s="71" t="str">
        <f>IF(ISBLANK(Log[[#This Row],[Item]]),"",_xlfn.XLOOKUP(Log[[#This Row],[Item]],Calories[Name],Calories[Fibre])*Log[[#This Row],[Qty]])</f>
        <v/>
      </c>
      <c r="I502" s="71" t="str">
        <f>IF(ISBLANK(Log[[#This Row],[Item]]),"",(Log[[#This Row],[Carbs]]-Log[[#This Row],[Fibre]]))</f>
        <v/>
      </c>
      <c r="J502" s="103" t="str">
        <f>IF(ISBLANK(Log[[#This Row],[Item]]),"",_xlfn.XLOOKUP(Log[[#This Row],[Item]],Calories[Name],Calories[Sodium])*Log[[#This Row],[Qty]])</f>
        <v/>
      </c>
      <c r="K502" s="71" t="str">
        <f>IF(ISBLANK(Log[[#This Row],[Item]]),"",_xlfn.XLOOKUP(Log[[#This Row],[Item]],Calories[Name],Calories[Protein])*Log[[#This Row],[Qty]])</f>
        <v/>
      </c>
      <c r="L502" s="71" t="str">
        <f>IF(ISBLANK(Log[[#This Row],[Item]]),"",_xlfn.XLOOKUP(Log[[#This Row],[Item]],Calories[Name],Calories[Chol.])*Log[[#This Row],[Qty]])</f>
        <v/>
      </c>
      <c r="M502" s="75"/>
      <c r="N502" s="75"/>
      <c r="O502" s="75"/>
    </row>
    <row r="503" spans="1:15" s="66" customFormat="1" ht="25.15" customHeight="1">
      <c r="A503" s="75"/>
      <c r="B503" s="98"/>
      <c r="C503" s="78"/>
      <c r="D503" s="79"/>
      <c r="E503" s="76" t="str">
        <f>IF(ISBLANK(Log[[#This Row],[Item]]),"",_xlfn.XLOOKUP(Log[[#This Row],[Item]],Calories[Name],Calories[Unit]))</f>
        <v/>
      </c>
      <c r="F503" s="65" t="str">
        <f>IF(ISBLANK(Log[[#This Row],[Item]]),"",_xlfn.XLOOKUP(Log[[#This Row],[Item]],Calories[Name],Calories[Cals])*Log[[#This Row],[Qty]])</f>
        <v/>
      </c>
      <c r="G503" s="71" t="str">
        <f>IF(ISBLANK(Log[[#This Row],[Item]]),"",_xlfn.XLOOKUP(Log[[#This Row],[Item]],Calories[Name],Calories[Carbs])*Log[[#This Row],[Qty]])</f>
        <v/>
      </c>
      <c r="H503" s="71" t="str">
        <f>IF(ISBLANK(Log[[#This Row],[Item]]),"",_xlfn.XLOOKUP(Log[[#This Row],[Item]],Calories[Name],Calories[Fibre])*Log[[#This Row],[Qty]])</f>
        <v/>
      </c>
      <c r="I503" s="71" t="str">
        <f>IF(ISBLANK(Log[[#This Row],[Item]]),"",(Log[[#This Row],[Carbs]]-Log[[#This Row],[Fibre]]))</f>
        <v/>
      </c>
      <c r="J503" s="103" t="str">
        <f>IF(ISBLANK(Log[[#This Row],[Item]]),"",_xlfn.XLOOKUP(Log[[#This Row],[Item]],Calories[Name],Calories[Sodium])*Log[[#This Row],[Qty]])</f>
        <v/>
      </c>
      <c r="K503" s="71" t="str">
        <f>IF(ISBLANK(Log[[#This Row],[Item]]),"",_xlfn.XLOOKUP(Log[[#This Row],[Item]],Calories[Name],Calories[Protein])*Log[[#This Row],[Qty]])</f>
        <v/>
      </c>
      <c r="L503" s="71" t="str">
        <f>IF(ISBLANK(Log[[#This Row],[Item]]),"",_xlfn.XLOOKUP(Log[[#This Row],[Item]],Calories[Name],Calories[Chol.])*Log[[#This Row],[Qty]])</f>
        <v/>
      </c>
      <c r="M503" s="75"/>
      <c r="N503" s="75"/>
      <c r="O503" s="75"/>
    </row>
    <row r="504" spans="1:15" s="66" customFormat="1" ht="25.15" customHeight="1">
      <c r="A504" s="75"/>
      <c r="B504" s="98"/>
      <c r="C504" s="78"/>
      <c r="D504" s="79"/>
      <c r="E504" s="76" t="str">
        <f>IF(ISBLANK(Log[[#This Row],[Item]]),"",_xlfn.XLOOKUP(Log[[#This Row],[Item]],Calories[Name],Calories[Unit]))</f>
        <v/>
      </c>
      <c r="F504" s="65" t="str">
        <f>IF(ISBLANK(Log[[#This Row],[Item]]),"",_xlfn.XLOOKUP(Log[[#This Row],[Item]],Calories[Name],Calories[Cals])*Log[[#This Row],[Qty]])</f>
        <v/>
      </c>
      <c r="G504" s="71" t="str">
        <f>IF(ISBLANK(Log[[#This Row],[Item]]),"",_xlfn.XLOOKUP(Log[[#This Row],[Item]],Calories[Name],Calories[Carbs])*Log[[#This Row],[Qty]])</f>
        <v/>
      </c>
      <c r="H504" s="71" t="str">
        <f>IF(ISBLANK(Log[[#This Row],[Item]]),"",_xlfn.XLOOKUP(Log[[#This Row],[Item]],Calories[Name],Calories[Fibre])*Log[[#This Row],[Qty]])</f>
        <v/>
      </c>
      <c r="I504" s="71" t="str">
        <f>IF(ISBLANK(Log[[#This Row],[Item]]),"",(Log[[#This Row],[Carbs]]-Log[[#This Row],[Fibre]]))</f>
        <v/>
      </c>
      <c r="J504" s="103" t="str">
        <f>IF(ISBLANK(Log[[#This Row],[Item]]),"",_xlfn.XLOOKUP(Log[[#This Row],[Item]],Calories[Name],Calories[Sodium])*Log[[#This Row],[Qty]])</f>
        <v/>
      </c>
      <c r="K504" s="71" t="str">
        <f>IF(ISBLANK(Log[[#This Row],[Item]]),"",_xlfn.XLOOKUP(Log[[#This Row],[Item]],Calories[Name],Calories[Protein])*Log[[#This Row],[Qty]])</f>
        <v/>
      </c>
      <c r="L504" s="71" t="str">
        <f>IF(ISBLANK(Log[[#This Row],[Item]]),"",_xlfn.XLOOKUP(Log[[#This Row],[Item]],Calories[Name],Calories[Chol.])*Log[[#This Row],[Qty]])</f>
        <v/>
      </c>
      <c r="M504" s="75"/>
      <c r="N504" s="75"/>
      <c r="O504" s="75"/>
    </row>
    <row r="505" spans="1:15" s="66" customFormat="1" ht="25.15" customHeight="1">
      <c r="A505" s="75"/>
      <c r="B505" s="98"/>
      <c r="C505" s="78"/>
      <c r="D505" s="79"/>
      <c r="E505" s="76" t="str">
        <f>IF(ISBLANK(Log[[#This Row],[Item]]),"",_xlfn.XLOOKUP(Log[[#This Row],[Item]],Calories[Name],Calories[Unit]))</f>
        <v/>
      </c>
      <c r="F505" s="65" t="str">
        <f>IF(ISBLANK(Log[[#This Row],[Item]]),"",_xlfn.XLOOKUP(Log[[#This Row],[Item]],Calories[Name],Calories[Cals])*Log[[#This Row],[Qty]])</f>
        <v/>
      </c>
      <c r="G505" s="71" t="str">
        <f>IF(ISBLANK(Log[[#This Row],[Item]]),"",_xlfn.XLOOKUP(Log[[#This Row],[Item]],Calories[Name],Calories[Carbs])*Log[[#This Row],[Qty]])</f>
        <v/>
      </c>
      <c r="H505" s="71" t="str">
        <f>IF(ISBLANK(Log[[#This Row],[Item]]),"",_xlfn.XLOOKUP(Log[[#This Row],[Item]],Calories[Name],Calories[Fibre])*Log[[#This Row],[Qty]])</f>
        <v/>
      </c>
      <c r="I505" s="71" t="str">
        <f>IF(ISBLANK(Log[[#This Row],[Item]]),"",(Log[[#This Row],[Carbs]]-Log[[#This Row],[Fibre]]))</f>
        <v/>
      </c>
      <c r="J505" s="103" t="str">
        <f>IF(ISBLANK(Log[[#This Row],[Item]]),"",_xlfn.XLOOKUP(Log[[#This Row],[Item]],Calories[Name],Calories[Sodium])*Log[[#This Row],[Qty]])</f>
        <v/>
      </c>
      <c r="K505" s="71" t="str">
        <f>IF(ISBLANK(Log[[#This Row],[Item]]),"",_xlfn.XLOOKUP(Log[[#This Row],[Item]],Calories[Name],Calories[Protein])*Log[[#This Row],[Qty]])</f>
        <v/>
      </c>
      <c r="L505" s="71" t="str">
        <f>IF(ISBLANK(Log[[#This Row],[Item]]),"",_xlfn.XLOOKUP(Log[[#This Row],[Item]],Calories[Name],Calories[Chol.])*Log[[#This Row],[Qty]])</f>
        <v/>
      </c>
      <c r="M505" s="75"/>
      <c r="N505" s="75"/>
      <c r="O505" s="75"/>
    </row>
    <row r="506" spans="1:15" s="66" customFormat="1" ht="25.15" customHeight="1">
      <c r="A506" s="75"/>
      <c r="B506" s="98"/>
      <c r="C506" s="78"/>
      <c r="D506" s="79"/>
      <c r="E506" s="76" t="str">
        <f>IF(ISBLANK(Log[[#This Row],[Item]]),"",_xlfn.XLOOKUP(Log[[#This Row],[Item]],Calories[Name],Calories[Unit]))</f>
        <v/>
      </c>
      <c r="F506" s="65" t="str">
        <f>IF(ISBLANK(Log[[#This Row],[Item]]),"",_xlfn.XLOOKUP(Log[[#This Row],[Item]],Calories[Name],Calories[Cals])*Log[[#This Row],[Qty]])</f>
        <v/>
      </c>
      <c r="G506" s="71" t="str">
        <f>IF(ISBLANK(Log[[#This Row],[Item]]),"",_xlfn.XLOOKUP(Log[[#This Row],[Item]],Calories[Name],Calories[Carbs])*Log[[#This Row],[Qty]])</f>
        <v/>
      </c>
      <c r="H506" s="71" t="str">
        <f>IF(ISBLANK(Log[[#This Row],[Item]]),"",_xlfn.XLOOKUP(Log[[#This Row],[Item]],Calories[Name],Calories[Fibre])*Log[[#This Row],[Qty]])</f>
        <v/>
      </c>
      <c r="I506" s="71" t="str">
        <f>IF(ISBLANK(Log[[#This Row],[Item]]),"",(Log[[#This Row],[Carbs]]-Log[[#This Row],[Fibre]]))</f>
        <v/>
      </c>
      <c r="J506" s="103" t="str">
        <f>IF(ISBLANK(Log[[#This Row],[Item]]),"",_xlfn.XLOOKUP(Log[[#This Row],[Item]],Calories[Name],Calories[Sodium])*Log[[#This Row],[Qty]])</f>
        <v/>
      </c>
      <c r="K506" s="71" t="str">
        <f>IF(ISBLANK(Log[[#This Row],[Item]]),"",_xlfn.XLOOKUP(Log[[#This Row],[Item]],Calories[Name],Calories[Protein])*Log[[#This Row],[Qty]])</f>
        <v/>
      </c>
      <c r="L506" s="71" t="str">
        <f>IF(ISBLANK(Log[[#This Row],[Item]]),"",_xlfn.XLOOKUP(Log[[#This Row],[Item]],Calories[Name],Calories[Chol.])*Log[[#This Row],[Qty]])</f>
        <v/>
      </c>
      <c r="M506" s="75"/>
      <c r="N506" s="75"/>
      <c r="O506" s="75"/>
    </row>
    <row r="507" spans="1:15" s="66" customFormat="1" ht="25.15" customHeight="1">
      <c r="A507" s="75"/>
      <c r="B507" s="98"/>
      <c r="C507" s="78"/>
      <c r="D507" s="79"/>
      <c r="E507" s="76" t="str">
        <f>IF(ISBLANK(Log[[#This Row],[Item]]),"",_xlfn.XLOOKUP(Log[[#This Row],[Item]],Calories[Name],Calories[Unit]))</f>
        <v/>
      </c>
      <c r="F507" s="65" t="str">
        <f>IF(ISBLANK(Log[[#This Row],[Item]]),"",_xlfn.XLOOKUP(Log[[#This Row],[Item]],Calories[Name],Calories[Cals])*Log[[#This Row],[Qty]])</f>
        <v/>
      </c>
      <c r="G507" s="71" t="str">
        <f>IF(ISBLANK(Log[[#This Row],[Item]]),"",_xlfn.XLOOKUP(Log[[#This Row],[Item]],Calories[Name],Calories[Carbs])*Log[[#This Row],[Qty]])</f>
        <v/>
      </c>
      <c r="H507" s="71" t="str">
        <f>IF(ISBLANK(Log[[#This Row],[Item]]),"",_xlfn.XLOOKUP(Log[[#This Row],[Item]],Calories[Name],Calories[Fibre])*Log[[#This Row],[Qty]])</f>
        <v/>
      </c>
      <c r="I507" s="71" t="str">
        <f>IF(ISBLANK(Log[[#This Row],[Item]]),"",(Log[[#This Row],[Carbs]]-Log[[#This Row],[Fibre]]))</f>
        <v/>
      </c>
      <c r="J507" s="103" t="str">
        <f>IF(ISBLANK(Log[[#This Row],[Item]]),"",_xlfn.XLOOKUP(Log[[#This Row],[Item]],Calories[Name],Calories[Sodium])*Log[[#This Row],[Qty]])</f>
        <v/>
      </c>
      <c r="K507" s="71" t="str">
        <f>IF(ISBLANK(Log[[#This Row],[Item]]),"",_xlfn.XLOOKUP(Log[[#This Row],[Item]],Calories[Name],Calories[Protein])*Log[[#This Row],[Qty]])</f>
        <v/>
      </c>
      <c r="L507" s="71" t="str">
        <f>IF(ISBLANK(Log[[#This Row],[Item]]),"",_xlfn.XLOOKUP(Log[[#This Row],[Item]],Calories[Name],Calories[Chol.])*Log[[#This Row],[Qty]])</f>
        <v/>
      </c>
      <c r="M507" s="75"/>
      <c r="N507" s="75"/>
      <c r="O507" s="75"/>
    </row>
    <row r="508" spans="1:15" s="66" customFormat="1" ht="25.15" customHeight="1">
      <c r="A508" s="75"/>
      <c r="B508" s="98"/>
      <c r="C508" s="78"/>
      <c r="D508" s="79"/>
      <c r="E508" s="76" t="str">
        <f>IF(ISBLANK(Log[[#This Row],[Item]]),"",_xlfn.XLOOKUP(Log[[#This Row],[Item]],Calories[Name],Calories[Unit]))</f>
        <v/>
      </c>
      <c r="F508" s="65" t="str">
        <f>IF(ISBLANK(Log[[#This Row],[Item]]),"",_xlfn.XLOOKUP(Log[[#This Row],[Item]],Calories[Name],Calories[Cals])*Log[[#This Row],[Qty]])</f>
        <v/>
      </c>
      <c r="G508" s="71" t="str">
        <f>IF(ISBLANK(Log[[#This Row],[Item]]),"",_xlfn.XLOOKUP(Log[[#This Row],[Item]],Calories[Name],Calories[Carbs])*Log[[#This Row],[Qty]])</f>
        <v/>
      </c>
      <c r="H508" s="71" t="str">
        <f>IF(ISBLANK(Log[[#This Row],[Item]]),"",_xlfn.XLOOKUP(Log[[#This Row],[Item]],Calories[Name],Calories[Fibre])*Log[[#This Row],[Qty]])</f>
        <v/>
      </c>
      <c r="I508" s="71" t="str">
        <f>IF(ISBLANK(Log[[#This Row],[Item]]),"",(Log[[#This Row],[Carbs]]-Log[[#This Row],[Fibre]]))</f>
        <v/>
      </c>
      <c r="J508" s="103" t="str">
        <f>IF(ISBLANK(Log[[#This Row],[Item]]),"",_xlfn.XLOOKUP(Log[[#This Row],[Item]],Calories[Name],Calories[Sodium])*Log[[#This Row],[Qty]])</f>
        <v/>
      </c>
      <c r="K508" s="71" t="str">
        <f>IF(ISBLANK(Log[[#This Row],[Item]]),"",_xlfn.XLOOKUP(Log[[#This Row],[Item]],Calories[Name],Calories[Protein])*Log[[#This Row],[Qty]])</f>
        <v/>
      </c>
      <c r="L508" s="71" t="str">
        <f>IF(ISBLANK(Log[[#This Row],[Item]]),"",_xlfn.XLOOKUP(Log[[#This Row],[Item]],Calories[Name],Calories[Chol.])*Log[[#This Row],[Qty]])</f>
        <v/>
      </c>
      <c r="M508" s="75"/>
      <c r="N508" s="75"/>
      <c r="O508" s="75"/>
    </row>
    <row r="509" spans="1:15" s="66" customFormat="1" ht="25.15" customHeight="1">
      <c r="A509" s="75"/>
      <c r="B509" s="98"/>
      <c r="C509" s="78"/>
      <c r="D509" s="79"/>
      <c r="E509" s="76" t="str">
        <f>IF(ISBLANK(Log[[#This Row],[Item]]),"",_xlfn.XLOOKUP(Log[[#This Row],[Item]],Calories[Name],Calories[Unit]))</f>
        <v/>
      </c>
      <c r="F509" s="65" t="str">
        <f>IF(ISBLANK(Log[[#This Row],[Item]]),"",_xlfn.XLOOKUP(Log[[#This Row],[Item]],Calories[Name],Calories[Cals])*Log[[#This Row],[Qty]])</f>
        <v/>
      </c>
      <c r="G509" s="71" t="str">
        <f>IF(ISBLANK(Log[[#This Row],[Item]]),"",_xlfn.XLOOKUP(Log[[#This Row],[Item]],Calories[Name],Calories[Carbs])*Log[[#This Row],[Qty]])</f>
        <v/>
      </c>
      <c r="H509" s="71" t="str">
        <f>IF(ISBLANK(Log[[#This Row],[Item]]),"",_xlfn.XLOOKUP(Log[[#This Row],[Item]],Calories[Name],Calories[Fibre])*Log[[#This Row],[Qty]])</f>
        <v/>
      </c>
      <c r="I509" s="71" t="str">
        <f>IF(ISBLANK(Log[[#This Row],[Item]]),"",(Log[[#This Row],[Carbs]]-Log[[#This Row],[Fibre]]))</f>
        <v/>
      </c>
      <c r="J509" s="103" t="str">
        <f>IF(ISBLANK(Log[[#This Row],[Item]]),"",_xlfn.XLOOKUP(Log[[#This Row],[Item]],Calories[Name],Calories[Sodium])*Log[[#This Row],[Qty]])</f>
        <v/>
      </c>
      <c r="K509" s="71" t="str">
        <f>IF(ISBLANK(Log[[#This Row],[Item]]),"",_xlfn.XLOOKUP(Log[[#This Row],[Item]],Calories[Name],Calories[Protein])*Log[[#This Row],[Qty]])</f>
        <v/>
      </c>
      <c r="L509" s="71" t="str">
        <f>IF(ISBLANK(Log[[#This Row],[Item]]),"",_xlfn.XLOOKUP(Log[[#This Row],[Item]],Calories[Name],Calories[Chol.])*Log[[#This Row],[Qty]])</f>
        <v/>
      </c>
      <c r="M509" s="75"/>
      <c r="N509" s="75"/>
      <c r="O509" s="75"/>
    </row>
    <row r="510" spans="1:15" s="66" customFormat="1" ht="25.15" customHeight="1">
      <c r="A510" s="75"/>
      <c r="B510" s="98"/>
      <c r="C510" s="78"/>
      <c r="D510" s="79"/>
      <c r="E510" s="76" t="str">
        <f>IF(ISBLANK(Log[[#This Row],[Item]]),"",_xlfn.XLOOKUP(Log[[#This Row],[Item]],Calories[Name],Calories[Unit]))</f>
        <v/>
      </c>
      <c r="F510" s="65" t="str">
        <f>IF(ISBLANK(Log[[#This Row],[Item]]),"",_xlfn.XLOOKUP(Log[[#This Row],[Item]],Calories[Name],Calories[Cals])*Log[[#This Row],[Qty]])</f>
        <v/>
      </c>
      <c r="G510" s="71" t="str">
        <f>IF(ISBLANK(Log[[#This Row],[Item]]),"",_xlfn.XLOOKUP(Log[[#This Row],[Item]],Calories[Name],Calories[Carbs])*Log[[#This Row],[Qty]])</f>
        <v/>
      </c>
      <c r="H510" s="71" t="str">
        <f>IF(ISBLANK(Log[[#This Row],[Item]]),"",_xlfn.XLOOKUP(Log[[#This Row],[Item]],Calories[Name],Calories[Fibre])*Log[[#This Row],[Qty]])</f>
        <v/>
      </c>
      <c r="I510" s="71" t="str">
        <f>IF(ISBLANK(Log[[#This Row],[Item]]),"",(Log[[#This Row],[Carbs]]-Log[[#This Row],[Fibre]]))</f>
        <v/>
      </c>
      <c r="J510" s="103" t="str">
        <f>IF(ISBLANK(Log[[#This Row],[Item]]),"",_xlfn.XLOOKUP(Log[[#This Row],[Item]],Calories[Name],Calories[Sodium])*Log[[#This Row],[Qty]])</f>
        <v/>
      </c>
      <c r="K510" s="71" t="str">
        <f>IF(ISBLANK(Log[[#This Row],[Item]]),"",_xlfn.XLOOKUP(Log[[#This Row],[Item]],Calories[Name],Calories[Protein])*Log[[#This Row],[Qty]])</f>
        <v/>
      </c>
      <c r="L510" s="71" t="str">
        <f>IF(ISBLANK(Log[[#This Row],[Item]]),"",_xlfn.XLOOKUP(Log[[#This Row],[Item]],Calories[Name],Calories[Chol.])*Log[[#This Row],[Qty]])</f>
        <v/>
      </c>
      <c r="M510" s="75"/>
      <c r="N510" s="75"/>
      <c r="O510" s="75"/>
    </row>
    <row r="511" spans="1:15" s="66" customFormat="1" ht="25.15" customHeight="1">
      <c r="A511" s="75"/>
      <c r="B511" s="98"/>
      <c r="C511" s="78"/>
      <c r="D511" s="79"/>
      <c r="E511" s="76" t="str">
        <f>IF(ISBLANK(Log[[#This Row],[Item]]),"",_xlfn.XLOOKUP(Log[[#This Row],[Item]],Calories[Name],Calories[Unit]))</f>
        <v/>
      </c>
      <c r="F511" s="65" t="str">
        <f>IF(ISBLANK(Log[[#This Row],[Item]]),"",_xlfn.XLOOKUP(Log[[#This Row],[Item]],Calories[Name],Calories[Cals])*Log[[#This Row],[Qty]])</f>
        <v/>
      </c>
      <c r="G511" s="71" t="str">
        <f>IF(ISBLANK(Log[[#This Row],[Item]]),"",_xlfn.XLOOKUP(Log[[#This Row],[Item]],Calories[Name],Calories[Carbs])*Log[[#This Row],[Qty]])</f>
        <v/>
      </c>
      <c r="H511" s="71" t="str">
        <f>IF(ISBLANK(Log[[#This Row],[Item]]),"",_xlfn.XLOOKUP(Log[[#This Row],[Item]],Calories[Name],Calories[Fibre])*Log[[#This Row],[Qty]])</f>
        <v/>
      </c>
      <c r="I511" s="71" t="str">
        <f>IF(ISBLANK(Log[[#This Row],[Item]]),"",(Log[[#This Row],[Carbs]]-Log[[#This Row],[Fibre]]))</f>
        <v/>
      </c>
      <c r="J511" s="103" t="str">
        <f>IF(ISBLANK(Log[[#This Row],[Item]]),"",_xlfn.XLOOKUP(Log[[#This Row],[Item]],Calories[Name],Calories[Sodium])*Log[[#This Row],[Qty]])</f>
        <v/>
      </c>
      <c r="K511" s="71" t="str">
        <f>IF(ISBLANK(Log[[#This Row],[Item]]),"",_xlfn.XLOOKUP(Log[[#This Row],[Item]],Calories[Name],Calories[Protein])*Log[[#This Row],[Qty]])</f>
        <v/>
      </c>
      <c r="L511" s="71" t="str">
        <f>IF(ISBLANK(Log[[#This Row],[Item]]),"",_xlfn.XLOOKUP(Log[[#This Row],[Item]],Calories[Name],Calories[Chol.])*Log[[#This Row],[Qty]])</f>
        <v/>
      </c>
      <c r="M511" s="75"/>
      <c r="N511" s="75"/>
      <c r="O511" s="75"/>
    </row>
    <row r="512" spans="1:15" s="66" customFormat="1" ht="25.15" customHeight="1">
      <c r="A512" s="75"/>
      <c r="B512" s="98"/>
      <c r="C512" s="78"/>
      <c r="D512" s="79"/>
      <c r="E512" s="76" t="str">
        <f>IF(ISBLANK(Log[[#This Row],[Item]]),"",_xlfn.XLOOKUP(Log[[#This Row],[Item]],Calories[Name],Calories[Unit]))</f>
        <v/>
      </c>
      <c r="F512" s="65" t="str">
        <f>IF(ISBLANK(Log[[#This Row],[Item]]),"",_xlfn.XLOOKUP(Log[[#This Row],[Item]],Calories[Name],Calories[Cals])*Log[[#This Row],[Qty]])</f>
        <v/>
      </c>
      <c r="G512" s="71" t="str">
        <f>IF(ISBLANK(Log[[#This Row],[Item]]),"",_xlfn.XLOOKUP(Log[[#This Row],[Item]],Calories[Name],Calories[Carbs])*Log[[#This Row],[Qty]])</f>
        <v/>
      </c>
      <c r="H512" s="71" t="str">
        <f>IF(ISBLANK(Log[[#This Row],[Item]]),"",_xlfn.XLOOKUP(Log[[#This Row],[Item]],Calories[Name],Calories[Fibre])*Log[[#This Row],[Qty]])</f>
        <v/>
      </c>
      <c r="I512" s="71" t="str">
        <f>IF(ISBLANK(Log[[#This Row],[Item]]),"",(Log[[#This Row],[Carbs]]-Log[[#This Row],[Fibre]]))</f>
        <v/>
      </c>
      <c r="J512" s="103" t="str">
        <f>IF(ISBLANK(Log[[#This Row],[Item]]),"",_xlfn.XLOOKUP(Log[[#This Row],[Item]],Calories[Name],Calories[Sodium])*Log[[#This Row],[Qty]])</f>
        <v/>
      </c>
      <c r="K512" s="71" t="str">
        <f>IF(ISBLANK(Log[[#This Row],[Item]]),"",_xlfn.XLOOKUP(Log[[#This Row],[Item]],Calories[Name],Calories[Protein])*Log[[#This Row],[Qty]])</f>
        <v/>
      </c>
      <c r="L512" s="71" t="str">
        <f>IF(ISBLANK(Log[[#This Row],[Item]]),"",_xlfn.XLOOKUP(Log[[#This Row],[Item]],Calories[Name],Calories[Chol.])*Log[[#This Row],[Qty]])</f>
        <v/>
      </c>
      <c r="M512" s="75"/>
      <c r="N512" s="75"/>
      <c r="O512" s="75"/>
    </row>
    <row r="513" spans="1:15" s="66" customFormat="1" ht="25.15" customHeight="1">
      <c r="A513" s="75"/>
      <c r="B513" s="98"/>
      <c r="C513" s="78"/>
      <c r="D513" s="79"/>
      <c r="E513" s="76" t="str">
        <f>IF(ISBLANK(Log[[#This Row],[Item]]),"",_xlfn.XLOOKUP(Log[[#This Row],[Item]],Calories[Name],Calories[Unit]))</f>
        <v/>
      </c>
      <c r="F513" s="65" t="str">
        <f>IF(ISBLANK(Log[[#This Row],[Item]]),"",_xlfn.XLOOKUP(Log[[#This Row],[Item]],Calories[Name],Calories[Cals])*Log[[#This Row],[Qty]])</f>
        <v/>
      </c>
      <c r="G513" s="71" t="str">
        <f>IF(ISBLANK(Log[[#This Row],[Item]]),"",_xlfn.XLOOKUP(Log[[#This Row],[Item]],Calories[Name],Calories[Carbs])*Log[[#This Row],[Qty]])</f>
        <v/>
      </c>
      <c r="H513" s="71" t="str">
        <f>IF(ISBLANK(Log[[#This Row],[Item]]),"",_xlfn.XLOOKUP(Log[[#This Row],[Item]],Calories[Name],Calories[Fibre])*Log[[#This Row],[Qty]])</f>
        <v/>
      </c>
      <c r="I513" s="71" t="str">
        <f>IF(ISBLANK(Log[[#This Row],[Item]]),"",(Log[[#This Row],[Carbs]]-Log[[#This Row],[Fibre]]))</f>
        <v/>
      </c>
      <c r="J513" s="103" t="str">
        <f>IF(ISBLANK(Log[[#This Row],[Item]]),"",_xlfn.XLOOKUP(Log[[#This Row],[Item]],Calories[Name],Calories[Sodium])*Log[[#This Row],[Qty]])</f>
        <v/>
      </c>
      <c r="K513" s="71" t="str">
        <f>IF(ISBLANK(Log[[#This Row],[Item]]),"",_xlfn.XLOOKUP(Log[[#This Row],[Item]],Calories[Name],Calories[Protein])*Log[[#This Row],[Qty]])</f>
        <v/>
      </c>
      <c r="L513" s="71" t="str">
        <f>IF(ISBLANK(Log[[#This Row],[Item]]),"",_xlfn.XLOOKUP(Log[[#This Row],[Item]],Calories[Name],Calories[Chol.])*Log[[#This Row],[Qty]])</f>
        <v/>
      </c>
      <c r="M513" s="75"/>
      <c r="N513" s="75"/>
      <c r="O513" s="75"/>
    </row>
    <row r="514" spans="1:15" s="66" customFormat="1" ht="25.15" customHeight="1">
      <c r="A514" s="75"/>
      <c r="B514" s="98"/>
      <c r="C514" s="78"/>
      <c r="D514" s="79"/>
      <c r="E514" s="76" t="str">
        <f>IF(ISBLANK(Log[[#This Row],[Item]]),"",_xlfn.XLOOKUP(Log[[#This Row],[Item]],Calories[Name],Calories[Unit]))</f>
        <v/>
      </c>
      <c r="F514" s="65" t="str">
        <f>IF(ISBLANK(Log[[#This Row],[Item]]),"",_xlfn.XLOOKUP(Log[[#This Row],[Item]],Calories[Name],Calories[Cals])*Log[[#This Row],[Qty]])</f>
        <v/>
      </c>
      <c r="G514" s="71" t="str">
        <f>IF(ISBLANK(Log[[#This Row],[Item]]),"",_xlfn.XLOOKUP(Log[[#This Row],[Item]],Calories[Name],Calories[Carbs])*Log[[#This Row],[Qty]])</f>
        <v/>
      </c>
      <c r="H514" s="71" t="str">
        <f>IF(ISBLANK(Log[[#This Row],[Item]]),"",_xlfn.XLOOKUP(Log[[#This Row],[Item]],Calories[Name],Calories[Fibre])*Log[[#This Row],[Qty]])</f>
        <v/>
      </c>
      <c r="I514" s="71" t="str">
        <f>IF(ISBLANK(Log[[#This Row],[Item]]),"",(Log[[#This Row],[Carbs]]-Log[[#This Row],[Fibre]]))</f>
        <v/>
      </c>
      <c r="J514" s="103" t="str">
        <f>IF(ISBLANK(Log[[#This Row],[Item]]),"",_xlfn.XLOOKUP(Log[[#This Row],[Item]],Calories[Name],Calories[Sodium])*Log[[#This Row],[Qty]])</f>
        <v/>
      </c>
      <c r="K514" s="71" t="str">
        <f>IF(ISBLANK(Log[[#This Row],[Item]]),"",_xlfn.XLOOKUP(Log[[#This Row],[Item]],Calories[Name],Calories[Protein])*Log[[#This Row],[Qty]])</f>
        <v/>
      </c>
      <c r="L514" s="71" t="str">
        <f>IF(ISBLANK(Log[[#This Row],[Item]]),"",_xlfn.XLOOKUP(Log[[#This Row],[Item]],Calories[Name],Calories[Chol.])*Log[[#This Row],[Qty]])</f>
        <v/>
      </c>
      <c r="M514" s="75"/>
      <c r="N514" s="75"/>
      <c r="O514" s="75"/>
    </row>
    <row r="515" spans="1:15" s="66" customFormat="1" ht="25.15" customHeight="1">
      <c r="A515" s="75"/>
      <c r="B515" s="98"/>
      <c r="C515" s="78"/>
      <c r="D515" s="79"/>
      <c r="E515" s="76" t="str">
        <f>IF(ISBLANK(Log[[#This Row],[Item]]),"",_xlfn.XLOOKUP(Log[[#This Row],[Item]],Calories[Name],Calories[Unit]))</f>
        <v/>
      </c>
      <c r="F515" s="65" t="str">
        <f>IF(ISBLANK(Log[[#This Row],[Item]]),"",_xlfn.XLOOKUP(Log[[#This Row],[Item]],Calories[Name],Calories[Cals])*Log[[#This Row],[Qty]])</f>
        <v/>
      </c>
      <c r="G515" s="71" t="str">
        <f>IF(ISBLANK(Log[[#This Row],[Item]]),"",_xlfn.XLOOKUP(Log[[#This Row],[Item]],Calories[Name],Calories[Carbs])*Log[[#This Row],[Qty]])</f>
        <v/>
      </c>
      <c r="H515" s="71" t="str">
        <f>IF(ISBLANK(Log[[#This Row],[Item]]),"",_xlfn.XLOOKUP(Log[[#This Row],[Item]],Calories[Name],Calories[Fibre])*Log[[#This Row],[Qty]])</f>
        <v/>
      </c>
      <c r="I515" s="71" t="str">
        <f>IF(ISBLANK(Log[[#This Row],[Item]]),"",(Log[[#This Row],[Carbs]]-Log[[#This Row],[Fibre]]))</f>
        <v/>
      </c>
      <c r="J515" s="103" t="str">
        <f>IF(ISBLANK(Log[[#This Row],[Item]]),"",_xlfn.XLOOKUP(Log[[#This Row],[Item]],Calories[Name],Calories[Sodium])*Log[[#This Row],[Qty]])</f>
        <v/>
      </c>
      <c r="K515" s="71" t="str">
        <f>IF(ISBLANK(Log[[#This Row],[Item]]),"",_xlfn.XLOOKUP(Log[[#This Row],[Item]],Calories[Name],Calories[Protein])*Log[[#This Row],[Qty]])</f>
        <v/>
      </c>
      <c r="L515" s="71" t="str">
        <f>IF(ISBLANK(Log[[#This Row],[Item]]),"",_xlfn.XLOOKUP(Log[[#This Row],[Item]],Calories[Name],Calories[Chol.])*Log[[#This Row],[Qty]])</f>
        <v/>
      </c>
      <c r="M515" s="75"/>
      <c r="N515" s="75"/>
      <c r="O515" s="75"/>
    </row>
    <row r="516" spans="1:15" s="66" customFormat="1" ht="25.15" customHeight="1">
      <c r="A516" s="75"/>
      <c r="B516" s="98"/>
      <c r="C516" s="78"/>
      <c r="D516" s="79"/>
      <c r="E516" s="76" t="str">
        <f>IF(ISBLANK(Log[[#This Row],[Item]]),"",_xlfn.XLOOKUP(Log[[#This Row],[Item]],Calories[Name],Calories[Unit]))</f>
        <v/>
      </c>
      <c r="F516" s="65" t="str">
        <f>IF(ISBLANK(Log[[#This Row],[Item]]),"",_xlfn.XLOOKUP(Log[[#This Row],[Item]],Calories[Name],Calories[Cals])*Log[[#This Row],[Qty]])</f>
        <v/>
      </c>
      <c r="G516" s="71" t="str">
        <f>IF(ISBLANK(Log[[#This Row],[Item]]),"",_xlfn.XLOOKUP(Log[[#This Row],[Item]],Calories[Name],Calories[Carbs])*Log[[#This Row],[Qty]])</f>
        <v/>
      </c>
      <c r="H516" s="71" t="str">
        <f>IF(ISBLANK(Log[[#This Row],[Item]]),"",_xlfn.XLOOKUP(Log[[#This Row],[Item]],Calories[Name],Calories[Fibre])*Log[[#This Row],[Qty]])</f>
        <v/>
      </c>
      <c r="I516" s="71" t="str">
        <f>IF(ISBLANK(Log[[#This Row],[Item]]),"",(Log[[#This Row],[Carbs]]-Log[[#This Row],[Fibre]]))</f>
        <v/>
      </c>
      <c r="J516" s="103" t="str">
        <f>IF(ISBLANK(Log[[#This Row],[Item]]),"",_xlfn.XLOOKUP(Log[[#This Row],[Item]],Calories[Name],Calories[Sodium])*Log[[#This Row],[Qty]])</f>
        <v/>
      </c>
      <c r="K516" s="71" t="str">
        <f>IF(ISBLANK(Log[[#This Row],[Item]]),"",_xlfn.XLOOKUP(Log[[#This Row],[Item]],Calories[Name],Calories[Protein])*Log[[#This Row],[Qty]])</f>
        <v/>
      </c>
      <c r="L516" s="71" t="str">
        <f>IF(ISBLANK(Log[[#This Row],[Item]]),"",_xlfn.XLOOKUP(Log[[#This Row],[Item]],Calories[Name],Calories[Chol.])*Log[[#This Row],[Qty]])</f>
        <v/>
      </c>
      <c r="M516" s="75"/>
      <c r="N516" s="75"/>
      <c r="O516" s="75"/>
    </row>
    <row r="517" spans="1:15" s="66" customFormat="1" ht="25.15" customHeight="1">
      <c r="A517" s="75"/>
      <c r="B517" s="98"/>
      <c r="C517" s="78"/>
      <c r="D517" s="79"/>
      <c r="E517" s="76" t="str">
        <f>IF(ISBLANK(Log[[#This Row],[Item]]),"",_xlfn.XLOOKUP(Log[[#This Row],[Item]],Calories[Name],Calories[Unit]))</f>
        <v/>
      </c>
      <c r="F517" s="65" t="str">
        <f>IF(ISBLANK(Log[[#This Row],[Item]]),"",_xlfn.XLOOKUP(Log[[#This Row],[Item]],Calories[Name],Calories[Cals])*Log[[#This Row],[Qty]])</f>
        <v/>
      </c>
      <c r="G517" s="71" t="str">
        <f>IF(ISBLANK(Log[[#This Row],[Item]]),"",_xlfn.XLOOKUP(Log[[#This Row],[Item]],Calories[Name],Calories[Carbs])*Log[[#This Row],[Qty]])</f>
        <v/>
      </c>
      <c r="H517" s="71" t="str">
        <f>IF(ISBLANK(Log[[#This Row],[Item]]),"",_xlfn.XLOOKUP(Log[[#This Row],[Item]],Calories[Name],Calories[Fibre])*Log[[#This Row],[Qty]])</f>
        <v/>
      </c>
      <c r="I517" s="71" t="str">
        <f>IF(ISBLANK(Log[[#This Row],[Item]]),"",(Log[[#This Row],[Carbs]]-Log[[#This Row],[Fibre]]))</f>
        <v/>
      </c>
      <c r="J517" s="103" t="str">
        <f>IF(ISBLANK(Log[[#This Row],[Item]]),"",_xlfn.XLOOKUP(Log[[#This Row],[Item]],Calories[Name],Calories[Sodium])*Log[[#This Row],[Qty]])</f>
        <v/>
      </c>
      <c r="K517" s="71" t="str">
        <f>IF(ISBLANK(Log[[#This Row],[Item]]),"",_xlfn.XLOOKUP(Log[[#This Row],[Item]],Calories[Name],Calories[Protein])*Log[[#This Row],[Qty]])</f>
        <v/>
      </c>
      <c r="L517" s="71" t="str">
        <f>IF(ISBLANK(Log[[#This Row],[Item]]),"",_xlfn.XLOOKUP(Log[[#This Row],[Item]],Calories[Name],Calories[Chol.])*Log[[#This Row],[Qty]])</f>
        <v/>
      </c>
      <c r="M517" s="75"/>
      <c r="N517" s="75"/>
      <c r="O517" s="75"/>
    </row>
    <row r="518" spans="1:15" s="66" customFormat="1" ht="25.15" customHeight="1">
      <c r="A518" s="75"/>
      <c r="B518" s="98"/>
      <c r="C518" s="78"/>
      <c r="D518" s="79"/>
      <c r="E518" s="76" t="str">
        <f>IF(ISBLANK(Log[[#This Row],[Item]]),"",_xlfn.XLOOKUP(Log[[#This Row],[Item]],Calories[Name],Calories[Unit]))</f>
        <v/>
      </c>
      <c r="F518" s="65" t="str">
        <f>IF(ISBLANK(Log[[#This Row],[Item]]),"",_xlfn.XLOOKUP(Log[[#This Row],[Item]],Calories[Name],Calories[Cals])*Log[[#This Row],[Qty]])</f>
        <v/>
      </c>
      <c r="G518" s="71" t="str">
        <f>IF(ISBLANK(Log[[#This Row],[Item]]),"",_xlfn.XLOOKUP(Log[[#This Row],[Item]],Calories[Name],Calories[Carbs])*Log[[#This Row],[Qty]])</f>
        <v/>
      </c>
      <c r="H518" s="71" t="str">
        <f>IF(ISBLANK(Log[[#This Row],[Item]]),"",_xlfn.XLOOKUP(Log[[#This Row],[Item]],Calories[Name],Calories[Fibre])*Log[[#This Row],[Qty]])</f>
        <v/>
      </c>
      <c r="I518" s="71" t="str">
        <f>IF(ISBLANK(Log[[#This Row],[Item]]),"",(Log[[#This Row],[Carbs]]-Log[[#This Row],[Fibre]]))</f>
        <v/>
      </c>
      <c r="J518" s="103" t="str">
        <f>IF(ISBLANK(Log[[#This Row],[Item]]),"",_xlfn.XLOOKUP(Log[[#This Row],[Item]],Calories[Name],Calories[Sodium])*Log[[#This Row],[Qty]])</f>
        <v/>
      </c>
      <c r="K518" s="71" t="str">
        <f>IF(ISBLANK(Log[[#This Row],[Item]]),"",_xlfn.XLOOKUP(Log[[#This Row],[Item]],Calories[Name],Calories[Protein])*Log[[#This Row],[Qty]])</f>
        <v/>
      </c>
      <c r="L518" s="71" t="str">
        <f>IF(ISBLANK(Log[[#This Row],[Item]]),"",_xlfn.XLOOKUP(Log[[#This Row],[Item]],Calories[Name],Calories[Chol.])*Log[[#This Row],[Qty]])</f>
        <v/>
      </c>
      <c r="M518" s="75"/>
      <c r="N518" s="75"/>
      <c r="O518" s="75"/>
    </row>
    <row r="519" spans="1:15" s="66" customFormat="1" ht="25.15" customHeight="1">
      <c r="A519" s="75"/>
      <c r="B519" s="98"/>
      <c r="C519" s="78"/>
      <c r="D519" s="79"/>
      <c r="E519" s="76" t="str">
        <f>IF(ISBLANK(Log[[#This Row],[Item]]),"",_xlfn.XLOOKUP(Log[[#This Row],[Item]],Calories[Name],Calories[Unit]))</f>
        <v/>
      </c>
      <c r="F519" s="65" t="str">
        <f>IF(ISBLANK(Log[[#This Row],[Item]]),"",_xlfn.XLOOKUP(Log[[#This Row],[Item]],Calories[Name],Calories[Cals])*Log[[#This Row],[Qty]])</f>
        <v/>
      </c>
      <c r="G519" s="71" t="str">
        <f>IF(ISBLANK(Log[[#This Row],[Item]]),"",_xlfn.XLOOKUP(Log[[#This Row],[Item]],Calories[Name],Calories[Carbs])*Log[[#This Row],[Qty]])</f>
        <v/>
      </c>
      <c r="H519" s="71" t="str">
        <f>IF(ISBLANK(Log[[#This Row],[Item]]),"",_xlfn.XLOOKUP(Log[[#This Row],[Item]],Calories[Name],Calories[Fibre])*Log[[#This Row],[Qty]])</f>
        <v/>
      </c>
      <c r="I519" s="71" t="str">
        <f>IF(ISBLANK(Log[[#This Row],[Item]]),"",(Log[[#This Row],[Carbs]]-Log[[#This Row],[Fibre]]))</f>
        <v/>
      </c>
      <c r="J519" s="103" t="str">
        <f>IF(ISBLANK(Log[[#This Row],[Item]]),"",_xlfn.XLOOKUP(Log[[#This Row],[Item]],Calories[Name],Calories[Sodium])*Log[[#This Row],[Qty]])</f>
        <v/>
      </c>
      <c r="K519" s="71" t="str">
        <f>IF(ISBLANK(Log[[#This Row],[Item]]),"",_xlfn.XLOOKUP(Log[[#This Row],[Item]],Calories[Name],Calories[Protein])*Log[[#This Row],[Qty]])</f>
        <v/>
      </c>
      <c r="L519" s="71" t="str">
        <f>IF(ISBLANK(Log[[#This Row],[Item]]),"",_xlfn.XLOOKUP(Log[[#This Row],[Item]],Calories[Name],Calories[Chol.])*Log[[#This Row],[Qty]])</f>
        <v/>
      </c>
      <c r="M519" s="75"/>
      <c r="N519" s="75"/>
      <c r="O519" s="75"/>
    </row>
    <row r="520" spans="1:15" s="66" customFormat="1" ht="25.15" customHeight="1">
      <c r="A520" s="75"/>
      <c r="B520" s="98"/>
      <c r="C520" s="78"/>
      <c r="D520" s="79"/>
      <c r="E520" s="76" t="str">
        <f>IF(ISBLANK(Log[[#This Row],[Item]]),"",_xlfn.XLOOKUP(Log[[#This Row],[Item]],Calories[Name],Calories[Unit]))</f>
        <v/>
      </c>
      <c r="F520" s="65" t="str">
        <f>IF(ISBLANK(Log[[#This Row],[Item]]),"",_xlfn.XLOOKUP(Log[[#This Row],[Item]],Calories[Name],Calories[Cals])*Log[[#This Row],[Qty]])</f>
        <v/>
      </c>
      <c r="G520" s="71" t="str">
        <f>IF(ISBLANK(Log[[#This Row],[Item]]),"",_xlfn.XLOOKUP(Log[[#This Row],[Item]],Calories[Name],Calories[Carbs])*Log[[#This Row],[Qty]])</f>
        <v/>
      </c>
      <c r="H520" s="71" t="str">
        <f>IF(ISBLANK(Log[[#This Row],[Item]]),"",_xlfn.XLOOKUP(Log[[#This Row],[Item]],Calories[Name],Calories[Fibre])*Log[[#This Row],[Qty]])</f>
        <v/>
      </c>
      <c r="I520" s="71" t="str">
        <f>IF(ISBLANK(Log[[#This Row],[Item]]),"",(Log[[#This Row],[Carbs]]-Log[[#This Row],[Fibre]]))</f>
        <v/>
      </c>
      <c r="J520" s="103" t="str">
        <f>IF(ISBLANK(Log[[#This Row],[Item]]),"",_xlfn.XLOOKUP(Log[[#This Row],[Item]],Calories[Name],Calories[Sodium])*Log[[#This Row],[Qty]])</f>
        <v/>
      </c>
      <c r="K520" s="71" t="str">
        <f>IF(ISBLANK(Log[[#This Row],[Item]]),"",_xlfn.XLOOKUP(Log[[#This Row],[Item]],Calories[Name],Calories[Protein])*Log[[#This Row],[Qty]])</f>
        <v/>
      </c>
      <c r="L520" s="71" t="str">
        <f>IF(ISBLANK(Log[[#This Row],[Item]]),"",_xlfn.XLOOKUP(Log[[#This Row],[Item]],Calories[Name],Calories[Chol.])*Log[[#This Row],[Qty]])</f>
        <v/>
      </c>
      <c r="M520" s="75"/>
      <c r="N520" s="75"/>
      <c r="O520" s="75"/>
    </row>
    <row r="521" spans="1:15" s="66" customFormat="1" ht="25.15" customHeight="1">
      <c r="A521" s="75"/>
      <c r="B521" s="98"/>
      <c r="C521" s="78"/>
      <c r="D521" s="79"/>
      <c r="E521" s="76" t="str">
        <f>IF(ISBLANK(Log[[#This Row],[Item]]),"",_xlfn.XLOOKUP(Log[[#This Row],[Item]],Calories[Name],Calories[Unit]))</f>
        <v/>
      </c>
      <c r="F521" s="65" t="str">
        <f>IF(ISBLANK(Log[[#This Row],[Item]]),"",_xlfn.XLOOKUP(Log[[#This Row],[Item]],Calories[Name],Calories[Cals])*Log[[#This Row],[Qty]])</f>
        <v/>
      </c>
      <c r="G521" s="71" t="str">
        <f>IF(ISBLANK(Log[[#This Row],[Item]]),"",_xlfn.XLOOKUP(Log[[#This Row],[Item]],Calories[Name],Calories[Carbs])*Log[[#This Row],[Qty]])</f>
        <v/>
      </c>
      <c r="H521" s="71" t="str">
        <f>IF(ISBLANK(Log[[#This Row],[Item]]),"",_xlfn.XLOOKUP(Log[[#This Row],[Item]],Calories[Name],Calories[Fibre])*Log[[#This Row],[Qty]])</f>
        <v/>
      </c>
      <c r="I521" s="71" t="str">
        <f>IF(ISBLANK(Log[[#This Row],[Item]]),"",(Log[[#This Row],[Carbs]]-Log[[#This Row],[Fibre]]))</f>
        <v/>
      </c>
      <c r="J521" s="103" t="str">
        <f>IF(ISBLANK(Log[[#This Row],[Item]]),"",_xlfn.XLOOKUP(Log[[#This Row],[Item]],Calories[Name],Calories[Sodium])*Log[[#This Row],[Qty]])</f>
        <v/>
      </c>
      <c r="K521" s="71" t="str">
        <f>IF(ISBLANK(Log[[#This Row],[Item]]),"",_xlfn.XLOOKUP(Log[[#This Row],[Item]],Calories[Name],Calories[Protein])*Log[[#This Row],[Qty]])</f>
        <v/>
      </c>
      <c r="L521" s="71" t="str">
        <f>IF(ISBLANK(Log[[#This Row],[Item]]),"",_xlfn.XLOOKUP(Log[[#This Row],[Item]],Calories[Name],Calories[Chol.])*Log[[#This Row],[Qty]])</f>
        <v/>
      </c>
      <c r="M521" s="75"/>
      <c r="N521" s="75"/>
      <c r="O521" s="75"/>
    </row>
    <row r="522" spans="1:15" s="66" customFormat="1" ht="25.15" customHeight="1">
      <c r="A522" s="75"/>
      <c r="B522" s="98"/>
      <c r="C522" s="78"/>
      <c r="D522" s="79"/>
      <c r="E522" s="76" t="str">
        <f>IF(ISBLANK(Log[[#This Row],[Item]]),"",_xlfn.XLOOKUP(Log[[#This Row],[Item]],Calories[Name],Calories[Unit]))</f>
        <v/>
      </c>
      <c r="F522" s="65" t="str">
        <f>IF(ISBLANK(Log[[#This Row],[Item]]),"",_xlfn.XLOOKUP(Log[[#This Row],[Item]],Calories[Name],Calories[Cals])*Log[[#This Row],[Qty]])</f>
        <v/>
      </c>
      <c r="G522" s="71" t="str">
        <f>IF(ISBLANK(Log[[#This Row],[Item]]),"",_xlfn.XLOOKUP(Log[[#This Row],[Item]],Calories[Name],Calories[Carbs])*Log[[#This Row],[Qty]])</f>
        <v/>
      </c>
      <c r="H522" s="71" t="str">
        <f>IF(ISBLANK(Log[[#This Row],[Item]]),"",_xlfn.XLOOKUP(Log[[#This Row],[Item]],Calories[Name],Calories[Fibre])*Log[[#This Row],[Qty]])</f>
        <v/>
      </c>
      <c r="I522" s="71" t="str">
        <f>IF(ISBLANK(Log[[#This Row],[Item]]),"",(Log[[#This Row],[Carbs]]-Log[[#This Row],[Fibre]]))</f>
        <v/>
      </c>
      <c r="J522" s="103" t="str">
        <f>IF(ISBLANK(Log[[#This Row],[Item]]),"",_xlfn.XLOOKUP(Log[[#This Row],[Item]],Calories[Name],Calories[Sodium])*Log[[#This Row],[Qty]])</f>
        <v/>
      </c>
      <c r="K522" s="71" t="str">
        <f>IF(ISBLANK(Log[[#This Row],[Item]]),"",_xlfn.XLOOKUP(Log[[#This Row],[Item]],Calories[Name],Calories[Protein])*Log[[#This Row],[Qty]])</f>
        <v/>
      </c>
      <c r="L522" s="71" t="str">
        <f>IF(ISBLANK(Log[[#This Row],[Item]]),"",_xlfn.XLOOKUP(Log[[#This Row],[Item]],Calories[Name],Calories[Chol.])*Log[[#This Row],[Qty]])</f>
        <v/>
      </c>
      <c r="M522" s="75"/>
      <c r="N522" s="75"/>
      <c r="O522" s="75"/>
    </row>
    <row r="523" spans="1:15" s="66" customFormat="1" ht="25.15" customHeight="1">
      <c r="A523" s="75"/>
      <c r="B523" s="98"/>
      <c r="C523" s="78"/>
      <c r="D523" s="79"/>
      <c r="E523" s="76" t="str">
        <f>IF(ISBLANK(Log[[#This Row],[Item]]),"",_xlfn.XLOOKUP(Log[[#This Row],[Item]],Calories[Name],Calories[Unit]))</f>
        <v/>
      </c>
      <c r="F523" s="65" t="str">
        <f>IF(ISBLANK(Log[[#This Row],[Item]]),"",_xlfn.XLOOKUP(Log[[#This Row],[Item]],Calories[Name],Calories[Cals])*Log[[#This Row],[Qty]])</f>
        <v/>
      </c>
      <c r="G523" s="71" t="str">
        <f>IF(ISBLANK(Log[[#This Row],[Item]]),"",_xlfn.XLOOKUP(Log[[#This Row],[Item]],Calories[Name],Calories[Carbs])*Log[[#This Row],[Qty]])</f>
        <v/>
      </c>
      <c r="H523" s="71" t="str">
        <f>IF(ISBLANK(Log[[#This Row],[Item]]),"",_xlfn.XLOOKUP(Log[[#This Row],[Item]],Calories[Name],Calories[Fibre])*Log[[#This Row],[Qty]])</f>
        <v/>
      </c>
      <c r="I523" s="71" t="str">
        <f>IF(ISBLANK(Log[[#This Row],[Item]]),"",(Log[[#This Row],[Carbs]]-Log[[#This Row],[Fibre]]))</f>
        <v/>
      </c>
      <c r="J523" s="103" t="str">
        <f>IF(ISBLANK(Log[[#This Row],[Item]]),"",_xlfn.XLOOKUP(Log[[#This Row],[Item]],Calories[Name],Calories[Sodium])*Log[[#This Row],[Qty]])</f>
        <v/>
      </c>
      <c r="K523" s="71" t="str">
        <f>IF(ISBLANK(Log[[#This Row],[Item]]),"",_xlfn.XLOOKUP(Log[[#This Row],[Item]],Calories[Name],Calories[Protein])*Log[[#This Row],[Qty]])</f>
        <v/>
      </c>
      <c r="L523" s="71" t="str">
        <f>IF(ISBLANK(Log[[#This Row],[Item]]),"",_xlfn.XLOOKUP(Log[[#This Row],[Item]],Calories[Name],Calories[Chol.])*Log[[#This Row],[Qty]])</f>
        <v/>
      </c>
      <c r="M523" s="75"/>
      <c r="N523" s="75"/>
      <c r="O523" s="75"/>
    </row>
    <row r="524" spans="1:15" s="66" customFormat="1" ht="25.15" customHeight="1">
      <c r="A524" s="75"/>
      <c r="B524" s="98"/>
      <c r="C524" s="78"/>
      <c r="D524" s="79"/>
      <c r="E524" s="76" t="str">
        <f>IF(ISBLANK(Log[[#This Row],[Item]]),"",_xlfn.XLOOKUP(Log[[#This Row],[Item]],Calories[Name],Calories[Unit]))</f>
        <v/>
      </c>
      <c r="F524" s="65" t="str">
        <f>IF(ISBLANK(Log[[#This Row],[Item]]),"",_xlfn.XLOOKUP(Log[[#This Row],[Item]],Calories[Name],Calories[Cals])*Log[[#This Row],[Qty]])</f>
        <v/>
      </c>
      <c r="G524" s="71" t="str">
        <f>IF(ISBLANK(Log[[#This Row],[Item]]),"",_xlfn.XLOOKUP(Log[[#This Row],[Item]],Calories[Name],Calories[Carbs])*Log[[#This Row],[Qty]])</f>
        <v/>
      </c>
      <c r="H524" s="71" t="str">
        <f>IF(ISBLANK(Log[[#This Row],[Item]]),"",_xlfn.XLOOKUP(Log[[#This Row],[Item]],Calories[Name],Calories[Fibre])*Log[[#This Row],[Qty]])</f>
        <v/>
      </c>
      <c r="I524" s="71" t="str">
        <f>IF(ISBLANK(Log[[#This Row],[Item]]),"",(Log[[#This Row],[Carbs]]-Log[[#This Row],[Fibre]]))</f>
        <v/>
      </c>
      <c r="J524" s="103" t="str">
        <f>IF(ISBLANK(Log[[#This Row],[Item]]),"",_xlfn.XLOOKUP(Log[[#This Row],[Item]],Calories[Name],Calories[Sodium])*Log[[#This Row],[Qty]])</f>
        <v/>
      </c>
      <c r="K524" s="71" t="str">
        <f>IF(ISBLANK(Log[[#This Row],[Item]]),"",_xlfn.XLOOKUP(Log[[#This Row],[Item]],Calories[Name],Calories[Protein])*Log[[#This Row],[Qty]])</f>
        <v/>
      </c>
      <c r="L524" s="71" t="str">
        <f>IF(ISBLANK(Log[[#This Row],[Item]]),"",_xlfn.XLOOKUP(Log[[#This Row],[Item]],Calories[Name],Calories[Chol.])*Log[[#This Row],[Qty]])</f>
        <v/>
      </c>
      <c r="M524" s="75"/>
      <c r="N524" s="75"/>
      <c r="O524" s="75"/>
    </row>
    <row r="525" spans="1:15" s="66" customFormat="1" ht="25.15" customHeight="1">
      <c r="A525" s="75"/>
      <c r="B525" s="98"/>
      <c r="C525" s="78"/>
      <c r="D525" s="79"/>
      <c r="E525" s="76" t="str">
        <f>IF(ISBLANK(Log[[#This Row],[Item]]),"",_xlfn.XLOOKUP(Log[[#This Row],[Item]],Calories[Name],Calories[Unit]))</f>
        <v/>
      </c>
      <c r="F525" s="65" t="str">
        <f>IF(ISBLANK(Log[[#This Row],[Item]]),"",_xlfn.XLOOKUP(Log[[#This Row],[Item]],Calories[Name],Calories[Cals])*Log[[#This Row],[Qty]])</f>
        <v/>
      </c>
      <c r="G525" s="71" t="str">
        <f>IF(ISBLANK(Log[[#This Row],[Item]]),"",_xlfn.XLOOKUP(Log[[#This Row],[Item]],Calories[Name],Calories[Carbs])*Log[[#This Row],[Qty]])</f>
        <v/>
      </c>
      <c r="H525" s="71" t="str">
        <f>IF(ISBLANK(Log[[#This Row],[Item]]),"",_xlfn.XLOOKUP(Log[[#This Row],[Item]],Calories[Name],Calories[Fibre])*Log[[#This Row],[Qty]])</f>
        <v/>
      </c>
      <c r="I525" s="71" t="str">
        <f>IF(ISBLANK(Log[[#This Row],[Item]]),"",(Log[[#This Row],[Carbs]]-Log[[#This Row],[Fibre]]))</f>
        <v/>
      </c>
      <c r="J525" s="103" t="str">
        <f>IF(ISBLANK(Log[[#This Row],[Item]]),"",_xlfn.XLOOKUP(Log[[#This Row],[Item]],Calories[Name],Calories[Sodium])*Log[[#This Row],[Qty]])</f>
        <v/>
      </c>
      <c r="K525" s="71" t="str">
        <f>IF(ISBLANK(Log[[#This Row],[Item]]),"",_xlfn.XLOOKUP(Log[[#This Row],[Item]],Calories[Name],Calories[Protein])*Log[[#This Row],[Qty]])</f>
        <v/>
      </c>
      <c r="L525" s="71" t="str">
        <f>IF(ISBLANK(Log[[#This Row],[Item]]),"",_xlfn.XLOOKUP(Log[[#This Row],[Item]],Calories[Name],Calories[Chol.])*Log[[#This Row],[Qty]])</f>
        <v/>
      </c>
      <c r="M525" s="75"/>
      <c r="N525" s="75"/>
      <c r="O525" s="75"/>
    </row>
    <row r="526" spans="1:15" s="66" customFormat="1" ht="25.15" customHeight="1">
      <c r="A526" s="75"/>
      <c r="B526" s="98"/>
      <c r="C526" s="78"/>
      <c r="D526" s="79"/>
      <c r="E526" s="76" t="str">
        <f>IF(ISBLANK(Log[[#This Row],[Item]]),"",_xlfn.XLOOKUP(Log[[#This Row],[Item]],Calories[Name],Calories[Unit]))</f>
        <v/>
      </c>
      <c r="F526" s="65" t="str">
        <f>IF(ISBLANK(Log[[#This Row],[Item]]),"",_xlfn.XLOOKUP(Log[[#This Row],[Item]],Calories[Name],Calories[Cals])*Log[[#This Row],[Qty]])</f>
        <v/>
      </c>
      <c r="G526" s="71" t="str">
        <f>IF(ISBLANK(Log[[#This Row],[Item]]),"",_xlfn.XLOOKUP(Log[[#This Row],[Item]],Calories[Name],Calories[Carbs])*Log[[#This Row],[Qty]])</f>
        <v/>
      </c>
      <c r="H526" s="71" t="str">
        <f>IF(ISBLANK(Log[[#This Row],[Item]]),"",_xlfn.XLOOKUP(Log[[#This Row],[Item]],Calories[Name],Calories[Fibre])*Log[[#This Row],[Qty]])</f>
        <v/>
      </c>
      <c r="I526" s="71" t="str">
        <f>IF(ISBLANK(Log[[#This Row],[Item]]),"",(Log[[#This Row],[Carbs]]-Log[[#This Row],[Fibre]]))</f>
        <v/>
      </c>
      <c r="J526" s="103" t="str">
        <f>IF(ISBLANK(Log[[#This Row],[Item]]),"",_xlfn.XLOOKUP(Log[[#This Row],[Item]],Calories[Name],Calories[Sodium])*Log[[#This Row],[Qty]])</f>
        <v/>
      </c>
      <c r="K526" s="71" t="str">
        <f>IF(ISBLANK(Log[[#This Row],[Item]]),"",_xlfn.XLOOKUP(Log[[#This Row],[Item]],Calories[Name],Calories[Protein])*Log[[#This Row],[Qty]])</f>
        <v/>
      </c>
      <c r="L526" s="71" t="str">
        <f>IF(ISBLANK(Log[[#This Row],[Item]]),"",_xlfn.XLOOKUP(Log[[#This Row],[Item]],Calories[Name],Calories[Chol.])*Log[[#This Row],[Qty]])</f>
        <v/>
      </c>
      <c r="M526" s="75"/>
      <c r="N526" s="75"/>
      <c r="O526" s="75"/>
    </row>
    <row r="527" spans="1:15" s="66" customFormat="1" ht="25.15" customHeight="1">
      <c r="A527" s="75"/>
      <c r="B527" s="98"/>
      <c r="C527" s="78"/>
      <c r="D527" s="79"/>
      <c r="E527" s="76" t="str">
        <f>IF(ISBLANK(Log[[#This Row],[Item]]),"",_xlfn.XLOOKUP(Log[[#This Row],[Item]],Calories[Name],Calories[Unit]))</f>
        <v/>
      </c>
      <c r="F527" s="65" t="str">
        <f>IF(ISBLANK(Log[[#This Row],[Item]]),"",_xlfn.XLOOKUP(Log[[#This Row],[Item]],Calories[Name],Calories[Cals])*Log[[#This Row],[Qty]])</f>
        <v/>
      </c>
      <c r="G527" s="71" t="str">
        <f>IF(ISBLANK(Log[[#This Row],[Item]]),"",_xlfn.XLOOKUP(Log[[#This Row],[Item]],Calories[Name],Calories[Carbs])*Log[[#This Row],[Qty]])</f>
        <v/>
      </c>
      <c r="H527" s="71" t="str">
        <f>IF(ISBLANK(Log[[#This Row],[Item]]),"",_xlfn.XLOOKUP(Log[[#This Row],[Item]],Calories[Name],Calories[Fibre])*Log[[#This Row],[Qty]])</f>
        <v/>
      </c>
      <c r="I527" s="71" t="str">
        <f>IF(ISBLANK(Log[[#This Row],[Item]]),"",(Log[[#This Row],[Carbs]]-Log[[#This Row],[Fibre]]))</f>
        <v/>
      </c>
      <c r="J527" s="103" t="str">
        <f>IF(ISBLANK(Log[[#This Row],[Item]]),"",_xlfn.XLOOKUP(Log[[#This Row],[Item]],Calories[Name],Calories[Sodium])*Log[[#This Row],[Qty]])</f>
        <v/>
      </c>
      <c r="K527" s="71" t="str">
        <f>IF(ISBLANK(Log[[#This Row],[Item]]),"",_xlfn.XLOOKUP(Log[[#This Row],[Item]],Calories[Name],Calories[Protein])*Log[[#This Row],[Qty]])</f>
        <v/>
      </c>
      <c r="L527" s="71" t="str">
        <f>IF(ISBLANK(Log[[#This Row],[Item]]),"",_xlfn.XLOOKUP(Log[[#This Row],[Item]],Calories[Name],Calories[Chol.])*Log[[#This Row],[Qty]])</f>
        <v/>
      </c>
      <c r="M527" s="75"/>
      <c r="N527" s="75"/>
      <c r="O527" s="75"/>
    </row>
    <row r="528" spans="1:15" s="66" customFormat="1" ht="25.15" customHeight="1">
      <c r="A528" s="75"/>
      <c r="B528" s="98"/>
      <c r="C528" s="78"/>
      <c r="D528" s="79"/>
      <c r="E528" s="76" t="str">
        <f>IF(ISBLANK(Log[[#This Row],[Item]]),"",_xlfn.XLOOKUP(Log[[#This Row],[Item]],Calories[Name],Calories[Unit]))</f>
        <v/>
      </c>
      <c r="F528" s="65" t="str">
        <f>IF(ISBLANK(Log[[#This Row],[Item]]),"",_xlfn.XLOOKUP(Log[[#This Row],[Item]],Calories[Name],Calories[Cals])*Log[[#This Row],[Qty]])</f>
        <v/>
      </c>
      <c r="G528" s="71" t="str">
        <f>IF(ISBLANK(Log[[#This Row],[Item]]),"",_xlfn.XLOOKUP(Log[[#This Row],[Item]],Calories[Name],Calories[Carbs])*Log[[#This Row],[Qty]])</f>
        <v/>
      </c>
      <c r="H528" s="71" t="str">
        <f>IF(ISBLANK(Log[[#This Row],[Item]]),"",_xlfn.XLOOKUP(Log[[#This Row],[Item]],Calories[Name],Calories[Fibre])*Log[[#This Row],[Qty]])</f>
        <v/>
      </c>
      <c r="I528" s="71" t="str">
        <f>IF(ISBLANK(Log[[#This Row],[Item]]),"",(Log[[#This Row],[Carbs]]-Log[[#This Row],[Fibre]]))</f>
        <v/>
      </c>
      <c r="J528" s="103" t="str">
        <f>IF(ISBLANK(Log[[#This Row],[Item]]),"",_xlfn.XLOOKUP(Log[[#This Row],[Item]],Calories[Name],Calories[Sodium])*Log[[#This Row],[Qty]])</f>
        <v/>
      </c>
      <c r="K528" s="71" t="str">
        <f>IF(ISBLANK(Log[[#This Row],[Item]]),"",_xlfn.XLOOKUP(Log[[#This Row],[Item]],Calories[Name],Calories[Protein])*Log[[#This Row],[Qty]])</f>
        <v/>
      </c>
      <c r="L528" s="71" t="str">
        <f>IF(ISBLANK(Log[[#This Row],[Item]]),"",_xlfn.XLOOKUP(Log[[#This Row],[Item]],Calories[Name],Calories[Chol.])*Log[[#This Row],[Qty]])</f>
        <v/>
      </c>
      <c r="M528" s="75"/>
      <c r="N528" s="75"/>
      <c r="O528" s="75"/>
    </row>
    <row r="529" spans="1:15" s="66" customFormat="1" ht="25.15" customHeight="1">
      <c r="A529" s="75"/>
      <c r="B529" s="98"/>
      <c r="C529" s="78"/>
      <c r="D529" s="79"/>
      <c r="E529" s="76" t="str">
        <f>IF(ISBLANK(Log[[#This Row],[Item]]),"",_xlfn.XLOOKUP(Log[[#This Row],[Item]],Calories[Name],Calories[Unit]))</f>
        <v/>
      </c>
      <c r="F529" s="65" t="str">
        <f>IF(ISBLANK(Log[[#This Row],[Item]]),"",_xlfn.XLOOKUP(Log[[#This Row],[Item]],Calories[Name],Calories[Cals])*Log[[#This Row],[Qty]])</f>
        <v/>
      </c>
      <c r="G529" s="71" t="str">
        <f>IF(ISBLANK(Log[[#This Row],[Item]]),"",_xlfn.XLOOKUP(Log[[#This Row],[Item]],Calories[Name],Calories[Carbs])*Log[[#This Row],[Qty]])</f>
        <v/>
      </c>
      <c r="H529" s="71" t="str">
        <f>IF(ISBLANK(Log[[#This Row],[Item]]),"",_xlfn.XLOOKUP(Log[[#This Row],[Item]],Calories[Name],Calories[Fibre])*Log[[#This Row],[Qty]])</f>
        <v/>
      </c>
      <c r="I529" s="71" t="str">
        <f>IF(ISBLANK(Log[[#This Row],[Item]]),"",(Log[[#This Row],[Carbs]]-Log[[#This Row],[Fibre]]))</f>
        <v/>
      </c>
      <c r="J529" s="103" t="str">
        <f>IF(ISBLANK(Log[[#This Row],[Item]]),"",_xlfn.XLOOKUP(Log[[#This Row],[Item]],Calories[Name],Calories[Sodium])*Log[[#This Row],[Qty]])</f>
        <v/>
      </c>
      <c r="K529" s="71" t="str">
        <f>IF(ISBLANK(Log[[#This Row],[Item]]),"",_xlfn.XLOOKUP(Log[[#This Row],[Item]],Calories[Name],Calories[Protein])*Log[[#This Row],[Qty]])</f>
        <v/>
      </c>
      <c r="L529" s="71" t="str">
        <f>IF(ISBLANK(Log[[#This Row],[Item]]),"",_xlfn.XLOOKUP(Log[[#This Row],[Item]],Calories[Name],Calories[Chol.])*Log[[#This Row],[Qty]])</f>
        <v/>
      </c>
      <c r="M529" s="75"/>
      <c r="N529" s="75"/>
      <c r="O529" s="75"/>
    </row>
    <row r="530" spans="1:15" s="66" customFormat="1" ht="25.15" customHeight="1">
      <c r="A530" s="75"/>
      <c r="B530" s="98"/>
      <c r="C530" s="78"/>
      <c r="D530" s="79"/>
      <c r="E530" s="76" t="str">
        <f>IF(ISBLANK(Log[[#This Row],[Item]]),"",_xlfn.XLOOKUP(Log[[#This Row],[Item]],Calories[Name],Calories[Unit]))</f>
        <v/>
      </c>
      <c r="F530" s="65" t="str">
        <f>IF(ISBLANK(Log[[#This Row],[Item]]),"",_xlfn.XLOOKUP(Log[[#This Row],[Item]],Calories[Name],Calories[Cals])*Log[[#This Row],[Qty]])</f>
        <v/>
      </c>
      <c r="G530" s="71" t="str">
        <f>IF(ISBLANK(Log[[#This Row],[Item]]),"",_xlfn.XLOOKUP(Log[[#This Row],[Item]],Calories[Name],Calories[Carbs])*Log[[#This Row],[Qty]])</f>
        <v/>
      </c>
      <c r="H530" s="71" t="str">
        <f>IF(ISBLANK(Log[[#This Row],[Item]]),"",_xlfn.XLOOKUP(Log[[#This Row],[Item]],Calories[Name],Calories[Fibre])*Log[[#This Row],[Qty]])</f>
        <v/>
      </c>
      <c r="I530" s="71" t="str">
        <f>IF(ISBLANK(Log[[#This Row],[Item]]),"",(Log[[#This Row],[Carbs]]-Log[[#This Row],[Fibre]]))</f>
        <v/>
      </c>
      <c r="J530" s="103" t="str">
        <f>IF(ISBLANK(Log[[#This Row],[Item]]),"",_xlfn.XLOOKUP(Log[[#This Row],[Item]],Calories[Name],Calories[Sodium])*Log[[#This Row],[Qty]])</f>
        <v/>
      </c>
      <c r="K530" s="71" t="str">
        <f>IF(ISBLANK(Log[[#This Row],[Item]]),"",_xlfn.XLOOKUP(Log[[#This Row],[Item]],Calories[Name],Calories[Protein])*Log[[#This Row],[Qty]])</f>
        <v/>
      </c>
      <c r="L530" s="71" t="str">
        <f>IF(ISBLANK(Log[[#This Row],[Item]]),"",_xlfn.XLOOKUP(Log[[#This Row],[Item]],Calories[Name],Calories[Chol.])*Log[[#This Row],[Qty]])</f>
        <v/>
      </c>
      <c r="M530" s="75"/>
      <c r="N530" s="75"/>
      <c r="O530" s="75"/>
    </row>
    <row r="531" spans="1:15" s="66" customFormat="1" ht="25.15" customHeight="1">
      <c r="A531" s="75"/>
      <c r="B531" s="98"/>
      <c r="C531" s="78"/>
      <c r="D531" s="79"/>
      <c r="E531" s="76" t="str">
        <f>IF(ISBLANK(Log[[#This Row],[Item]]),"",_xlfn.XLOOKUP(Log[[#This Row],[Item]],Calories[Name],Calories[Unit]))</f>
        <v/>
      </c>
      <c r="F531" s="65" t="str">
        <f>IF(ISBLANK(Log[[#This Row],[Item]]),"",_xlfn.XLOOKUP(Log[[#This Row],[Item]],Calories[Name],Calories[Cals])*Log[[#This Row],[Qty]])</f>
        <v/>
      </c>
      <c r="G531" s="71" t="str">
        <f>IF(ISBLANK(Log[[#This Row],[Item]]),"",_xlfn.XLOOKUP(Log[[#This Row],[Item]],Calories[Name],Calories[Carbs])*Log[[#This Row],[Qty]])</f>
        <v/>
      </c>
      <c r="H531" s="71" t="str">
        <f>IF(ISBLANK(Log[[#This Row],[Item]]),"",_xlfn.XLOOKUP(Log[[#This Row],[Item]],Calories[Name],Calories[Fibre])*Log[[#This Row],[Qty]])</f>
        <v/>
      </c>
      <c r="I531" s="71" t="str">
        <f>IF(ISBLANK(Log[[#This Row],[Item]]),"",(Log[[#This Row],[Carbs]]-Log[[#This Row],[Fibre]]))</f>
        <v/>
      </c>
      <c r="J531" s="103" t="str">
        <f>IF(ISBLANK(Log[[#This Row],[Item]]),"",_xlfn.XLOOKUP(Log[[#This Row],[Item]],Calories[Name],Calories[Sodium])*Log[[#This Row],[Qty]])</f>
        <v/>
      </c>
      <c r="K531" s="71" t="str">
        <f>IF(ISBLANK(Log[[#This Row],[Item]]),"",_xlfn.XLOOKUP(Log[[#This Row],[Item]],Calories[Name],Calories[Protein])*Log[[#This Row],[Qty]])</f>
        <v/>
      </c>
      <c r="L531" s="71" t="str">
        <f>IF(ISBLANK(Log[[#This Row],[Item]]),"",_xlfn.XLOOKUP(Log[[#This Row],[Item]],Calories[Name],Calories[Chol.])*Log[[#This Row],[Qty]])</f>
        <v/>
      </c>
      <c r="M531" s="75"/>
      <c r="N531" s="75"/>
      <c r="O531" s="75"/>
    </row>
    <row r="532" spans="1:15" s="66" customFormat="1" ht="25.15" customHeight="1">
      <c r="A532" s="75"/>
      <c r="B532" s="98"/>
      <c r="C532" s="78"/>
      <c r="D532" s="79"/>
      <c r="E532" s="76" t="str">
        <f>IF(ISBLANK(Log[[#This Row],[Item]]),"",_xlfn.XLOOKUP(Log[[#This Row],[Item]],Calories[Name],Calories[Unit]))</f>
        <v/>
      </c>
      <c r="F532" s="65" t="str">
        <f>IF(ISBLANK(Log[[#This Row],[Item]]),"",_xlfn.XLOOKUP(Log[[#This Row],[Item]],Calories[Name],Calories[Cals])*Log[[#This Row],[Qty]])</f>
        <v/>
      </c>
      <c r="G532" s="71" t="str">
        <f>IF(ISBLANK(Log[[#This Row],[Item]]),"",_xlfn.XLOOKUP(Log[[#This Row],[Item]],Calories[Name],Calories[Carbs])*Log[[#This Row],[Qty]])</f>
        <v/>
      </c>
      <c r="H532" s="71" t="str">
        <f>IF(ISBLANK(Log[[#This Row],[Item]]),"",_xlfn.XLOOKUP(Log[[#This Row],[Item]],Calories[Name],Calories[Fibre])*Log[[#This Row],[Qty]])</f>
        <v/>
      </c>
      <c r="I532" s="71" t="str">
        <f>IF(ISBLANK(Log[[#This Row],[Item]]),"",(Log[[#This Row],[Carbs]]-Log[[#This Row],[Fibre]]))</f>
        <v/>
      </c>
      <c r="J532" s="103" t="str">
        <f>IF(ISBLANK(Log[[#This Row],[Item]]),"",_xlfn.XLOOKUP(Log[[#This Row],[Item]],Calories[Name],Calories[Sodium])*Log[[#This Row],[Qty]])</f>
        <v/>
      </c>
      <c r="K532" s="71" t="str">
        <f>IF(ISBLANK(Log[[#This Row],[Item]]),"",_xlfn.XLOOKUP(Log[[#This Row],[Item]],Calories[Name],Calories[Protein])*Log[[#This Row],[Qty]])</f>
        <v/>
      </c>
      <c r="L532" s="71" t="str">
        <f>IF(ISBLANK(Log[[#This Row],[Item]]),"",_xlfn.XLOOKUP(Log[[#This Row],[Item]],Calories[Name],Calories[Chol.])*Log[[#This Row],[Qty]])</f>
        <v/>
      </c>
      <c r="M532" s="75"/>
      <c r="N532" s="75"/>
      <c r="O532" s="75"/>
    </row>
    <row r="533" spans="1:15" s="66" customFormat="1" ht="25.15" customHeight="1">
      <c r="A533" s="75"/>
      <c r="B533" s="98"/>
      <c r="C533" s="78"/>
      <c r="D533" s="79"/>
      <c r="E533" s="76" t="str">
        <f>IF(ISBLANK(Log[[#This Row],[Item]]),"",_xlfn.XLOOKUP(Log[[#This Row],[Item]],Calories[Name],Calories[Unit]))</f>
        <v/>
      </c>
      <c r="F533" s="65" t="str">
        <f>IF(ISBLANK(Log[[#This Row],[Item]]),"",_xlfn.XLOOKUP(Log[[#This Row],[Item]],Calories[Name],Calories[Cals])*Log[[#This Row],[Qty]])</f>
        <v/>
      </c>
      <c r="G533" s="71" t="str">
        <f>IF(ISBLANK(Log[[#This Row],[Item]]),"",_xlfn.XLOOKUP(Log[[#This Row],[Item]],Calories[Name],Calories[Carbs])*Log[[#This Row],[Qty]])</f>
        <v/>
      </c>
      <c r="H533" s="71" t="str">
        <f>IF(ISBLANK(Log[[#This Row],[Item]]),"",_xlfn.XLOOKUP(Log[[#This Row],[Item]],Calories[Name],Calories[Fibre])*Log[[#This Row],[Qty]])</f>
        <v/>
      </c>
      <c r="I533" s="71" t="str">
        <f>IF(ISBLANK(Log[[#This Row],[Item]]),"",(Log[[#This Row],[Carbs]]-Log[[#This Row],[Fibre]]))</f>
        <v/>
      </c>
      <c r="J533" s="103" t="str">
        <f>IF(ISBLANK(Log[[#This Row],[Item]]),"",_xlfn.XLOOKUP(Log[[#This Row],[Item]],Calories[Name],Calories[Sodium])*Log[[#This Row],[Qty]])</f>
        <v/>
      </c>
      <c r="K533" s="71" t="str">
        <f>IF(ISBLANK(Log[[#This Row],[Item]]),"",_xlfn.XLOOKUP(Log[[#This Row],[Item]],Calories[Name],Calories[Protein])*Log[[#This Row],[Qty]])</f>
        <v/>
      </c>
      <c r="L533" s="71" t="str">
        <f>IF(ISBLANK(Log[[#This Row],[Item]]),"",_xlfn.XLOOKUP(Log[[#This Row],[Item]],Calories[Name],Calories[Chol.])*Log[[#This Row],[Qty]])</f>
        <v/>
      </c>
      <c r="M533" s="75"/>
      <c r="N533" s="75"/>
      <c r="O533" s="75"/>
    </row>
    <row r="534" spans="1:15" s="66" customFormat="1" ht="25.15" customHeight="1">
      <c r="A534" s="75"/>
      <c r="B534" s="98"/>
      <c r="C534" s="78"/>
      <c r="D534" s="79"/>
      <c r="E534" s="76" t="str">
        <f>IF(ISBLANK(Log[[#This Row],[Item]]),"",_xlfn.XLOOKUP(Log[[#This Row],[Item]],Calories[Name],Calories[Unit]))</f>
        <v/>
      </c>
      <c r="F534" s="65" t="str">
        <f>IF(ISBLANK(Log[[#This Row],[Item]]),"",_xlfn.XLOOKUP(Log[[#This Row],[Item]],Calories[Name],Calories[Cals])*Log[[#This Row],[Qty]])</f>
        <v/>
      </c>
      <c r="G534" s="71" t="str">
        <f>IF(ISBLANK(Log[[#This Row],[Item]]),"",_xlfn.XLOOKUP(Log[[#This Row],[Item]],Calories[Name],Calories[Carbs])*Log[[#This Row],[Qty]])</f>
        <v/>
      </c>
      <c r="H534" s="71" t="str">
        <f>IF(ISBLANK(Log[[#This Row],[Item]]),"",_xlfn.XLOOKUP(Log[[#This Row],[Item]],Calories[Name],Calories[Fibre])*Log[[#This Row],[Qty]])</f>
        <v/>
      </c>
      <c r="I534" s="71" t="str">
        <f>IF(ISBLANK(Log[[#This Row],[Item]]),"",(Log[[#This Row],[Carbs]]-Log[[#This Row],[Fibre]]))</f>
        <v/>
      </c>
      <c r="J534" s="103" t="str">
        <f>IF(ISBLANK(Log[[#This Row],[Item]]),"",_xlfn.XLOOKUP(Log[[#This Row],[Item]],Calories[Name],Calories[Sodium])*Log[[#This Row],[Qty]])</f>
        <v/>
      </c>
      <c r="K534" s="71" t="str">
        <f>IF(ISBLANK(Log[[#This Row],[Item]]),"",_xlfn.XLOOKUP(Log[[#This Row],[Item]],Calories[Name],Calories[Protein])*Log[[#This Row],[Qty]])</f>
        <v/>
      </c>
      <c r="L534" s="71" t="str">
        <f>IF(ISBLANK(Log[[#This Row],[Item]]),"",_xlfn.XLOOKUP(Log[[#This Row],[Item]],Calories[Name],Calories[Chol.])*Log[[#This Row],[Qty]])</f>
        <v/>
      </c>
      <c r="M534" s="75"/>
      <c r="N534" s="75"/>
      <c r="O534" s="75"/>
    </row>
    <row r="535" spans="1:15" s="66" customFormat="1" ht="25.15" customHeight="1">
      <c r="A535" s="75"/>
      <c r="B535" s="98"/>
      <c r="C535" s="78"/>
      <c r="D535" s="79"/>
      <c r="E535" s="76" t="str">
        <f>IF(ISBLANK(Log[[#This Row],[Item]]),"",_xlfn.XLOOKUP(Log[[#This Row],[Item]],Calories[Name],Calories[Unit]))</f>
        <v/>
      </c>
      <c r="F535" s="65" t="str">
        <f>IF(ISBLANK(Log[[#This Row],[Item]]),"",_xlfn.XLOOKUP(Log[[#This Row],[Item]],Calories[Name],Calories[Cals])*Log[[#This Row],[Qty]])</f>
        <v/>
      </c>
      <c r="G535" s="71" t="str">
        <f>IF(ISBLANK(Log[[#This Row],[Item]]),"",_xlfn.XLOOKUP(Log[[#This Row],[Item]],Calories[Name],Calories[Carbs])*Log[[#This Row],[Qty]])</f>
        <v/>
      </c>
      <c r="H535" s="71" t="str">
        <f>IF(ISBLANK(Log[[#This Row],[Item]]),"",_xlfn.XLOOKUP(Log[[#This Row],[Item]],Calories[Name],Calories[Fibre])*Log[[#This Row],[Qty]])</f>
        <v/>
      </c>
      <c r="I535" s="71" t="str">
        <f>IF(ISBLANK(Log[[#This Row],[Item]]),"",(Log[[#This Row],[Carbs]]-Log[[#This Row],[Fibre]]))</f>
        <v/>
      </c>
      <c r="J535" s="103" t="str">
        <f>IF(ISBLANK(Log[[#This Row],[Item]]),"",_xlfn.XLOOKUP(Log[[#This Row],[Item]],Calories[Name],Calories[Sodium])*Log[[#This Row],[Qty]])</f>
        <v/>
      </c>
      <c r="K535" s="71" t="str">
        <f>IF(ISBLANK(Log[[#This Row],[Item]]),"",_xlfn.XLOOKUP(Log[[#This Row],[Item]],Calories[Name],Calories[Protein])*Log[[#This Row],[Qty]])</f>
        <v/>
      </c>
      <c r="L535" s="71" t="str">
        <f>IF(ISBLANK(Log[[#This Row],[Item]]),"",_xlfn.XLOOKUP(Log[[#This Row],[Item]],Calories[Name],Calories[Chol.])*Log[[#This Row],[Qty]])</f>
        <v/>
      </c>
      <c r="M535" s="75"/>
      <c r="N535" s="75"/>
      <c r="O535" s="75"/>
    </row>
    <row r="536" spans="1:15" s="66" customFormat="1" ht="25.15" customHeight="1">
      <c r="A536" s="75"/>
      <c r="B536" s="98"/>
      <c r="C536" s="78"/>
      <c r="D536" s="79"/>
      <c r="E536" s="76" t="str">
        <f>IF(ISBLANK(Log[[#This Row],[Item]]),"",_xlfn.XLOOKUP(Log[[#This Row],[Item]],Calories[Name],Calories[Unit]))</f>
        <v/>
      </c>
      <c r="F536" s="65" t="str">
        <f>IF(ISBLANK(Log[[#This Row],[Item]]),"",_xlfn.XLOOKUP(Log[[#This Row],[Item]],Calories[Name],Calories[Cals])*Log[[#This Row],[Qty]])</f>
        <v/>
      </c>
      <c r="G536" s="71" t="str">
        <f>IF(ISBLANK(Log[[#This Row],[Item]]),"",_xlfn.XLOOKUP(Log[[#This Row],[Item]],Calories[Name],Calories[Carbs])*Log[[#This Row],[Qty]])</f>
        <v/>
      </c>
      <c r="H536" s="71" t="str">
        <f>IF(ISBLANK(Log[[#This Row],[Item]]),"",_xlfn.XLOOKUP(Log[[#This Row],[Item]],Calories[Name],Calories[Fibre])*Log[[#This Row],[Qty]])</f>
        <v/>
      </c>
      <c r="I536" s="71" t="str">
        <f>IF(ISBLANK(Log[[#This Row],[Item]]),"",(Log[[#This Row],[Carbs]]-Log[[#This Row],[Fibre]]))</f>
        <v/>
      </c>
      <c r="J536" s="103" t="str">
        <f>IF(ISBLANK(Log[[#This Row],[Item]]),"",_xlfn.XLOOKUP(Log[[#This Row],[Item]],Calories[Name],Calories[Sodium])*Log[[#This Row],[Qty]])</f>
        <v/>
      </c>
      <c r="K536" s="71" t="str">
        <f>IF(ISBLANK(Log[[#This Row],[Item]]),"",_xlfn.XLOOKUP(Log[[#This Row],[Item]],Calories[Name],Calories[Protein])*Log[[#This Row],[Qty]])</f>
        <v/>
      </c>
      <c r="L536" s="71" t="str">
        <f>IF(ISBLANK(Log[[#This Row],[Item]]),"",_xlfn.XLOOKUP(Log[[#This Row],[Item]],Calories[Name],Calories[Chol.])*Log[[#This Row],[Qty]])</f>
        <v/>
      </c>
      <c r="M536" s="75"/>
      <c r="N536" s="75"/>
      <c r="O536" s="75"/>
    </row>
    <row r="537" spans="1:15" s="66" customFormat="1" ht="25.15" customHeight="1">
      <c r="A537" s="75"/>
      <c r="B537" s="98"/>
      <c r="C537" s="78"/>
      <c r="D537" s="79"/>
      <c r="E537" s="76" t="str">
        <f>IF(ISBLANK(Log[[#This Row],[Item]]),"",_xlfn.XLOOKUP(Log[[#This Row],[Item]],Calories[Name],Calories[Unit]))</f>
        <v/>
      </c>
      <c r="F537" s="65" t="str">
        <f>IF(ISBLANK(Log[[#This Row],[Item]]),"",_xlfn.XLOOKUP(Log[[#This Row],[Item]],Calories[Name],Calories[Cals])*Log[[#This Row],[Qty]])</f>
        <v/>
      </c>
      <c r="G537" s="71" t="str">
        <f>IF(ISBLANK(Log[[#This Row],[Item]]),"",_xlfn.XLOOKUP(Log[[#This Row],[Item]],Calories[Name],Calories[Carbs])*Log[[#This Row],[Qty]])</f>
        <v/>
      </c>
      <c r="H537" s="71" t="str">
        <f>IF(ISBLANK(Log[[#This Row],[Item]]),"",_xlfn.XLOOKUP(Log[[#This Row],[Item]],Calories[Name],Calories[Fibre])*Log[[#This Row],[Qty]])</f>
        <v/>
      </c>
      <c r="I537" s="71" t="str">
        <f>IF(ISBLANK(Log[[#This Row],[Item]]),"",(Log[[#This Row],[Carbs]]-Log[[#This Row],[Fibre]]))</f>
        <v/>
      </c>
      <c r="J537" s="103" t="str">
        <f>IF(ISBLANK(Log[[#This Row],[Item]]),"",_xlfn.XLOOKUP(Log[[#This Row],[Item]],Calories[Name],Calories[Sodium])*Log[[#This Row],[Qty]])</f>
        <v/>
      </c>
      <c r="K537" s="71" t="str">
        <f>IF(ISBLANK(Log[[#This Row],[Item]]),"",_xlfn.XLOOKUP(Log[[#This Row],[Item]],Calories[Name],Calories[Protein])*Log[[#This Row],[Qty]])</f>
        <v/>
      </c>
      <c r="L537" s="71" t="str">
        <f>IF(ISBLANK(Log[[#This Row],[Item]]),"",_xlfn.XLOOKUP(Log[[#This Row],[Item]],Calories[Name],Calories[Chol.])*Log[[#This Row],[Qty]])</f>
        <v/>
      </c>
      <c r="M537" s="75"/>
      <c r="N537" s="75"/>
      <c r="O537" s="75"/>
    </row>
    <row r="538" spans="1:15" s="66" customFormat="1" ht="25.15" customHeight="1">
      <c r="A538" s="75"/>
      <c r="B538" s="98"/>
      <c r="C538" s="78"/>
      <c r="D538" s="79"/>
      <c r="E538" s="76" t="str">
        <f>IF(ISBLANK(Log[[#This Row],[Item]]),"",_xlfn.XLOOKUP(Log[[#This Row],[Item]],Calories[Name],Calories[Unit]))</f>
        <v/>
      </c>
      <c r="F538" s="65" t="str">
        <f>IF(ISBLANK(Log[[#This Row],[Item]]),"",_xlfn.XLOOKUP(Log[[#This Row],[Item]],Calories[Name],Calories[Cals])*Log[[#This Row],[Qty]])</f>
        <v/>
      </c>
      <c r="G538" s="71" t="str">
        <f>IF(ISBLANK(Log[[#This Row],[Item]]),"",_xlfn.XLOOKUP(Log[[#This Row],[Item]],Calories[Name],Calories[Carbs])*Log[[#This Row],[Qty]])</f>
        <v/>
      </c>
      <c r="H538" s="71" t="str">
        <f>IF(ISBLANK(Log[[#This Row],[Item]]),"",_xlfn.XLOOKUP(Log[[#This Row],[Item]],Calories[Name],Calories[Fibre])*Log[[#This Row],[Qty]])</f>
        <v/>
      </c>
      <c r="I538" s="71" t="str">
        <f>IF(ISBLANK(Log[[#This Row],[Item]]),"",(Log[[#This Row],[Carbs]]-Log[[#This Row],[Fibre]]))</f>
        <v/>
      </c>
      <c r="J538" s="103" t="str">
        <f>IF(ISBLANK(Log[[#This Row],[Item]]),"",_xlfn.XLOOKUP(Log[[#This Row],[Item]],Calories[Name],Calories[Sodium])*Log[[#This Row],[Qty]])</f>
        <v/>
      </c>
      <c r="K538" s="71" t="str">
        <f>IF(ISBLANK(Log[[#This Row],[Item]]),"",_xlfn.XLOOKUP(Log[[#This Row],[Item]],Calories[Name],Calories[Protein])*Log[[#This Row],[Qty]])</f>
        <v/>
      </c>
      <c r="L538" s="71" t="str">
        <f>IF(ISBLANK(Log[[#This Row],[Item]]),"",_xlfn.XLOOKUP(Log[[#This Row],[Item]],Calories[Name],Calories[Chol.])*Log[[#This Row],[Qty]])</f>
        <v/>
      </c>
      <c r="M538" s="75"/>
      <c r="N538" s="75"/>
      <c r="O538" s="75"/>
    </row>
    <row r="539" spans="1:15" s="66" customFormat="1" ht="25.15" customHeight="1">
      <c r="A539" s="75"/>
      <c r="B539" s="98"/>
      <c r="C539" s="78"/>
      <c r="D539" s="79"/>
      <c r="E539" s="76" t="str">
        <f>IF(ISBLANK(Log[[#This Row],[Item]]),"",_xlfn.XLOOKUP(Log[[#This Row],[Item]],Calories[Name],Calories[Unit]))</f>
        <v/>
      </c>
      <c r="F539" s="65" t="str">
        <f>IF(ISBLANK(Log[[#This Row],[Item]]),"",_xlfn.XLOOKUP(Log[[#This Row],[Item]],Calories[Name],Calories[Cals])*Log[[#This Row],[Qty]])</f>
        <v/>
      </c>
      <c r="G539" s="71" t="str">
        <f>IF(ISBLANK(Log[[#This Row],[Item]]),"",_xlfn.XLOOKUP(Log[[#This Row],[Item]],Calories[Name],Calories[Carbs])*Log[[#This Row],[Qty]])</f>
        <v/>
      </c>
      <c r="H539" s="71" t="str">
        <f>IF(ISBLANK(Log[[#This Row],[Item]]),"",_xlfn.XLOOKUP(Log[[#This Row],[Item]],Calories[Name],Calories[Fibre])*Log[[#This Row],[Qty]])</f>
        <v/>
      </c>
      <c r="I539" s="71" t="str">
        <f>IF(ISBLANK(Log[[#This Row],[Item]]),"",(Log[[#This Row],[Carbs]]-Log[[#This Row],[Fibre]]))</f>
        <v/>
      </c>
      <c r="J539" s="103" t="str">
        <f>IF(ISBLANK(Log[[#This Row],[Item]]),"",_xlfn.XLOOKUP(Log[[#This Row],[Item]],Calories[Name],Calories[Sodium])*Log[[#This Row],[Qty]])</f>
        <v/>
      </c>
      <c r="K539" s="71" t="str">
        <f>IF(ISBLANK(Log[[#This Row],[Item]]),"",_xlfn.XLOOKUP(Log[[#This Row],[Item]],Calories[Name],Calories[Protein])*Log[[#This Row],[Qty]])</f>
        <v/>
      </c>
      <c r="L539" s="71" t="str">
        <f>IF(ISBLANK(Log[[#This Row],[Item]]),"",_xlfn.XLOOKUP(Log[[#This Row],[Item]],Calories[Name],Calories[Chol.])*Log[[#This Row],[Qty]])</f>
        <v/>
      </c>
      <c r="M539" s="75"/>
      <c r="N539" s="75"/>
      <c r="O539" s="75"/>
    </row>
    <row r="540" spans="1:15" s="66" customFormat="1" ht="25.15" customHeight="1">
      <c r="A540" s="75"/>
      <c r="B540" s="98"/>
      <c r="C540" s="78"/>
      <c r="D540" s="79"/>
      <c r="E540" s="76" t="str">
        <f>IF(ISBLANK(Log[[#This Row],[Item]]),"",_xlfn.XLOOKUP(Log[[#This Row],[Item]],Calories[Name],Calories[Unit]))</f>
        <v/>
      </c>
      <c r="F540" s="65" t="str">
        <f>IF(ISBLANK(Log[[#This Row],[Item]]),"",_xlfn.XLOOKUP(Log[[#This Row],[Item]],Calories[Name],Calories[Cals])*Log[[#This Row],[Qty]])</f>
        <v/>
      </c>
      <c r="G540" s="71" t="str">
        <f>IF(ISBLANK(Log[[#This Row],[Item]]),"",_xlfn.XLOOKUP(Log[[#This Row],[Item]],Calories[Name],Calories[Carbs])*Log[[#This Row],[Qty]])</f>
        <v/>
      </c>
      <c r="H540" s="71" t="str">
        <f>IF(ISBLANK(Log[[#This Row],[Item]]),"",_xlfn.XLOOKUP(Log[[#This Row],[Item]],Calories[Name],Calories[Fibre])*Log[[#This Row],[Qty]])</f>
        <v/>
      </c>
      <c r="I540" s="71" t="str">
        <f>IF(ISBLANK(Log[[#This Row],[Item]]),"",(Log[[#This Row],[Carbs]]-Log[[#This Row],[Fibre]]))</f>
        <v/>
      </c>
      <c r="J540" s="103" t="str">
        <f>IF(ISBLANK(Log[[#This Row],[Item]]),"",_xlfn.XLOOKUP(Log[[#This Row],[Item]],Calories[Name],Calories[Sodium])*Log[[#This Row],[Qty]])</f>
        <v/>
      </c>
      <c r="K540" s="71" t="str">
        <f>IF(ISBLANK(Log[[#This Row],[Item]]),"",_xlfn.XLOOKUP(Log[[#This Row],[Item]],Calories[Name],Calories[Protein])*Log[[#This Row],[Qty]])</f>
        <v/>
      </c>
      <c r="L540" s="71" t="str">
        <f>IF(ISBLANK(Log[[#This Row],[Item]]),"",_xlfn.XLOOKUP(Log[[#This Row],[Item]],Calories[Name],Calories[Chol.])*Log[[#This Row],[Qty]])</f>
        <v/>
      </c>
      <c r="M540" s="75"/>
      <c r="N540" s="75"/>
      <c r="O540" s="75"/>
    </row>
    <row r="541" spans="1:15" s="66" customFormat="1" ht="25.15" customHeight="1">
      <c r="A541" s="75"/>
      <c r="B541" s="98"/>
      <c r="C541" s="78"/>
      <c r="D541" s="79"/>
      <c r="E541" s="76" t="str">
        <f>IF(ISBLANK(Log[[#This Row],[Item]]),"",_xlfn.XLOOKUP(Log[[#This Row],[Item]],Calories[Name],Calories[Unit]))</f>
        <v/>
      </c>
      <c r="F541" s="65" t="str">
        <f>IF(ISBLANK(Log[[#This Row],[Item]]),"",_xlfn.XLOOKUP(Log[[#This Row],[Item]],Calories[Name],Calories[Cals])*Log[[#This Row],[Qty]])</f>
        <v/>
      </c>
      <c r="G541" s="71" t="str">
        <f>IF(ISBLANK(Log[[#This Row],[Item]]),"",_xlfn.XLOOKUP(Log[[#This Row],[Item]],Calories[Name],Calories[Carbs])*Log[[#This Row],[Qty]])</f>
        <v/>
      </c>
      <c r="H541" s="71" t="str">
        <f>IF(ISBLANK(Log[[#This Row],[Item]]),"",_xlfn.XLOOKUP(Log[[#This Row],[Item]],Calories[Name],Calories[Fibre])*Log[[#This Row],[Qty]])</f>
        <v/>
      </c>
      <c r="I541" s="71" t="str">
        <f>IF(ISBLANK(Log[[#This Row],[Item]]),"",(Log[[#This Row],[Carbs]]-Log[[#This Row],[Fibre]]))</f>
        <v/>
      </c>
      <c r="J541" s="103" t="str">
        <f>IF(ISBLANK(Log[[#This Row],[Item]]),"",_xlfn.XLOOKUP(Log[[#This Row],[Item]],Calories[Name],Calories[Sodium])*Log[[#This Row],[Qty]])</f>
        <v/>
      </c>
      <c r="K541" s="71" t="str">
        <f>IF(ISBLANK(Log[[#This Row],[Item]]),"",_xlfn.XLOOKUP(Log[[#This Row],[Item]],Calories[Name],Calories[Protein])*Log[[#This Row],[Qty]])</f>
        <v/>
      </c>
      <c r="L541" s="71" t="str">
        <f>IF(ISBLANK(Log[[#This Row],[Item]]),"",_xlfn.XLOOKUP(Log[[#This Row],[Item]],Calories[Name],Calories[Chol.])*Log[[#This Row],[Qty]])</f>
        <v/>
      </c>
      <c r="M541" s="75"/>
      <c r="N541" s="75"/>
      <c r="O541" s="75"/>
    </row>
    <row r="542" spans="1:15" s="66" customFormat="1" ht="25.15" customHeight="1">
      <c r="A542" s="75"/>
      <c r="B542" s="98"/>
      <c r="C542" s="78"/>
      <c r="D542" s="79"/>
      <c r="E542" s="76" t="str">
        <f>IF(ISBLANK(Log[[#This Row],[Item]]),"",_xlfn.XLOOKUP(Log[[#This Row],[Item]],Calories[Name],Calories[Unit]))</f>
        <v/>
      </c>
      <c r="F542" s="65" t="str">
        <f>IF(ISBLANK(Log[[#This Row],[Item]]),"",_xlfn.XLOOKUP(Log[[#This Row],[Item]],Calories[Name],Calories[Cals])*Log[[#This Row],[Qty]])</f>
        <v/>
      </c>
      <c r="G542" s="71" t="str">
        <f>IF(ISBLANK(Log[[#This Row],[Item]]),"",_xlfn.XLOOKUP(Log[[#This Row],[Item]],Calories[Name],Calories[Carbs])*Log[[#This Row],[Qty]])</f>
        <v/>
      </c>
      <c r="H542" s="71" t="str">
        <f>IF(ISBLANK(Log[[#This Row],[Item]]),"",_xlfn.XLOOKUP(Log[[#This Row],[Item]],Calories[Name],Calories[Fibre])*Log[[#This Row],[Qty]])</f>
        <v/>
      </c>
      <c r="I542" s="71" t="str">
        <f>IF(ISBLANK(Log[[#This Row],[Item]]),"",(Log[[#This Row],[Carbs]]-Log[[#This Row],[Fibre]]))</f>
        <v/>
      </c>
      <c r="J542" s="103" t="str">
        <f>IF(ISBLANK(Log[[#This Row],[Item]]),"",_xlfn.XLOOKUP(Log[[#This Row],[Item]],Calories[Name],Calories[Sodium])*Log[[#This Row],[Qty]])</f>
        <v/>
      </c>
      <c r="K542" s="71" t="str">
        <f>IF(ISBLANK(Log[[#This Row],[Item]]),"",_xlfn.XLOOKUP(Log[[#This Row],[Item]],Calories[Name],Calories[Protein])*Log[[#This Row],[Qty]])</f>
        <v/>
      </c>
      <c r="L542" s="71" t="str">
        <f>IF(ISBLANK(Log[[#This Row],[Item]]),"",_xlfn.XLOOKUP(Log[[#This Row],[Item]],Calories[Name],Calories[Chol.])*Log[[#This Row],[Qty]])</f>
        <v/>
      </c>
      <c r="M542" s="75"/>
      <c r="N542" s="75"/>
      <c r="O542" s="75"/>
    </row>
    <row r="543" spans="1:15" s="66" customFormat="1" ht="25.15" customHeight="1">
      <c r="A543" s="75"/>
      <c r="B543" s="98"/>
      <c r="C543" s="78"/>
      <c r="D543" s="79"/>
      <c r="E543" s="76" t="str">
        <f>IF(ISBLANK(Log[[#This Row],[Item]]),"",_xlfn.XLOOKUP(Log[[#This Row],[Item]],Calories[Name],Calories[Unit]))</f>
        <v/>
      </c>
      <c r="F543" s="65" t="str">
        <f>IF(ISBLANK(Log[[#This Row],[Item]]),"",_xlfn.XLOOKUP(Log[[#This Row],[Item]],Calories[Name],Calories[Cals])*Log[[#This Row],[Qty]])</f>
        <v/>
      </c>
      <c r="G543" s="71" t="str">
        <f>IF(ISBLANK(Log[[#This Row],[Item]]),"",_xlfn.XLOOKUP(Log[[#This Row],[Item]],Calories[Name],Calories[Carbs])*Log[[#This Row],[Qty]])</f>
        <v/>
      </c>
      <c r="H543" s="71" t="str">
        <f>IF(ISBLANK(Log[[#This Row],[Item]]),"",_xlfn.XLOOKUP(Log[[#This Row],[Item]],Calories[Name],Calories[Fibre])*Log[[#This Row],[Qty]])</f>
        <v/>
      </c>
      <c r="I543" s="71" t="str">
        <f>IF(ISBLANK(Log[[#This Row],[Item]]),"",(Log[[#This Row],[Carbs]]-Log[[#This Row],[Fibre]]))</f>
        <v/>
      </c>
      <c r="J543" s="103" t="str">
        <f>IF(ISBLANK(Log[[#This Row],[Item]]),"",_xlfn.XLOOKUP(Log[[#This Row],[Item]],Calories[Name],Calories[Sodium])*Log[[#This Row],[Qty]])</f>
        <v/>
      </c>
      <c r="K543" s="71" t="str">
        <f>IF(ISBLANK(Log[[#This Row],[Item]]),"",_xlfn.XLOOKUP(Log[[#This Row],[Item]],Calories[Name],Calories[Protein])*Log[[#This Row],[Qty]])</f>
        <v/>
      </c>
      <c r="L543" s="71" t="str">
        <f>IF(ISBLANK(Log[[#This Row],[Item]]),"",_xlfn.XLOOKUP(Log[[#This Row],[Item]],Calories[Name],Calories[Chol.])*Log[[#This Row],[Qty]])</f>
        <v/>
      </c>
      <c r="M543" s="75"/>
      <c r="N543" s="75"/>
      <c r="O543" s="75"/>
    </row>
    <row r="544" spans="1:15" s="66" customFormat="1" ht="25.15" customHeight="1">
      <c r="A544" s="75"/>
      <c r="B544" s="98"/>
      <c r="C544" s="78"/>
      <c r="D544" s="79"/>
      <c r="E544" s="76" t="str">
        <f>IF(ISBLANK(Log[[#This Row],[Item]]),"",_xlfn.XLOOKUP(Log[[#This Row],[Item]],Calories[Name],Calories[Unit]))</f>
        <v/>
      </c>
      <c r="F544" s="65" t="str">
        <f>IF(ISBLANK(Log[[#This Row],[Item]]),"",_xlfn.XLOOKUP(Log[[#This Row],[Item]],Calories[Name],Calories[Cals])*Log[[#This Row],[Qty]])</f>
        <v/>
      </c>
      <c r="G544" s="71" t="str">
        <f>IF(ISBLANK(Log[[#This Row],[Item]]),"",_xlfn.XLOOKUP(Log[[#This Row],[Item]],Calories[Name],Calories[Carbs])*Log[[#This Row],[Qty]])</f>
        <v/>
      </c>
      <c r="H544" s="71" t="str">
        <f>IF(ISBLANK(Log[[#This Row],[Item]]),"",_xlfn.XLOOKUP(Log[[#This Row],[Item]],Calories[Name],Calories[Fibre])*Log[[#This Row],[Qty]])</f>
        <v/>
      </c>
      <c r="I544" s="71" t="str">
        <f>IF(ISBLANK(Log[[#This Row],[Item]]),"",(Log[[#This Row],[Carbs]]-Log[[#This Row],[Fibre]]))</f>
        <v/>
      </c>
      <c r="J544" s="103" t="str">
        <f>IF(ISBLANK(Log[[#This Row],[Item]]),"",_xlfn.XLOOKUP(Log[[#This Row],[Item]],Calories[Name],Calories[Sodium])*Log[[#This Row],[Qty]])</f>
        <v/>
      </c>
      <c r="K544" s="71" t="str">
        <f>IF(ISBLANK(Log[[#This Row],[Item]]),"",_xlfn.XLOOKUP(Log[[#This Row],[Item]],Calories[Name],Calories[Protein])*Log[[#This Row],[Qty]])</f>
        <v/>
      </c>
      <c r="L544" s="71" t="str">
        <f>IF(ISBLANK(Log[[#This Row],[Item]]),"",_xlfn.XLOOKUP(Log[[#This Row],[Item]],Calories[Name],Calories[Chol.])*Log[[#This Row],[Qty]])</f>
        <v/>
      </c>
      <c r="M544" s="75"/>
      <c r="N544" s="75"/>
      <c r="O544" s="75"/>
    </row>
    <row r="545" spans="1:15" s="66" customFormat="1" ht="25.15" customHeight="1">
      <c r="A545" s="75"/>
      <c r="B545" s="98"/>
      <c r="C545" s="78"/>
      <c r="D545" s="79"/>
      <c r="E545" s="76" t="str">
        <f>IF(ISBLANK(Log[[#This Row],[Item]]),"",_xlfn.XLOOKUP(Log[[#This Row],[Item]],Calories[Name],Calories[Unit]))</f>
        <v/>
      </c>
      <c r="F545" s="65" t="str">
        <f>IF(ISBLANK(Log[[#This Row],[Item]]),"",_xlfn.XLOOKUP(Log[[#This Row],[Item]],Calories[Name],Calories[Cals])*Log[[#This Row],[Qty]])</f>
        <v/>
      </c>
      <c r="G545" s="71" t="str">
        <f>IF(ISBLANK(Log[[#This Row],[Item]]),"",_xlfn.XLOOKUP(Log[[#This Row],[Item]],Calories[Name],Calories[Carbs])*Log[[#This Row],[Qty]])</f>
        <v/>
      </c>
      <c r="H545" s="71" t="str">
        <f>IF(ISBLANK(Log[[#This Row],[Item]]),"",_xlfn.XLOOKUP(Log[[#This Row],[Item]],Calories[Name],Calories[Fibre])*Log[[#This Row],[Qty]])</f>
        <v/>
      </c>
      <c r="I545" s="71" t="str">
        <f>IF(ISBLANK(Log[[#This Row],[Item]]),"",(Log[[#This Row],[Carbs]]-Log[[#This Row],[Fibre]]))</f>
        <v/>
      </c>
      <c r="J545" s="103" t="str">
        <f>IF(ISBLANK(Log[[#This Row],[Item]]),"",_xlfn.XLOOKUP(Log[[#This Row],[Item]],Calories[Name],Calories[Sodium])*Log[[#This Row],[Qty]])</f>
        <v/>
      </c>
      <c r="K545" s="71" t="str">
        <f>IF(ISBLANK(Log[[#This Row],[Item]]),"",_xlfn.XLOOKUP(Log[[#This Row],[Item]],Calories[Name],Calories[Protein])*Log[[#This Row],[Qty]])</f>
        <v/>
      </c>
      <c r="L545" s="71" t="str">
        <f>IF(ISBLANK(Log[[#This Row],[Item]]),"",_xlfn.XLOOKUP(Log[[#This Row],[Item]],Calories[Name],Calories[Chol.])*Log[[#This Row],[Qty]])</f>
        <v/>
      </c>
      <c r="M545" s="75"/>
      <c r="N545" s="75"/>
      <c r="O545" s="75"/>
    </row>
    <row r="546" spans="1:15" s="66" customFormat="1" ht="25.15" customHeight="1">
      <c r="A546" s="75"/>
      <c r="B546" s="98"/>
      <c r="C546" s="78"/>
      <c r="D546" s="79"/>
      <c r="E546" s="76" t="str">
        <f>IF(ISBLANK(Log[[#This Row],[Item]]),"",_xlfn.XLOOKUP(Log[[#This Row],[Item]],Calories[Name],Calories[Unit]))</f>
        <v/>
      </c>
      <c r="F546" s="65" t="str">
        <f>IF(ISBLANK(Log[[#This Row],[Item]]),"",_xlfn.XLOOKUP(Log[[#This Row],[Item]],Calories[Name],Calories[Cals])*Log[[#This Row],[Qty]])</f>
        <v/>
      </c>
      <c r="G546" s="71" t="str">
        <f>IF(ISBLANK(Log[[#This Row],[Item]]),"",_xlfn.XLOOKUP(Log[[#This Row],[Item]],Calories[Name],Calories[Carbs])*Log[[#This Row],[Qty]])</f>
        <v/>
      </c>
      <c r="H546" s="71" t="str">
        <f>IF(ISBLANK(Log[[#This Row],[Item]]),"",_xlfn.XLOOKUP(Log[[#This Row],[Item]],Calories[Name],Calories[Fibre])*Log[[#This Row],[Qty]])</f>
        <v/>
      </c>
      <c r="I546" s="71" t="str">
        <f>IF(ISBLANK(Log[[#This Row],[Item]]),"",(Log[[#This Row],[Carbs]]-Log[[#This Row],[Fibre]]))</f>
        <v/>
      </c>
      <c r="J546" s="103" t="str">
        <f>IF(ISBLANK(Log[[#This Row],[Item]]),"",_xlfn.XLOOKUP(Log[[#This Row],[Item]],Calories[Name],Calories[Sodium])*Log[[#This Row],[Qty]])</f>
        <v/>
      </c>
      <c r="K546" s="71" t="str">
        <f>IF(ISBLANK(Log[[#This Row],[Item]]),"",_xlfn.XLOOKUP(Log[[#This Row],[Item]],Calories[Name],Calories[Protein])*Log[[#This Row],[Qty]])</f>
        <v/>
      </c>
      <c r="L546" s="71" t="str">
        <f>IF(ISBLANK(Log[[#This Row],[Item]]),"",_xlfn.XLOOKUP(Log[[#This Row],[Item]],Calories[Name],Calories[Chol.])*Log[[#This Row],[Qty]])</f>
        <v/>
      </c>
      <c r="M546" s="75"/>
      <c r="N546" s="75"/>
      <c r="O546" s="75"/>
    </row>
    <row r="547" spans="1:15" s="66" customFormat="1" ht="25.15" customHeight="1">
      <c r="A547" s="75"/>
      <c r="B547" s="98"/>
      <c r="C547" s="78"/>
      <c r="D547" s="79"/>
      <c r="E547" s="76" t="str">
        <f>IF(ISBLANK(Log[[#This Row],[Item]]),"",_xlfn.XLOOKUP(Log[[#This Row],[Item]],Calories[Name],Calories[Unit]))</f>
        <v/>
      </c>
      <c r="F547" s="65" t="str">
        <f>IF(ISBLANK(Log[[#This Row],[Item]]),"",_xlfn.XLOOKUP(Log[[#This Row],[Item]],Calories[Name],Calories[Cals])*Log[[#This Row],[Qty]])</f>
        <v/>
      </c>
      <c r="G547" s="71" t="str">
        <f>IF(ISBLANK(Log[[#This Row],[Item]]),"",_xlfn.XLOOKUP(Log[[#This Row],[Item]],Calories[Name],Calories[Carbs])*Log[[#This Row],[Qty]])</f>
        <v/>
      </c>
      <c r="H547" s="71" t="str">
        <f>IF(ISBLANK(Log[[#This Row],[Item]]),"",_xlfn.XLOOKUP(Log[[#This Row],[Item]],Calories[Name],Calories[Fibre])*Log[[#This Row],[Qty]])</f>
        <v/>
      </c>
      <c r="I547" s="71" t="str">
        <f>IF(ISBLANK(Log[[#This Row],[Item]]),"",(Log[[#This Row],[Carbs]]-Log[[#This Row],[Fibre]]))</f>
        <v/>
      </c>
      <c r="J547" s="103" t="str">
        <f>IF(ISBLANK(Log[[#This Row],[Item]]),"",_xlfn.XLOOKUP(Log[[#This Row],[Item]],Calories[Name],Calories[Sodium])*Log[[#This Row],[Qty]])</f>
        <v/>
      </c>
      <c r="K547" s="71" t="str">
        <f>IF(ISBLANK(Log[[#This Row],[Item]]),"",_xlfn.XLOOKUP(Log[[#This Row],[Item]],Calories[Name],Calories[Protein])*Log[[#This Row],[Qty]])</f>
        <v/>
      </c>
      <c r="L547" s="71" t="str">
        <f>IF(ISBLANK(Log[[#This Row],[Item]]),"",_xlfn.XLOOKUP(Log[[#This Row],[Item]],Calories[Name],Calories[Chol.])*Log[[#This Row],[Qty]])</f>
        <v/>
      </c>
      <c r="M547" s="75"/>
      <c r="N547" s="75"/>
      <c r="O547" s="75"/>
    </row>
    <row r="548" spans="1:15" s="66" customFormat="1" ht="25.15" customHeight="1">
      <c r="A548" s="75"/>
      <c r="B548" s="98"/>
      <c r="C548" s="78"/>
      <c r="D548" s="79"/>
      <c r="E548" s="76" t="str">
        <f>IF(ISBLANK(Log[[#This Row],[Item]]),"",_xlfn.XLOOKUP(Log[[#This Row],[Item]],Calories[Name],Calories[Unit]))</f>
        <v/>
      </c>
      <c r="F548" s="65" t="str">
        <f>IF(ISBLANK(Log[[#This Row],[Item]]),"",_xlfn.XLOOKUP(Log[[#This Row],[Item]],Calories[Name],Calories[Cals])*Log[[#This Row],[Qty]])</f>
        <v/>
      </c>
      <c r="G548" s="71" t="str">
        <f>IF(ISBLANK(Log[[#This Row],[Item]]),"",_xlfn.XLOOKUP(Log[[#This Row],[Item]],Calories[Name],Calories[Carbs])*Log[[#This Row],[Qty]])</f>
        <v/>
      </c>
      <c r="H548" s="71" t="str">
        <f>IF(ISBLANK(Log[[#This Row],[Item]]),"",_xlfn.XLOOKUP(Log[[#This Row],[Item]],Calories[Name],Calories[Fibre])*Log[[#This Row],[Qty]])</f>
        <v/>
      </c>
      <c r="I548" s="71" t="str">
        <f>IF(ISBLANK(Log[[#This Row],[Item]]),"",(Log[[#This Row],[Carbs]]-Log[[#This Row],[Fibre]]))</f>
        <v/>
      </c>
      <c r="J548" s="103" t="str">
        <f>IF(ISBLANK(Log[[#This Row],[Item]]),"",_xlfn.XLOOKUP(Log[[#This Row],[Item]],Calories[Name],Calories[Sodium])*Log[[#This Row],[Qty]])</f>
        <v/>
      </c>
      <c r="K548" s="71" t="str">
        <f>IF(ISBLANK(Log[[#This Row],[Item]]),"",_xlfn.XLOOKUP(Log[[#This Row],[Item]],Calories[Name],Calories[Protein])*Log[[#This Row],[Qty]])</f>
        <v/>
      </c>
      <c r="L548" s="71" t="str">
        <f>IF(ISBLANK(Log[[#This Row],[Item]]),"",_xlfn.XLOOKUP(Log[[#This Row],[Item]],Calories[Name],Calories[Chol.])*Log[[#This Row],[Qty]])</f>
        <v/>
      </c>
      <c r="M548" s="75"/>
      <c r="N548" s="75"/>
      <c r="O548" s="75"/>
    </row>
    <row r="549" spans="1:15" s="66" customFormat="1" ht="25.15" customHeight="1">
      <c r="A549" s="75"/>
      <c r="B549" s="98"/>
      <c r="C549" s="78"/>
      <c r="D549" s="79"/>
      <c r="E549" s="76" t="str">
        <f>IF(ISBLANK(Log[[#This Row],[Item]]),"",_xlfn.XLOOKUP(Log[[#This Row],[Item]],Calories[Name],Calories[Unit]))</f>
        <v/>
      </c>
      <c r="F549" s="65" t="str">
        <f>IF(ISBLANK(Log[[#This Row],[Item]]),"",_xlfn.XLOOKUP(Log[[#This Row],[Item]],Calories[Name],Calories[Cals])*Log[[#This Row],[Qty]])</f>
        <v/>
      </c>
      <c r="G549" s="71" t="str">
        <f>IF(ISBLANK(Log[[#This Row],[Item]]),"",_xlfn.XLOOKUP(Log[[#This Row],[Item]],Calories[Name],Calories[Carbs])*Log[[#This Row],[Qty]])</f>
        <v/>
      </c>
      <c r="H549" s="71" t="str">
        <f>IF(ISBLANK(Log[[#This Row],[Item]]),"",_xlfn.XLOOKUP(Log[[#This Row],[Item]],Calories[Name],Calories[Fibre])*Log[[#This Row],[Qty]])</f>
        <v/>
      </c>
      <c r="I549" s="71" t="str">
        <f>IF(ISBLANK(Log[[#This Row],[Item]]),"",(Log[[#This Row],[Carbs]]-Log[[#This Row],[Fibre]]))</f>
        <v/>
      </c>
      <c r="J549" s="103" t="str">
        <f>IF(ISBLANK(Log[[#This Row],[Item]]),"",_xlfn.XLOOKUP(Log[[#This Row],[Item]],Calories[Name],Calories[Sodium])*Log[[#This Row],[Qty]])</f>
        <v/>
      </c>
      <c r="K549" s="71" t="str">
        <f>IF(ISBLANK(Log[[#This Row],[Item]]),"",_xlfn.XLOOKUP(Log[[#This Row],[Item]],Calories[Name],Calories[Protein])*Log[[#This Row],[Qty]])</f>
        <v/>
      </c>
      <c r="L549" s="71" t="str">
        <f>IF(ISBLANK(Log[[#This Row],[Item]]),"",_xlfn.XLOOKUP(Log[[#This Row],[Item]],Calories[Name],Calories[Chol.])*Log[[#This Row],[Qty]])</f>
        <v/>
      </c>
      <c r="M549" s="75"/>
      <c r="N549" s="75"/>
      <c r="O549" s="75"/>
    </row>
    <row r="550" spans="1:15" s="66" customFormat="1" ht="25.15" customHeight="1">
      <c r="A550" s="75"/>
      <c r="B550" s="98"/>
      <c r="C550" s="78"/>
      <c r="D550" s="79"/>
      <c r="E550" s="76" t="str">
        <f>IF(ISBLANK(Log[[#This Row],[Item]]),"",_xlfn.XLOOKUP(Log[[#This Row],[Item]],Calories[Name],Calories[Unit]))</f>
        <v/>
      </c>
      <c r="F550" s="65" t="str">
        <f>IF(ISBLANK(Log[[#This Row],[Item]]),"",_xlfn.XLOOKUP(Log[[#This Row],[Item]],Calories[Name],Calories[Cals])*Log[[#This Row],[Qty]])</f>
        <v/>
      </c>
      <c r="G550" s="71" t="str">
        <f>IF(ISBLANK(Log[[#This Row],[Item]]),"",_xlfn.XLOOKUP(Log[[#This Row],[Item]],Calories[Name],Calories[Carbs])*Log[[#This Row],[Qty]])</f>
        <v/>
      </c>
      <c r="H550" s="71" t="str">
        <f>IF(ISBLANK(Log[[#This Row],[Item]]),"",_xlfn.XLOOKUP(Log[[#This Row],[Item]],Calories[Name],Calories[Fibre])*Log[[#This Row],[Qty]])</f>
        <v/>
      </c>
      <c r="I550" s="71" t="str">
        <f>IF(ISBLANK(Log[[#This Row],[Item]]),"",(Log[[#This Row],[Carbs]]-Log[[#This Row],[Fibre]]))</f>
        <v/>
      </c>
      <c r="J550" s="103" t="str">
        <f>IF(ISBLANK(Log[[#This Row],[Item]]),"",_xlfn.XLOOKUP(Log[[#This Row],[Item]],Calories[Name],Calories[Sodium])*Log[[#This Row],[Qty]])</f>
        <v/>
      </c>
      <c r="K550" s="71" t="str">
        <f>IF(ISBLANK(Log[[#This Row],[Item]]),"",_xlfn.XLOOKUP(Log[[#This Row],[Item]],Calories[Name],Calories[Protein])*Log[[#This Row],[Qty]])</f>
        <v/>
      </c>
      <c r="L550" s="71" t="str">
        <f>IF(ISBLANK(Log[[#This Row],[Item]]),"",_xlfn.XLOOKUP(Log[[#This Row],[Item]],Calories[Name],Calories[Chol.])*Log[[#This Row],[Qty]])</f>
        <v/>
      </c>
      <c r="M550" s="75"/>
      <c r="N550" s="75"/>
      <c r="O550" s="75"/>
    </row>
    <row r="551" spans="1:15" s="66" customFormat="1" ht="25.15" customHeight="1">
      <c r="A551" s="75"/>
      <c r="B551" s="98"/>
      <c r="C551" s="78"/>
      <c r="D551" s="79"/>
      <c r="E551" s="76" t="str">
        <f>IF(ISBLANK(Log[[#This Row],[Item]]),"",_xlfn.XLOOKUP(Log[[#This Row],[Item]],Calories[Name],Calories[Unit]))</f>
        <v/>
      </c>
      <c r="F551" s="65" t="str">
        <f>IF(ISBLANK(Log[[#This Row],[Item]]),"",_xlfn.XLOOKUP(Log[[#This Row],[Item]],Calories[Name],Calories[Cals])*Log[[#This Row],[Qty]])</f>
        <v/>
      </c>
      <c r="G551" s="71" t="str">
        <f>IF(ISBLANK(Log[[#This Row],[Item]]),"",_xlfn.XLOOKUP(Log[[#This Row],[Item]],Calories[Name],Calories[Carbs])*Log[[#This Row],[Qty]])</f>
        <v/>
      </c>
      <c r="H551" s="71" t="str">
        <f>IF(ISBLANK(Log[[#This Row],[Item]]),"",_xlfn.XLOOKUP(Log[[#This Row],[Item]],Calories[Name],Calories[Fibre])*Log[[#This Row],[Qty]])</f>
        <v/>
      </c>
      <c r="I551" s="71" t="str">
        <f>IF(ISBLANK(Log[[#This Row],[Item]]),"",(Log[[#This Row],[Carbs]]-Log[[#This Row],[Fibre]]))</f>
        <v/>
      </c>
      <c r="J551" s="103" t="str">
        <f>IF(ISBLANK(Log[[#This Row],[Item]]),"",_xlfn.XLOOKUP(Log[[#This Row],[Item]],Calories[Name],Calories[Sodium])*Log[[#This Row],[Qty]])</f>
        <v/>
      </c>
      <c r="K551" s="71" t="str">
        <f>IF(ISBLANK(Log[[#This Row],[Item]]),"",_xlfn.XLOOKUP(Log[[#This Row],[Item]],Calories[Name],Calories[Protein])*Log[[#This Row],[Qty]])</f>
        <v/>
      </c>
      <c r="L551" s="71" t="str">
        <f>IF(ISBLANK(Log[[#This Row],[Item]]),"",_xlfn.XLOOKUP(Log[[#This Row],[Item]],Calories[Name],Calories[Chol.])*Log[[#This Row],[Qty]])</f>
        <v/>
      </c>
      <c r="M551" s="75"/>
      <c r="N551" s="75"/>
      <c r="O551" s="75"/>
    </row>
    <row r="552" spans="1:15" s="66" customFormat="1" ht="25.15" customHeight="1">
      <c r="A552" s="75"/>
      <c r="B552" s="98"/>
      <c r="C552" s="78"/>
      <c r="D552" s="79"/>
      <c r="E552" s="76" t="str">
        <f>IF(ISBLANK(Log[[#This Row],[Item]]),"",_xlfn.XLOOKUP(Log[[#This Row],[Item]],Calories[Name],Calories[Unit]))</f>
        <v/>
      </c>
      <c r="F552" s="65" t="str">
        <f>IF(ISBLANK(Log[[#This Row],[Item]]),"",_xlfn.XLOOKUP(Log[[#This Row],[Item]],Calories[Name],Calories[Cals])*Log[[#This Row],[Qty]])</f>
        <v/>
      </c>
      <c r="G552" s="71" t="str">
        <f>IF(ISBLANK(Log[[#This Row],[Item]]),"",_xlfn.XLOOKUP(Log[[#This Row],[Item]],Calories[Name],Calories[Carbs])*Log[[#This Row],[Qty]])</f>
        <v/>
      </c>
      <c r="H552" s="71" t="str">
        <f>IF(ISBLANK(Log[[#This Row],[Item]]),"",_xlfn.XLOOKUP(Log[[#This Row],[Item]],Calories[Name],Calories[Fibre])*Log[[#This Row],[Qty]])</f>
        <v/>
      </c>
      <c r="I552" s="71" t="str">
        <f>IF(ISBLANK(Log[[#This Row],[Item]]),"",(Log[[#This Row],[Carbs]]-Log[[#This Row],[Fibre]]))</f>
        <v/>
      </c>
      <c r="J552" s="103" t="str">
        <f>IF(ISBLANK(Log[[#This Row],[Item]]),"",_xlfn.XLOOKUP(Log[[#This Row],[Item]],Calories[Name],Calories[Sodium])*Log[[#This Row],[Qty]])</f>
        <v/>
      </c>
      <c r="K552" s="71" t="str">
        <f>IF(ISBLANK(Log[[#This Row],[Item]]),"",_xlfn.XLOOKUP(Log[[#This Row],[Item]],Calories[Name],Calories[Protein])*Log[[#This Row],[Qty]])</f>
        <v/>
      </c>
      <c r="L552" s="71" t="str">
        <f>IF(ISBLANK(Log[[#This Row],[Item]]),"",_xlfn.XLOOKUP(Log[[#This Row],[Item]],Calories[Name],Calories[Chol.])*Log[[#This Row],[Qty]])</f>
        <v/>
      </c>
      <c r="M552" s="75"/>
      <c r="N552" s="75"/>
      <c r="O552" s="75"/>
    </row>
    <row r="553" spans="1:15" s="66" customFormat="1" ht="25.15" customHeight="1">
      <c r="A553" s="75"/>
      <c r="B553" s="98"/>
      <c r="C553" s="78"/>
      <c r="D553" s="79"/>
      <c r="E553" s="76" t="str">
        <f>IF(ISBLANK(Log[[#This Row],[Item]]),"",_xlfn.XLOOKUP(Log[[#This Row],[Item]],Calories[Name],Calories[Unit]))</f>
        <v/>
      </c>
      <c r="F553" s="65" t="str">
        <f>IF(ISBLANK(Log[[#This Row],[Item]]),"",_xlfn.XLOOKUP(Log[[#This Row],[Item]],Calories[Name],Calories[Cals])*Log[[#This Row],[Qty]])</f>
        <v/>
      </c>
      <c r="G553" s="71" t="str">
        <f>IF(ISBLANK(Log[[#This Row],[Item]]),"",_xlfn.XLOOKUP(Log[[#This Row],[Item]],Calories[Name],Calories[Carbs])*Log[[#This Row],[Qty]])</f>
        <v/>
      </c>
      <c r="H553" s="71" t="str">
        <f>IF(ISBLANK(Log[[#This Row],[Item]]),"",_xlfn.XLOOKUP(Log[[#This Row],[Item]],Calories[Name],Calories[Fibre])*Log[[#This Row],[Qty]])</f>
        <v/>
      </c>
      <c r="I553" s="71" t="str">
        <f>IF(ISBLANK(Log[[#This Row],[Item]]),"",(Log[[#This Row],[Carbs]]-Log[[#This Row],[Fibre]]))</f>
        <v/>
      </c>
      <c r="J553" s="103" t="str">
        <f>IF(ISBLANK(Log[[#This Row],[Item]]),"",_xlfn.XLOOKUP(Log[[#This Row],[Item]],Calories[Name],Calories[Sodium])*Log[[#This Row],[Qty]])</f>
        <v/>
      </c>
      <c r="K553" s="71" t="str">
        <f>IF(ISBLANK(Log[[#This Row],[Item]]),"",_xlfn.XLOOKUP(Log[[#This Row],[Item]],Calories[Name],Calories[Protein])*Log[[#This Row],[Qty]])</f>
        <v/>
      </c>
      <c r="L553" s="71" t="str">
        <f>IF(ISBLANK(Log[[#This Row],[Item]]),"",_xlfn.XLOOKUP(Log[[#This Row],[Item]],Calories[Name],Calories[Chol.])*Log[[#This Row],[Qty]])</f>
        <v/>
      </c>
      <c r="M553" s="75"/>
      <c r="N553" s="75"/>
      <c r="O553" s="75"/>
    </row>
    <row r="554" spans="1:15" s="66" customFormat="1" ht="25.15" customHeight="1">
      <c r="A554" s="75"/>
      <c r="B554" s="98"/>
      <c r="C554" s="78"/>
      <c r="D554" s="79"/>
      <c r="E554" s="76" t="str">
        <f>IF(ISBLANK(Log[[#This Row],[Item]]),"",_xlfn.XLOOKUP(Log[[#This Row],[Item]],Calories[Name],Calories[Unit]))</f>
        <v/>
      </c>
      <c r="F554" s="65" t="str">
        <f>IF(ISBLANK(Log[[#This Row],[Item]]),"",_xlfn.XLOOKUP(Log[[#This Row],[Item]],Calories[Name],Calories[Cals])*Log[[#This Row],[Qty]])</f>
        <v/>
      </c>
      <c r="G554" s="71" t="str">
        <f>IF(ISBLANK(Log[[#This Row],[Item]]),"",_xlfn.XLOOKUP(Log[[#This Row],[Item]],Calories[Name],Calories[Carbs])*Log[[#This Row],[Qty]])</f>
        <v/>
      </c>
      <c r="H554" s="71" t="str">
        <f>IF(ISBLANK(Log[[#This Row],[Item]]),"",_xlfn.XLOOKUP(Log[[#This Row],[Item]],Calories[Name],Calories[Fibre])*Log[[#This Row],[Qty]])</f>
        <v/>
      </c>
      <c r="I554" s="71" t="str">
        <f>IF(ISBLANK(Log[[#This Row],[Item]]),"",(Log[[#This Row],[Carbs]]-Log[[#This Row],[Fibre]]))</f>
        <v/>
      </c>
      <c r="J554" s="103" t="str">
        <f>IF(ISBLANK(Log[[#This Row],[Item]]),"",_xlfn.XLOOKUP(Log[[#This Row],[Item]],Calories[Name],Calories[Sodium])*Log[[#This Row],[Qty]])</f>
        <v/>
      </c>
      <c r="K554" s="71" t="str">
        <f>IF(ISBLANK(Log[[#This Row],[Item]]),"",_xlfn.XLOOKUP(Log[[#This Row],[Item]],Calories[Name],Calories[Protein])*Log[[#This Row],[Qty]])</f>
        <v/>
      </c>
      <c r="L554" s="71" t="str">
        <f>IF(ISBLANK(Log[[#This Row],[Item]]),"",_xlfn.XLOOKUP(Log[[#This Row],[Item]],Calories[Name],Calories[Chol.])*Log[[#This Row],[Qty]])</f>
        <v/>
      </c>
      <c r="M554" s="75"/>
      <c r="N554" s="75"/>
      <c r="O554" s="75"/>
    </row>
    <row r="555" spans="1:15" s="66" customFormat="1" ht="25.15" customHeight="1">
      <c r="A555" s="75"/>
      <c r="B555" s="98"/>
      <c r="C555" s="78"/>
      <c r="D555" s="79"/>
      <c r="E555" s="76" t="str">
        <f>IF(ISBLANK(Log[[#This Row],[Item]]),"",_xlfn.XLOOKUP(Log[[#This Row],[Item]],Calories[Name],Calories[Unit]))</f>
        <v/>
      </c>
      <c r="F555" s="65" t="str">
        <f>IF(ISBLANK(Log[[#This Row],[Item]]),"",_xlfn.XLOOKUP(Log[[#This Row],[Item]],Calories[Name],Calories[Cals])*Log[[#This Row],[Qty]])</f>
        <v/>
      </c>
      <c r="G555" s="71" t="str">
        <f>IF(ISBLANK(Log[[#This Row],[Item]]),"",_xlfn.XLOOKUP(Log[[#This Row],[Item]],Calories[Name],Calories[Carbs])*Log[[#This Row],[Qty]])</f>
        <v/>
      </c>
      <c r="H555" s="71" t="str">
        <f>IF(ISBLANK(Log[[#This Row],[Item]]),"",_xlfn.XLOOKUP(Log[[#This Row],[Item]],Calories[Name],Calories[Fibre])*Log[[#This Row],[Qty]])</f>
        <v/>
      </c>
      <c r="I555" s="71" t="str">
        <f>IF(ISBLANK(Log[[#This Row],[Item]]),"",(Log[[#This Row],[Carbs]]-Log[[#This Row],[Fibre]]))</f>
        <v/>
      </c>
      <c r="J555" s="103" t="str">
        <f>IF(ISBLANK(Log[[#This Row],[Item]]),"",_xlfn.XLOOKUP(Log[[#This Row],[Item]],Calories[Name],Calories[Sodium])*Log[[#This Row],[Qty]])</f>
        <v/>
      </c>
      <c r="K555" s="71" t="str">
        <f>IF(ISBLANK(Log[[#This Row],[Item]]),"",_xlfn.XLOOKUP(Log[[#This Row],[Item]],Calories[Name],Calories[Protein])*Log[[#This Row],[Qty]])</f>
        <v/>
      </c>
      <c r="L555" s="71" t="str">
        <f>IF(ISBLANK(Log[[#This Row],[Item]]),"",_xlfn.XLOOKUP(Log[[#This Row],[Item]],Calories[Name],Calories[Chol.])*Log[[#This Row],[Qty]])</f>
        <v/>
      </c>
      <c r="M555" s="75"/>
      <c r="N555" s="75"/>
      <c r="O555" s="75"/>
    </row>
    <row r="556" spans="1:15" s="66" customFormat="1" ht="25.15" customHeight="1">
      <c r="A556" s="75"/>
      <c r="B556" s="98"/>
      <c r="C556" s="78"/>
      <c r="D556" s="79"/>
      <c r="E556" s="76" t="str">
        <f>IF(ISBLANK(Log[[#This Row],[Item]]),"",_xlfn.XLOOKUP(Log[[#This Row],[Item]],Calories[Name],Calories[Unit]))</f>
        <v/>
      </c>
      <c r="F556" s="65" t="str">
        <f>IF(ISBLANK(Log[[#This Row],[Item]]),"",_xlfn.XLOOKUP(Log[[#This Row],[Item]],Calories[Name],Calories[Cals])*Log[[#This Row],[Qty]])</f>
        <v/>
      </c>
      <c r="G556" s="71" t="str">
        <f>IF(ISBLANK(Log[[#This Row],[Item]]),"",_xlfn.XLOOKUP(Log[[#This Row],[Item]],Calories[Name],Calories[Carbs])*Log[[#This Row],[Qty]])</f>
        <v/>
      </c>
      <c r="H556" s="71" t="str">
        <f>IF(ISBLANK(Log[[#This Row],[Item]]),"",_xlfn.XLOOKUP(Log[[#This Row],[Item]],Calories[Name],Calories[Fibre])*Log[[#This Row],[Qty]])</f>
        <v/>
      </c>
      <c r="I556" s="71" t="str">
        <f>IF(ISBLANK(Log[[#This Row],[Item]]),"",(Log[[#This Row],[Carbs]]-Log[[#This Row],[Fibre]]))</f>
        <v/>
      </c>
      <c r="J556" s="103" t="str">
        <f>IF(ISBLANK(Log[[#This Row],[Item]]),"",_xlfn.XLOOKUP(Log[[#This Row],[Item]],Calories[Name],Calories[Sodium])*Log[[#This Row],[Qty]])</f>
        <v/>
      </c>
      <c r="K556" s="71" t="str">
        <f>IF(ISBLANK(Log[[#This Row],[Item]]),"",_xlfn.XLOOKUP(Log[[#This Row],[Item]],Calories[Name],Calories[Protein])*Log[[#This Row],[Qty]])</f>
        <v/>
      </c>
      <c r="L556" s="71" t="str">
        <f>IF(ISBLANK(Log[[#This Row],[Item]]),"",_xlfn.XLOOKUP(Log[[#This Row],[Item]],Calories[Name],Calories[Chol.])*Log[[#This Row],[Qty]])</f>
        <v/>
      </c>
      <c r="M556" s="75"/>
      <c r="N556" s="75"/>
      <c r="O556" s="75"/>
    </row>
    <row r="557" spans="1:15" s="66" customFormat="1" ht="25.15" customHeight="1">
      <c r="A557" s="75"/>
      <c r="B557" s="98"/>
      <c r="C557" s="78"/>
      <c r="D557" s="79"/>
      <c r="E557" s="76" t="str">
        <f>IF(ISBLANK(Log[[#This Row],[Item]]),"",_xlfn.XLOOKUP(Log[[#This Row],[Item]],Calories[Name],Calories[Unit]))</f>
        <v/>
      </c>
      <c r="F557" s="65" t="str">
        <f>IF(ISBLANK(Log[[#This Row],[Item]]),"",_xlfn.XLOOKUP(Log[[#This Row],[Item]],Calories[Name],Calories[Cals])*Log[[#This Row],[Qty]])</f>
        <v/>
      </c>
      <c r="G557" s="71" t="str">
        <f>IF(ISBLANK(Log[[#This Row],[Item]]),"",_xlfn.XLOOKUP(Log[[#This Row],[Item]],Calories[Name],Calories[Carbs])*Log[[#This Row],[Qty]])</f>
        <v/>
      </c>
      <c r="H557" s="71" t="str">
        <f>IF(ISBLANK(Log[[#This Row],[Item]]),"",_xlfn.XLOOKUP(Log[[#This Row],[Item]],Calories[Name],Calories[Fibre])*Log[[#This Row],[Qty]])</f>
        <v/>
      </c>
      <c r="I557" s="71" t="str">
        <f>IF(ISBLANK(Log[[#This Row],[Item]]),"",(Log[[#This Row],[Carbs]]-Log[[#This Row],[Fibre]]))</f>
        <v/>
      </c>
      <c r="J557" s="103" t="str">
        <f>IF(ISBLANK(Log[[#This Row],[Item]]),"",_xlfn.XLOOKUP(Log[[#This Row],[Item]],Calories[Name],Calories[Sodium])*Log[[#This Row],[Qty]])</f>
        <v/>
      </c>
      <c r="K557" s="71" t="str">
        <f>IF(ISBLANK(Log[[#This Row],[Item]]),"",_xlfn.XLOOKUP(Log[[#This Row],[Item]],Calories[Name],Calories[Protein])*Log[[#This Row],[Qty]])</f>
        <v/>
      </c>
      <c r="L557" s="71" t="str">
        <f>IF(ISBLANK(Log[[#This Row],[Item]]),"",_xlfn.XLOOKUP(Log[[#This Row],[Item]],Calories[Name],Calories[Chol.])*Log[[#This Row],[Qty]])</f>
        <v/>
      </c>
      <c r="M557" s="75"/>
      <c r="N557" s="75"/>
      <c r="O557" s="75"/>
    </row>
    <row r="558" spans="1:15" s="66" customFormat="1" ht="25.15" customHeight="1">
      <c r="A558" s="75"/>
      <c r="B558" s="98"/>
      <c r="C558" s="78"/>
      <c r="D558" s="79"/>
      <c r="E558" s="76" t="str">
        <f>IF(ISBLANK(Log[[#This Row],[Item]]),"",_xlfn.XLOOKUP(Log[[#This Row],[Item]],Calories[Name],Calories[Unit]))</f>
        <v/>
      </c>
      <c r="F558" s="65" t="str">
        <f>IF(ISBLANK(Log[[#This Row],[Item]]),"",_xlfn.XLOOKUP(Log[[#This Row],[Item]],Calories[Name],Calories[Cals])*Log[[#This Row],[Qty]])</f>
        <v/>
      </c>
      <c r="G558" s="71" t="str">
        <f>IF(ISBLANK(Log[[#This Row],[Item]]),"",_xlfn.XLOOKUP(Log[[#This Row],[Item]],Calories[Name],Calories[Carbs])*Log[[#This Row],[Qty]])</f>
        <v/>
      </c>
      <c r="H558" s="71" t="str">
        <f>IF(ISBLANK(Log[[#This Row],[Item]]),"",_xlfn.XLOOKUP(Log[[#This Row],[Item]],Calories[Name],Calories[Fibre])*Log[[#This Row],[Qty]])</f>
        <v/>
      </c>
      <c r="I558" s="71" t="str">
        <f>IF(ISBLANK(Log[[#This Row],[Item]]),"",(Log[[#This Row],[Carbs]]-Log[[#This Row],[Fibre]]))</f>
        <v/>
      </c>
      <c r="J558" s="103" t="str">
        <f>IF(ISBLANK(Log[[#This Row],[Item]]),"",_xlfn.XLOOKUP(Log[[#This Row],[Item]],Calories[Name],Calories[Sodium])*Log[[#This Row],[Qty]])</f>
        <v/>
      </c>
      <c r="K558" s="71" t="str">
        <f>IF(ISBLANK(Log[[#This Row],[Item]]),"",_xlfn.XLOOKUP(Log[[#This Row],[Item]],Calories[Name],Calories[Protein])*Log[[#This Row],[Qty]])</f>
        <v/>
      </c>
      <c r="L558" s="71" t="str">
        <f>IF(ISBLANK(Log[[#This Row],[Item]]),"",_xlfn.XLOOKUP(Log[[#This Row],[Item]],Calories[Name],Calories[Chol.])*Log[[#This Row],[Qty]])</f>
        <v/>
      </c>
      <c r="M558" s="75"/>
      <c r="N558" s="75"/>
      <c r="O558" s="75"/>
    </row>
    <row r="559" spans="1:15" s="66" customFormat="1" ht="25.15" customHeight="1">
      <c r="A559" s="75"/>
      <c r="B559" s="98"/>
      <c r="C559" s="78"/>
      <c r="D559" s="79"/>
      <c r="E559" s="76" t="str">
        <f>IF(ISBLANK(Log[[#This Row],[Item]]),"",_xlfn.XLOOKUP(Log[[#This Row],[Item]],Calories[Name],Calories[Unit]))</f>
        <v/>
      </c>
      <c r="F559" s="65" t="str">
        <f>IF(ISBLANK(Log[[#This Row],[Item]]),"",_xlfn.XLOOKUP(Log[[#This Row],[Item]],Calories[Name],Calories[Cals])*Log[[#This Row],[Qty]])</f>
        <v/>
      </c>
      <c r="G559" s="71" t="str">
        <f>IF(ISBLANK(Log[[#This Row],[Item]]),"",_xlfn.XLOOKUP(Log[[#This Row],[Item]],Calories[Name],Calories[Carbs])*Log[[#This Row],[Qty]])</f>
        <v/>
      </c>
      <c r="H559" s="71" t="str">
        <f>IF(ISBLANK(Log[[#This Row],[Item]]),"",_xlfn.XLOOKUP(Log[[#This Row],[Item]],Calories[Name],Calories[Fibre])*Log[[#This Row],[Qty]])</f>
        <v/>
      </c>
      <c r="I559" s="71" t="str">
        <f>IF(ISBLANK(Log[[#This Row],[Item]]),"",(Log[[#This Row],[Carbs]]-Log[[#This Row],[Fibre]]))</f>
        <v/>
      </c>
      <c r="J559" s="103" t="str">
        <f>IF(ISBLANK(Log[[#This Row],[Item]]),"",_xlfn.XLOOKUP(Log[[#This Row],[Item]],Calories[Name],Calories[Sodium])*Log[[#This Row],[Qty]])</f>
        <v/>
      </c>
      <c r="K559" s="71" t="str">
        <f>IF(ISBLANK(Log[[#This Row],[Item]]),"",_xlfn.XLOOKUP(Log[[#This Row],[Item]],Calories[Name],Calories[Protein])*Log[[#This Row],[Qty]])</f>
        <v/>
      </c>
      <c r="L559" s="71" t="str">
        <f>IF(ISBLANK(Log[[#This Row],[Item]]),"",_xlfn.XLOOKUP(Log[[#This Row],[Item]],Calories[Name],Calories[Chol.])*Log[[#This Row],[Qty]])</f>
        <v/>
      </c>
      <c r="M559" s="75"/>
      <c r="N559" s="75"/>
      <c r="O559" s="75"/>
    </row>
    <row r="560" spans="1:15" s="66" customFormat="1" ht="25.15" customHeight="1">
      <c r="A560" s="75"/>
      <c r="B560" s="98"/>
      <c r="C560" s="78"/>
      <c r="D560" s="79"/>
      <c r="E560" s="76" t="str">
        <f>IF(ISBLANK(Log[[#This Row],[Item]]),"",_xlfn.XLOOKUP(Log[[#This Row],[Item]],Calories[Name],Calories[Unit]))</f>
        <v/>
      </c>
      <c r="F560" s="65" t="str">
        <f>IF(ISBLANK(Log[[#This Row],[Item]]),"",_xlfn.XLOOKUP(Log[[#This Row],[Item]],Calories[Name],Calories[Cals])*Log[[#This Row],[Qty]])</f>
        <v/>
      </c>
      <c r="G560" s="71" t="str">
        <f>IF(ISBLANK(Log[[#This Row],[Item]]),"",_xlfn.XLOOKUP(Log[[#This Row],[Item]],Calories[Name],Calories[Carbs])*Log[[#This Row],[Qty]])</f>
        <v/>
      </c>
      <c r="H560" s="71" t="str">
        <f>IF(ISBLANK(Log[[#This Row],[Item]]),"",_xlfn.XLOOKUP(Log[[#This Row],[Item]],Calories[Name],Calories[Fibre])*Log[[#This Row],[Qty]])</f>
        <v/>
      </c>
      <c r="I560" s="71" t="str">
        <f>IF(ISBLANK(Log[[#This Row],[Item]]),"",(Log[[#This Row],[Carbs]]-Log[[#This Row],[Fibre]]))</f>
        <v/>
      </c>
      <c r="J560" s="103" t="str">
        <f>IF(ISBLANK(Log[[#This Row],[Item]]),"",_xlfn.XLOOKUP(Log[[#This Row],[Item]],Calories[Name],Calories[Sodium])*Log[[#This Row],[Qty]])</f>
        <v/>
      </c>
      <c r="K560" s="71" t="str">
        <f>IF(ISBLANK(Log[[#This Row],[Item]]),"",_xlfn.XLOOKUP(Log[[#This Row],[Item]],Calories[Name],Calories[Protein])*Log[[#This Row],[Qty]])</f>
        <v/>
      </c>
      <c r="L560" s="71" t="str">
        <f>IF(ISBLANK(Log[[#This Row],[Item]]),"",_xlfn.XLOOKUP(Log[[#This Row],[Item]],Calories[Name],Calories[Chol.])*Log[[#This Row],[Qty]])</f>
        <v/>
      </c>
      <c r="M560" s="75"/>
      <c r="N560" s="75"/>
      <c r="O560" s="75"/>
    </row>
    <row r="561" spans="1:15" s="66" customFormat="1" ht="25.15" customHeight="1">
      <c r="A561" s="75"/>
      <c r="B561" s="98"/>
      <c r="C561" s="78"/>
      <c r="D561" s="79"/>
      <c r="E561" s="76" t="str">
        <f>IF(ISBLANK(Log[[#This Row],[Item]]),"",_xlfn.XLOOKUP(Log[[#This Row],[Item]],Calories[Name],Calories[Unit]))</f>
        <v/>
      </c>
      <c r="F561" s="65" t="str">
        <f>IF(ISBLANK(Log[[#This Row],[Item]]),"",_xlfn.XLOOKUP(Log[[#This Row],[Item]],Calories[Name],Calories[Cals])*Log[[#This Row],[Qty]])</f>
        <v/>
      </c>
      <c r="G561" s="71" t="str">
        <f>IF(ISBLANK(Log[[#This Row],[Item]]),"",_xlfn.XLOOKUP(Log[[#This Row],[Item]],Calories[Name],Calories[Carbs])*Log[[#This Row],[Qty]])</f>
        <v/>
      </c>
      <c r="H561" s="71" t="str">
        <f>IF(ISBLANK(Log[[#This Row],[Item]]),"",_xlfn.XLOOKUP(Log[[#This Row],[Item]],Calories[Name],Calories[Fibre])*Log[[#This Row],[Qty]])</f>
        <v/>
      </c>
      <c r="I561" s="71" t="str">
        <f>IF(ISBLANK(Log[[#This Row],[Item]]),"",(Log[[#This Row],[Carbs]]-Log[[#This Row],[Fibre]]))</f>
        <v/>
      </c>
      <c r="J561" s="103" t="str">
        <f>IF(ISBLANK(Log[[#This Row],[Item]]),"",_xlfn.XLOOKUP(Log[[#This Row],[Item]],Calories[Name],Calories[Sodium])*Log[[#This Row],[Qty]])</f>
        <v/>
      </c>
      <c r="K561" s="71" t="str">
        <f>IF(ISBLANK(Log[[#This Row],[Item]]),"",_xlfn.XLOOKUP(Log[[#This Row],[Item]],Calories[Name],Calories[Protein])*Log[[#This Row],[Qty]])</f>
        <v/>
      </c>
      <c r="L561" s="71" t="str">
        <f>IF(ISBLANK(Log[[#This Row],[Item]]),"",_xlfn.XLOOKUP(Log[[#This Row],[Item]],Calories[Name],Calories[Chol.])*Log[[#This Row],[Qty]])</f>
        <v/>
      </c>
      <c r="M561" s="75"/>
      <c r="N561" s="75"/>
      <c r="O561" s="75"/>
    </row>
    <row r="562" spans="1:15" s="66" customFormat="1" ht="25.15" customHeight="1">
      <c r="A562" s="75"/>
      <c r="B562" s="98"/>
      <c r="C562" s="78"/>
      <c r="D562" s="79"/>
      <c r="E562" s="76" t="str">
        <f>IF(ISBLANK(Log[[#This Row],[Item]]),"",_xlfn.XLOOKUP(Log[[#This Row],[Item]],Calories[Name],Calories[Unit]))</f>
        <v/>
      </c>
      <c r="F562" s="65" t="str">
        <f>IF(ISBLANK(Log[[#This Row],[Item]]),"",_xlfn.XLOOKUP(Log[[#This Row],[Item]],Calories[Name],Calories[Cals])*Log[[#This Row],[Qty]])</f>
        <v/>
      </c>
      <c r="G562" s="71" t="str">
        <f>IF(ISBLANK(Log[[#This Row],[Item]]),"",_xlfn.XLOOKUP(Log[[#This Row],[Item]],Calories[Name],Calories[Carbs])*Log[[#This Row],[Qty]])</f>
        <v/>
      </c>
      <c r="H562" s="71" t="str">
        <f>IF(ISBLANK(Log[[#This Row],[Item]]),"",_xlfn.XLOOKUP(Log[[#This Row],[Item]],Calories[Name],Calories[Fibre])*Log[[#This Row],[Qty]])</f>
        <v/>
      </c>
      <c r="I562" s="71" t="str">
        <f>IF(ISBLANK(Log[[#This Row],[Item]]),"",(Log[[#This Row],[Carbs]]-Log[[#This Row],[Fibre]]))</f>
        <v/>
      </c>
      <c r="J562" s="103" t="str">
        <f>IF(ISBLANK(Log[[#This Row],[Item]]),"",_xlfn.XLOOKUP(Log[[#This Row],[Item]],Calories[Name],Calories[Sodium])*Log[[#This Row],[Qty]])</f>
        <v/>
      </c>
      <c r="K562" s="71" t="str">
        <f>IF(ISBLANK(Log[[#This Row],[Item]]),"",_xlfn.XLOOKUP(Log[[#This Row],[Item]],Calories[Name],Calories[Protein])*Log[[#This Row],[Qty]])</f>
        <v/>
      </c>
      <c r="L562" s="71" t="str">
        <f>IF(ISBLANK(Log[[#This Row],[Item]]),"",_xlfn.XLOOKUP(Log[[#This Row],[Item]],Calories[Name],Calories[Chol.])*Log[[#This Row],[Qty]])</f>
        <v/>
      </c>
      <c r="M562" s="75"/>
      <c r="N562" s="75"/>
      <c r="O562" s="75"/>
    </row>
    <row r="563" spans="1:15" s="66" customFormat="1" ht="25.15" customHeight="1">
      <c r="A563" s="75"/>
      <c r="B563" s="98"/>
      <c r="C563" s="78"/>
      <c r="D563" s="79"/>
      <c r="E563" s="76" t="str">
        <f>IF(ISBLANK(Log[[#This Row],[Item]]),"",_xlfn.XLOOKUP(Log[[#This Row],[Item]],Calories[Name],Calories[Unit]))</f>
        <v/>
      </c>
      <c r="F563" s="65" t="str">
        <f>IF(ISBLANK(Log[[#This Row],[Item]]),"",_xlfn.XLOOKUP(Log[[#This Row],[Item]],Calories[Name],Calories[Cals])*Log[[#This Row],[Qty]])</f>
        <v/>
      </c>
      <c r="G563" s="71" t="str">
        <f>IF(ISBLANK(Log[[#This Row],[Item]]),"",_xlfn.XLOOKUP(Log[[#This Row],[Item]],Calories[Name],Calories[Carbs])*Log[[#This Row],[Qty]])</f>
        <v/>
      </c>
      <c r="H563" s="71" t="str">
        <f>IF(ISBLANK(Log[[#This Row],[Item]]),"",_xlfn.XLOOKUP(Log[[#This Row],[Item]],Calories[Name],Calories[Fibre])*Log[[#This Row],[Qty]])</f>
        <v/>
      </c>
      <c r="I563" s="71" t="str">
        <f>IF(ISBLANK(Log[[#This Row],[Item]]),"",(Log[[#This Row],[Carbs]]-Log[[#This Row],[Fibre]]))</f>
        <v/>
      </c>
      <c r="J563" s="103" t="str">
        <f>IF(ISBLANK(Log[[#This Row],[Item]]),"",_xlfn.XLOOKUP(Log[[#This Row],[Item]],Calories[Name],Calories[Sodium])*Log[[#This Row],[Qty]])</f>
        <v/>
      </c>
      <c r="K563" s="71" t="str">
        <f>IF(ISBLANK(Log[[#This Row],[Item]]),"",_xlfn.XLOOKUP(Log[[#This Row],[Item]],Calories[Name],Calories[Protein])*Log[[#This Row],[Qty]])</f>
        <v/>
      </c>
      <c r="L563" s="71" t="str">
        <f>IF(ISBLANK(Log[[#This Row],[Item]]),"",_xlfn.XLOOKUP(Log[[#This Row],[Item]],Calories[Name],Calories[Chol.])*Log[[#This Row],[Qty]])</f>
        <v/>
      </c>
      <c r="M563" s="75"/>
      <c r="N563" s="75"/>
      <c r="O563" s="75"/>
    </row>
    <row r="564" spans="1:15" s="66" customFormat="1" ht="25.15" customHeight="1">
      <c r="A564" s="75"/>
      <c r="B564" s="98"/>
      <c r="C564" s="78"/>
      <c r="D564" s="79"/>
      <c r="E564" s="76" t="str">
        <f>IF(ISBLANK(Log[[#This Row],[Item]]),"",_xlfn.XLOOKUP(Log[[#This Row],[Item]],Calories[Name],Calories[Unit]))</f>
        <v/>
      </c>
      <c r="F564" s="65" t="str">
        <f>IF(ISBLANK(Log[[#This Row],[Item]]),"",_xlfn.XLOOKUP(Log[[#This Row],[Item]],Calories[Name],Calories[Cals])*Log[[#This Row],[Qty]])</f>
        <v/>
      </c>
      <c r="G564" s="71" t="str">
        <f>IF(ISBLANK(Log[[#This Row],[Item]]),"",_xlfn.XLOOKUP(Log[[#This Row],[Item]],Calories[Name],Calories[Carbs])*Log[[#This Row],[Qty]])</f>
        <v/>
      </c>
      <c r="H564" s="71" t="str">
        <f>IF(ISBLANK(Log[[#This Row],[Item]]),"",_xlfn.XLOOKUP(Log[[#This Row],[Item]],Calories[Name],Calories[Fibre])*Log[[#This Row],[Qty]])</f>
        <v/>
      </c>
      <c r="I564" s="71" t="str">
        <f>IF(ISBLANK(Log[[#This Row],[Item]]),"",(Log[[#This Row],[Carbs]]-Log[[#This Row],[Fibre]]))</f>
        <v/>
      </c>
      <c r="J564" s="103" t="str">
        <f>IF(ISBLANK(Log[[#This Row],[Item]]),"",_xlfn.XLOOKUP(Log[[#This Row],[Item]],Calories[Name],Calories[Sodium])*Log[[#This Row],[Qty]])</f>
        <v/>
      </c>
      <c r="K564" s="71" t="str">
        <f>IF(ISBLANK(Log[[#This Row],[Item]]),"",_xlfn.XLOOKUP(Log[[#This Row],[Item]],Calories[Name],Calories[Protein])*Log[[#This Row],[Qty]])</f>
        <v/>
      </c>
      <c r="L564" s="71" t="str">
        <f>IF(ISBLANK(Log[[#This Row],[Item]]),"",_xlfn.XLOOKUP(Log[[#This Row],[Item]],Calories[Name],Calories[Chol.])*Log[[#This Row],[Qty]])</f>
        <v/>
      </c>
      <c r="M564" s="75"/>
      <c r="N564" s="75"/>
      <c r="O564" s="75"/>
    </row>
    <row r="565" spans="1:15" s="66" customFormat="1" ht="25.15" customHeight="1">
      <c r="A565" s="75"/>
      <c r="B565" s="98"/>
      <c r="C565" s="78"/>
      <c r="D565" s="79"/>
      <c r="E565" s="76" t="str">
        <f>IF(ISBLANK(Log[[#This Row],[Item]]),"",_xlfn.XLOOKUP(Log[[#This Row],[Item]],Calories[Name],Calories[Unit]))</f>
        <v/>
      </c>
      <c r="F565" s="65" t="str">
        <f>IF(ISBLANK(Log[[#This Row],[Item]]),"",_xlfn.XLOOKUP(Log[[#This Row],[Item]],Calories[Name],Calories[Cals])*Log[[#This Row],[Qty]])</f>
        <v/>
      </c>
      <c r="G565" s="71" t="str">
        <f>IF(ISBLANK(Log[[#This Row],[Item]]),"",_xlfn.XLOOKUP(Log[[#This Row],[Item]],Calories[Name],Calories[Carbs])*Log[[#This Row],[Qty]])</f>
        <v/>
      </c>
      <c r="H565" s="71" t="str">
        <f>IF(ISBLANK(Log[[#This Row],[Item]]),"",_xlfn.XLOOKUP(Log[[#This Row],[Item]],Calories[Name],Calories[Fibre])*Log[[#This Row],[Qty]])</f>
        <v/>
      </c>
      <c r="I565" s="71" t="str">
        <f>IF(ISBLANK(Log[[#This Row],[Item]]),"",(Log[[#This Row],[Carbs]]-Log[[#This Row],[Fibre]]))</f>
        <v/>
      </c>
      <c r="J565" s="103" t="str">
        <f>IF(ISBLANK(Log[[#This Row],[Item]]),"",_xlfn.XLOOKUP(Log[[#This Row],[Item]],Calories[Name],Calories[Sodium])*Log[[#This Row],[Qty]])</f>
        <v/>
      </c>
      <c r="K565" s="71" t="str">
        <f>IF(ISBLANK(Log[[#This Row],[Item]]),"",_xlfn.XLOOKUP(Log[[#This Row],[Item]],Calories[Name],Calories[Protein])*Log[[#This Row],[Qty]])</f>
        <v/>
      </c>
      <c r="L565" s="71" t="str">
        <f>IF(ISBLANK(Log[[#This Row],[Item]]),"",_xlfn.XLOOKUP(Log[[#This Row],[Item]],Calories[Name],Calories[Chol.])*Log[[#This Row],[Qty]])</f>
        <v/>
      </c>
      <c r="M565" s="75"/>
      <c r="N565" s="75"/>
      <c r="O565" s="75"/>
    </row>
    <row r="566" spans="1:15" s="66" customFormat="1" ht="25.15" customHeight="1">
      <c r="A566" s="75"/>
      <c r="B566" s="98"/>
      <c r="C566" s="78"/>
      <c r="D566" s="79"/>
      <c r="E566" s="76" t="str">
        <f>IF(ISBLANK(Log[[#This Row],[Item]]),"",_xlfn.XLOOKUP(Log[[#This Row],[Item]],Calories[Name],Calories[Unit]))</f>
        <v/>
      </c>
      <c r="F566" s="65" t="str">
        <f>IF(ISBLANK(Log[[#This Row],[Item]]),"",_xlfn.XLOOKUP(Log[[#This Row],[Item]],Calories[Name],Calories[Cals])*Log[[#This Row],[Qty]])</f>
        <v/>
      </c>
      <c r="G566" s="71" t="str">
        <f>IF(ISBLANK(Log[[#This Row],[Item]]),"",_xlfn.XLOOKUP(Log[[#This Row],[Item]],Calories[Name],Calories[Carbs])*Log[[#This Row],[Qty]])</f>
        <v/>
      </c>
      <c r="H566" s="71" t="str">
        <f>IF(ISBLANK(Log[[#This Row],[Item]]),"",_xlfn.XLOOKUP(Log[[#This Row],[Item]],Calories[Name],Calories[Fibre])*Log[[#This Row],[Qty]])</f>
        <v/>
      </c>
      <c r="I566" s="71" t="str">
        <f>IF(ISBLANK(Log[[#This Row],[Item]]),"",(Log[[#This Row],[Carbs]]-Log[[#This Row],[Fibre]]))</f>
        <v/>
      </c>
      <c r="J566" s="103" t="str">
        <f>IF(ISBLANK(Log[[#This Row],[Item]]),"",_xlfn.XLOOKUP(Log[[#This Row],[Item]],Calories[Name],Calories[Sodium])*Log[[#This Row],[Qty]])</f>
        <v/>
      </c>
      <c r="K566" s="71" t="str">
        <f>IF(ISBLANK(Log[[#This Row],[Item]]),"",_xlfn.XLOOKUP(Log[[#This Row],[Item]],Calories[Name],Calories[Protein])*Log[[#This Row],[Qty]])</f>
        <v/>
      </c>
      <c r="L566" s="71" t="str">
        <f>IF(ISBLANK(Log[[#This Row],[Item]]),"",_xlfn.XLOOKUP(Log[[#This Row],[Item]],Calories[Name],Calories[Chol.])*Log[[#This Row],[Qty]])</f>
        <v/>
      </c>
      <c r="M566" s="75"/>
      <c r="N566" s="75"/>
      <c r="O566" s="75"/>
    </row>
    <row r="567" spans="1:15" s="66" customFormat="1" ht="25.15" customHeight="1">
      <c r="A567" s="75"/>
      <c r="B567" s="98"/>
      <c r="C567" s="78"/>
      <c r="D567" s="79"/>
      <c r="E567" s="76" t="str">
        <f>IF(ISBLANK(Log[[#This Row],[Item]]),"",_xlfn.XLOOKUP(Log[[#This Row],[Item]],Calories[Name],Calories[Unit]))</f>
        <v/>
      </c>
      <c r="F567" s="65" t="str">
        <f>IF(ISBLANK(Log[[#This Row],[Item]]),"",_xlfn.XLOOKUP(Log[[#This Row],[Item]],Calories[Name],Calories[Cals])*Log[[#This Row],[Qty]])</f>
        <v/>
      </c>
      <c r="G567" s="71" t="str">
        <f>IF(ISBLANK(Log[[#This Row],[Item]]),"",_xlfn.XLOOKUP(Log[[#This Row],[Item]],Calories[Name],Calories[Carbs])*Log[[#This Row],[Qty]])</f>
        <v/>
      </c>
      <c r="H567" s="71" t="str">
        <f>IF(ISBLANK(Log[[#This Row],[Item]]),"",_xlfn.XLOOKUP(Log[[#This Row],[Item]],Calories[Name],Calories[Fibre])*Log[[#This Row],[Qty]])</f>
        <v/>
      </c>
      <c r="I567" s="71" t="str">
        <f>IF(ISBLANK(Log[[#This Row],[Item]]),"",(Log[[#This Row],[Carbs]]-Log[[#This Row],[Fibre]]))</f>
        <v/>
      </c>
      <c r="J567" s="103" t="str">
        <f>IF(ISBLANK(Log[[#This Row],[Item]]),"",_xlfn.XLOOKUP(Log[[#This Row],[Item]],Calories[Name],Calories[Sodium])*Log[[#This Row],[Qty]])</f>
        <v/>
      </c>
      <c r="K567" s="71" t="str">
        <f>IF(ISBLANK(Log[[#This Row],[Item]]),"",_xlfn.XLOOKUP(Log[[#This Row],[Item]],Calories[Name],Calories[Protein])*Log[[#This Row],[Qty]])</f>
        <v/>
      </c>
      <c r="L567" s="71" t="str">
        <f>IF(ISBLANK(Log[[#This Row],[Item]]),"",_xlfn.XLOOKUP(Log[[#This Row],[Item]],Calories[Name],Calories[Chol.])*Log[[#This Row],[Qty]])</f>
        <v/>
      </c>
      <c r="M567" s="75"/>
      <c r="N567" s="75"/>
      <c r="O567" s="75"/>
    </row>
    <row r="568" spans="1:15" s="66" customFormat="1" ht="25.15" customHeight="1">
      <c r="A568" s="75"/>
      <c r="B568" s="98"/>
      <c r="C568" s="78"/>
      <c r="D568" s="79"/>
      <c r="E568" s="76" t="str">
        <f>IF(ISBLANK(Log[[#This Row],[Item]]),"",_xlfn.XLOOKUP(Log[[#This Row],[Item]],Calories[Name],Calories[Unit]))</f>
        <v/>
      </c>
      <c r="F568" s="65" t="str">
        <f>IF(ISBLANK(Log[[#This Row],[Item]]),"",_xlfn.XLOOKUP(Log[[#This Row],[Item]],Calories[Name],Calories[Cals])*Log[[#This Row],[Qty]])</f>
        <v/>
      </c>
      <c r="G568" s="71" t="str">
        <f>IF(ISBLANK(Log[[#This Row],[Item]]),"",_xlfn.XLOOKUP(Log[[#This Row],[Item]],Calories[Name],Calories[Carbs])*Log[[#This Row],[Qty]])</f>
        <v/>
      </c>
      <c r="H568" s="71" t="str">
        <f>IF(ISBLANK(Log[[#This Row],[Item]]),"",_xlfn.XLOOKUP(Log[[#This Row],[Item]],Calories[Name],Calories[Fibre])*Log[[#This Row],[Qty]])</f>
        <v/>
      </c>
      <c r="I568" s="71" t="str">
        <f>IF(ISBLANK(Log[[#This Row],[Item]]),"",(Log[[#This Row],[Carbs]]-Log[[#This Row],[Fibre]]))</f>
        <v/>
      </c>
      <c r="J568" s="103" t="str">
        <f>IF(ISBLANK(Log[[#This Row],[Item]]),"",_xlfn.XLOOKUP(Log[[#This Row],[Item]],Calories[Name],Calories[Sodium])*Log[[#This Row],[Qty]])</f>
        <v/>
      </c>
      <c r="K568" s="71" t="str">
        <f>IF(ISBLANK(Log[[#This Row],[Item]]),"",_xlfn.XLOOKUP(Log[[#This Row],[Item]],Calories[Name],Calories[Protein])*Log[[#This Row],[Qty]])</f>
        <v/>
      </c>
      <c r="L568" s="71" t="str">
        <f>IF(ISBLANK(Log[[#This Row],[Item]]),"",_xlfn.XLOOKUP(Log[[#This Row],[Item]],Calories[Name],Calories[Chol.])*Log[[#This Row],[Qty]])</f>
        <v/>
      </c>
      <c r="M568" s="75"/>
      <c r="N568" s="75"/>
      <c r="O568" s="75"/>
    </row>
    <row r="569" spans="1:15" s="66" customFormat="1" ht="25.15" customHeight="1">
      <c r="A569" s="75"/>
      <c r="B569" s="98"/>
      <c r="C569" s="78"/>
      <c r="D569" s="79"/>
      <c r="E569" s="76" t="str">
        <f>IF(ISBLANK(Log[[#This Row],[Item]]),"",_xlfn.XLOOKUP(Log[[#This Row],[Item]],Calories[Name],Calories[Unit]))</f>
        <v/>
      </c>
      <c r="F569" s="65" t="str">
        <f>IF(ISBLANK(Log[[#This Row],[Item]]),"",_xlfn.XLOOKUP(Log[[#This Row],[Item]],Calories[Name],Calories[Cals])*Log[[#This Row],[Qty]])</f>
        <v/>
      </c>
      <c r="G569" s="71" t="str">
        <f>IF(ISBLANK(Log[[#This Row],[Item]]),"",_xlfn.XLOOKUP(Log[[#This Row],[Item]],Calories[Name],Calories[Carbs])*Log[[#This Row],[Qty]])</f>
        <v/>
      </c>
      <c r="H569" s="71" t="str">
        <f>IF(ISBLANK(Log[[#This Row],[Item]]),"",_xlfn.XLOOKUP(Log[[#This Row],[Item]],Calories[Name],Calories[Fibre])*Log[[#This Row],[Qty]])</f>
        <v/>
      </c>
      <c r="I569" s="71" t="str">
        <f>IF(ISBLANK(Log[[#This Row],[Item]]),"",(Log[[#This Row],[Carbs]]-Log[[#This Row],[Fibre]]))</f>
        <v/>
      </c>
      <c r="J569" s="103" t="str">
        <f>IF(ISBLANK(Log[[#This Row],[Item]]),"",_xlfn.XLOOKUP(Log[[#This Row],[Item]],Calories[Name],Calories[Sodium])*Log[[#This Row],[Qty]])</f>
        <v/>
      </c>
      <c r="K569" s="71" t="str">
        <f>IF(ISBLANK(Log[[#This Row],[Item]]),"",_xlfn.XLOOKUP(Log[[#This Row],[Item]],Calories[Name],Calories[Protein])*Log[[#This Row],[Qty]])</f>
        <v/>
      </c>
      <c r="L569" s="71" t="str">
        <f>IF(ISBLANK(Log[[#This Row],[Item]]),"",_xlfn.XLOOKUP(Log[[#This Row],[Item]],Calories[Name],Calories[Chol.])*Log[[#This Row],[Qty]])</f>
        <v/>
      </c>
      <c r="M569" s="75"/>
      <c r="N569" s="75"/>
      <c r="O569" s="75"/>
    </row>
    <row r="570" spans="1:15" s="66" customFormat="1" ht="25.15" customHeight="1">
      <c r="A570" s="75"/>
      <c r="B570" s="98"/>
      <c r="C570" s="78"/>
      <c r="D570" s="79"/>
      <c r="E570" s="76" t="str">
        <f>IF(ISBLANK(Log[[#This Row],[Item]]),"",_xlfn.XLOOKUP(Log[[#This Row],[Item]],Calories[Name],Calories[Unit]))</f>
        <v/>
      </c>
      <c r="F570" s="65" t="str">
        <f>IF(ISBLANK(Log[[#This Row],[Item]]),"",_xlfn.XLOOKUP(Log[[#This Row],[Item]],Calories[Name],Calories[Cals])*Log[[#This Row],[Qty]])</f>
        <v/>
      </c>
      <c r="G570" s="71" t="str">
        <f>IF(ISBLANK(Log[[#This Row],[Item]]),"",_xlfn.XLOOKUP(Log[[#This Row],[Item]],Calories[Name],Calories[Carbs])*Log[[#This Row],[Qty]])</f>
        <v/>
      </c>
      <c r="H570" s="71" t="str">
        <f>IF(ISBLANK(Log[[#This Row],[Item]]),"",_xlfn.XLOOKUP(Log[[#This Row],[Item]],Calories[Name],Calories[Fibre])*Log[[#This Row],[Qty]])</f>
        <v/>
      </c>
      <c r="I570" s="71" t="str">
        <f>IF(ISBLANK(Log[[#This Row],[Item]]),"",(Log[[#This Row],[Carbs]]-Log[[#This Row],[Fibre]]))</f>
        <v/>
      </c>
      <c r="J570" s="103" t="str">
        <f>IF(ISBLANK(Log[[#This Row],[Item]]),"",_xlfn.XLOOKUP(Log[[#This Row],[Item]],Calories[Name],Calories[Sodium])*Log[[#This Row],[Qty]])</f>
        <v/>
      </c>
      <c r="K570" s="71" t="str">
        <f>IF(ISBLANK(Log[[#This Row],[Item]]),"",_xlfn.XLOOKUP(Log[[#This Row],[Item]],Calories[Name],Calories[Protein])*Log[[#This Row],[Qty]])</f>
        <v/>
      </c>
      <c r="L570" s="71" t="str">
        <f>IF(ISBLANK(Log[[#This Row],[Item]]),"",_xlfn.XLOOKUP(Log[[#This Row],[Item]],Calories[Name],Calories[Chol.])*Log[[#This Row],[Qty]])</f>
        <v/>
      </c>
      <c r="M570" s="75"/>
      <c r="N570" s="75"/>
      <c r="O570" s="75"/>
    </row>
    <row r="571" spans="1:15" s="66" customFormat="1" ht="25.15" customHeight="1">
      <c r="A571" s="75"/>
      <c r="B571" s="98"/>
      <c r="C571" s="78"/>
      <c r="D571" s="79"/>
      <c r="E571" s="76" t="str">
        <f>IF(ISBLANK(Log[[#This Row],[Item]]),"",_xlfn.XLOOKUP(Log[[#This Row],[Item]],Calories[Name],Calories[Unit]))</f>
        <v/>
      </c>
      <c r="F571" s="65" t="str">
        <f>IF(ISBLANK(Log[[#This Row],[Item]]),"",_xlfn.XLOOKUP(Log[[#This Row],[Item]],Calories[Name],Calories[Cals])*Log[[#This Row],[Qty]])</f>
        <v/>
      </c>
      <c r="G571" s="71" t="str">
        <f>IF(ISBLANK(Log[[#This Row],[Item]]),"",_xlfn.XLOOKUP(Log[[#This Row],[Item]],Calories[Name],Calories[Carbs])*Log[[#This Row],[Qty]])</f>
        <v/>
      </c>
      <c r="H571" s="71" t="str">
        <f>IF(ISBLANK(Log[[#This Row],[Item]]),"",_xlfn.XLOOKUP(Log[[#This Row],[Item]],Calories[Name],Calories[Fibre])*Log[[#This Row],[Qty]])</f>
        <v/>
      </c>
      <c r="I571" s="71" t="str">
        <f>IF(ISBLANK(Log[[#This Row],[Item]]),"",(Log[[#This Row],[Carbs]]-Log[[#This Row],[Fibre]]))</f>
        <v/>
      </c>
      <c r="J571" s="103" t="str">
        <f>IF(ISBLANK(Log[[#This Row],[Item]]),"",_xlfn.XLOOKUP(Log[[#This Row],[Item]],Calories[Name],Calories[Sodium])*Log[[#This Row],[Qty]])</f>
        <v/>
      </c>
      <c r="K571" s="71" t="str">
        <f>IF(ISBLANK(Log[[#This Row],[Item]]),"",_xlfn.XLOOKUP(Log[[#This Row],[Item]],Calories[Name],Calories[Protein])*Log[[#This Row],[Qty]])</f>
        <v/>
      </c>
      <c r="L571" s="71" t="str">
        <f>IF(ISBLANK(Log[[#This Row],[Item]]),"",_xlfn.XLOOKUP(Log[[#This Row],[Item]],Calories[Name],Calories[Chol.])*Log[[#This Row],[Qty]])</f>
        <v/>
      </c>
      <c r="M571" s="75"/>
      <c r="N571" s="75"/>
      <c r="O571" s="75"/>
    </row>
    <row r="572" spans="1:15" s="66" customFormat="1" ht="25.15" customHeight="1">
      <c r="A572" s="75"/>
      <c r="B572" s="98"/>
      <c r="C572" s="78"/>
      <c r="D572" s="79"/>
      <c r="E572" s="76" t="str">
        <f>IF(ISBLANK(Log[[#This Row],[Item]]),"",_xlfn.XLOOKUP(Log[[#This Row],[Item]],Calories[Name],Calories[Unit]))</f>
        <v/>
      </c>
      <c r="F572" s="65" t="str">
        <f>IF(ISBLANK(Log[[#This Row],[Item]]),"",_xlfn.XLOOKUP(Log[[#This Row],[Item]],Calories[Name],Calories[Cals])*Log[[#This Row],[Qty]])</f>
        <v/>
      </c>
      <c r="G572" s="71" t="str">
        <f>IF(ISBLANK(Log[[#This Row],[Item]]),"",_xlfn.XLOOKUP(Log[[#This Row],[Item]],Calories[Name],Calories[Carbs])*Log[[#This Row],[Qty]])</f>
        <v/>
      </c>
      <c r="H572" s="71" t="str">
        <f>IF(ISBLANK(Log[[#This Row],[Item]]),"",_xlfn.XLOOKUP(Log[[#This Row],[Item]],Calories[Name],Calories[Fibre])*Log[[#This Row],[Qty]])</f>
        <v/>
      </c>
      <c r="I572" s="71" t="str">
        <f>IF(ISBLANK(Log[[#This Row],[Item]]),"",(Log[[#This Row],[Carbs]]-Log[[#This Row],[Fibre]]))</f>
        <v/>
      </c>
      <c r="J572" s="103" t="str">
        <f>IF(ISBLANK(Log[[#This Row],[Item]]),"",_xlfn.XLOOKUP(Log[[#This Row],[Item]],Calories[Name],Calories[Sodium])*Log[[#This Row],[Qty]])</f>
        <v/>
      </c>
      <c r="K572" s="71" t="str">
        <f>IF(ISBLANK(Log[[#This Row],[Item]]),"",_xlfn.XLOOKUP(Log[[#This Row],[Item]],Calories[Name],Calories[Protein])*Log[[#This Row],[Qty]])</f>
        <v/>
      </c>
      <c r="L572" s="71" t="str">
        <f>IF(ISBLANK(Log[[#This Row],[Item]]),"",_xlfn.XLOOKUP(Log[[#This Row],[Item]],Calories[Name],Calories[Chol.])*Log[[#This Row],[Qty]])</f>
        <v/>
      </c>
      <c r="M572" s="75"/>
      <c r="N572" s="75"/>
      <c r="O572" s="75"/>
    </row>
    <row r="573" spans="1:15" s="66" customFormat="1" ht="25.15" customHeight="1">
      <c r="A573" s="75"/>
      <c r="B573" s="98"/>
      <c r="C573" s="78"/>
      <c r="D573" s="79"/>
      <c r="E573" s="76" t="str">
        <f>IF(ISBLANK(Log[[#This Row],[Item]]),"",_xlfn.XLOOKUP(Log[[#This Row],[Item]],Calories[Name],Calories[Unit]))</f>
        <v/>
      </c>
      <c r="F573" s="65" t="str">
        <f>IF(ISBLANK(Log[[#This Row],[Item]]),"",_xlfn.XLOOKUP(Log[[#This Row],[Item]],Calories[Name],Calories[Cals])*Log[[#This Row],[Qty]])</f>
        <v/>
      </c>
      <c r="G573" s="71" t="str">
        <f>IF(ISBLANK(Log[[#This Row],[Item]]),"",_xlfn.XLOOKUP(Log[[#This Row],[Item]],Calories[Name],Calories[Carbs])*Log[[#This Row],[Qty]])</f>
        <v/>
      </c>
      <c r="H573" s="71" t="str">
        <f>IF(ISBLANK(Log[[#This Row],[Item]]),"",_xlfn.XLOOKUP(Log[[#This Row],[Item]],Calories[Name],Calories[Fibre])*Log[[#This Row],[Qty]])</f>
        <v/>
      </c>
      <c r="I573" s="71" t="str">
        <f>IF(ISBLANK(Log[[#This Row],[Item]]),"",(Log[[#This Row],[Carbs]]-Log[[#This Row],[Fibre]]))</f>
        <v/>
      </c>
      <c r="J573" s="103" t="str">
        <f>IF(ISBLANK(Log[[#This Row],[Item]]),"",_xlfn.XLOOKUP(Log[[#This Row],[Item]],Calories[Name],Calories[Sodium])*Log[[#This Row],[Qty]])</f>
        <v/>
      </c>
      <c r="K573" s="71" t="str">
        <f>IF(ISBLANK(Log[[#This Row],[Item]]),"",_xlfn.XLOOKUP(Log[[#This Row],[Item]],Calories[Name],Calories[Protein])*Log[[#This Row],[Qty]])</f>
        <v/>
      </c>
      <c r="L573" s="71" t="str">
        <f>IF(ISBLANK(Log[[#This Row],[Item]]),"",_xlfn.XLOOKUP(Log[[#This Row],[Item]],Calories[Name],Calories[Chol.])*Log[[#This Row],[Qty]])</f>
        <v/>
      </c>
      <c r="M573" s="75"/>
      <c r="N573" s="75"/>
      <c r="O573" s="75"/>
    </row>
    <row r="574" spans="1:15" s="66" customFormat="1" ht="25.15" customHeight="1">
      <c r="A574" s="75"/>
      <c r="B574" s="98"/>
      <c r="C574" s="78"/>
      <c r="D574" s="79"/>
      <c r="E574" s="76" t="str">
        <f>IF(ISBLANK(Log[[#This Row],[Item]]),"",_xlfn.XLOOKUP(Log[[#This Row],[Item]],Calories[Name],Calories[Unit]))</f>
        <v/>
      </c>
      <c r="F574" s="65" t="str">
        <f>IF(ISBLANK(Log[[#This Row],[Item]]),"",_xlfn.XLOOKUP(Log[[#This Row],[Item]],Calories[Name],Calories[Cals])*Log[[#This Row],[Qty]])</f>
        <v/>
      </c>
      <c r="G574" s="71" t="str">
        <f>IF(ISBLANK(Log[[#This Row],[Item]]),"",_xlfn.XLOOKUP(Log[[#This Row],[Item]],Calories[Name],Calories[Carbs])*Log[[#This Row],[Qty]])</f>
        <v/>
      </c>
      <c r="H574" s="71" t="str">
        <f>IF(ISBLANK(Log[[#This Row],[Item]]),"",_xlfn.XLOOKUP(Log[[#This Row],[Item]],Calories[Name],Calories[Fibre])*Log[[#This Row],[Qty]])</f>
        <v/>
      </c>
      <c r="I574" s="71" t="str">
        <f>IF(ISBLANK(Log[[#This Row],[Item]]),"",(Log[[#This Row],[Carbs]]-Log[[#This Row],[Fibre]]))</f>
        <v/>
      </c>
      <c r="J574" s="103" t="str">
        <f>IF(ISBLANK(Log[[#This Row],[Item]]),"",_xlfn.XLOOKUP(Log[[#This Row],[Item]],Calories[Name],Calories[Sodium])*Log[[#This Row],[Qty]])</f>
        <v/>
      </c>
      <c r="K574" s="71" t="str">
        <f>IF(ISBLANK(Log[[#This Row],[Item]]),"",_xlfn.XLOOKUP(Log[[#This Row],[Item]],Calories[Name],Calories[Protein])*Log[[#This Row],[Qty]])</f>
        <v/>
      </c>
      <c r="L574" s="71" t="str">
        <f>IF(ISBLANK(Log[[#This Row],[Item]]),"",_xlfn.XLOOKUP(Log[[#This Row],[Item]],Calories[Name],Calories[Chol.])*Log[[#This Row],[Qty]])</f>
        <v/>
      </c>
      <c r="M574" s="75"/>
      <c r="N574" s="75"/>
      <c r="O574" s="75"/>
    </row>
    <row r="575" spans="1:15" s="66" customFormat="1" ht="25.15" customHeight="1">
      <c r="A575" s="75"/>
      <c r="B575" s="98"/>
      <c r="C575" s="78"/>
      <c r="D575" s="79"/>
      <c r="E575" s="76" t="str">
        <f>IF(ISBLANK(Log[[#This Row],[Item]]),"",_xlfn.XLOOKUP(Log[[#This Row],[Item]],Calories[Name],Calories[Unit]))</f>
        <v/>
      </c>
      <c r="F575" s="65" t="str">
        <f>IF(ISBLANK(Log[[#This Row],[Item]]),"",_xlfn.XLOOKUP(Log[[#This Row],[Item]],Calories[Name],Calories[Cals])*Log[[#This Row],[Qty]])</f>
        <v/>
      </c>
      <c r="G575" s="71" t="str">
        <f>IF(ISBLANK(Log[[#This Row],[Item]]),"",_xlfn.XLOOKUP(Log[[#This Row],[Item]],Calories[Name],Calories[Carbs])*Log[[#This Row],[Qty]])</f>
        <v/>
      </c>
      <c r="H575" s="71" t="str">
        <f>IF(ISBLANK(Log[[#This Row],[Item]]),"",_xlfn.XLOOKUP(Log[[#This Row],[Item]],Calories[Name],Calories[Fibre])*Log[[#This Row],[Qty]])</f>
        <v/>
      </c>
      <c r="I575" s="71" t="str">
        <f>IF(ISBLANK(Log[[#This Row],[Item]]),"",(Log[[#This Row],[Carbs]]-Log[[#This Row],[Fibre]]))</f>
        <v/>
      </c>
      <c r="J575" s="103" t="str">
        <f>IF(ISBLANK(Log[[#This Row],[Item]]),"",_xlfn.XLOOKUP(Log[[#This Row],[Item]],Calories[Name],Calories[Sodium])*Log[[#This Row],[Qty]])</f>
        <v/>
      </c>
      <c r="K575" s="71" t="str">
        <f>IF(ISBLANK(Log[[#This Row],[Item]]),"",_xlfn.XLOOKUP(Log[[#This Row],[Item]],Calories[Name],Calories[Protein])*Log[[#This Row],[Qty]])</f>
        <v/>
      </c>
      <c r="L575" s="71" t="str">
        <f>IF(ISBLANK(Log[[#This Row],[Item]]),"",_xlfn.XLOOKUP(Log[[#This Row],[Item]],Calories[Name],Calories[Chol.])*Log[[#This Row],[Qty]])</f>
        <v/>
      </c>
      <c r="M575" s="75"/>
      <c r="N575" s="75"/>
      <c r="O575" s="75"/>
    </row>
    <row r="576" spans="1:15" s="66" customFormat="1" ht="25.15" customHeight="1">
      <c r="A576" s="75"/>
      <c r="B576" s="98"/>
      <c r="C576" s="78"/>
      <c r="D576" s="79"/>
      <c r="E576" s="76" t="str">
        <f>IF(ISBLANK(Log[[#This Row],[Item]]),"",_xlfn.XLOOKUP(Log[[#This Row],[Item]],Calories[Name],Calories[Unit]))</f>
        <v/>
      </c>
      <c r="F576" s="65" t="str">
        <f>IF(ISBLANK(Log[[#This Row],[Item]]),"",_xlfn.XLOOKUP(Log[[#This Row],[Item]],Calories[Name],Calories[Cals])*Log[[#This Row],[Qty]])</f>
        <v/>
      </c>
      <c r="G576" s="71" t="str">
        <f>IF(ISBLANK(Log[[#This Row],[Item]]),"",_xlfn.XLOOKUP(Log[[#This Row],[Item]],Calories[Name],Calories[Carbs])*Log[[#This Row],[Qty]])</f>
        <v/>
      </c>
      <c r="H576" s="71" t="str">
        <f>IF(ISBLANK(Log[[#This Row],[Item]]),"",_xlfn.XLOOKUP(Log[[#This Row],[Item]],Calories[Name],Calories[Fibre])*Log[[#This Row],[Qty]])</f>
        <v/>
      </c>
      <c r="I576" s="71" t="str">
        <f>IF(ISBLANK(Log[[#This Row],[Item]]),"",(Log[[#This Row],[Carbs]]-Log[[#This Row],[Fibre]]))</f>
        <v/>
      </c>
      <c r="J576" s="103" t="str">
        <f>IF(ISBLANK(Log[[#This Row],[Item]]),"",_xlfn.XLOOKUP(Log[[#This Row],[Item]],Calories[Name],Calories[Sodium])*Log[[#This Row],[Qty]])</f>
        <v/>
      </c>
      <c r="K576" s="71" t="str">
        <f>IF(ISBLANK(Log[[#This Row],[Item]]),"",_xlfn.XLOOKUP(Log[[#This Row],[Item]],Calories[Name],Calories[Protein])*Log[[#This Row],[Qty]])</f>
        <v/>
      </c>
      <c r="L576" s="71" t="str">
        <f>IF(ISBLANK(Log[[#This Row],[Item]]),"",_xlfn.XLOOKUP(Log[[#This Row],[Item]],Calories[Name],Calories[Chol.])*Log[[#This Row],[Qty]])</f>
        <v/>
      </c>
      <c r="M576" s="75"/>
      <c r="N576" s="75"/>
      <c r="O576" s="75"/>
    </row>
    <row r="577" spans="1:15" s="66" customFormat="1" ht="25.15" customHeight="1">
      <c r="A577" s="75"/>
      <c r="B577" s="98"/>
      <c r="C577" s="78"/>
      <c r="D577" s="79"/>
      <c r="E577" s="76" t="str">
        <f>IF(ISBLANK(Log[[#This Row],[Item]]),"",_xlfn.XLOOKUP(Log[[#This Row],[Item]],Calories[Name],Calories[Unit]))</f>
        <v/>
      </c>
      <c r="F577" s="65" t="str">
        <f>IF(ISBLANK(Log[[#This Row],[Item]]),"",_xlfn.XLOOKUP(Log[[#This Row],[Item]],Calories[Name],Calories[Cals])*Log[[#This Row],[Qty]])</f>
        <v/>
      </c>
      <c r="G577" s="71" t="str">
        <f>IF(ISBLANK(Log[[#This Row],[Item]]),"",_xlfn.XLOOKUP(Log[[#This Row],[Item]],Calories[Name],Calories[Carbs])*Log[[#This Row],[Qty]])</f>
        <v/>
      </c>
      <c r="H577" s="71" t="str">
        <f>IF(ISBLANK(Log[[#This Row],[Item]]),"",_xlfn.XLOOKUP(Log[[#This Row],[Item]],Calories[Name],Calories[Fibre])*Log[[#This Row],[Qty]])</f>
        <v/>
      </c>
      <c r="I577" s="71" t="str">
        <f>IF(ISBLANK(Log[[#This Row],[Item]]),"",(Log[[#This Row],[Carbs]]-Log[[#This Row],[Fibre]]))</f>
        <v/>
      </c>
      <c r="J577" s="103" t="str">
        <f>IF(ISBLANK(Log[[#This Row],[Item]]),"",_xlfn.XLOOKUP(Log[[#This Row],[Item]],Calories[Name],Calories[Sodium])*Log[[#This Row],[Qty]])</f>
        <v/>
      </c>
      <c r="K577" s="71" t="str">
        <f>IF(ISBLANK(Log[[#This Row],[Item]]),"",_xlfn.XLOOKUP(Log[[#This Row],[Item]],Calories[Name],Calories[Protein])*Log[[#This Row],[Qty]])</f>
        <v/>
      </c>
      <c r="L577" s="71" t="str">
        <f>IF(ISBLANK(Log[[#This Row],[Item]]),"",_xlfn.XLOOKUP(Log[[#This Row],[Item]],Calories[Name],Calories[Chol.])*Log[[#This Row],[Qty]])</f>
        <v/>
      </c>
      <c r="M577" s="75"/>
      <c r="N577" s="75"/>
      <c r="O577" s="75"/>
    </row>
    <row r="578" spans="1:15" s="66" customFormat="1" ht="25.15" customHeight="1">
      <c r="A578" s="75"/>
      <c r="B578" s="98"/>
      <c r="C578" s="78"/>
      <c r="D578" s="79"/>
      <c r="E578" s="76" t="str">
        <f>IF(ISBLANK(Log[[#This Row],[Item]]),"",_xlfn.XLOOKUP(Log[[#This Row],[Item]],Calories[Name],Calories[Unit]))</f>
        <v/>
      </c>
      <c r="F578" s="65" t="str">
        <f>IF(ISBLANK(Log[[#This Row],[Item]]),"",_xlfn.XLOOKUP(Log[[#This Row],[Item]],Calories[Name],Calories[Cals])*Log[[#This Row],[Qty]])</f>
        <v/>
      </c>
      <c r="G578" s="71" t="str">
        <f>IF(ISBLANK(Log[[#This Row],[Item]]),"",_xlfn.XLOOKUP(Log[[#This Row],[Item]],Calories[Name],Calories[Carbs])*Log[[#This Row],[Qty]])</f>
        <v/>
      </c>
      <c r="H578" s="71" t="str">
        <f>IF(ISBLANK(Log[[#This Row],[Item]]),"",_xlfn.XLOOKUP(Log[[#This Row],[Item]],Calories[Name],Calories[Fibre])*Log[[#This Row],[Qty]])</f>
        <v/>
      </c>
      <c r="I578" s="71" t="str">
        <f>IF(ISBLANK(Log[[#This Row],[Item]]),"",(Log[[#This Row],[Carbs]]-Log[[#This Row],[Fibre]]))</f>
        <v/>
      </c>
      <c r="J578" s="103" t="str">
        <f>IF(ISBLANK(Log[[#This Row],[Item]]),"",_xlfn.XLOOKUP(Log[[#This Row],[Item]],Calories[Name],Calories[Sodium])*Log[[#This Row],[Qty]])</f>
        <v/>
      </c>
      <c r="K578" s="71" t="str">
        <f>IF(ISBLANK(Log[[#This Row],[Item]]),"",_xlfn.XLOOKUP(Log[[#This Row],[Item]],Calories[Name],Calories[Protein])*Log[[#This Row],[Qty]])</f>
        <v/>
      </c>
      <c r="L578" s="71" t="str">
        <f>IF(ISBLANK(Log[[#This Row],[Item]]),"",_xlfn.XLOOKUP(Log[[#This Row],[Item]],Calories[Name],Calories[Chol.])*Log[[#This Row],[Qty]])</f>
        <v/>
      </c>
      <c r="M578" s="75"/>
      <c r="N578" s="75"/>
      <c r="O578" s="75"/>
    </row>
    <row r="579" spans="1:15" s="66" customFormat="1" ht="25.15" customHeight="1">
      <c r="A579" s="75"/>
      <c r="B579" s="98"/>
      <c r="C579" s="78"/>
      <c r="D579" s="79"/>
      <c r="E579" s="76" t="str">
        <f>IF(ISBLANK(Log[[#This Row],[Item]]),"",_xlfn.XLOOKUP(Log[[#This Row],[Item]],Calories[Name],Calories[Unit]))</f>
        <v/>
      </c>
      <c r="F579" s="65" t="str">
        <f>IF(ISBLANK(Log[[#This Row],[Item]]),"",_xlfn.XLOOKUP(Log[[#This Row],[Item]],Calories[Name],Calories[Cals])*Log[[#This Row],[Qty]])</f>
        <v/>
      </c>
      <c r="G579" s="71" t="str">
        <f>IF(ISBLANK(Log[[#This Row],[Item]]),"",_xlfn.XLOOKUP(Log[[#This Row],[Item]],Calories[Name],Calories[Carbs])*Log[[#This Row],[Qty]])</f>
        <v/>
      </c>
      <c r="H579" s="71" t="str">
        <f>IF(ISBLANK(Log[[#This Row],[Item]]),"",_xlfn.XLOOKUP(Log[[#This Row],[Item]],Calories[Name],Calories[Fibre])*Log[[#This Row],[Qty]])</f>
        <v/>
      </c>
      <c r="I579" s="71" t="str">
        <f>IF(ISBLANK(Log[[#This Row],[Item]]),"",(Log[[#This Row],[Carbs]]-Log[[#This Row],[Fibre]]))</f>
        <v/>
      </c>
      <c r="J579" s="103" t="str">
        <f>IF(ISBLANK(Log[[#This Row],[Item]]),"",_xlfn.XLOOKUP(Log[[#This Row],[Item]],Calories[Name],Calories[Sodium])*Log[[#This Row],[Qty]])</f>
        <v/>
      </c>
      <c r="K579" s="71" t="str">
        <f>IF(ISBLANK(Log[[#This Row],[Item]]),"",_xlfn.XLOOKUP(Log[[#This Row],[Item]],Calories[Name],Calories[Protein])*Log[[#This Row],[Qty]])</f>
        <v/>
      </c>
      <c r="L579" s="71" t="str">
        <f>IF(ISBLANK(Log[[#This Row],[Item]]),"",_xlfn.XLOOKUP(Log[[#This Row],[Item]],Calories[Name],Calories[Chol.])*Log[[#This Row],[Qty]])</f>
        <v/>
      </c>
      <c r="M579" s="75"/>
      <c r="N579" s="75"/>
      <c r="O579" s="75"/>
    </row>
    <row r="580" spans="1:15" s="66" customFormat="1" ht="25.15" customHeight="1">
      <c r="A580" s="75"/>
      <c r="B580" s="98"/>
      <c r="C580" s="78"/>
      <c r="D580" s="79"/>
      <c r="E580" s="76" t="str">
        <f>IF(ISBLANK(Log[[#This Row],[Item]]),"",_xlfn.XLOOKUP(Log[[#This Row],[Item]],Calories[Name],Calories[Unit]))</f>
        <v/>
      </c>
      <c r="F580" s="65" t="str">
        <f>IF(ISBLANK(Log[[#This Row],[Item]]),"",_xlfn.XLOOKUP(Log[[#This Row],[Item]],Calories[Name],Calories[Cals])*Log[[#This Row],[Qty]])</f>
        <v/>
      </c>
      <c r="G580" s="71" t="str">
        <f>IF(ISBLANK(Log[[#This Row],[Item]]),"",_xlfn.XLOOKUP(Log[[#This Row],[Item]],Calories[Name],Calories[Carbs])*Log[[#This Row],[Qty]])</f>
        <v/>
      </c>
      <c r="H580" s="71" t="str">
        <f>IF(ISBLANK(Log[[#This Row],[Item]]),"",_xlfn.XLOOKUP(Log[[#This Row],[Item]],Calories[Name],Calories[Fibre])*Log[[#This Row],[Qty]])</f>
        <v/>
      </c>
      <c r="I580" s="71" t="str">
        <f>IF(ISBLANK(Log[[#This Row],[Item]]),"",(Log[[#This Row],[Carbs]]-Log[[#This Row],[Fibre]]))</f>
        <v/>
      </c>
      <c r="J580" s="103" t="str">
        <f>IF(ISBLANK(Log[[#This Row],[Item]]),"",_xlfn.XLOOKUP(Log[[#This Row],[Item]],Calories[Name],Calories[Sodium])*Log[[#This Row],[Qty]])</f>
        <v/>
      </c>
      <c r="K580" s="71" t="str">
        <f>IF(ISBLANK(Log[[#This Row],[Item]]),"",_xlfn.XLOOKUP(Log[[#This Row],[Item]],Calories[Name],Calories[Protein])*Log[[#This Row],[Qty]])</f>
        <v/>
      </c>
      <c r="L580" s="71" t="str">
        <f>IF(ISBLANK(Log[[#This Row],[Item]]),"",_xlfn.XLOOKUP(Log[[#This Row],[Item]],Calories[Name],Calories[Chol.])*Log[[#This Row],[Qty]])</f>
        <v/>
      </c>
      <c r="M580" s="75"/>
      <c r="N580" s="75"/>
      <c r="O580" s="75"/>
    </row>
    <row r="581" spans="1:15" s="66" customFormat="1" ht="25.15" customHeight="1">
      <c r="A581" s="75"/>
      <c r="B581" s="98"/>
      <c r="C581" s="78"/>
      <c r="D581" s="79"/>
      <c r="E581" s="76" t="str">
        <f>IF(ISBLANK(Log[[#This Row],[Item]]),"",_xlfn.XLOOKUP(Log[[#This Row],[Item]],Calories[Name],Calories[Unit]))</f>
        <v/>
      </c>
      <c r="F581" s="65" t="str">
        <f>IF(ISBLANK(Log[[#This Row],[Item]]),"",_xlfn.XLOOKUP(Log[[#This Row],[Item]],Calories[Name],Calories[Cals])*Log[[#This Row],[Qty]])</f>
        <v/>
      </c>
      <c r="G581" s="71" t="str">
        <f>IF(ISBLANK(Log[[#This Row],[Item]]),"",_xlfn.XLOOKUP(Log[[#This Row],[Item]],Calories[Name],Calories[Carbs])*Log[[#This Row],[Qty]])</f>
        <v/>
      </c>
      <c r="H581" s="71" t="str">
        <f>IF(ISBLANK(Log[[#This Row],[Item]]),"",_xlfn.XLOOKUP(Log[[#This Row],[Item]],Calories[Name],Calories[Fibre])*Log[[#This Row],[Qty]])</f>
        <v/>
      </c>
      <c r="I581" s="71" t="str">
        <f>IF(ISBLANK(Log[[#This Row],[Item]]),"",(Log[[#This Row],[Carbs]]-Log[[#This Row],[Fibre]]))</f>
        <v/>
      </c>
      <c r="J581" s="103" t="str">
        <f>IF(ISBLANK(Log[[#This Row],[Item]]),"",_xlfn.XLOOKUP(Log[[#This Row],[Item]],Calories[Name],Calories[Sodium])*Log[[#This Row],[Qty]])</f>
        <v/>
      </c>
      <c r="K581" s="71" t="str">
        <f>IF(ISBLANK(Log[[#This Row],[Item]]),"",_xlfn.XLOOKUP(Log[[#This Row],[Item]],Calories[Name],Calories[Protein])*Log[[#This Row],[Qty]])</f>
        <v/>
      </c>
      <c r="L581" s="71" t="str">
        <f>IF(ISBLANK(Log[[#This Row],[Item]]),"",_xlfn.XLOOKUP(Log[[#This Row],[Item]],Calories[Name],Calories[Chol.])*Log[[#This Row],[Qty]])</f>
        <v/>
      </c>
      <c r="M581" s="75"/>
      <c r="N581" s="75"/>
      <c r="O581" s="75"/>
    </row>
    <row r="582" spans="1:15" s="66" customFormat="1" ht="25.15" customHeight="1">
      <c r="A582" s="75"/>
      <c r="B582" s="98"/>
      <c r="C582" s="78"/>
      <c r="D582" s="79"/>
      <c r="E582" s="76" t="str">
        <f>IF(ISBLANK(Log[[#This Row],[Item]]),"",_xlfn.XLOOKUP(Log[[#This Row],[Item]],Calories[Name],Calories[Unit]))</f>
        <v/>
      </c>
      <c r="F582" s="65" t="str">
        <f>IF(ISBLANK(Log[[#This Row],[Item]]),"",_xlfn.XLOOKUP(Log[[#This Row],[Item]],Calories[Name],Calories[Cals])*Log[[#This Row],[Qty]])</f>
        <v/>
      </c>
      <c r="G582" s="71" t="str">
        <f>IF(ISBLANK(Log[[#This Row],[Item]]),"",_xlfn.XLOOKUP(Log[[#This Row],[Item]],Calories[Name],Calories[Carbs])*Log[[#This Row],[Qty]])</f>
        <v/>
      </c>
      <c r="H582" s="71" t="str">
        <f>IF(ISBLANK(Log[[#This Row],[Item]]),"",_xlfn.XLOOKUP(Log[[#This Row],[Item]],Calories[Name],Calories[Fibre])*Log[[#This Row],[Qty]])</f>
        <v/>
      </c>
      <c r="I582" s="71" t="str">
        <f>IF(ISBLANK(Log[[#This Row],[Item]]),"",(Log[[#This Row],[Carbs]]-Log[[#This Row],[Fibre]]))</f>
        <v/>
      </c>
      <c r="J582" s="103" t="str">
        <f>IF(ISBLANK(Log[[#This Row],[Item]]),"",_xlfn.XLOOKUP(Log[[#This Row],[Item]],Calories[Name],Calories[Sodium])*Log[[#This Row],[Qty]])</f>
        <v/>
      </c>
      <c r="K582" s="71" t="str">
        <f>IF(ISBLANK(Log[[#This Row],[Item]]),"",_xlfn.XLOOKUP(Log[[#This Row],[Item]],Calories[Name],Calories[Protein])*Log[[#This Row],[Qty]])</f>
        <v/>
      </c>
      <c r="L582" s="71" t="str">
        <f>IF(ISBLANK(Log[[#This Row],[Item]]),"",_xlfn.XLOOKUP(Log[[#This Row],[Item]],Calories[Name],Calories[Chol.])*Log[[#This Row],[Qty]])</f>
        <v/>
      </c>
      <c r="M582" s="75"/>
      <c r="N582" s="75"/>
      <c r="O582" s="75"/>
    </row>
    <row r="583" spans="1:15" s="66" customFormat="1" ht="25.15" customHeight="1">
      <c r="A583" s="75"/>
      <c r="B583" s="98"/>
      <c r="C583" s="78"/>
      <c r="D583" s="79"/>
      <c r="E583" s="76" t="str">
        <f>IF(ISBLANK(Log[[#This Row],[Item]]),"",_xlfn.XLOOKUP(Log[[#This Row],[Item]],Calories[Name],Calories[Unit]))</f>
        <v/>
      </c>
      <c r="F583" s="65" t="str">
        <f>IF(ISBLANK(Log[[#This Row],[Item]]),"",_xlfn.XLOOKUP(Log[[#This Row],[Item]],Calories[Name],Calories[Cals])*Log[[#This Row],[Qty]])</f>
        <v/>
      </c>
      <c r="G583" s="71" t="str">
        <f>IF(ISBLANK(Log[[#This Row],[Item]]),"",_xlfn.XLOOKUP(Log[[#This Row],[Item]],Calories[Name],Calories[Carbs])*Log[[#This Row],[Qty]])</f>
        <v/>
      </c>
      <c r="H583" s="71" t="str">
        <f>IF(ISBLANK(Log[[#This Row],[Item]]),"",_xlfn.XLOOKUP(Log[[#This Row],[Item]],Calories[Name],Calories[Fibre])*Log[[#This Row],[Qty]])</f>
        <v/>
      </c>
      <c r="I583" s="71" t="str">
        <f>IF(ISBLANK(Log[[#This Row],[Item]]),"",(Log[[#This Row],[Carbs]]-Log[[#This Row],[Fibre]]))</f>
        <v/>
      </c>
      <c r="J583" s="103" t="str">
        <f>IF(ISBLANK(Log[[#This Row],[Item]]),"",_xlfn.XLOOKUP(Log[[#This Row],[Item]],Calories[Name],Calories[Sodium])*Log[[#This Row],[Qty]])</f>
        <v/>
      </c>
      <c r="K583" s="71" t="str">
        <f>IF(ISBLANK(Log[[#This Row],[Item]]),"",_xlfn.XLOOKUP(Log[[#This Row],[Item]],Calories[Name],Calories[Protein])*Log[[#This Row],[Qty]])</f>
        <v/>
      </c>
      <c r="L583" s="71" t="str">
        <f>IF(ISBLANK(Log[[#This Row],[Item]]),"",_xlfn.XLOOKUP(Log[[#This Row],[Item]],Calories[Name],Calories[Chol.])*Log[[#This Row],[Qty]])</f>
        <v/>
      </c>
      <c r="M583" s="75"/>
      <c r="N583" s="75"/>
      <c r="O583" s="75"/>
    </row>
    <row r="584" spans="1:15" s="66" customFormat="1" ht="25.15" customHeight="1">
      <c r="A584" s="75"/>
      <c r="B584" s="98"/>
      <c r="C584" s="78"/>
      <c r="D584" s="79"/>
      <c r="E584" s="76" t="str">
        <f>IF(ISBLANK(Log[[#This Row],[Item]]),"",_xlfn.XLOOKUP(Log[[#This Row],[Item]],Calories[Name],Calories[Unit]))</f>
        <v/>
      </c>
      <c r="F584" s="65" t="str">
        <f>IF(ISBLANK(Log[[#This Row],[Item]]),"",_xlfn.XLOOKUP(Log[[#This Row],[Item]],Calories[Name],Calories[Cals])*Log[[#This Row],[Qty]])</f>
        <v/>
      </c>
      <c r="G584" s="71" t="str">
        <f>IF(ISBLANK(Log[[#This Row],[Item]]),"",_xlfn.XLOOKUP(Log[[#This Row],[Item]],Calories[Name],Calories[Carbs])*Log[[#This Row],[Qty]])</f>
        <v/>
      </c>
      <c r="H584" s="71" t="str">
        <f>IF(ISBLANK(Log[[#This Row],[Item]]),"",_xlfn.XLOOKUP(Log[[#This Row],[Item]],Calories[Name],Calories[Fibre])*Log[[#This Row],[Qty]])</f>
        <v/>
      </c>
      <c r="I584" s="71" t="str">
        <f>IF(ISBLANK(Log[[#This Row],[Item]]),"",(Log[[#This Row],[Carbs]]-Log[[#This Row],[Fibre]]))</f>
        <v/>
      </c>
      <c r="J584" s="103" t="str">
        <f>IF(ISBLANK(Log[[#This Row],[Item]]),"",_xlfn.XLOOKUP(Log[[#This Row],[Item]],Calories[Name],Calories[Sodium])*Log[[#This Row],[Qty]])</f>
        <v/>
      </c>
      <c r="K584" s="71" t="str">
        <f>IF(ISBLANK(Log[[#This Row],[Item]]),"",_xlfn.XLOOKUP(Log[[#This Row],[Item]],Calories[Name],Calories[Protein])*Log[[#This Row],[Qty]])</f>
        <v/>
      </c>
      <c r="L584" s="71" t="str">
        <f>IF(ISBLANK(Log[[#This Row],[Item]]),"",_xlfn.XLOOKUP(Log[[#This Row],[Item]],Calories[Name],Calories[Chol.])*Log[[#This Row],[Qty]])</f>
        <v/>
      </c>
      <c r="M584" s="75"/>
      <c r="N584" s="75"/>
      <c r="O584" s="75"/>
    </row>
    <row r="585" spans="1:15" s="66" customFormat="1" ht="25.15" customHeight="1">
      <c r="A585" s="75"/>
      <c r="B585" s="98"/>
      <c r="C585" s="78"/>
      <c r="D585" s="79"/>
      <c r="E585" s="76" t="str">
        <f>IF(ISBLANK(Log[[#This Row],[Item]]),"",_xlfn.XLOOKUP(Log[[#This Row],[Item]],Calories[Name],Calories[Unit]))</f>
        <v/>
      </c>
      <c r="F585" s="65" t="str">
        <f>IF(ISBLANK(Log[[#This Row],[Item]]),"",_xlfn.XLOOKUP(Log[[#This Row],[Item]],Calories[Name],Calories[Cals])*Log[[#This Row],[Qty]])</f>
        <v/>
      </c>
      <c r="G585" s="71" t="str">
        <f>IF(ISBLANK(Log[[#This Row],[Item]]),"",_xlfn.XLOOKUP(Log[[#This Row],[Item]],Calories[Name],Calories[Carbs])*Log[[#This Row],[Qty]])</f>
        <v/>
      </c>
      <c r="H585" s="71" t="str">
        <f>IF(ISBLANK(Log[[#This Row],[Item]]),"",_xlfn.XLOOKUP(Log[[#This Row],[Item]],Calories[Name],Calories[Fibre])*Log[[#This Row],[Qty]])</f>
        <v/>
      </c>
      <c r="I585" s="71" t="str">
        <f>IF(ISBLANK(Log[[#This Row],[Item]]),"",(Log[[#This Row],[Carbs]]-Log[[#This Row],[Fibre]]))</f>
        <v/>
      </c>
      <c r="J585" s="103" t="str">
        <f>IF(ISBLANK(Log[[#This Row],[Item]]),"",_xlfn.XLOOKUP(Log[[#This Row],[Item]],Calories[Name],Calories[Sodium])*Log[[#This Row],[Qty]])</f>
        <v/>
      </c>
      <c r="K585" s="71" t="str">
        <f>IF(ISBLANK(Log[[#This Row],[Item]]),"",_xlfn.XLOOKUP(Log[[#This Row],[Item]],Calories[Name],Calories[Protein])*Log[[#This Row],[Qty]])</f>
        <v/>
      </c>
      <c r="L585" s="71" t="str">
        <f>IF(ISBLANK(Log[[#This Row],[Item]]),"",_xlfn.XLOOKUP(Log[[#This Row],[Item]],Calories[Name],Calories[Chol.])*Log[[#This Row],[Qty]])</f>
        <v/>
      </c>
      <c r="M585" s="75"/>
      <c r="N585" s="75"/>
      <c r="O585" s="75"/>
    </row>
    <row r="586" spans="1:15" s="66" customFormat="1" ht="25.15" customHeight="1">
      <c r="A586" s="75"/>
      <c r="B586" s="98"/>
      <c r="C586" s="78"/>
      <c r="D586" s="79"/>
      <c r="E586" s="76" t="str">
        <f>IF(ISBLANK(Log[[#This Row],[Item]]),"",_xlfn.XLOOKUP(Log[[#This Row],[Item]],Calories[Name],Calories[Unit]))</f>
        <v/>
      </c>
      <c r="F586" s="65" t="str">
        <f>IF(ISBLANK(Log[[#This Row],[Item]]),"",_xlfn.XLOOKUP(Log[[#This Row],[Item]],Calories[Name],Calories[Cals])*Log[[#This Row],[Qty]])</f>
        <v/>
      </c>
      <c r="G586" s="71" t="str">
        <f>IF(ISBLANK(Log[[#This Row],[Item]]),"",_xlfn.XLOOKUP(Log[[#This Row],[Item]],Calories[Name],Calories[Carbs])*Log[[#This Row],[Qty]])</f>
        <v/>
      </c>
      <c r="H586" s="71" t="str">
        <f>IF(ISBLANK(Log[[#This Row],[Item]]),"",_xlfn.XLOOKUP(Log[[#This Row],[Item]],Calories[Name],Calories[Fibre])*Log[[#This Row],[Qty]])</f>
        <v/>
      </c>
      <c r="I586" s="71" t="str">
        <f>IF(ISBLANK(Log[[#This Row],[Item]]),"",(Log[[#This Row],[Carbs]]-Log[[#This Row],[Fibre]]))</f>
        <v/>
      </c>
      <c r="J586" s="103" t="str">
        <f>IF(ISBLANK(Log[[#This Row],[Item]]),"",_xlfn.XLOOKUP(Log[[#This Row],[Item]],Calories[Name],Calories[Sodium])*Log[[#This Row],[Qty]])</f>
        <v/>
      </c>
      <c r="K586" s="71" t="str">
        <f>IF(ISBLANK(Log[[#This Row],[Item]]),"",_xlfn.XLOOKUP(Log[[#This Row],[Item]],Calories[Name],Calories[Protein])*Log[[#This Row],[Qty]])</f>
        <v/>
      </c>
      <c r="L586" s="71" t="str">
        <f>IF(ISBLANK(Log[[#This Row],[Item]]),"",_xlfn.XLOOKUP(Log[[#This Row],[Item]],Calories[Name],Calories[Chol.])*Log[[#This Row],[Qty]])</f>
        <v/>
      </c>
      <c r="M586" s="75"/>
      <c r="N586" s="75"/>
      <c r="O586" s="75"/>
    </row>
    <row r="587" spans="1:15" s="66" customFormat="1" ht="25.15" customHeight="1">
      <c r="A587" s="75"/>
      <c r="B587" s="98"/>
      <c r="C587" s="78"/>
      <c r="D587" s="79"/>
      <c r="E587" s="76" t="str">
        <f>IF(ISBLANK(Log[[#This Row],[Item]]),"",_xlfn.XLOOKUP(Log[[#This Row],[Item]],Calories[Name],Calories[Unit]))</f>
        <v/>
      </c>
      <c r="F587" s="65" t="str">
        <f>IF(ISBLANK(Log[[#This Row],[Item]]),"",_xlfn.XLOOKUP(Log[[#This Row],[Item]],Calories[Name],Calories[Cals])*Log[[#This Row],[Qty]])</f>
        <v/>
      </c>
      <c r="G587" s="71" t="str">
        <f>IF(ISBLANK(Log[[#This Row],[Item]]),"",_xlfn.XLOOKUP(Log[[#This Row],[Item]],Calories[Name],Calories[Carbs])*Log[[#This Row],[Qty]])</f>
        <v/>
      </c>
      <c r="H587" s="71" t="str">
        <f>IF(ISBLANK(Log[[#This Row],[Item]]),"",_xlfn.XLOOKUP(Log[[#This Row],[Item]],Calories[Name],Calories[Fibre])*Log[[#This Row],[Qty]])</f>
        <v/>
      </c>
      <c r="I587" s="71" t="str">
        <f>IF(ISBLANK(Log[[#This Row],[Item]]),"",(Log[[#This Row],[Carbs]]-Log[[#This Row],[Fibre]]))</f>
        <v/>
      </c>
      <c r="J587" s="103" t="str">
        <f>IF(ISBLANK(Log[[#This Row],[Item]]),"",_xlfn.XLOOKUP(Log[[#This Row],[Item]],Calories[Name],Calories[Sodium])*Log[[#This Row],[Qty]])</f>
        <v/>
      </c>
      <c r="K587" s="71" t="str">
        <f>IF(ISBLANK(Log[[#This Row],[Item]]),"",_xlfn.XLOOKUP(Log[[#This Row],[Item]],Calories[Name],Calories[Protein])*Log[[#This Row],[Qty]])</f>
        <v/>
      </c>
      <c r="L587" s="71" t="str">
        <f>IF(ISBLANK(Log[[#This Row],[Item]]),"",_xlfn.XLOOKUP(Log[[#This Row],[Item]],Calories[Name],Calories[Chol.])*Log[[#This Row],[Qty]])</f>
        <v/>
      </c>
      <c r="M587" s="75"/>
      <c r="N587" s="75"/>
      <c r="O587" s="75"/>
    </row>
    <row r="588" spans="1:15" s="66" customFormat="1" ht="25.15" customHeight="1">
      <c r="A588" s="75"/>
      <c r="B588" s="98"/>
      <c r="C588" s="78"/>
      <c r="D588" s="79"/>
      <c r="E588" s="76" t="str">
        <f>IF(ISBLANK(Log[[#This Row],[Item]]),"",_xlfn.XLOOKUP(Log[[#This Row],[Item]],Calories[Name],Calories[Unit]))</f>
        <v/>
      </c>
      <c r="F588" s="65" t="str">
        <f>IF(ISBLANK(Log[[#This Row],[Item]]),"",_xlfn.XLOOKUP(Log[[#This Row],[Item]],Calories[Name],Calories[Cals])*Log[[#This Row],[Qty]])</f>
        <v/>
      </c>
      <c r="G588" s="71" t="str">
        <f>IF(ISBLANK(Log[[#This Row],[Item]]),"",_xlfn.XLOOKUP(Log[[#This Row],[Item]],Calories[Name],Calories[Carbs])*Log[[#This Row],[Qty]])</f>
        <v/>
      </c>
      <c r="H588" s="71" t="str">
        <f>IF(ISBLANK(Log[[#This Row],[Item]]),"",_xlfn.XLOOKUP(Log[[#This Row],[Item]],Calories[Name],Calories[Fibre])*Log[[#This Row],[Qty]])</f>
        <v/>
      </c>
      <c r="I588" s="71" t="str">
        <f>IF(ISBLANK(Log[[#This Row],[Item]]),"",(Log[[#This Row],[Carbs]]-Log[[#This Row],[Fibre]]))</f>
        <v/>
      </c>
      <c r="J588" s="103" t="str">
        <f>IF(ISBLANK(Log[[#This Row],[Item]]),"",_xlfn.XLOOKUP(Log[[#This Row],[Item]],Calories[Name],Calories[Sodium])*Log[[#This Row],[Qty]])</f>
        <v/>
      </c>
      <c r="K588" s="71" t="str">
        <f>IF(ISBLANK(Log[[#This Row],[Item]]),"",_xlfn.XLOOKUP(Log[[#This Row],[Item]],Calories[Name],Calories[Protein])*Log[[#This Row],[Qty]])</f>
        <v/>
      </c>
      <c r="L588" s="71" t="str">
        <f>IF(ISBLANK(Log[[#This Row],[Item]]),"",_xlfn.XLOOKUP(Log[[#This Row],[Item]],Calories[Name],Calories[Chol.])*Log[[#This Row],[Qty]])</f>
        <v/>
      </c>
      <c r="M588" s="75"/>
      <c r="N588" s="75"/>
      <c r="O588" s="75"/>
    </row>
    <row r="589" spans="1:15" s="66" customFormat="1" ht="25.15" customHeight="1">
      <c r="A589" s="75"/>
      <c r="B589" s="98"/>
      <c r="C589" s="78"/>
      <c r="D589" s="79"/>
      <c r="E589" s="76" t="str">
        <f>IF(ISBLANK(Log[[#This Row],[Item]]),"",_xlfn.XLOOKUP(Log[[#This Row],[Item]],Calories[Name],Calories[Unit]))</f>
        <v/>
      </c>
      <c r="F589" s="65" t="str">
        <f>IF(ISBLANK(Log[[#This Row],[Item]]),"",_xlfn.XLOOKUP(Log[[#This Row],[Item]],Calories[Name],Calories[Cals])*Log[[#This Row],[Qty]])</f>
        <v/>
      </c>
      <c r="G589" s="71" t="str">
        <f>IF(ISBLANK(Log[[#This Row],[Item]]),"",_xlfn.XLOOKUP(Log[[#This Row],[Item]],Calories[Name],Calories[Carbs])*Log[[#This Row],[Qty]])</f>
        <v/>
      </c>
      <c r="H589" s="71" t="str">
        <f>IF(ISBLANK(Log[[#This Row],[Item]]),"",_xlfn.XLOOKUP(Log[[#This Row],[Item]],Calories[Name],Calories[Fibre])*Log[[#This Row],[Qty]])</f>
        <v/>
      </c>
      <c r="I589" s="71" t="str">
        <f>IF(ISBLANK(Log[[#This Row],[Item]]),"",(Log[[#This Row],[Carbs]]-Log[[#This Row],[Fibre]]))</f>
        <v/>
      </c>
      <c r="J589" s="103" t="str">
        <f>IF(ISBLANK(Log[[#This Row],[Item]]),"",_xlfn.XLOOKUP(Log[[#This Row],[Item]],Calories[Name],Calories[Sodium])*Log[[#This Row],[Qty]])</f>
        <v/>
      </c>
      <c r="K589" s="71" t="str">
        <f>IF(ISBLANK(Log[[#This Row],[Item]]),"",_xlfn.XLOOKUP(Log[[#This Row],[Item]],Calories[Name],Calories[Protein])*Log[[#This Row],[Qty]])</f>
        <v/>
      </c>
      <c r="L589" s="71" t="str">
        <f>IF(ISBLANK(Log[[#This Row],[Item]]),"",_xlfn.XLOOKUP(Log[[#This Row],[Item]],Calories[Name],Calories[Chol.])*Log[[#This Row],[Qty]])</f>
        <v/>
      </c>
      <c r="M589" s="75"/>
      <c r="N589" s="75"/>
      <c r="O589" s="75"/>
    </row>
    <row r="590" spans="1:15" s="66" customFormat="1" ht="25.15" customHeight="1">
      <c r="A590" s="75"/>
      <c r="B590" s="98"/>
      <c r="C590" s="78"/>
      <c r="D590" s="79"/>
      <c r="E590" s="76" t="str">
        <f>IF(ISBLANK(Log[[#This Row],[Item]]),"",_xlfn.XLOOKUP(Log[[#This Row],[Item]],Calories[Name],Calories[Unit]))</f>
        <v/>
      </c>
      <c r="F590" s="65" t="str">
        <f>IF(ISBLANK(Log[[#This Row],[Item]]),"",_xlfn.XLOOKUP(Log[[#This Row],[Item]],Calories[Name],Calories[Cals])*Log[[#This Row],[Qty]])</f>
        <v/>
      </c>
      <c r="G590" s="71" t="str">
        <f>IF(ISBLANK(Log[[#This Row],[Item]]),"",_xlfn.XLOOKUP(Log[[#This Row],[Item]],Calories[Name],Calories[Carbs])*Log[[#This Row],[Qty]])</f>
        <v/>
      </c>
      <c r="H590" s="71" t="str">
        <f>IF(ISBLANK(Log[[#This Row],[Item]]),"",_xlfn.XLOOKUP(Log[[#This Row],[Item]],Calories[Name],Calories[Fibre])*Log[[#This Row],[Qty]])</f>
        <v/>
      </c>
      <c r="I590" s="71" t="str">
        <f>IF(ISBLANK(Log[[#This Row],[Item]]),"",(Log[[#This Row],[Carbs]]-Log[[#This Row],[Fibre]]))</f>
        <v/>
      </c>
      <c r="J590" s="103" t="str">
        <f>IF(ISBLANK(Log[[#This Row],[Item]]),"",_xlfn.XLOOKUP(Log[[#This Row],[Item]],Calories[Name],Calories[Sodium])*Log[[#This Row],[Qty]])</f>
        <v/>
      </c>
      <c r="K590" s="71" t="str">
        <f>IF(ISBLANK(Log[[#This Row],[Item]]),"",_xlfn.XLOOKUP(Log[[#This Row],[Item]],Calories[Name],Calories[Protein])*Log[[#This Row],[Qty]])</f>
        <v/>
      </c>
      <c r="L590" s="71" t="str">
        <f>IF(ISBLANK(Log[[#This Row],[Item]]),"",_xlfn.XLOOKUP(Log[[#This Row],[Item]],Calories[Name],Calories[Chol.])*Log[[#This Row],[Qty]])</f>
        <v/>
      </c>
      <c r="M590" s="75"/>
      <c r="N590" s="75"/>
      <c r="O590" s="75"/>
    </row>
    <row r="591" spans="1:15" s="66" customFormat="1" ht="25.15" customHeight="1">
      <c r="A591" s="75"/>
      <c r="B591" s="98"/>
      <c r="C591" s="78"/>
      <c r="D591" s="79"/>
      <c r="E591" s="76" t="str">
        <f>IF(ISBLANK(Log[[#This Row],[Item]]),"",_xlfn.XLOOKUP(Log[[#This Row],[Item]],Calories[Name],Calories[Unit]))</f>
        <v/>
      </c>
      <c r="F591" s="65" t="str">
        <f>IF(ISBLANK(Log[[#This Row],[Item]]),"",_xlfn.XLOOKUP(Log[[#This Row],[Item]],Calories[Name],Calories[Cals])*Log[[#This Row],[Qty]])</f>
        <v/>
      </c>
      <c r="G591" s="71" t="str">
        <f>IF(ISBLANK(Log[[#This Row],[Item]]),"",_xlfn.XLOOKUP(Log[[#This Row],[Item]],Calories[Name],Calories[Carbs])*Log[[#This Row],[Qty]])</f>
        <v/>
      </c>
      <c r="H591" s="71" t="str">
        <f>IF(ISBLANK(Log[[#This Row],[Item]]),"",_xlfn.XLOOKUP(Log[[#This Row],[Item]],Calories[Name],Calories[Fibre])*Log[[#This Row],[Qty]])</f>
        <v/>
      </c>
      <c r="I591" s="71" t="str">
        <f>IF(ISBLANK(Log[[#This Row],[Item]]),"",(Log[[#This Row],[Carbs]]-Log[[#This Row],[Fibre]]))</f>
        <v/>
      </c>
      <c r="J591" s="103" t="str">
        <f>IF(ISBLANK(Log[[#This Row],[Item]]),"",_xlfn.XLOOKUP(Log[[#This Row],[Item]],Calories[Name],Calories[Sodium])*Log[[#This Row],[Qty]])</f>
        <v/>
      </c>
      <c r="K591" s="71" t="str">
        <f>IF(ISBLANK(Log[[#This Row],[Item]]),"",_xlfn.XLOOKUP(Log[[#This Row],[Item]],Calories[Name],Calories[Protein])*Log[[#This Row],[Qty]])</f>
        <v/>
      </c>
      <c r="L591" s="71" t="str">
        <f>IF(ISBLANK(Log[[#This Row],[Item]]),"",_xlfn.XLOOKUP(Log[[#This Row],[Item]],Calories[Name],Calories[Chol.])*Log[[#This Row],[Qty]])</f>
        <v/>
      </c>
      <c r="M591" s="75"/>
      <c r="N591" s="75"/>
      <c r="O591" s="75"/>
    </row>
    <row r="592" spans="1:15" s="66" customFormat="1" ht="25.15" customHeight="1">
      <c r="A592" s="75"/>
      <c r="B592" s="98"/>
      <c r="C592" s="78"/>
      <c r="D592" s="79"/>
      <c r="E592" s="76" t="str">
        <f>IF(ISBLANK(Log[[#This Row],[Item]]),"",_xlfn.XLOOKUP(Log[[#This Row],[Item]],Calories[Name],Calories[Unit]))</f>
        <v/>
      </c>
      <c r="F592" s="65" t="str">
        <f>IF(ISBLANK(Log[[#This Row],[Item]]),"",_xlfn.XLOOKUP(Log[[#This Row],[Item]],Calories[Name],Calories[Cals])*Log[[#This Row],[Qty]])</f>
        <v/>
      </c>
      <c r="G592" s="71" t="str">
        <f>IF(ISBLANK(Log[[#This Row],[Item]]),"",_xlfn.XLOOKUP(Log[[#This Row],[Item]],Calories[Name],Calories[Carbs])*Log[[#This Row],[Qty]])</f>
        <v/>
      </c>
      <c r="H592" s="71" t="str">
        <f>IF(ISBLANK(Log[[#This Row],[Item]]),"",_xlfn.XLOOKUP(Log[[#This Row],[Item]],Calories[Name],Calories[Fibre])*Log[[#This Row],[Qty]])</f>
        <v/>
      </c>
      <c r="I592" s="71" t="str">
        <f>IF(ISBLANK(Log[[#This Row],[Item]]),"",(Log[[#This Row],[Carbs]]-Log[[#This Row],[Fibre]]))</f>
        <v/>
      </c>
      <c r="J592" s="103" t="str">
        <f>IF(ISBLANK(Log[[#This Row],[Item]]),"",_xlfn.XLOOKUP(Log[[#This Row],[Item]],Calories[Name],Calories[Sodium])*Log[[#This Row],[Qty]])</f>
        <v/>
      </c>
      <c r="K592" s="71" t="str">
        <f>IF(ISBLANK(Log[[#This Row],[Item]]),"",_xlfn.XLOOKUP(Log[[#This Row],[Item]],Calories[Name],Calories[Protein])*Log[[#This Row],[Qty]])</f>
        <v/>
      </c>
      <c r="L592" s="71" t="str">
        <f>IF(ISBLANK(Log[[#This Row],[Item]]),"",_xlfn.XLOOKUP(Log[[#This Row],[Item]],Calories[Name],Calories[Chol.])*Log[[#This Row],[Qty]])</f>
        <v/>
      </c>
      <c r="M592" s="75"/>
      <c r="N592" s="75"/>
      <c r="O592" s="75"/>
    </row>
    <row r="593" spans="1:15" s="66" customFormat="1" ht="25.15" customHeight="1">
      <c r="A593" s="75"/>
      <c r="B593" s="98"/>
      <c r="C593" s="78"/>
      <c r="D593" s="79"/>
      <c r="E593" s="76" t="str">
        <f>IF(ISBLANK(Log[[#This Row],[Item]]),"",_xlfn.XLOOKUP(Log[[#This Row],[Item]],Calories[Name],Calories[Unit]))</f>
        <v/>
      </c>
      <c r="F593" s="65" t="str">
        <f>IF(ISBLANK(Log[[#This Row],[Item]]),"",_xlfn.XLOOKUP(Log[[#This Row],[Item]],Calories[Name],Calories[Cals])*Log[[#This Row],[Qty]])</f>
        <v/>
      </c>
      <c r="G593" s="71" t="str">
        <f>IF(ISBLANK(Log[[#This Row],[Item]]),"",_xlfn.XLOOKUP(Log[[#This Row],[Item]],Calories[Name],Calories[Carbs])*Log[[#This Row],[Qty]])</f>
        <v/>
      </c>
      <c r="H593" s="71" t="str">
        <f>IF(ISBLANK(Log[[#This Row],[Item]]),"",_xlfn.XLOOKUP(Log[[#This Row],[Item]],Calories[Name],Calories[Fibre])*Log[[#This Row],[Qty]])</f>
        <v/>
      </c>
      <c r="I593" s="71" t="str">
        <f>IF(ISBLANK(Log[[#This Row],[Item]]),"",(Log[[#This Row],[Carbs]]-Log[[#This Row],[Fibre]]))</f>
        <v/>
      </c>
      <c r="J593" s="103" t="str">
        <f>IF(ISBLANK(Log[[#This Row],[Item]]),"",_xlfn.XLOOKUP(Log[[#This Row],[Item]],Calories[Name],Calories[Sodium])*Log[[#This Row],[Qty]])</f>
        <v/>
      </c>
      <c r="K593" s="71" t="str">
        <f>IF(ISBLANK(Log[[#This Row],[Item]]),"",_xlfn.XLOOKUP(Log[[#This Row],[Item]],Calories[Name],Calories[Protein])*Log[[#This Row],[Qty]])</f>
        <v/>
      </c>
      <c r="L593" s="71" t="str">
        <f>IF(ISBLANK(Log[[#This Row],[Item]]),"",_xlfn.XLOOKUP(Log[[#This Row],[Item]],Calories[Name],Calories[Chol.])*Log[[#This Row],[Qty]])</f>
        <v/>
      </c>
      <c r="M593" s="75"/>
      <c r="N593" s="75"/>
      <c r="O593" s="75"/>
    </row>
    <row r="594" spans="1:15" s="66" customFormat="1" ht="25.15" customHeight="1">
      <c r="A594" s="75"/>
      <c r="B594" s="98"/>
      <c r="C594" s="78"/>
      <c r="D594" s="79"/>
      <c r="E594" s="76" t="str">
        <f>IF(ISBLANK(Log[[#This Row],[Item]]),"",_xlfn.XLOOKUP(Log[[#This Row],[Item]],Calories[Name],Calories[Unit]))</f>
        <v/>
      </c>
      <c r="F594" s="65" t="str">
        <f>IF(ISBLANK(Log[[#This Row],[Item]]),"",_xlfn.XLOOKUP(Log[[#This Row],[Item]],Calories[Name],Calories[Cals])*Log[[#This Row],[Qty]])</f>
        <v/>
      </c>
      <c r="G594" s="71" t="str">
        <f>IF(ISBLANK(Log[[#This Row],[Item]]),"",_xlfn.XLOOKUP(Log[[#This Row],[Item]],Calories[Name],Calories[Carbs])*Log[[#This Row],[Qty]])</f>
        <v/>
      </c>
      <c r="H594" s="71" t="str">
        <f>IF(ISBLANK(Log[[#This Row],[Item]]),"",_xlfn.XLOOKUP(Log[[#This Row],[Item]],Calories[Name],Calories[Fibre])*Log[[#This Row],[Qty]])</f>
        <v/>
      </c>
      <c r="I594" s="71" t="str">
        <f>IF(ISBLANK(Log[[#This Row],[Item]]),"",(Log[[#This Row],[Carbs]]-Log[[#This Row],[Fibre]]))</f>
        <v/>
      </c>
      <c r="J594" s="103" t="str">
        <f>IF(ISBLANK(Log[[#This Row],[Item]]),"",_xlfn.XLOOKUP(Log[[#This Row],[Item]],Calories[Name],Calories[Sodium])*Log[[#This Row],[Qty]])</f>
        <v/>
      </c>
      <c r="K594" s="71" t="str">
        <f>IF(ISBLANK(Log[[#This Row],[Item]]),"",_xlfn.XLOOKUP(Log[[#This Row],[Item]],Calories[Name],Calories[Protein])*Log[[#This Row],[Qty]])</f>
        <v/>
      </c>
      <c r="L594" s="71" t="str">
        <f>IF(ISBLANK(Log[[#This Row],[Item]]),"",_xlfn.XLOOKUP(Log[[#This Row],[Item]],Calories[Name],Calories[Chol.])*Log[[#This Row],[Qty]])</f>
        <v/>
      </c>
      <c r="M594" s="75"/>
      <c r="N594" s="75"/>
      <c r="O594" s="75"/>
    </row>
    <row r="595" spans="1:15" s="66" customFormat="1" ht="25.15" customHeight="1">
      <c r="A595" s="75"/>
      <c r="B595" s="98"/>
      <c r="C595" s="78"/>
      <c r="D595" s="79"/>
      <c r="E595" s="76" t="str">
        <f>IF(ISBLANK(Log[[#This Row],[Item]]),"",_xlfn.XLOOKUP(Log[[#This Row],[Item]],Calories[Name],Calories[Unit]))</f>
        <v/>
      </c>
      <c r="F595" s="65" t="str">
        <f>IF(ISBLANK(Log[[#This Row],[Item]]),"",_xlfn.XLOOKUP(Log[[#This Row],[Item]],Calories[Name],Calories[Cals])*Log[[#This Row],[Qty]])</f>
        <v/>
      </c>
      <c r="G595" s="71" t="str">
        <f>IF(ISBLANK(Log[[#This Row],[Item]]),"",_xlfn.XLOOKUP(Log[[#This Row],[Item]],Calories[Name],Calories[Carbs])*Log[[#This Row],[Qty]])</f>
        <v/>
      </c>
      <c r="H595" s="71" t="str">
        <f>IF(ISBLANK(Log[[#This Row],[Item]]),"",_xlfn.XLOOKUP(Log[[#This Row],[Item]],Calories[Name],Calories[Fibre])*Log[[#This Row],[Qty]])</f>
        <v/>
      </c>
      <c r="I595" s="71" t="str">
        <f>IF(ISBLANK(Log[[#This Row],[Item]]),"",(Log[[#This Row],[Carbs]]-Log[[#This Row],[Fibre]]))</f>
        <v/>
      </c>
      <c r="J595" s="103" t="str">
        <f>IF(ISBLANK(Log[[#This Row],[Item]]),"",_xlfn.XLOOKUP(Log[[#This Row],[Item]],Calories[Name],Calories[Sodium])*Log[[#This Row],[Qty]])</f>
        <v/>
      </c>
      <c r="K595" s="71" t="str">
        <f>IF(ISBLANK(Log[[#This Row],[Item]]),"",_xlfn.XLOOKUP(Log[[#This Row],[Item]],Calories[Name],Calories[Protein])*Log[[#This Row],[Qty]])</f>
        <v/>
      </c>
      <c r="L595" s="71" t="str">
        <f>IF(ISBLANK(Log[[#This Row],[Item]]),"",_xlfn.XLOOKUP(Log[[#This Row],[Item]],Calories[Name],Calories[Chol.])*Log[[#This Row],[Qty]])</f>
        <v/>
      </c>
      <c r="M595" s="75"/>
      <c r="N595" s="75"/>
      <c r="O595" s="75"/>
    </row>
    <row r="596" spans="1:15" s="66" customFormat="1" ht="25.15" customHeight="1">
      <c r="A596" s="75"/>
      <c r="B596" s="98"/>
      <c r="C596" s="78"/>
      <c r="D596" s="79"/>
      <c r="E596" s="76" t="str">
        <f>IF(ISBLANK(Log[[#This Row],[Item]]),"",_xlfn.XLOOKUP(Log[[#This Row],[Item]],Calories[Name],Calories[Unit]))</f>
        <v/>
      </c>
      <c r="F596" s="65" t="str">
        <f>IF(ISBLANK(Log[[#This Row],[Item]]),"",_xlfn.XLOOKUP(Log[[#This Row],[Item]],Calories[Name],Calories[Cals])*Log[[#This Row],[Qty]])</f>
        <v/>
      </c>
      <c r="G596" s="71" t="str">
        <f>IF(ISBLANK(Log[[#This Row],[Item]]),"",_xlfn.XLOOKUP(Log[[#This Row],[Item]],Calories[Name],Calories[Carbs])*Log[[#This Row],[Qty]])</f>
        <v/>
      </c>
      <c r="H596" s="71" t="str">
        <f>IF(ISBLANK(Log[[#This Row],[Item]]),"",_xlfn.XLOOKUP(Log[[#This Row],[Item]],Calories[Name],Calories[Fibre])*Log[[#This Row],[Qty]])</f>
        <v/>
      </c>
      <c r="I596" s="71" t="str">
        <f>IF(ISBLANK(Log[[#This Row],[Item]]),"",(Log[[#This Row],[Carbs]]-Log[[#This Row],[Fibre]]))</f>
        <v/>
      </c>
      <c r="J596" s="103" t="str">
        <f>IF(ISBLANK(Log[[#This Row],[Item]]),"",_xlfn.XLOOKUP(Log[[#This Row],[Item]],Calories[Name],Calories[Sodium])*Log[[#This Row],[Qty]])</f>
        <v/>
      </c>
      <c r="K596" s="71" t="str">
        <f>IF(ISBLANK(Log[[#This Row],[Item]]),"",_xlfn.XLOOKUP(Log[[#This Row],[Item]],Calories[Name],Calories[Protein])*Log[[#This Row],[Qty]])</f>
        <v/>
      </c>
      <c r="L596" s="71" t="str">
        <f>IF(ISBLANK(Log[[#This Row],[Item]]),"",_xlfn.XLOOKUP(Log[[#This Row],[Item]],Calories[Name],Calories[Chol.])*Log[[#This Row],[Qty]])</f>
        <v/>
      </c>
      <c r="M596" s="75"/>
      <c r="N596" s="75"/>
      <c r="O596" s="75"/>
    </row>
    <row r="597" spans="1:15" s="66" customFormat="1" ht="25.15" customHeight="1">
      <c r="A597" s="75"/>
      <c r="B597" s="98"/>
      <c r="C597" s="78"/>
      <c r="D597" s="79"/>
      <c r="E597" s="76" t="str">
        <f>IF(ISBLANK(Log[[#This Row],[Item]]),"",_xlfn.XLOOKUP(Log[[#This Row],[Item]],Calories[Name],Calories[Unit]))</f>
        <v/>
      </c>
      <c r="F597" s="65" t="str">
        <f>IF(ISBLANK(Log[[#This Row],[Item]]),"",_xlfn.XLOOKUP(Log[[#This Row],[Item]],Calories[Name],Calories[Cals])*Log[[#This Row],[Qty]])</f>
        <v/>
      </c>
      <c r="G597" s="71" t="str">
        <f>IF(ISBLANK(Log[[#This Row],[Item]]),"",_xlfn.XLOOKUP(Log[[#This Row],[Item]],Calories[Name],Calories[Carbs])*Log[[#This Row],[Qty]])</f>
        <v/>
      </c>
      <c r="H597" s="71" t="str">
        <f>IF(ISBLANK(Log[[#This Row],[Item]]),"",_xlfn.XLOOKUP(Log[[#This Row],[Item]],Calories[Name],Calories[Fibre])*Log[[#This Row],[Qty]])</f>
        <v/>
      </c>
      <c r="I597" s="71" t="str">
        <f>IF(ISBLANK(Log[[#This Row],[Item]]),"",(Log[[#This Row],[Carbs]]-Log[[#This Row],[Fibre]]))</f>
        <v/>
      </c>
      <c r="J597" s="103" t="str">
        <f>IF(ISBLANK(Log[[#This Row],[Item]]),"",_xlfn.XLOOKUP(Log[[#This Row],[Item]],Calories[Name],Calories[Sodium])*Log[[#This Row],[Qty]])</f>
        <v/>
      </c>
      <c r="K597" s="71" t="str">
        <f>IF(ISBLANK(Log[[#This Row],[Item]]),"",_xlfn.XLOOKUP(Log[[#This Row],[Item]],Calories[Name],Calories[Protein])*Log[[#This Row],[Qty]])</f>
        <v/>
      </c>
      <c r="L597" s="71" t="str">
        <f>IF(ISBLANK(Log[[#This Row],[Item]]),"",_xlfn.XLOOKUP(Log[[#This Row],[Item]],Calories[Name],Calories[Chol.])*Log[[#This Row],[Qty]])</f>
        <v/>
      </c>
      <c r="M597" s="75"/>
      <c r="N597" s="75"/>
      <c r="O597" s="75"/>
    </row>
    <row r="598" spans="1:15" s="66" customFormat="1" ht="25.15" customHeight="1">
      <c r="A598" s="75"/>
      <c r="B598" s="98"/>
      <c r="C598" s="78"/>
      <c r="D598" s="79"/>
      <c r="E598" s="76" t="str">
        <f>IF(ISBLANK(Log[[#This Row],[Item]]),"",_xlfn.XLOOKUP(Log[[#This Row],[Item]],Calories[Name],Calories[Unit]))</f>
        <v/>
      </c>
      <c r="F598" s="65" t="str">
        <f>IF(ISBLANK(Log[[#This Row],[Item]]),"",_xlfn.XLOOKUP(Log[[#This Row],[Item]],Calories[Name],Calories[Cals])*Log[[#This Row],[Qty]])</f>
        <v/>
      </c>
      <c r="G598" s="71" t="str">
        <f>IF(ISBLANK(Log[[#This Row],[Item]]),"",_xlfn.XLOOKUP(Log[[#This Row],[Item]],Calories[Name],Calories[Carbs])*Log[[#This Row],[Qty]])</f>
        <v/>
      </c>
      <c r="H598" s="71" t="str">
        <f>IF(ISBLANK(Log[[#This Row],[Item]]),"",_xlfn.XLOOKUP(Log[[#This Row],[Item]],Calories[Name],Calories[Fibre])*Log[[#This Row],[Qty]])</f>
        <v/>
      </c>
      <c r="I598" s="71" t="str">
        <f>IF(ISBLANK(Log[[#This Row],[Item]]),"",(Log[[#This Row],[Carbs]]-Log[[#This Row],[Fibre]]))</f>
        <v/>
      </c>
      <c r="J598" s="103" t="str">
        <f>IF(ISBLANK(Log[[#This Row],[Item]]),"",_xlfn.XLOOKUP(Log[[#This Row],[Item]],Calories[Name],Calories[Sodium])*Log[[#This Row],[Qty]])</f>
        <v/>
      </c>
      <c r="K598" s="71" t="str">
        <f>IF(ISBLANK(Log[[#This Row],[Item]]),"",_xlfn.XLOOKUP(Log[[#This Row],[Item]],Calories[Name],Calories[Protein])*Log[[#This Row],[Qty]])</f>
        <v/>
      </c>
      <c r="L598" s="71" t="str">
        <f>IF(ISBLANK(Log[[#This Row],[Item]]),"",_xlfn.XLOOKUP(Log[[#This Row],[Item]],Calories[Name],Calories[Chol.])*Log[[#This Row],[Qty]])</f>
        <v/>
      </c>
      <c r="M598" s="75"/>
      <c r="N598" s="75"/>
      <c r="O598" s="75"/>
    </row>
    <row r="599" spans="1:15" s="66" customFormat="1" ht="25.15" customHeight="1">
      <c r="A599" s="75"/>
      <c r="B599" s="98"/>
      <c r="C599" s="78"/>
      <c r="D599" s="79"/>
      <c r="E599" s="76" t="str">
        <f>IF(ISBLANK(Log[[#This Row],[Item]]),"",_xlfn.XLOOKUP(Log[[#This Row],[Item]],Calories[Name],Calories[Unit]))</f>
        <v/>
      </c>
      <c r="F599" s="65" t="str">
        <f>IF(ISBLANK(Log[[#This Row],[Item]]),"",_xlfn.XLOOKUP(Log[[#This Row],[Item]],Calories[Name],Calories[Cals])*Log[[#This Row],[Qty]])</f>
        <v/>
      </c>
      <c r="G599" s="71" t="str">
        <f>IF(ISBLANK(Log[[#This Row],[Item]]),"",_xlfn.XLOOKUP(Log[[#This Row],[Item]],Calories[Name],Calories[Carbs])*Log[[#This Row],[Qty]])</f>
        <v/>
      </c>
      <c r="H599" s="71" t="str">
        <f>IF(ISBLANK(Log[[#This Row],[Item]]),"",_xlfn.XLOOKUP(Log[[#This Row],[Item]],Calories[Name],Calories[Fibre])*Log[[#This Row],[Qty]])</f>
        <v/>
      </c>
      <c r="I599" s="71" t="str">
        <f>IF(ISBLANK(Log[[#This Row],[Item]]),"",(Log[[#This Row],[Carbs]]-Log[[#This Row],[Fibre]]))</f>
        <v/>
      </c>
      <c r="J599" s="103" t="str">
        <f>IF(ISBLANK(Log[[#This Row],[Item]]),"",_xlfn.XLOOKUP(Log[[#This Row],[Item]],Calories[Name],Calories[Sodium])*Log[[#This Row],[Qty]])</f>
        <v/>
      </c>
      <c r="K599" s="71" t="str">
        <f>IF(ISBLANK(Log[[#This Row],[Item]]),"",_xlfn.XLOOKUP(Log[[#This Row],[Item]],Calories[Name],Calories[Protein])*Log[[#This Row],[Qty]])</f>
        <v/>
      </c>
      <c r="L599" s="71" t="str">
        <f>IF(ISBLANK(Log[[#This Row],[Item]]),"",_xlfn.XLOOKUP(Log[[#This Row],[Item]],Calories[Name],Calories[Chol.])*Log[[#This Row],[Qty]])</f>
        <v/>
      </c>
      <c r="M599" s="75"/>
      <c r="N599" s="75"/>
      <c r="O599" s="75"/>
    </row>
    <row r="600" spans="1:15" s="66" customFormat="1" ht="25.15" customHeight="1">
      <c r="A600" s="75"/>
      <c r="B600" s="98"/>
      <c r="C600" s="78"/>
      <c r="D600" s="79"/>
      <c r="E600" s="76" t="str">
        <f>IF(ISBLANK(Log[[#This Row],[Item]]),"",_xlfn.XLOOKUP(Log[[#This Row],[Item]],Calories[Name],Calories[Unit]))</f>
        <v/>
      </c>
      <c r="F600" s="65" t="str">
        <f>IF(ISBLANK(Log[[#This Row],[Item]]),"",_xlfn.XLOOKUP(Log[[#This Row],[Item]],Calories[Name],Calories[Cals])*Log[[#This Row],[Qty]])</f>
        <v/>
      </c>
      <c r="G600" s="71" t="str">
        <f>IF(ISBLANK(Log[[#This Row],[Item]]),"",_xlfn.XLOOKUP(Log[[#This Row],[Item]],Calories[Name],Calories[Carbs])*Log[[#This Row],[Qty]])</f>
        <v/>
      </c>
      <c r="H600" s="71" t="str">
        <f>IF(ISBLANK(Log[[#This Row],[Item]]),"",_xlfn.XLOOKUP(Log[[#This Row],[Item]],Calories[Name],Calories[Fibre])*Log[[#This Row],[Qty]])</f>
        <v/>
      </c>
      <c r="I600" s="71" t="str">
        <f>IF(ISBLANK(Log[[#This Row],[Item]]),"",(Log[[#This Row],[Carbs]]-Log[[#This Row],[Fibre]]))</f>
        <v/>
      </c>
      <c r="J600" s="103" t="str">
        <f>IF(ISBLANK(Log[[#This Row],[Item]]),"",_xlfn.XLOOKUP(Log[[#This Row],[Item]],Calories[Name],Calories[Sodium])*Log[[#This Row],[Qty]])</f>
        <v/>
      </c>
      <c r="K600" s="71" t="str">
        <f>IF(ISBLANK(Log[[#This Row],[Item]]),"",_xlfn.XLOOKUP(Log[[#This Row],[Item]],Calories[Name],Calories[Protein])*Log[[#This Row],[Qty]])</f>
        <v/>
      </c>
      <c r="L600" s="71" t="str">
        <f>IF(ISBLANK(Log[[#This Row],[Item]]),"",_xlfn.XLOOKUP(Log[[#This Row],[Item]],Calories[Name],Calories[Chol.])*Log[[#This Row],[Qty]])</f>
        <v/>
      </c>
      <c r="M600" s="75"/>
      <c r="N600" s="75"/>
      <c r="O600" s="75"/>
    </row>
    <row r="601" spans="1:15" s="66" customFormat="1" ht="25.15" customHeight="1">
      <c r="A601" s="75"/>
      <c r="B601" s="98"/>
      <c r="C601" s="78"/>
      <c r="D601" s="79"/>
      <c r="E601" s="76" t="str">
        <f>IF(ISBLANK(Log[[#This Row],[Item]]),"",_xlfn.XLOOKUP(Log[[#This Row],[Item]],Calories[Name],Calories[Unit]))</f>
        <v/>
      </c>
      <c r="F601" s="65" t="str">
        <f>IF(ISBLANK(Log[[#This Row],[Item]]),"",_xlfn.XLOOKUP(Log[[#This Row],[Item]],Calories[Name],Calories[Cals])*Log[[#This Row],[Qty]])</f>
        <v/>
      </c>
      <c r="G601" s="71" t="str">
        <f>IF(ISBLANK(Log[[#This Row],[Item]]),"",_xlfn.XLOOKUP(Log[[#This Row],[Item]],Calories[Name],Calories[Carbs])*Log[[#This Row],[Qty]])</f>
        <v/>
      </c>
      <c r="H601" s="71" t="str">
        <f>IF(ISBLANK(Log[[#This Row],[Item]]),"",_xlfn.XLOOKUP(Log[[#This Row],[Item]],Calories[Name],Calories[Fibre])*Log[[#This Row],[Qty]])</f>
        <v/>
      </c>
      <c r="I601" s="71" t="str">
        <f>IF(ISBLANK(Log[[#This Row],[Item]]),"",(Log[[#This Row],[Carbs]]-Log[[#This Row],[Fibre]]))</f>
        <v/>
      </c>
      <c r="J601" s="103" t="str">
        <f>IF(ISBLANK(Log[[#This Row],[Item]]),"",_xlfn.XLOOKUP(Log[[#This Row],[Item]],Calories[Name],Calories[Sodium])*Log[[#This Row],[Qty]])</f>
        <v/>
      </c>
      <c r="K601" s="71" t="str">
        <f>IF(ISBLANK(Log[[#This Row],[Item]]),"",_xlfn.XLOOKUP(Log[[#This Row],[Item]],Calories[Name],Calories[Protein])*Log[[#This Row],[Qty]])</f>
        <v/>
      </c>
      <c r="L601" s="71" t="str">
        <f>IF(ISBLANK(Log[[#This Row],[Item]]),"",_xlfn.XLOOKUP(Log[[#This Row],[Item]],Calories[Name],Calories[Chol.])*Log[[#This Row],[Qty]])</f>
        <v/>
      </c>
      <c r="M601" s="75"/>
      <c r="N601" s="75"/>
      <c r="O601" s="75"/>
    </row>
    <row r="602" spans="1:15" s="66" customFormat="1" ht="25.15" customHeight="1">
      <c r="A602" s="75"/>
      <c r="B602" s="98"/>
      <c r="C602" s="78"/>
      <c r="D602" s="79"/>
      <c r="E602" s="76" t="str">
        <f>IF(ISBLANK(Log[[#This Row],[Item]]),"",_xlfn.XLOOKUP(Log[[#This Row],[Item]],Calories[Name],Calories[Unit]))</f>
        <v/>
      </c>
      <c r="F602" s="65" t="str">
        <f>IF(ISBLANK(Log[[#This Row],[Item]]),"",_xlfn.XLOOKUP(Log[[#This Row],[Item]],Calories[Name],Calories[Cals])*Log[[#This Row],[Qty]])</f>
        <v/>
      </c>
      <c r="G602" s="71" t="str">
        <f>IF(ISBLANK(Log[[#This Row],[Item]]),"",_xlfn.XLOOKUP(Log[[#This Row],[Item]],Calories[Name],Calories[Carbs])*Log[[#This Row],[Qty]])</f>
        <v/>
      </c>
      <c r="H602" s="71" t="str">
        <f>IF(ISBLANK(Log[[#This Row],[Item]]),"",_xlfn.XLOOKUP(Log[[#This Row],[Item]],Calories[Name],Calories[Fibre])*Log[[#This Row],[Qty]])</f>
        <v/>
      </c>
      <c r="I602" s="71" t="str">
        <f>IF(ISBLANK(Log[[#This Row],[Item]]),"",(Log[[#This Row],[Carbs]]-Log[[#This Row],[Fibre]]))</f>
        <v/>
      </c>
      <c r="J602" s="103" t="str">
        <f>IF(ISBLANK(Log[[#This Row],[Item]]),"",_xlfn.XLOOKUP(Log[[#This Row],[Item]],Calories[Name],Calories[Sodium])*Log[[#This Row],[Qty]])</f>
        <v/>
      </c>
      <c r="K602" s="71" t="str">
        <f>IF(ISBLANK(Log[[#This Row],[Item]]),"",_xlfn.XLOOKUP(Log[[#This Row],[Item]],Calories[Name],Calories[Protein])*Log[[#This Row],[Qty]])</f>
        <v/>
      </c>
      <c r="L602" s="71" t="str">
        <f>IF(ISBLANK(Log[[#This Row],[Item]]),"",_xlfn.XLOOKUP(Log[[#This Row],[Item]],Calories[Name],Calories[Chol.])*Log[[#This Row],[Qty]])</f>
        <v/>
      </c>
      <c r="M602" s="75"/>
      <c r="N602" s="75"/>
      <c r="O602" s="75"/>
    </row>
    <row r="603" spans="1:15" s="66" customFormat="1" ht="25.15" customHeight="1">
      <c r="A603" s="75"/>
      <c r="B603" s="98"/>
      <c r="C603" s="78"/>
      <c r="D603" s="79"/>
      <c r="E603" s="76" t="str">
        <f>IF(ISBLANK(Log[[#This Row],[Item]]),"",_xlfn.XLOOKUP(Log[[#This Row],[Item]],Calories[Name],Calories[Unit]))</f>
        <v/>
      </c>
      <c r="F603" s="65" t="str">
        <f>IF(ISBLANK(Log[[#This Row],[Item]]),"",_xlfn.XLOOKUP(Log[[#This Row],[Item]],Calories[Name],Calories[Cals])*Log[[#This Row],[Qty]])</f>
        <v/>
      </c>
      <c r="G603" s="71" t="str">
        <f>IF(ISBLANK(Log[[#This Row],[Item]]),"",_xlfn.XLOOKUP(Log[[#This Row],[Item]],Calories[Name],Calories[Carbs])*Log[[#This Row],[Qty]])</f>
        <v/>
      </c>
      <c r="H603" s="71" t="str">
        <f>IF(ISBLANK(Log[[#This Row],[Item]]),"",_xlfn.XLOOKUP(Log[[#This Row],[Item]],Calories[Name],Calories[Fibre])*Log[[#This Row],[Qty]])</f>
        <v/>
      </c>
      <c r="I603" s="71" t="str">
        <f>IF(ISBLANK(Log[[#This Row],[Item]]),"",(Log[[#This Row],[Carbs]]-Log[[#This Row],[Fibre]]))</f>
        <v/>
      </c>
      <c r="J603" s="103" t="str">
        <f>IF(ISBLANK(Log[[#This Row],[Item]]),"",_xlfn.XLOOKUP(Log[[#This Row],[Item]],Calories[Name],Calories[Sodium])*Log[[#This Row],[Qty]])</f>
        <v/>
      </c>
      <c r="K603" s="71" t="str">
        <f>IF(ISBLANK(Log[[#This Row],[Item]]),"",_xlfn.XLOOKUP(Log[[#This Row],[Item]],Calories[Name],Calories[Protein])*Log[[#This Row],[Qty]])</f>
        <v/>
      </c>
      <c r="L603" s="71" t="str">
        <f>IF(ISBLANK(Log[[#This Row],[Item]]),"",_xlfn.XLOOKUP(Log[[#This Row],[Item]],Calories[Name],Calories[Chol.])*Log[[#This Row],[Qty]])</f>
        <v/>
      </c>
      <c r="M603" s="75"/>
      <c r="N603" s="75"/>
      <c r="O603" s="75"/>
    </row>
    <row r="604" spans="1:15" s="66" customFormat="1" ht="25.15" customHeight="1">
      <c r="A604" s="75"/>
      <c r="B604" s="98"/>
      <c r="C604" s="78"/>
      <c r="D604" s="79"/>
      <c r="E604" s="76" t="str">
        <f>IF(ISBLANK(Log[[#This Row],[Item]]),"",_xlfn.XLOOKUP(Log[[#This Row],[Item]],Calories[Name],Calories[Unit]))</f>
        <v/>
      </c>
      <c r="F604" s="65" t="str">
        <f>IF(ISBLANK(Log[[#This Row],[Item]]),"",_xlfn.XLOOKUP(Log[[#This Row],[Item]],Calories[Name],Calories[Cals])*Log[[#This Row],[Qty]])</f>
        <v/>
      </c>
      <c r="G604" s="71" t="str">
        <f>IF(ISBLANK(Log[[#This Row],[Item]]),"",_xlfn.XLOOKUP(Log[[#This Row],[Item]],Calories[Name],Calories[Carbs])*Log[[#This Row],[Qty]])</f>
        <v/>
      </c>
      <c r="H604" s="71" t="str">
        <f>IF(ISBLANK(Log[[#This Row],[Item]]),"",_xlfn.XLOOKUP(Log[[#This Row],[Item]],Calories[Name],Calories[Fibre])*Log[[#This Row],[Qty]])</f>
        <v/>
      </c>
      <c r="I604" s="71" t="str">
        <f>IF(ISBLANK(Log[[#This Row],[Item]]),"",(Log[[#This Row],[Carbs]]-Log[[#This Row],[Fibre]]))</f>
        <v/>
      </c>
      <c r="J604" s="103" t="str">
        <f>IF(ISBLANK(Log[[#This Row],[Item]]),"",_xlfn.XLOOKUP(Log[[#This Row],[Item]],Calories[Name],Calories[Sodium])*Log[[#This Row],[Qty]])</f>
        <v/>
      </c>
      <c r="K604" s="71" t="str">
        <f>IF(ISBLANK(Log[[#This Row],[Item]]),"",_xlfn.XLOOKUP(Log[[#This Row],[Item]],Calories[Name],Calories[Protein])*Log[[#This Row],[Qty]])</f>
        <v/>
      </c>
      <c r="L604" s="71" t="str">
        <f>IF(ISBLANK(Log[[#This Row],[Item]]),"",_xlfn.XLOOKUP(Log[[#This Row],[Item]],Calories[Name],Calories[Chol.])*Log[[#This Row],[Qty]])</f>
        <v/>
      </c>
      <c r="M604" s="75"/>
      <c r="N604" s="75"/>
      <c r="O604" s="75"/>
    </row>
    <row r="605" spans="1:15" s="66" customFormat="1" ht="25.15" customHeight="1">
      <c r="A605" s="75"/>
      <c r="B605" s="98"/>
      <c r="C605" s="78"/>
      <c r="D605" s="79"/>
      <c r="E605" s="76" t="str">
        <f>IF(ISBLANK(Log[[#This Row],[Item]]),"",_xlfn.XLOOKUP(Log[[#This Row],[Item]],Calories[Name],Calories[Unit]))</f>
        <v/>
      </c>
      <c r="F605" s="65" t="str">
        <f>IF(ISBLANK(Log[[#This Row],[Item]]),"",_xlfn.XLOOKUP(Log[[#This Row],[Item]],Calories[Name],Calories[Cals])*Log[[#This Row],[Qty]])</f>
        <v/>
      </c>
      <c r="G605" s="71" t="str">
        <f>IF(ISBLANK(Log[[#This Row],[Item]]),"",_xlfn.XLOOKUP(Log[[#This Row],[Item]],Calories[Name],Calories[Carbs])*Log[[#This Row],[Qty]])</f>
        <v/>
      </c>
      <c r="H605" s="71" t="str">
        <f>IF(ISBLANK(Log[[#This Row],[Item]]),"",_xlfn.XLOOKUP(Log[[#This Row],[Item]],Calories[Name],Calories[Fibre])*Log[[#This Row],[Qty]])</f>
        <v/>
      </c>
      <c r="I605" s="71" t="str">
        <f>IF(ISBLANK(Log[[#This Row],[Item]]),"",(Log[[#This Row],[Carbs]]-Log[[#This Row],[Fibre]]))</f>
        <v/>
      </c>
      <c r="J605" s="103" t="str">
        <f>IF(ISBLANK(Log[[#This Row],[Item]]),"",_xlfn.XLOOKUP(Log[[#This Row],[Item]],Calories[Name],Calories[Sodium])*Log[[#This Row],[Qty]])</f>
        <v/>
      </c>
      <c r="K605" s="71" t="str">
        <f>IF(ISBLANK(Log[[#This Row],[Item]]),"",_xlfn.XLOOKUP(Log[[#This Row],[Item]],Calories[Name],Calories[Protein])*Log[[#This Row],[Qty]])</f>
        <v/>
      </c>
      <c r="L605" s="71" t="str">
        <f>IF(ISBLANK(Log[[#This Row],[Item]]),"",_xlfn.XLOOKUP(Log[[#This Row],[Item]],Calories[Name],Calories[Chol.])*Log[[#This Row],[Qty]])</f>
        <v/>
      </c>
      <c r="M605" s="75"/>
      <c r="N605" s="75"/>
      <c r="O605" s="75"/>
    </row>
    <row r="606" spans="1:15" s="66" customFormat="1" ht="25.15" customHeight="1">
      <c r="A606" s="75"/>
      <c r="B606" s="98"/>
      <c r="C606" s="78"/>
      <c r="D606" s="79"/>
      <c r="E606" s="76" t="str">
        <f>IF(ISBLANK(Log[[#This Row],[Item]]),"",_xlfn.XLOOKUP(Log[[#This Row],[Item]],Calories[Name],Calories[Unit]))</f>
        <v/>
      </c>
      <c r="F606" s="65" t="str">
        <f>IF(ISBLANK(Log[[#This Row],[Item]]),"",_xlfn.XLOOKUP(Log[[#This Row],[Item]],Calories[Name],Calories[Cals])*Log[[#This Row],[Qty]])</f>
        <v/>
      </c>
      <c r="G606" s="71" t="str">
        <f>IF(ISBLANK(Log[[#This Row],[Item]]),"",_xlfn.XLOOKUP(Log[[#This Row],[Item]],Calories[Name],Calories[Carbs])*Log[[#This Row],[Qty]])</f>
        <v/>
      </c>
      <c r="H606" s="71" t="str">
        <f>IF(ISBLANK(Log[[#This Row],[Item]]),"",_xlfn.XLOOKUP(Log[[#This Row],[Item]],Calories[Name],Calories[Fibre])*Log[[#This Row],[Qty]])</f>
        <v/>
      </c>
      <c r="I606" s="71" t="str">
        <f>IF(ISBLANK(Log[[#This Row],[Item]]),"",(Log[[#This Row],[Carbs]]-Log[[#This Row],[Fibre]]))</f>
        <v/>
      </c>
      <c r="J606" s="103" t="str">
        <f>IF(ISBLANK(Log[[#This Row],[Item]]),"",_xlfn.XLOOKUP(Log[[#This Row],[Item]],Calories[Name],Calories[Sodium])*Log[[#This Row],[Qty]])</f>
        <v/>
      </c>
      <c r="K606" s="71" t="str">
        <f>IF(ISBLANK(Log[[#This Row],[Item]]),"",_xlfn.XLOOKUP(Log[[#This Row],[Item]],Calories[Name],Calories[Protein])*Log[[#This Row],[Qty]])</f>
        <v/>
      </c>
      <c r="L606" s="71" t="str">
        <f>IF(ISBLANK(Log[[#This Row],[Item]]),"",_xlfn.XLOOKUP(Log[[#This Row],[Item]],Calories[Name],Calories[Chol.])*Log[[#This Row],[Qty]])</f>
        <v/>
      </c>
      <c r="M606" s="75"/>
      <c r="N606" s="75"/>
      <c r="O606" s="75"/>
    </row>
    <row r="607" spans="1:15" s="66" customFormat="1" ht="25.15" customHeight="1">
      <c r="A607" s="75"/>
      <c r="B607" s="98"/>
      <c r="C607" s="78"/>
      <c r="D607" s="79"/>
      <c r="E607" s="76" t="str">
        <f>IF(ISBLANK(Log[[#This Row],[Item]]),"",_xlfn.XLOOKUP(Log[[#This Row],[Item]],Calories[Name],Calories[Unit]))</f>
        <v/>
      </c>
      <c r="F607" s="65" t="str">
        <f>IF(ISBLANK(Log[[#This Row],[Item]]),"",_xlfn.XLOOKUP(Log[[#This Row],[Item]],Calories[Name],Calories[Cals])*Log[[#This Row],[Qty]])</f>
        <v/>
      </c>
      <c r="G607" s="71" t="str">
        <f>IF(ISBLANK(Log[[#This Row],[Item]]),"",_xlfn.XLOOKUP(Log[[#This Row],[Item]],Calories[Name],Calories[Carbs])*Log[[#This Row],[Qty]])</f>
        <v/>
      </c>
      <c r="H607" s="71" t="str">
        <f>IF(ISBLANK(Log[[#This Row],[Item]]),"",_xlfn.XLOOKUP(Log[[#This Row],[Item]],Calories[Name],Calories[Fibre])*Log[[#This Row],[Qty]])</f>
        <v/>
      </c>
      <c r="I607" s="71" t="str">
        <f>IF(ISBLANK(Log[[#This Row],[Item]]),"",(Log[[#This Row],[Carbs]]-Log[[#This Row],[Fibre]]))</f>
        <v/>
      </c>
      <c r="J607" s="103" t="str">
        <f>IF(ISBLANK(Log[[#This Row],[Item]]),"",_xlfn.XLOOKUP(Log[[#This Row],[Item]],Calories[Name],Calories[Sodium])*Log[[#This Row],[Qty]])</f>
        <v/>
      </c>
      <c r="K607" s="71" t="str">
        <f>IF(ISBLANK(Log[[#This Row],[Item]]),"",_xlfn.XLOOKUP(Log[[#This Row],[Item]],Calories[Name],Calories[Protein])*Log[[#This Row],[Qty]])</f>
        <v/>
      </c>
      <c r="L607" s="71" t="str">
        <f>IF(ISBLANK(Log[[#This Row],[Item]]),"",_xlfn.XLOOKUP(Log[[#This Row],[Item]],Calories[Name],Calories[Chol.])*Log[[#This Row],[Qty]])</f>
        <v/>
      </c>
      <c r="M607" s="75"/>
      <c r="N607" s="75"/>
      <c r="O607" s="75"/>
    </row>
    <row r="608" spans="1:15" s="66" customFormat="1" ht="25.15" customHeight="1">
      <c r="A608" s="75"/>
      <c r="B608" s="98"/>
      <c r="C608" s="78"/>
      <c r="D608" s="79"/>
      <c r="E608" s="76" t="str">
        <f>IF(ISBLANK(Log[[#This Row],[Item]]),"",_xlfn.XLOOKUP(Log[[#This Row],[Item]],Calories[Name],Calories[Unit]))</f>
        <v/>
      </c>
      <c r="F608" s="65" t="str">
        <f>IF(ISBLANK(Log[[#This Row],[Item]]),"",_xlfn.XLOOKUP(Log[[#This Row],[Item]],Calories[Name],Calories[Cals])*Log[[#This Row],[Qty]])</f>
        <v/>
      </c>
      <c r="G608" s="71" t="str">
        <f>IF(ISBLANK(Log[[#This Row],[Item]]),"",_xlfn.XLOOKUP(Log[[#This Row],[Item]],Calories[Name],Calories[Carbs])*Log[[#This Row],[Qty]])</f>
        <v/>
      </c>
      <c r="H608" s="71" t="str">
        <f>IF(ISBLANK(Log[[#This Row],[Item]]),"",_xlfn.XLOOKUP(Log[[#This Row],[Item]],Calories[Name],Calories[Fibre])*Log[[#This Row],[Qty]])</f>
        <v/>
      </c>
      <c r="I608" s="71" t="str">
        <f>IF(ISBLANK(Log[[#This Row],[Item]]),"",(Log[[#This Row],[Carbs]]-Log[[#This Row],[Fibre]]))</f>
        <v/>
      </c>
      <c r="J608" s="103" t="str">
        <f>IF(ISBLANK(Log[[#This Row],[Item]]),"",_xlfn.XLOOKUP(Log[[#This Row],[Item]],Calories[Name],Calories[Sodium])*Log[[#This Row],[Qty]])</f>
        <v/>
      </c>
      <c r="K608" s="71" t="str">
        <f>IF(ISBLANK(Log[[#This Row],[Item]]),"",_xlfn.XLOOKUP(Log[[#This Row],[Item]],Calories[Name],Calories[Protein])*Log[[#This Row],[Qty]])</f>
        <v/>
      </c>
      <c r="L608" s="71" t="str">
        <f>IF(ISBLANK(Log[[#This Row],[Item]]),"",_xlfn.XLOOKUP(Log[[#This Row],[Item]],Calories[Name],Calories[Chol.])*Log[[#This Row],[Qty]])</f>
        <v/>
      </c>
      <c r="M608" s="75"/>
      <c r="N608" s="75"/>
      <c r="O608" s="75"/>
    </row>
    <row r="609" spans="1:15" s="66" customFormat="1" ht="25.15" customHeight="1">
      <c r="A609" s="75"/>
      <c r="B609" s="98"/>
      <c r="C609" s="78"/>
      <c r="D609" s="79"/>
      <c r="E609" s="76" t="str">
        <f>IF(ISBLANK(Log[[#This Row],[Item]]),"",_xlfn.XLOOKUP(Log[[#This Row],[Item]],Calories[Name],Calories[Unit]))</f>
        <v/>
      </c>
      <c r="F609" s="65" t="str">
        <f>IF(ISBLANK(Log[[#This Row],[Item]]),"",_xlfn.XLOOKUP(Log[[#This Row],[Item]],Calories[Name],Calories[Cals])*Log[[#This Row],[Qty]])</f>
        <v/>
      </c>
      <c r="G609" s="71" t="str">
        <f>IF(ISBLANK(Log[[#This Row],[Item]]),"",_xlfn.XLOOKUP(Log[[#This Row],[Item]],Calories[Name],Calories[Carbs])*Log[[#This Row],[Qty]])</f>
        <v/>
      </c>
      <c r="H609" s="71" t="str">
        <f>IF(ISBLANK(Log[[#This Row],[Item]]),"",_xlfn.XLOOKUP(Log[[#This Row],[Item]],Calories[Name],Calories[Fibre])*Log[[#This Row],[Qty]])</f>
        <v/>
      </c>
      <c r="I609" s="71" t="str">
        <f>IF(ISBLANK(Log[[#This Row],[Item]]),"",(Log[[#This Row],[Carbs]]-Log[[#This Row],[Fibre]]))</f>
        <v/>
      </c>
      <c r="J609" s="103" t="str">
        <f>IF(ISBLANK(Log[[#This Row],[Item]]),"",_xlfn.XLOOKUP(Log[[#This Row],[Item]],Calories[Name],Calories[Sodium])*Log[[#This Row],[Qty]])</f>
        <v/>
      </c>
      <c r="K609" s="71" t="str">
        <f>IF(ISBLANK(Log[[#This Row],[Item]]),"",_xlfn.XLOOKUP(Log[[#This Row],[Item]],Calories[Name],Calories[Protein])*Log[[#This Row],[Qty]])</f>
        <v/>
      </c>
      <c r="L609" s="71" t="str">
        <f>IF(ISBLANK(Log[[#This Row],[Item]]),"",_xlfn.XLOOKUP(Log[[#This Row],[Item]],Calories[Name],Calories[Chol.])*Log[[#This Row],[Qty]])</f>
        <v/>
      </c>
      <c r="M609" s="75"/>
      <c r="N609" s="75"/>
      <c r="O609" s="75"/>
    </row>
    <row r="610" spans="1:15" s="66" customFormat="1" ht="25.15" customHeight="1">
      <c r="A610" s="75"/>
      <c r="B610" s="98"/>
      <c r="C610" s="78"/>
      <c r="D610" s="79"/>
      <c r="E610" s="76" t="str">
        <f>IF(ISBLANK(Log[[#This Row],[Item]]),"",_xlfn.XLOOKUP(Log[[#This Row],[Item]],Calories[Name],Calories[Unit]))</f>
        <v/>
      </c>
      <c r="F610" s="65" t="str">
        <f>IF(ISBLANK(Log[[#This Row],[Item]]),"",_xlfn.XLOOKUP(Log[[#This Row],[Item]],Calories[Name],Calories[Cals])*Log[[#This Row],[Qty]])</f>
        <v/>
      </c>
      <c r="G610" s="71" t="str">
        <f>IF(ISBLANK(Log[[#This Row],[Item]]),"",_xlfn.XLOOKUP(Log[[#This Row],[Item]],Calories[Name],Calories[Carbs])*Log[[#This Row],[Qty]])</f>
        <v/>
      </c>
      <c r="H610" s="71" t="str">
        <f>IF(ISBLANK(Log[[#This Row],[Item]]),"",_xlfn.XLOOKUP(Log[[#This Row],[Item]],Calories[Name],Calories[Fibre])*Log[[#This Row],[Qty]])</f>
        <v/>
      </c>
      <c r="I610" s="71" t="str">
        <f>IF(ISBLANK(Log[[#This Row],[Item]]),"",(Log[[#This Row],[Carbs]]-Log[[#This Row],[Fibre]]))</f>
        <v/>
      </c>
      <c r="J610" s="103" t="str">
        <f>IF(ISBLANK(Log[[#This Row],[Item]]),"",_xlfn.XLOOKUP(Log[[#This Row],[Item]],Calories[Name],Calories[Sodium])*Log[[#This Row],[Qty]])</f>
        <v/>
      </c>
      <c r="K610" s="71" t="str">
        <f>IF(ISBLANK(Log[[#This Row],[Item]]),"",_xlfn.XLOOKUP(Log[[#This Row],[Item]],Calories[Name],Calories[Protein])*Log[[#This Row],[Qty]])</f>
        <v/>
      </c>
      <c r="L610" s="71" t="str">
        <f>IF(ISBLANK(Log[[#This Row],[Item]]),"",_xlfn.XLOOKUP(Log[[#This Row],[Item]],Calories[Name],Calories[Chol.])*Log[[#This Row],[Qty]])</f>
        <v/>
      </c>
      <c r="M610" s="75"/>
      <c r="N610" s="75"/>
      <c r="O610" s="75"/>
    </row>
    <row r="611" spans="1:15" s="66" customFormat="1" ht="25.15" customHeight="1">
      <c r="A611" s="75"/>
      <c r="B611" s="98"/>
      <c r="C611" s="78"/>
      <c r="D611" s="79"/>
      <c r="E611" s="76" t="str">
        <f>IF(ISBLANK(Log[[#This Row],[Item]]),"",_xlfn.XLOOKUP(Log[[#This Row],[Item]],Calories[Name],Calories[Unit]))</f>
        <v/>
      </c>
      <c r="F611" s="65" t="str">
        <f>IF(ISBLANK(Log[[#This Row],[Item]]),"",_xlfn.XLOOKUP(Log[[#This Row],[Item]],Calories[Name],Calories[Cals])*Log[[#This Row],[Qty]])</f>
        <v/>
      </c>
      <c r="G611" s="71" t="str">
        <f>IF(ISBLANK(Log[[#This Row],[Item]]),"",_xlfn.XLOOKUP(Log[[#This Row],[Item]],Calories[Name],Calories[Carbs])*Log[[#This Row],[Qty]])</f>
        <v/>
      </c>
      <c r="H611" s="71" t="str">
        <f>IF(ISBLANK(Log[[#This Row],[Item]]),"",_xlfn.XLOOKUP(Log[[#This Row],[Item]],Calories[Name],Calories[Fibre])*Log[[#This Row],[Qty]])</f>
        <v/>
      </c>
      <c r="I611" s="71" t="str">
        <f>IF(ISBLANK(Log[[#This Row],[Item]]),"",(Log[[#This Row],[Carbs]]-Log[[#This Row],[Fibre]]))</f>
        <v/>
      </c>
      <c r="J611" s="103" t="str">
        <f>IF(ISBLANK(Log[[#This Row],[Item]]),"",_xlfn.XLOOKUP(Log[[#This Row],[Item]],Calories[Name],Calories[Sodium])*Log[[#This Row],[Qty]])</f>
        <v/>
      </c>
      <c r="K611" s="71" t="str">
        <f>IF(ISBLANK(Log[[#This Row],[Item]]),"",_xlfn.XLOOKUP(Log[[#This Row],[Item]],Calories[Name],Calories[Protein])*Log[[#This Row],[Qty]])</f>
        <v/>
      </c>
      <c r="L611" s="71" t="str">
        <f>IF(ISBLANK(Log[[#This Row],[Item]]),"",_xlfn.XLOOKUP(Log[[#This Row],[Item]],Calories[Name],Calories[Chol.])*Log[[#This Row],[Qty]])</f>
        <v/>
      </c>
      <c r="M611" s="75"/>
      <c r="N611" s="75"/>
      <c r="O611" s="75"/>
    </row>
    <row r="612" spans="1:15" s="66" customFormat="1" ht="25.15" customHeight="1">
      <c r="A612" s="75"/>
      <c r="B612" s="98"/>
      <c r="C612" s="78"/>
      <c r="D612" s="79"/>
      <c r="E612" s="76" t="str">
        <f>IF(ISBLANK(Log[[#This Row],[Item]]),"",_xlfn.XLOOKUP(Log[[#This Row],[Item]],Calories[Name],Calories[Unit]))</f>
        <v/>
      </c>
      <c r="F612" s="65" t="str">
        <f>IF(ISBLANK(Log[[#This Row],[Item]]),"",_xlfn.XLOOKUP(Log[[#This Row],[Item]],Calories[Name],Calories[Cals])*Log[[#This Row],[Qty]])</f>
        <v/>
      </c>
      <c r="G612" s="71" t="str">
        <f>IF(ISBLANK(Log[[#This Row],[Item]]),"",_xlfn.XLOOKUP(Log[[#This Row],[Item]],Calories[Name],Calories[Carbs])*Log[[#This Row],[Qty]])</f>
        <v/>
      </c>
      <c r="H612" s="71" t="str">
        <f>IF(ISBLANK(Log[[#This Row],[Item]]),"",_xlfn.XLOOKUP(Log[[#This Row],[Item]],Calories[Name],Calories[Fibre])*Log[[#This Row],[Qty]])</f>
        <v/>
      </c>
      <c r="I612" s="71" t="str">
        <f>IF(ISBLANK(Log[[#This Row],[Item]]),"",(Log[[#This Row],[Carbs]]-Log[[#This Row],[Fibre]]))</f>
        <v/>
      </c>
      <c r="J612" s="103" t="str">
        <f>IF(ISBLANK(Log[[#This Row],[Item]]),"",_xlfn.XLOOKUP(Log[[#This Row],[Item]],Calories[Name],Calories[Sodium])*Log[[#This Row],[Qty]])</f>
        <v/>
      </c>
      <c r="K612" s="71" t="str">
        <f>IF(ISBLANK(Log[[#This Row],[Item]]),"",_xlfn.XLOOKUP(Log[[#This Row],[Item]],Calories[Name],Calories[Protein])*Log[[#This Row],[Qty]])</f>
        <v/>
      </c>
      <c r="L612" s="71" t="str">
        <f>IF(ISBLANK(Log[[#This Row],[Item]]),"",_xlfn.XLOOKUP(Log[[#This Row],[Item]],Calories[Name],Calories[Chol.])*Log[[#This Row],[Qty]])</f>
        <v/>
      </c>
      <c r="M612" s="75"/>
      <c r="N612" s="75"/>
      <c r="O612" s="75"/>
    </row>
    <row r="613" spans="1:15" s="66" customFormat="1" ht="25.15" customHeight="1">
      <c r="A613" s="75"/>
      <c r="B613" s="98"/>
      <c r="C613" s="78"/>
      <c r="D613" s="79"/>
      <c r="E613" s="76" t="str">
        <f>IF(ISBLANK(Log[[#This Row],[Item]]),"",_xlfn.XLOOKUP(Log[[#This Row],[Item]],Calories[Name],Calories[Unit]))</f>
        <v/>
      </c>
      <c r="F613" s="65" t="str">
        <f>IF(ISBLANK(Log[[#This Row],[Item]]),"",_xlfn.XLOOKUP(Log[[#This Row],[Item]],Calories[Name],Calories[Cals])*Log[[#This Row],[Qty]])</f>
        <v/>
      </c>
      <c r="G613" s="71" t="str">
        <f>IF(ISBLANK(Log[[#This Row],[Item]]),"",_xlfn.XLOOKUP(Log[[#This Row],[Item]],Calories[Name],Calories[Carbs])*Log[[#This Row],[Qty]])</f>
        <v/>
      </c>
      <c r="H613" s="71" t="str">
        <f>IF(ISBLANK(Log[[#This Row],[Item]]),"",_xlfn.XLOOKUP(Log[[#This Row],[Item]],Calories[Name],Calories[Fibre])*Log[[#This Row],[Qty]])</f>
        <v/>
      </c>
      <c r="I613" s="71" t="str">
        <f>IF(ISBLANK(Log[[#This Row],[Item]]),"",(Log[[#This Row],[Carbs]]-Log[[#This Row],[Fibre]]))</f>
        <v/>
      </c>
      <c r="J613" s="103" t="str">
        <f>IF(ISBLANK(Log[[#This Row],[Item]]),"",_xlfn.XLOOKUP(Log[[#This Row],[Item]],Calories[Name],Calories[Sodium])*Log[[#This Row],[Qty]])</f>
        <v/>
      </c>
      <c r="K613" s="71" t="str">
        <f>IF(ISBLANK(Log[[#This Row],[Item]]),"",_xlfn.XLOOKUP(Log[[#This Row],[Item]],Calories[Name],Calories[Protein])*Log[[#This Row],[Qty]])</f>
        <v/>
      </c>
      <c r="L613" s="71" t="str">
        <f>IF(ISBLANK(Log[[#This Row],[Item]]),"",_xlfn.XLOOKUP(Log[[#This Row],[Item]],Calories[Name],Calories[Chol.])*Log[[#This Row],[Qty]])</f>
        <v/>
      </c>
      <c r="M613" s="75"/>
      <c r="N613" s="75"/>
      <c r="O613" s="75"/>
    </row>
    <row r="614" spans="1:15" s="66" customFormat="1" ht="25.15" customHeight="1">
      <c r="A614" s="75"/>
      <c r="B614" s="98"/>
      <c r="C614" s="78"/>
      <c r="D614" s="79"/>
      <c r="E614" s="76" t="str">
        <f>IF(ISBLANK(Log[[#This Row],[Item]]),"",_xlfn.XLOOKUP(Log[[#This Row],[Item]],Calories[Name],Calories[Unit]))</f>
        <v/>
      </c>
      <c r="F614" s="65" t="str">
        <f>IF(ISBLANK(Log[[#This Row],[Item]]),"",_xlfn.XLOOKUP(Log[[#This Row],[Item]],Calories[Name],Calories[Cals])*Log[[#This Row],[Qty]])</f>
        <v/>
      </c>
      <c r="G614" s="71" t="str">
        <f>IF(ISBLANK(Log[[#This Row],[Item]]),"",_xlfn.XLOOKUP(Log[[#This Row],[Item]],Calories[Name],Calories[Carbs])*Log[[#This Row],[Qty]])</f>
        <v/>
      </c>
      <c r="H614" s="71" t="str">
        <f>IF(ISBLANK(Log[[#This Row],[Item]]),"",_xlfn.XLOOKUP(Log[[#This Row],[Item]],Calories[Name],Calories[Fibre])*Log[[#This Row],[Qty]])</f>
        <v/>
      </c>
      <c r="I614" s="71" t="str">
        <f>IF(ISBLANK(Log[[#This Row],[Item]]),"",(Log[[#This Row],[Carbs]]-Log[[#This Row],[Fibre]]))</f>
        <v/>
      </c>
      <c r="J614" s="103" t="str">
        <f>IF(ISBLANK(Log[[#This Row],[Item]]),"",_xlfn.XLOOKUP(Log[[#This Row],[Item]],Calories[Name],Calories[Sodium])*Log[[#This Row],[Qty]])</f>
        <v/>
      </c>
      <c r="K614" s="71" t="str">
        <f>IF(ISBLANK(Log[[#This Row],[Item]]),"",_xlfn.XLOOKUP(Log[[#This Row],[Item]],Calories[Name],Calories[Protein])*Log[[#This Row],[Qty]])</f>
        <v/>
      </c>
      <c r="L614" s="71" t="str">
        <f>IF(ISBLANK(Log[[#This Row],[Item]]),"",_xlfn.XLOOKUP(Log[[#This Row],[Item]],Calories[Name],Calories[Chol.])*Log[[#This Row],[Qty]])</f>
        <v/>
      </c>
      <c r="M614" s="75"/>
      <c r="N614" s="75"/>
      <c r="O614" s="75"/>
    </row>
    <row r="615" spans="1:15" s="66" customFormat="1" ht="25.15" customHeight="1">
      <c r="A615" s="75"/>
      <c r="B615" s="98"/>
      <c r="C615" s="78"/>
      <c r="D615" s="79"/>
      <c r="E615" s="76" t="str">
        <f>IF(ISBLANK(Log[[#This Row],[Item]]),"",_xlfn.XLOOKUP(Log[[#This Row],[Item]],Calories[Name],Calories[Unit]))</f>
        <v/>
      </c>
      <c r="F615" s="65" t="str">
        <f>IF(ISBLANK(Log[[#This Row],[Item]]),"",_xlfn.XLOOKUP(Log[[#This Row],[Item]],Calories[Name],Calories[Cals])*Log[[#This Row],[Qty]])</f>
        <v/>
      </c>
      <c r="G615" s="71" t="str">
        <f>IF(ISBLANK(Log[[#This Row],[Item]]),"",_xlfn.XLOOKUP(Log[[#This Row],[Item]],Calories[Name],Calories[Carbs])*Log[[#This Row],[Qty]])</f>
        <v/>
      </c>
      <c r="H615" s="71" t="str">
        <f>IF(ISBLANK(Log[[#This Row],[Item]]),"",_xlfn.XLOOKUP(Log[[#This Row],[Item]],Calories[Name],Calories[Fibre])*Log[[#This Row],[Qty]])</f>
        <v/>
      </c>
      <c r="I615" s="71" t="str">
        <f>IF(ISBLANK(Log[[#This Row],[Item]]),"",(Log[[#This Row],[Carbs]]-Log[[#This Row],[Fibre]]))</f>
        <v/>
      </c>
      <c r="J615" s="103" t="str">
        <f>IF(ISBLANK(Log[[#This Row],[Item]]),"",_xlfn.XLOOKUP(Log[[#This Row],[Item]],Calories[Name],Calories[Sodium])*Log[[#This Row],[Qty]])</f>
        <v/>
      </c>
      <c r="K615" s="71" t="str">
        <f>IF(ISBLANK(Log[[#This Row],[Item]]),"",_xlfn.XLOOKUP(Log[[#This Row],[Item]],Calories[Name],Calories[Protein])*Log[[#This Row],[Qty]])</f>
        <v/>
      </c>
      <c r="L615" s="71" t="str">
        <f>IF(ISBLANK(Log[[#This Row],[Item]]),"",_xlfn.XLOOKUP(Log[[#This Row],[Item]],Calories[Name],Calories[Chol.])*Log[[#This Row],[Qty]])</f>
        <v/>
      </c>
      <c r="M615" s="75"/>
      <c r="N615" s="75"/>
      <c r="O615" s="75"/>
    </row>
    <row r="616" spans="1:15" s="66" customFormat="1" ht="25.15" customHeight="1">
      <c r="A616" s="75"/>
      <c r="B616" s="98"/>
      <c r="C616" s="78"/>
      <c r="D616" s="79"/>
      <c r="E616" s="76" t="str">
        <f>IF(ISBLANK(Log[[#This Row],[Item]]),"",_xlfn.XLOOKUP(Log[[#This Row],[Item]],Calories[Name],Calories[Unit]))</f>
        <v/>
      </c>
      <c r="F616" s="65" t="str">
        <f>IF(ISBLANK(Log[[#This Row],[Item]]),"",_xlfn.XLOOKUP(Log[[#This Row],[Item]],Calories[Name],Calories[Cals])*Log[[#This Row],[Qty]])</f>
        <v/>
      </c>
      <c r="G616" s="71" t="str">
        <f>IF(ISBLANK(Log[[#This Row],[Item]]),"",_xlfn.XLOOKUP(Log[[#This Row],[Item]],Calories[Name],Calories[Carbs])*Log[[#This Row],[Qty]])</f>
        <v/>
      </c>
      <c r="H616" s="71" t="str">
        <f>IF(ISBLANK(Log[[#This Row],[Item]]),"",_xlfn.XLOOKUP(Log[[#This Row],[Item]],Calories[Name],Calories[Fibre])*Log[[#This Row],[Qty]])</f>
        <v/>
      </c>
      <c r="I616" s="71" t="str">
        <f>IF(ISBLANK(Log[[#This Row],[Item]]),"",(Log[[#This Row],[Carbs]]-Log[[#This Row],[Fibre]]))</f>
        <v/>
      </c>
      <c r="J616" s="103" t="str">
        <f>IF(ISBLANK(Log[[#This Row],[Item]]),"",_xlfn.XLOOKUP(Log[[#This Row],[Item]],Calories[Name],Calories[Sodium])*Log[[#This Row],[Qty]])</f>
        <v/>
      </c>
      <c r="K616" s="71" t="str">
        <f>IF(ISBLANK(Log[[#This Row],[Item]]),"",_xlfn.XLOOKUP(Log[[#This Row],[Item]],Calories[Name],Calories[Protein])*Log[[#This Row],[Qty]])</f>
        <v/>
      </c>
      <c r="L616" s="71" t="str">
        <f>IF(ISBLANK(Log[[#This Row],[Item]]),"",_xlfn.XLOOKUP(Log[[#This Row],[Item]],Calories[Name],Calories[Chol.])*Log[[#This Row],[Qty]])</f>
        <v/>
      </c>
      <c r="M616" s="75"/>
      <c r="N616" s="75"/>
      <c r="O616" s="75"/>
    </row>
    <row r="617" spans="1:15" s="66" customFormat="1" ht="25.15" customHeight="1">
      <c r="A617" s="75"/>
      <c r="B617" s="98"/>
      <c r="C617" s="78"/>
      <c r="D617" s="79"/>
      <c r="E617" s="76" t="str">
        <f>IF(ISBLANK(Log[[#This Row],[Item]]),"",_xlfn.XLOOKUP(Log[[#This Row],[Item]],Calories[Name],Calories[Unit]))</f>
        <v/>
      </c>
      <c r="F617" s="65" t="str">
        <f>IF(ISBLANK(Log[[#This Row],[Item]]),"",_xlfn.XLOOKUP(Log[[#This Row],[Item]],Calories[Name],Calories[Cals])*Log[[#This Row],[Qty]])</f>
        <v/>
      </c>
      <c r="G617" s="71" t="str">
        <f>IF(ISBLANK(Log[[#This Row],[Item]]),"",_xlfn.XLOOKUP(Log[[#This Row],[Item]],Calories[Name],Calories[Carbs])*Log[[#This Row],[Qty]])</f>
        <v/>
      </c>
      <c r="H617" s="71" t="str">
        <f>IF(ISBLANK(Log[[#This Row],[Item]]),"",_xlfn.XLOOKUP(Log[[#This Row],[Item]],Calories[Name],Calories[Fibre])*Log[[#This Row],[Qty]])</f>
        <v/>
      </c>
      <c r="I617" s="71" t="str">
        <f>IF(ISBLANK(Log[[#This Row],[Item]]),"",(Log[[#This Row],[Carbs]]-Log[[#This Row],[Fibre]]))</f>
        <v/>
      </c>
      <c r="J617" s="103" t="str">
        <f>IF(ISBLANK(Log[[#This Row],[Item]]),"",_xlfn.XLOOKUP(Log[[#This Row],[Item]],Calories[Name],Calories[Sodium])*Log[[#This Row],[Qty]])</f>
        <v/>
      </c>
      <c r="K617" s="71" t="str">
        <f>IF(ISBLANK(Log[[#This Row],[Item]]),"",_xlfn.XLOOKUP(Log[[#This Row],[Item]],Calories[Name],Calories[Protein])*Log[[#This Row],[Qty]])</f>
        <v/>
      </c>
      <c r="L617" s="71" t="str">
        <f>IF(ISBLANK(Log[[#This Row],[Item]]),"",_xlfn.XLOOKUP(Log[[#This Row],[Item]],Calories[Name],Calories[Chol.])*Log[[#This Row],[Qty]])</f>
        <v/>
      </c>
      <c r="M617" s="75"/>
      <c r="N617" s="75"/>
      <c r="O617" s="75"/>
    </row>
    <row r="618" spans="1:15" s="66" customFormat="1" ht="25.15" customHeight="1">
      <c r="A618" s="75"/>
      <c r="B618" s="98"/>
      <c r="C618" s="78"/>
      <c r="D618" s="79"/>
      <c r="E618" s="76" t="str">
        <f>IF(ISBLANK(Log[[#This Row],[Item]]),"",_xlfn.XLOOKUP(Log[[#This Row],[Item]],Calories[Name],Calories[Unit]))</f>
        <v/>
      </c>
      <c r="F618" s="65" t="str">
        <f>IF(ISBLANK(Log[[#This Row],[Item]]),"",_xlfn.XLOOKUP(Log[[#This Row],[Item]],Calories[Name],Calories[Cals])*Log[[#This Row],[Qty]])</f>
        <v/>
      </c>
      <c r="G618" s="71" t="str">
        <f>IF(ISBLANK(Log[[#This Row],[Item]]),"",_xlfn.XLOOKUP(Log[[#This Row],[Item]],Calories[Name],Calories[Carbs])*Log[[#This Row],[Qty]])</f>
        <v/>
      </c>
      <c r="H618" s="71" t="str">
        <f>IF(ISBLANK(Log[[#This Row],[Item]]),"",_xlfn.XLOOKUP(Log[[#This Row],[Item]],Calories[Name],Calories[Fibre])*Log[[#This Row],[Qty]])</f>
        <v/>
      </c>
      <c r="I618" s="71" t="str">
        <f>IF(ISBLANK(Log[[#This Row],[Item]]),"",(Log[[#This Row],[Carbs]]-Log[[#This Row],[Fibre]]))</f>
        <v/>
      </c>
      <c r="J618" s="103" t="str">
        <f>IF(ISBLANK(Log[[#This Row],[Item]]),"",_xlfn.XLOOKUP(Log[[#This Row],[Item]],Calories[Name],Calories[Sodium])*Log[[#This Row],[Qty]])</f>
        <v/>
      </c>
      <c r="K618" s="71" t="str">
        <f>IF(ISBLANK(Log[[#This Row],[Item]]),"",_xlfn.XLOOKUP(Log[[#This Row],[Item]],Calories[Name],Calories[Protein])*Log[[#This Row],[Qty]])</f>
        <v/>
      </c>
      <c r="L618" s="71" t="str">
        <f>IF(ISBLANK(Log[[#This Row],[Item]]),"",_xlfn.XLOOKUP(Log[[#This Row],[Item]],Calories[Name],Calories[Chol.])*Log[[#This Row],[Qty]])</f>
        <v/>
      </c>
      <c r="M618" s="75"/>
      <c r="N618" s="75"/>
      <c r="O618" s="75"/>
    </row>
    <row r="619" spans="1:15" s="66" customFormat="1" ht="25.15" customHeight="1">
      <c r="A619" s="75"/>
      <c r="B619" s="98"/>
      <c r="C619" s="78"/>
      <c r="D619" s="79"/>
      <c r="E619" s="76" t="str">
        <f>IF(ISBLANK(Log[[#This Row],[Item]]),"",_xlfn.XLOOKUP(Log[[#This Row],[Item]],Calories[Name],Calories[Unit]))</f>
        <v/>
      </c>
      <c r="F619" s="65" t="str">
        <f>IF(ISBLANK(Log[[#This Row],[Item]]),"",_xlfn.XLOOKUP(Log[[#This Row],[Item]],Calories[Name],Calories[Cals])*Log[[#This Row],[Qty]])</f>
        <v/>
      </c>
      <c r="G619" s="71" t="str">
        <f>IF(ISBLANK(Log[[#This Row],[Item]]),"",_xlfn.XLOOKUP(Log[[#This Row],[Item]],Calories[Name],Calories[Carbs])*Log[[#This Row],[Qty]])</f>
        <v/>
      </c>
      <c r="H619" s="71" t="str">
        <f>IF(ISBLANK(Log[[#This Row],[Item]]),"",_xlfn.XLOOKUP(Log[[#This Row],[Item]],Calories[Name],Calories[Fibre])*Log[[#This Row],[Qty]])</f>
        <v/>
      </c>
      <c r="I619" s="71" t="str">
        <f>IF(ISBLANK(Log[[#This Row],[Item]]),"",(Log[[#This Row],[Carbs]]-Log[[#This Row],[Fibre]]))</f>
        <v/>
      </c>
      <c r="J619" s="103" t="str">
        <f>IF(ISBLANK(Log[[#This Row],[Item]]),"",_xlfn.XLOOKUP(Log[[#This Row],[Item]],Calories[Name],Calories[Sodium])*Log[[#This Row],[Qty]])</f>
        <v/>
      </c>
      <c r="K619" s="71" t="str">
        <f>IF(ISBLANK(Log[[#This Row],[Item]]),"",_xlfn.XLOOKUP(Log[[#This Row],[Item]],Calories[Name],Calories[Protein])*Log[[#This Row],[Qty]])</f>
        <v/>
      </c>
      <c r="L619" s="71" t="str">
        <f>IF(ISBLANK(Log[[#This Row],[Item]]),"",_xlfn.XLOOKUP(Log[[#This Row],[Item]],Calories[Name],Calories[Chol.])*Log[[#This Row],[Qty]])</f>
        <v/>
      </c>
      <c r="M619" s="75"/>
      <c r="N619" s="75"/>
      <c r="O619" s="75"/>
    </row>
    <row r="620" spans="1:15" s="66" customFormat="1" ht="25.15" customHeight="1">
      <c r="A620" s="75"/>
      <c r="B620" s="98"/>
      <c r="C620" s="78"/>
      <c r="D620" s="79"/>
      <c r="E620" s="76" t="str">
        <f>IF(ISBLANK(Log[[#This Row],[Item]]),"",_xlfn.XLOOKUP(Log[[#This Row],[Item]],Calories[Name],Calories[Unit]))</f>
        <v/>
      </c>
      <c r="F620" s="65" t="str">
        <f>IF(ISBLANK(Log[[#This Row],[Item]]),"",_xlfn.XLOOKUP(Log[[#This Row],[Item]],Calories[Name],Calories[Cals])*Log[[#This Row],[Qty]])</f>
        <v/>
      </c>
      <c r="G620" s="71" t="str">
        <f>IF(ISBLANK(Log[[#This Row],[Item]]),"",_xlfn.XLOOKUP(Log[[#This Row],[Item]],Calories[Name],Calories[Carbs])*Log[[#This Row],[Qty]])</f>
        <v/>
      </c>
      <c r="H620" s="71" t="str">
        <f>IF(ISBLANK(Log[[#This Row],[Item]]),"",_xlfn.XLOOKUP(Log[[#This Row],[Item]],Calories[Name],Calories[Fibre])*Log[[#This Row],[Qty]])</f>
        <v/>
      </c>
      <c r="I620" s="71" t="str">
        <f>IF(ISBLANK(Log[[#This Row],[Item]]),"",(Log[[#This Row],[Carbs]]-Log[[#This Row],[Fibre]]))</f>
        <v/>
      </c>
      <c r="J620" s="103" t="str">
        <f>IF(ISBLANK(Log[[#This Row],[Item]]),"",_xlfn.XLOOKUP(Log[[#This Row],[Item]],Calories[Name],Calories[Sodium])*Log[[#This Row],[Qty]])</f>
        <v/>
      </c>
      <c r="K620" s="71" t="str">
        <f>IF(ISBLANK(Log[[#This Row],[Item]]),"",_xlfn.XLOOKUP(Log[[#This Row],[Item]],Calories[Name],Calories[Protein])*Log[[#This Row],[Qty]])</f>
        <v/>
      </c>
      <c r="L620" s="71" t="str">
        <f>IF(ISBLANK(Log[[#This Row],[Item]]),"",_xlfn.XLOOKUP(Log[[#This Row],[Item]],Calories[Name],Calories[Chol.])*Log[[#This Row],[Qty]])</f>
        <v/>
      </c>
      <c r="M620" s="75"/>
      <c r="N620" s="75"/>
      <c r="O620" s="75"/>
    </row>
    <row r="621" spans="1:15" s="66" customFormat="1" ht="25.15" customHeight="1">
      <c r="A621" s="75"/>
      <c r="B621" s="98"/>
      <c r="C621" s="78"/>
      <c r="D621" s="79"/>
      <c r="E621" s="76" t="str">
        <f>IF(ISBLANK(Log[[#This Row],[Item]]),"",_xlfn.XLOOKUP(Log[[#This Row],[Item]],Calories[Name],Calories[Unit]))</f>
        <v/>
      </c>
      <c r="F621" s="65" t="str">
        <f>IF(ISBLANK(Log[[#This Row],[Item]]),"",_xlfn.XLOOKUP(Log[[#This Row],[Item]],Calories[Name],Calories[Cals])*Log[[#This Row],[Qty]])</f>
        <v/>
      </c>
      <c r="G621" s="71" t="str">
        <f>IF(ISBLANK(Log[[#This Row],[Item]]),"",_xlfn.XLOOKUP(Log[[#This Row],[Item]],Calories[Name],Calories[Carbs])*Log[[#This Row],[Qty]])</f>
        <v/>
      </c>
      <c r="H621" s="71" t="str">
        <f>IF(ISBLANK(Log[[#This Row],[Item]]),"",_xlfn.XLOOKUP(Log[[#This Row],[Item]],Calories[Name],Calories[Fibre])*Log[[#This Row],[Qty]])</f>
        <v/>
      </c>
      <c r="I621" s="71" t="str">
        <f>IF(ISBLANK(Log[[#This Row],[Item]]),"",(Log[[#This Row],[Carbs]]-Log[[#This Row],[Fibre]]))</f>
        <v/>
      </c>
      <c r="J621" s="103" t="str">
        <f>IF(ISBLANK(Log[[#This Row],[Item]]),"",_xlfn.XLOOKUP(Log[[#This Row],[Item]],Calories[Name],Calories[Sodium])*Log[[#This Row],[Qty]])</f>
        <v/>
      </c>
      <c r="K621" s="71" t="str">
        <f>IF(ISBLANK(Log[[#This Row],[Item]]),"",_xlfn.XLOOKUP(Log[[#This Row],[Item]],Calories[Name],Calories[Protein])*Log[[#This Row],[Qty]])</f>
        <v/>
      </c>
      <c r="L621" s="71" t="str">
        <f>IF(ISBLANK(Log[[#This Row],[Item]]),"",_xlfn.XLOOKUP(Log[[#This Row],[Item]],Calories[Name],Calories[Chol.])*Log[[#This Row],[Qty]])</f>
        <v/>
      </c>
      <c r="M621" s="75"/>
      <c r="N621" s="75"/>
      <c r="O621" s="75"/>
    </row>
    <row r="622" spans="1:15" s="66" customFormat="1" ht="25.15" customHeight="1">
      <c r="A622" s="75"/>
      <c r="B622" s="98"/>
      <c r="C622" s="78"/>
      <c r="D622" s="79"/>
      <c r="E622" s="76" t="str">
        <f>IF(ISBLANK(Log[[#This Row],[Item]]),"",_xlfn.XLOOKUP(Log[[#This Row],[Item]],Calories[Name],Calories[Unit]))</f>
        <v/>
      </c>
      <c r="F622" s="65" t="str">
        <f>IF(ISBLANK(Log[[#This Row],[Item]]),"",_xlfn.XLOOKUP(Log[[#This Row],[Item]],Calories[Name],Calories[Cals])*Log[[#This Row],[Qty]])</f>
        <v/>
      </c>
      <c r="G622" s="71" t="str">
        <f>IF(ISBLANK(Log[[#This Row],[Item]]),"",_xlfn.XLOOKUP(Log[[#This Row],[Item]],Calories[Name],Calories[Carbs])*Log[[#This Row],[Qty]])</f>
        <v/>
      </c>
      <c r="H622" s="71" t="str">
        <f>IF(ISBLANK(Log[[#This Row],[Item]]),"",_xlfn.XLOOKUP(Log[[#This Row],[Item]],Calories[Name],Calories[Fibre])*Log[[#This Row],[Qty]])</f>
        <v/>
      </c>
      <c r="I622" s="71" t="str">
        <f>IF(ISBLANK(Log[[#This Row],[Item]]),"",(Log[[#This Row],[Carbs]]-Log[[#This Row],[Fibre]]))</f>
        <v/>
      </c>
      <c r="J622" s="103" t="str">
        <f>IF(ISBLANK(Log[[#This Row],[Item]]),"",_xlfn.XLOOKUP(Log[[#This Row],[Item]],Calories[Name],Calories[Sodium])*Log[[#This Row],[Qty]])</f>
        <v/>
      </c>
      <c r="K622" s="71" t="str">
        <f>IF(ISBLANK(Log[[#This Row],[Item]]),"",_xlfn.XLOOKUP(Log[[#This Row],[Item]],Calories[Name],Calories[Protein])*Log[[#This Row],[Qty]])</f>
        <v/>
      </c>
      <c r="L622" s="71" t="str">
        <f>IF(ISBLANK(Log[[#This Row],[Item]]),"",_xlfn.XLOOKUP(Log[[#This Row],[Item]],Calories[Name],Calories[Chol.])*Log[[#This Row],[Qty]])</f>
        <v/>
      </c>
      <c r="M622" s="75"/>
      <c r="N622" s="75"/>
      <c r="O622" s="75"/>
    </row>
    <row r="623" spans="1:15" s="66" customFormat="1" ht="25.15" customHeight="1">
      <c r="A623" s="75"/>
      <c r="B623" s="98"/>
      <c r="C623" s="78"/>
      <c r="D623" s="79"/>
      <c r="E623" s="76" t="str">
        <f>IF(ISBLANK(Log[[#This Row],[Item]]),"",_xlfn.XLOOKUP(Log[[#This Row],[Item]],Calories[Name],Calories[Unit]))</f>
        <v/>
      </c>
      <c r="F623" s="65" t="str">
        <f>IF(ISBLANK(Log[[#This Row],[Item]]),"",_xlfn.XLOOKUP(Log[[#This Row],[Item]],Calories[Name],Calories[Cals])*Log[[#This Row],[Qty]])</f>
        <v/>
      </c>
      <c r="G623" s="71" t="str">
        <f>IF(ISBLANK(Log[[#This Row],[Item]]),"",_xlfn.XLOOKUP(Log[[#This Row],[Item]],Calories[Name],Calories[Carbs])*Log[[#This Row],[Qty]])</f>
        <v/>
      </c>
      <c r="H623" s="71" t="str">
        <f>IF(ISBLANK(Log[[#This Row],[Item]]),"",_xlfn.XLOOKUP(Log[[#This Row],[Item]],Calories[Name],Calories[Fibre])*Log[[#This Row],[Qty]])</f>
        <v/>
      </c>
      <c r="I623" s="71" t="str">
        <f>IF(ISBLANK(Log[[#This Row],[Item]]),"",(Log[[#This Row],[Carbs]]-Log[[#This Row],[Fibre]]))</f>
        <v/>
      </c>
      <c r="J623" s="103" t="str">
        <f>IF(ISBLANK(Log[[#This Row],[Item]]),"",_xlfn.XLOOKUP(Log[[#This Row],[Item]],Calories[Name],Calories[Sodium])*Log[[#This Row],[Qty]])</f>
        <v/>
      </c>
      <c r="K623" s="71" t="str">
        <f>IF(ISBLANK(Log[[#This Row],[Item]]),"",_xlfn.XLOOKUP(Log[[#This Row],[Item]],Calories[Name],Calories[Protein])*Log[[#This Row],[Qty]])</f>
        <v/>
      </c>
      <c r="L623" s="71" t="str">
        <f>IF(ISBLANK(Log[[#This Row],[Item]]),"",_xlfn.XLOOKUP(Log[[#This Row],[Item]],Calories[Name],Calories[Chol.])*Log[[#This Row],[Qty]])</f>
        <v/>
      </c>
      <c r="M623" s="75"/>
      <c r="N623" s="75"/>
      <c r="O623" s="75"/>
    </row>
    <row r="624" spans="1:15" s="66" customFormat="1" ht="25.15" customHeight="1">
      <c r="A624" s="75"/>
      <c r="B624" s="98"/>
      <c r="C624" s="78"/>
      <c r="D624" s="79"/>
      <c r="E624" s="76" t="str">
        <f>IF(ISBLANK(Log[[#This Row],[Item]]),"",_xlfn.XLOOKUP(Log[[#This Row],[Item]],Calories[Name],Calories[Unit]))</f>
        <v/>
      </c>
      <c r="F624" s="65" t="str">
        <f>IF(ISBLANK(Log[[#This Row],[Item]]),"",_xlfn.XLOOKUP(Log[[#This Row],[Item]],Calories[Name],Calories[Cals])*Log[[#This Row],[Qty]])</f>
        <v/>
      </c>
      <c r="G624" s="71" t="str">
        <f>IF(ISBLANK(Log[[#This Row],[Item]]),"",_xlfn.XLOOKUP(Log[[#This Row],[Item]],Calories[Name],Calories[Carbs])*Log[[#This Row],[Qty]])</f>
        <v/>
      </c>
      <c r="H624" s="71" t="str">
        <f>IF(ISBLANK(Log[[#This Row],[Item]]),"",_xlfn.XLOOKUP(Log[[#This Row],[Item]],Calories[Name],Calories[Fibre])*Log[[#This Row],[Qty]])</f>
        <v/>
      </c>
      <c r="I624" s="71" t="str">
        <f>IF(ISBLANK(Log[[#This Row],[Item]]),"",(Log[[#This Row],[Carbs]]-Log[[#This Row],[Fibre]]))</f>
        <v/>
      </c>
      <c r="J624" s="103" t="str">
        <f>IF(ISBLANK(Log[[#This Row],[Item]]),"",_xlfn.XLOOKUP(Log[[#This Row],[Item]],Calories[Name],Calories[Sodium])*Log[[#This Row],[Qty]])</f>
        <v/>
      </c>
      <c r="K624" s="71" t="str">
        <f>IF(ISBLANK(Log[[#This Row],[Item]]),"",_xlfn.XLOOKUP(Log[[#This Row],[Item]],Calories[Name],Calories[Protein])*Log[[#This Row],[Qty]])</f>
        <v/>
      </c>
      <c r="L624" s="71" t="str">
        <f>IF(ISBLANK(Log[[#This Row],[Item]]),"",_xlfn.XLOOKUP(Log[[#This Row],[Item]],Calories[Name],Calories[Chol.])*Log[[#This Row],[Qty]])</f>
        <v/>
      </c>
      <c r="M624" s="75"/>
      <c r="N624" s="75"/>
      <c r="O624" s="75"/>
    </row>
    <row r="625" spans="1:15" s="66" customFormat="1" ht="25.15" customHeight="1">
      <c r="A625" s="75"/>
      <c r="B625" s="98"/>
      <c r="C625" s="78"/>
      <c r="D625" s="79"/>
      <c r="E625" s="76" t="str">
        <f>IF(ISBLANK(Log[[#This Row],[Item]]),"",_xlfn.XLOOKUP(Log[[#This Row],[Item]],Calories[Name],Calories[Unit]))</f>
        <v/>
      </c>
      <c r="F625" s="65" t="str">
        <f>IF(ISBLANK(Log[[#This Row],[Item]]),"",_xlfn.XLOOKUP(Log[[#This Row],[Item]],Calories[Name],Calories[Cals])*Log[[#This Row],[Qty]])</f>
        <v/>
      </c>
      <c r="G625" s="71" t="str">
        <f>IF(ISBLANK(Log[[#This Row],[Item]]),"",_xlfn.XLOOKUP(Log[[#This Row],[Item]],Calories[Name],Calories[Carbs])*Log[[#This Row],[Qty]])</f>
        <v/>
      </c>
      <c r="H625" s="71" t="str">
        <f>IF(ISBLANK(Log[[#This Row],[Item]]),"",_xlfn.XLOOKUP(Log[[#This Row],[Item]],Calories[Name],Calories[Fibre])*Log[[#This Row],[Qty]])</f>
        <v/>
      </c>
      <c r="I625" s="71" t="str">
        <f>IF(ISBLANK(Log[[#This Row],[Item]]),"",(Log[[#This Row],[Carbs]]-Log[[#This Row],[Fibre]]))</f>
        <v/>
      </c>
      <c r="J625" s="103" t="str">
        <f>IF(ISBLANK(Log[[#This Row],[Item]]),"",_xlfn.XLOOKUP(Log[[#This Row],[Item]],Calories[Name],Calories[Sodium])*Log[[#This Row],[Qty]])</f>
        <v/>
      </c>
      <c r="K625" s="71" t="str">
        <f>IF(ISBLANK(Log[[#This Row],[Item]]),"",_xlfn.XLOOKUP(Log[[#This Row],[Item]],Calories[Name],Calories[Protein])*Log[[#This Row],[Qty]])</f>
        <v/>
      </c>
      <c r="L625" s="71" t="str">
        <f>IF(ISBLANK(Log[[#This Row],[Item]]),"",_xlfn.XLOOKUP(Log[[#This Row],[Item]],Calories[Name],Calories[Chol.])*Log[[#This Row],[Qty]])</f>
        <v/>
      </c>
      <c r="M625" s="75"/>
      <c r="N625" s="75"/>
      <c r="O625" s="75"/>
    </row>
    <row r="626" spans="1:15" s="66" customFormat="1" ht="25.15" customHeight="1">
      <c r="A626" s="75"/>
      <c r="B626" s="98"/>
      <c r="C626" s="78"/>
      <c r="D626" s="79"/>
      <c r="E626" s="76" t="str">
        <f>IF(ISBLANK(Log[[#This Row],[Item]]),"",_xlfn.XLOOKUP(Log[[#This Row],[Item]],Calories[Name],Calories[Unit]))</f>
        <v/>
      </c>
      <c r="F626" s="65" t="str">
        <f>IF(ISBLANK(Log[[#This Row],[Item]]),"",_xlfn.XLOOKUP(Log[[#This Row],[Item]],Calories[Name],Calories[Cals])*Log[[#This Row],[Qty]])</f>
        <v/>
      </c>
      <c r="G626" s="71" t="str">
        <f>IF(ISBLANK(Log[[#This Row],[Item]]),"",_xlfn.XLOOKUP(Log[[#This Row],[Item]],Calories[Name],Calories[Carbs])*Log[[#This Row],[Qty]])</f>
        <v/>
      </c>
      <c r="H626" s="71" t="str">
        <f>IF(ISBLANK(Log[[#This Row],[Item]]),"",_xlfn.XLOOKUP(Log[[#This Row],[Item]],Calories[Name],Calories[Fibre])*Log[[#This Row],[Qty]])</f>
        <v/>
      </c>
      <c r="I626" s="71" t="str">
        <f>IF(ISBLANK(Log[[#This Row],[Item]]),"",(Log[[#This Row],[Carbs]]-Log[[#This Row],[Fibre]]))</f>
        <v/>
      </c>
      <c r="J626" s="103" t="str">
        <f>IF(ISBLANK(Log[[#This Row],[Item]]),"",_xlfn.XLOOKUP(Log[[#This Row],[Item]],Calories[Name],Calories[Sodium])*Log[[#This Row],[Qty]])</f>
        <v/>
      </c>
      <c r="K626" s="71" t="str">
        <f>IF(ISBLANK(Log[[#This Row],[Item]]),"",_xlfn.XLOOKUP(Log[[#This Row],[Item]],Calories[Name],Calories[Protein])*Log[[#This Row],[Qty]])</f>
        <v/>
      </c>
      <c r="L626" s="71" t="str">
        <f>IF(ISBLANK(Log[[#This Row],[Item]]),"",_xlfn.XLOOKUP(Log[[#This Row],[Item]],Calories[Name],Calories[Chol.])*Log[[#This Row],[Qty]])</f>
        <v/>
      </c>
      <c r="M626" s="75"/>
      <c r="N626" s="75"/>
      <c r="O626" s="75"/>
    </row>
    <row r="627" spans="1:15" s="66" customFormat="1" ht="25.15" customHeight="1">
      <c r="A627" s="75"/>
      <c r="B627" s="98"/>
      <c r="C627" s="78"/>
      <c r="D627" s="79"/>
      <c r="E627" s="76" t="str">
        <f>IF(ISBLANK(Log[[#This Row],[Item]]),"",_xlfn.XLOOKUP(Log[[#This Row],[Item]],Calories[Name],Calories[Unit]))</f>
        <v/>
      </c>
      <c r="F627" s="65" t="str">
        <f>IF(ISBLANK(Log[[#This Row],[Item]]),"",_xlfn.XLOOKUP(Log[[#This Row],[Item]],Calories[Name],Calories[Cals])*Log[[#This Row],[Qty]])</f>
        <v/>
      </c>
      <c r="G627" s="71" t="str">
        <f>IF(ISBLANK(Log[[#This Row],[Item]]),"",_xlfn.XLOOKUP(Log[[#This Row],[Item]],Calories[Name],Calories[Carbs])*Log[[#This Row],[Qty]])</f>
        <v/>
      </c>
      <c r="H627" s="71" t="str">
        <f>IF(ISBLANK(Log[[#This Row],[Item]]),"",_xlfn.XLOOKUP(Log[[#This Row],[Item]],Calories[Name],Calories[Fibre])*Log[[#This Row],[Qty]])</f>
        <v/>
      </c>
      <c r="I627" s="71" t="str">
        <f>IF(ISBLANK(Log[[#This Row],[Item]]),"",(Log[[#This Row],[Carbs]]-Log[[#This Row],[Fibre]]))</f>
        <v/>
      </c>
      <c r="J627" s="103" t="str">
        <f>IF(ISBLANK(Log[[#This Row],[Item]]),"",_xlfn.XLOOKUP(Log[[#This Row],[Item]],Calories[Name],Calories[Sodium])*Log[[#This Row],[Qty]])</f>
        <v/>
      </c>
      <c r="K627" s="71" t="str">
        <f>IF(ISBLANK(Log[[#This Row],[Item]]),"",_xlfn.XLOOKUP(Log[[#This Row],[Item]],Calories[Name],Calories[Protein])*Log[[#This Row],[Qty]])</f>
        <v/>
      </c>
      <c r="L627" s="71" t="str">
        <f>IF(ISBLANK(Log[[#This Row],[Item]]),"",_xlfn.XLOOKUP(Log[[#This Row],[Item]],Calories[Name],Calories[Chol.])*Log[[#This Row],[Qty]])</f>
        <v/>
      </c>
      <c r="M627" s="75"/>
      <c r="N627" s="75"/>
      <c r="O627" s="75"/>
    </row>
    <row r="628" spans="1:15" s="66" customFormat="1" ht="25.15" customHeight="1">
      <c r="A628" s="75"/>
      <c r="B628" s="98"/>
      <c r="C628" s="78"/>
      <c r="D628" s="79"/>
      <c r="E628" s="76" t="str">
        <f>IF(ISBLANK(Log[[#This Row],[Item]]),"",_xlfn.XLOOKUP(Log[[#This Row],[Item]],Calories[Name],Calories[Unit]))</f>
        <v/>
      </c>
      <c r="F628" s="65" t="str">
        <f>IF(ISBLANK(Log[[#This Row],[Item]]),"",_xlfn.XLOOKUP(Log[[#This Row],[Item]],Calories[Name],Calories[Cals])*Log[[#This Row],[Qty]])</f>
        <v/>
      </c>
      <c r="G628" s="71" t="str">
        <f>IF(ISBLANK(Log[[#This Row],[Item]]),"",_xlfn.XLOOKUP(Log[[#This Row],[Item]],Calories[Name],Calories[Carbs])*Log[[#This Row],[Qty]])</f>
        <v/>
      </c>
      <c r="H628" s="71" t="str">
        <f>IF(ISBLANK(Log[[#This Row],[Item]]),"",_xlfn.XLOOKUP(Log[[#This Row],[Item]],Calories[Name],Calories[Fibre])*Log[[#This Row],[Qty]])</f>
        <v/>
      </c>
      <c r="I628" s="71" t="str">
        <f>IF(ISBLANK(Log[[#This Row],[Item]]),"",(Log[[#This Row],[Carbs]]-Log[[#This Row],[Fibre]]))</f>
        <v/>
      </c>
      <c r="J628" s="103" t="str">
        <f>IF(ISBLANK(Log[[#This Row],[Item]]),"",_xlfn.XLOOKUP(Log[[#This Row],[Item]],Calories[Name],Calories[Sodium])*Log[[#This Row],[Qty]])</f>
        <v/>
      </c>
      <c r="K628" s="71" t="str">
        <f>IF(ISBLANK(Log[[#This Row],[Item]]),"",_xlfn.XLOOKUP(Log[[#This Row],[Item]],Calories[Name],Calories[Protein])*Log[[#This Row],[Qty]])</f>
        <v/>
      </c>
      <c r="L628" s="71" t="str">
        <f>IF(ISBLANK(Log[[#This Row],[Item]]),"",_xlfn.XLOOKUP(Log[[#This Row],[Item]],Calories[Name],Calories[Chol.])*Log[[#This Row],[Qty]])</f>
        <v/>
      </c>
      <c r="M628" s="75"/>
      <c r="N628" s="75"/>
      <c r="O628" s="75"/>
    </row>
    <row r="629" spans="1:15" s="66" customFormat="1" ht="25.15" customHeight="1">
      <c r="A629" s="75"/>
      <c r="B629" s="98"/>
      <c r="C629" s="78"/>
      <c r="D629" s="79"/>
      <c r="E629" s="76" t="str">
        <f>IF(ISBLANK(Log[[#This Row],[Item]]),"",_xlfn.XLOOKUP(Log[[#This Row],[Item]],Calories[Name],Calories[Unit]))</f>
        <v/>
      </c>
      <c r="F629" s="65" t="str">
        <f>IF(ISBLANK(Log[[#This Row],[Item]]),"",_xlfn.XLOOKUP(Log[[#This Row],[Item]],Calories[Name],Calories[Cals])*Log[[#This Row],[Qty]])</f>
        <v/>
      </c>
      <c r="G629" s="71" t="str">
        <f>IF(ISBLANK(Log[[#This Row],[Item]]),"",_xlfn.XLOOKUP(Log[[#This Row],[Item]],Calories[Name],Calories[Carbs])*Log[[#This Row],[Qty]])</f>
        <v/>
      </c>
      <c r="H629" s="71" t="str">
        <f>IF(ISBLANK(Log[[#This Row],[Item]]),"",_xlfn.XLOOKUP(Log[[#This Row],[Item]],Calories[Name],Calories[Fibre])*Log[[#This Row],[Qty]])</f>
        <v/>
      </c>
      <c r="I629" s="71" t="str">
        <f>IF(ISBLANK(Log[[#This Row],[Item]]),"",(Log[[#This Row],[Carbs]]-Log[[#This Row],[Fibre]]))</f>
        <v/>
      </c>
      <c r="J629" s="103" t="str">
        <f>IF(ISBLANK(Log[[#This Row],[Item]]),"",_xlfn.XLOOKUP(Log[[#This Row],[Item]],Calories[Name],Calories[Sodium])*Log[[#This Row],[Qty]])</f>
        <v/>
      </c>
      <c r="K629" s="71" t="str">
        <f>IF(ISBLANK(Log[[#This Row],[Item]]),"",_xlfn.XLOOKUP(Log[[#This Row],[Item]],Calories[Name],Calories[Protein])*Log[[#This Row],[Qty]])</f>
        <v/>
      </c>
      <c r="L629" s="71" t="str">
        <f>IF(ISBLANK(Log[[#This Row],[Item]]),"",_xlfn.XLOOKUP(Log[[#This Row],[Item]],Calories[Name],Calories[Chol.])*Log[[#This Row],[Qty]])</f>
        <v/>
      </c>
      <c r="M629" s="75"/>
      <c r="N629" s="75"/>
      <c r="O629" s="75"/>
    </row>
    <row r="630" spans="1:15" s="66" customFormat="1" ht="25.15" customHeight="1">
      <c r="A630" s="75"/>
      <c r="B630" s="98"/>
      <c r="C630" s="78"/>
      <c r="D630" s="79"/>
      <c r="E630" s="76" t="str">
        <f>IF(ISBLANK(Log[[#This Row],[Item]]),"",_xlfn.XLOOKUP(Log[[#This Row],[Item]],Calories[Name],Calories[Unit]))</f>
        <v/>
      </c>
      <c r="F630" s="65" t="str">
        <f>IF(ISBLANK(Log[[#This Row],[Item]]),"",_xlfn.XLOOKUP(Log[[#This Row],[Item]],Calories[Name],Calories[Cals])*Log[[#This Row],[Qty]])</f>
        <v/>
      </c>
      <c r="G630" s="71" t="str">
        <f>IF(ISBLANK(Log[[#This Row],[Item]]),"",_xlfn.XLOOKUP(Log[[#This Row],[Item]],Calories[Name],Calories[Carbs])*Log[[#This Row],[Qty]])</f>
        <v/>
      </c>
      <c r="H630" s="71" t="str">
        <f>IF(ISBLANK(Log[[#This Row],[Item]]),"",_xlfn.XLOOKUP(Log[[#This Row],[Item]],Calories[Name],Calories[Fibre])*Log[[#This Row],[Qty]])</f>
        <v/>
      </c>
      <c r="I630" s="71" t="str">
        <f>IF(ISBLANK(Log[[#This Row],[Item]]),"",(Log[[#This Row],[Carbs]]-Log[[#This Row],[Fibre]]))</f>
        <v/>
      </c>
      <c r="J630" s="103" t="str">
        <f>IF(ISBLANK(Log[[#This Row],[Item]]),"",_xlfn.XLOOKUP(Log[[#This Row],[Item]],Calories[Name],Calories[Sodium])*Log[[#This Row],[Qty]])</f>
        <v/>
      </c>
      <c r="K630" s="71" t="str">
        <f>IF(ISBLANK(Log[[#This Row],[Item]]),"",_xlfn.XLOOKUP(Log[[#This Row],[Item]],Calories[Name],Calories[Protein])*Log[[#This Row],[Qty]])</f>
        <v/>
      </c>
      <c r="L630" s="71" t="str">
        <f>IF(ISBLANK(Log[[#This Row],[Item]]),"",_xlfn.XLOOKUP(Log[[#This Row],[Item]],Calories[Name],Calories[Chol.])*Log[[#This Row],[Qty]])</f>
        <v/>
      </c>
      <c r="M630" s="75"/>
      <c r="N630" s="75"/>
      <c r="O630" s="75"/>
    </row>
    <row r="631" spans="1:15" s="66" customFormat="1" ht="25.15" customHeight="1">
      <c r="A631" s="75"/>
      <c r="B631" s="98"/>
      <c r="C631" s="78"/>
      <c r="D631" s="79"/>
      <c r="E631" s="76" t="str">
        <f>IF(ISBLANK(Log[[#This Row],[Item]]),"",_xlfn.XLOOKUP(Log[[#This Row],[Item]],Calories[Name],Calories[Unit]))</f>
        <v/>
      </c>
      <c r="F631" s="65" t="str">
        <f>IF(ISBLANK(Log[[#This Row],[Item]]),"",_xlfn.XLOOKUP(Log[[#This Row],[Item]],Calories[Name],Calories[Cals])*Log[[#This Row],[Qty]])</f>
        <v/>
      </c>
      <c r="G631" s="71" t="str">
        <f>IF(ISBLANK(Log[[#This Row],[Item]]),"",_xlfn.XLOOKUP(Log[[#This Row],[Item]],Calories[Name],Calories[Carbs])*Log[[#This Row],[Qty]])</f>
        <v/>
      </c>
      <c r="H631" s="71" t="str">
        <f>IF(ISBLANK(Log[[#This Row],[Item]]),"",_xlfn.XLOOKUP(Log[[#This Row],[Item]],Calories[Name],Calories[Fibre])*Log[[#This Row],[Qty]])</f>
        <v/>
      </c>
      <c r="I631" s="71" t="str">
        <f>IF(ISBLANK(Log[[#This Row],[Item]]),"",(Log[[#This Row],[Carbs]]-Log[[#This Row],[Fibre]]))</f>
        <v/>
      </c>
      <c r="J631" s="103" t="str">
        <f>IF(ISBLANK(Log[[#This Row],[Item]]),"",_xlfn.XLOOKUP(Log[[#This Row],[Item]],Calories[Name],Calories[Sodium])*Log[[#This Row],[Qty]])</f>
        <v/>
      </c>
      <c r="K631" s="71" t="str">
        <f>IF(ISBLANK(Log[[#This Row],[Item]]),"",_xlfn.XLOOKUP(Log[[#This Row],[Item]],Calories[Name],Calories[Protein])*Log[[#This Row],[Qty]])</f>
        <v/>
      </c>
      <c r="L631" s="71" t="str">
        <f>IF(ISBLANK(Log[[#This Row],[Item]]),"",_xlfn.XLOOKUP(Log[[#This Row],[Item]],Calories[Name],Calories[Chol.])*Log[[#This Row],[Qty]])</f>
        <v/>
      </c>
      <c r="M631" s="75"/>
      <c r="N631" s="75"/>
      <c r="O631" s="75"/>
    </row>
    <row r="632" spans="1:15" s="66" customFormat="1" ht="25.15" customHeight="1">
      <c r="A632" s="75"/>
      <c r="B632" s="98"/>
      <c r="C632" s="78"/>
      <c r="D632" s="79"/>
      <c r="E632" s="76" t="str">
        <f>IF(ISBLANK(Log[[#This Row],[Item]]),"",_xlfn.XLOOKUP(Log[[#This Row],[Item]],Calories[Name],Calories[Unit]))</f>
        <v/>
      </c>
      <c r="F632" s="65" t="str">
        <f>IF(ISBLANK(Log[[#This Row],[Item]]),"",_xlfn.XLOOKUP(Log[[#This Row],[Item]],Calories[Name],Calories[Cals])*Log[[#This Row],[Qty]])</f>
        <v/>
      </c>
      <c r="G632" s="71" t="str">
        <f>IF(ISBLANK(Log[[#This Row],[Item]]),"",_xlfn.XLOOKUP(Log[[#This Row],[Item]],Calories[Name],Calories[Carbs])*Log[[#This Row],[Qty]])</f>
        <v/>
      </c>
      <c r="H632" s="71" t="str">
        <f>IF(ISBLANK(Log[[#This Row],[Item]]),"",_xlfn.XLOOKUP(Log[[#This Row],[Item]],Calories[Name],Calories[Fibre])*Log[[#This Row],[Qty]])</f>
        <v/>
      </c>
      <c r="I632" s="71" t="str">
        <f>IF(ISBLANK(Log[[#This Row],[Item]]),"",(Log[[#This Row],[Carbs]]-Log[[#This Row],[Fibre]]))</f>
        <v/>
      </c>
      <c r="J632" s="103" t="str">
        <f>IF(ISBLANK(Log[[#This Row],[Item]]),"",_xlfn.XLOOKUP(Log[[#This Row],[Item]],Calories[Name],Calories[Sodium])*Log[[#This Row],[Qty]])</f>
        <v/>
      </c>
      <c r="K632" s="71" t="str">
        <f>IF(ISBLANK(Log[[#This Row],[Item]]),"",_xlfn.XLOOKUP(Log[[#This Row],[Item]],Calories[Name],Calories[Protein])*Log[[#This Row],[Qty]])</f>
        <v/>
      </c>
      <c r="L632" s="71" t="str">
        <f>IF(ISBLANK(Log[[#This Row],[Item]]),"",_xlfn.XLOOKUP(Log[[#This Row],[Item]],Calories[Name],Calories[Chol.])*Log[[#This Row],[Qty]])</f>
        <v/>
      </c>
      <c r="M632" s="75"/>
      <c r="N632" s="75"/>
      <c r="O632" s="75"/>
    </row>
    <row r="633" spans="1:15" s="66" customFormat="1" ht="25.15" customHeight="1">
      <c r="A633" s="75"/>
      <c r="B633" s="98"/>
      <c r="C633" s="78"/>
      <c r="D633" s="79"/>
      <c r="E633" s="76" t="str">
        <f>IF(ISBLANK(Log[[#This Row],[Item]]),"",_xlfn.XLOOKUP(Log[[#This Row],[Item]],Calories[Name],Calories[Unit]))</f>
        <v/>
      </c>
      <c r="F633" s="65" t="str">
        <f>IF(ISBLANK(Log[[#This Row],[Item]]),"",_xlfn.XLOOKUP(Log[[#This Row],[Item]],Calories[Name],Calories[Cals])*Log[[#This Row],[Qty]])</f>
        <v/>
      </c>
      <c r="G633" s="71" t="str">
        <f>IF(ISBLANK(Log[[#This Row],[Item]]),"",_xlfn.XLOOKUP(Log[[#This Row],[Item]],Calories[Name],Calories[Carbs])*Log[[#This Row],[Qty]])</f>
        <v/>
      </c>
      <c r="H633" s="71" t="str">
        <f>IF(ISBLANK(Log[[#This Row],[Item]]),"",_xlfn.XLOOKUP(Log[[#This Row],[Item]],Calories[Name],Calories[Fibre])*Log[[#This Row],[Qty]])</f>
        <v/>
      </c>
      <c r="I633" s="71" t="str">
        <f>IF(ISBLANK(Log[[#This Row],[Item]]),"",(Log[[#This Row],[Carbs]]-Log[[#This Row],[Fibre]]))</f>
        <v/>
      </c>
      <c r="J633" s="103" t="str">
        <f>IF(ISBLANK(Log[[#This Row],[Item]]),"",_xlfn.XLOOKUP(Log[[#This Row],[Item]],Calories[Name],Calories[Sodium])*Log[[#This Row],[Qty]])</f>
        <v/>
      </c>
      <c r="K633" s="71" t="str">
        <f>IF(ISBLANK(Log[[#This Row],[Item]]),"",_xlfn.XLOOKUP(Log[[#This Row],[Item]],Calories[Name],Calories[Protein])*Log[[#This Row],[Qty]])</f>
        <v/>
      </c>
      <c r="L633" s="71" t="str">
        <f>IF(ISBLANK(Log[[#This Row],[Item]]),"",_xlfn.XLOOKUP(Log[[#This Row],[Item]],Calories[Name],Calories[Chol.])*Log[[#This Row],[Qty]])</f>
        <v/>
      </c>
      <c r="M633" s="75"/>
      <c r="N633" s="75"/>
      <c r="O633" s="75"/>
    </row>
    <row r="634" spans="1:15" s="66" customFormat="1" ht="25.15" customHeight="1">
      <c r="A634" s="75"/>
      <c r="B634" s="98"/>
      <c r="C634" s="78"/>
      <c r="D634" s="79"/>
      <c r="E634" s="76" t="str">
        <f>IF(ISBLANK(Log[[#This Row],[Item]]),"",_xlfn.XLOOKUP(Log[[#This Row],[Item]],Calories[Name],Calories[Unit]))</f>
        <v/>
      </c>
      <c r="F634" s="65" t="str">
        <f>IF(ISBLANK(Log[[#This Row],[Item]]),"",_xlfn.XLOOKUP(Log[[#This Row],[Item]],Calories[Name],Calories[Cals])*Log[[#This Row],[Qty]])</f>
        <v/>
      </c>
      <c r="G634" s="71" t="str">
        <f>IF(ISBLANK(Log[[#This Row],[Item]]),"",_xlfn.XLOOKUP(Log[[#This Row],[Item]],Calories[Name],Calories[Carbs])*Log[[#This Row],[Qty]])</f>
        <v/>
      </c>
      <c r="H634" s="71" t="str">
        <f>IF(ISBLANK(Log[[#This Row],[Item]]),"",_xlfn.XLOOKUP(Log[[#This Row],[Item]],Calories[Name],Calories[Fibre])*Log[[#This Row],[Qty]])</f>
        <v/>
      </c>
      <c r="I634" s="71" t="str">
        <f>IF(ISBLANK(Log[[#This Row],[Item]]),"",(Log[[#This Row],[Carbs]]-Log[[#This Row],[Fibre]]))</f>
        <v/>
      </c>
      <c r="J634" s="103" t="str">
        <f>IF(ISBLANK(Log[[#This Row],[Item]]),"",_xlfn.XLOOKUP(Log[[#This Row],[Item]],Calories[Name],Calories[Sodium])*Log[[#This Row],[Qty]])</f>
        <v/>
      </c>
      <c r="K634" s="71" t="str">
        <f>IF(ISBLANK(Log[[#This Row],[Item]]),"",_xlfn.XLOOKUP(Log[[#This Row],[Item]],Calories[Name],Calories[Protein])*Log[[#This Row],[Qty]])</f>
        <v/>
      </c>
      <c r="L634" s="71" t="str">
        <f>IF(ISBLANK(Log[[#This Row],[Item]]),"",_xlfn.XLOOKUP(Log[[#This Row],[Item]],Calories[Name],Calories[Chol.])*Log[[#This Row],[Qty]])</f>
        <v/>
      </c>
      <c r="M634" s="75"/>
      <c r="N634" s="75"/>
      <c r="O634" s="75"/>
    </row>
    <row r="635" spans="1:15" s="66" customFormat="1" ht="25.15" customHeight="1">
      <c r="A635" s="75"/>
      <c r="B635" s="98"/>
      <c r="C635" s="78"/>
      <c r="D635" s="79"/>
      <c r="E635" s="76" t="str">
        <f>IF(ISBLANK(Log[[#This Row],[Item]]),"",_xlfn.XLOOKUP(Log[[#This Row],[Item]],Calories[Name],Calories[Unit]))</f>
        <v/>
      </c>
      <c r="F635" s="65" t="str">
        <f>IF(ISBLANK(Log[[#This Row],[Item]]),"",_xlfn.XLOOKUP(Log[[#This Row],[Item]],Calories[Name],Calories[Cals])*Log[[#This Row],[Qty]])</f>
        <v/>
      </c>
      <c r="G635" s="71" t="str">
        <f>IF(ISBLANK(Log[[#This Row],[Item]]),"",_xlfn.XLOOKUP(Log[[#This Row],[Item]],Calories[Name],Calories[Carbs])*Log[[#This Row],[Qty]])</f>
        <v/>
      </c>
      <c r="H635" s="71" t="str">
        <f>IF(ISBLANK(Log[[#This Row],[Item]]),"",_xlfn.XLOOKUP(Log[[#This Row],[Item]],Calories[Name],Calories[Fibre])*Log[[#This Row],[Qty]])</f>
        <v/>
      </c>
      <c r="I635" s="71" t="str">
        <f>IF(ISBLANK(Log[[#This Row],[Item]]),"",(Log[[#This Row],[Carbs]]-Log[[#This Row],[Fibre]]))</f>
        <v/>
      </c>
      <c r="J635" s="103" t="str">
        <f>IF(ISBLANK(Log[[#This Row],[Item]]),"",_xlfn.XLOOKUP(Log[[#This Row],[Item]],Calories[Name],Calories[Sodium])*Log[[#This Row],[Qty]])</f>
        <v/>
      </c>
      <c r="K635" s="71" t="str">
        <f>IF(ISBLANK(Log[[#This Row],[Item]]),"",_xlfn.XLOOKUP(Log[[#This Row],[Item]],Calories[Name],Calories[Protein])*Log[[#This Row],[Qty]])</f>
        <v/>
      </c>
      <c r="L635" s="71" t="str">
        <f>IF(ISBLANK(Log[[#This Row],[Item]]),"",_xlfn.XLOOKUP(Log[[#This Row],[Item]],Calories[Name],Calories[Chol.])*Log[[#This Row],[Qty]])</f>
        <v/>
      </c>
      <c r="M635" s="75"/>
      <c r="N635" s="75"/>
      <c r="O635" s="75"/>
    </row>
    <row r="636" spans="1:15" s="66" customFormat="1" ht="25.15" customHeight="1">
      <c r="A636" s="75"/>
      <c r="B636" s="98"/>
      <c r="C636" s="78"/>
      <c r="D636" s="79"/>
      <c r="E636" s="76" t="str">
        <f>IF(ISBLANK(Log[[#This Row],[Item]]),"",_xlfn.XLOOKUP(Log[[#This Row],[Item]],Calories[Name],Calories[Unit]))</f>
        <v/>
      </c>
      <c r="F636" s="65" t="str">
        <f>IF(ISBLANK(Log[[#This Row],[Item]]),"",_xlfn.XLOOKUP(Log[[#This Row],[Item]],Calories[Name],Calories[Cals])*Log[[#This Row],[Qty]])</f>
        <v/>
      </c>
      <c r="G636" s="71" t="str">
        <f>IF(ISBLANK(Log[[#This Row],[Item]]),"",_xlfn.XLOOKUP(Log[[#This Row],[Item]],Calories[Name],Calories[Carbs])*Log[[#This Row],[Qty]])</f>
        <v/>
      </c>
      <c r="H636" s="71" t="str">
        <f>IF(ISBLANK(Log[[#This Row],[Item]]),"",_xlfn.XLOOKUP(Log[[#This Row],[Item]],Calories[Name],Calories[Fibre])*Log[[#This Row],[Qty]])</f>
        <v/>
      </c>
      <c r="I636" s="71" t="str">
        <f>IF(ISBLANK(Log[[#This Row],[Item]]),"",(Log[[#This Row],[Carbs]]-Log[[#This Row],[Fibre]]))</f>
        <v/>
      </c>
      <c r="J636" s="103" t="str">
        <f>IF(ISBLANK(Log[[#This Row],[Item]]),"",_xlfn.XLOOKUP(Log[[#This Row],[Item]],Calories[Name],Calories[Sodium])*Log[[#This Row],[Qty]])</f>
        <v/>
      </c>
      <c r="K636" s="71" t="str">
        <f>IF(ISBLANK(Log[[#This Row],[Item]]),"",_xlfn.XLOOKUP(Log[[#This Row],[Item]],Calories[Name],Calories[Protein])*Log[[#This Row],[Qty]])</f>
        <v/>
      </c>
      <c r="L636" s="71" t="str">
        <f>IF(ISBLANK(Log[[#This Row],[Item]]),"",_xlfn.XLOOKUP(Log[[#This Row],[Item]],Calories[Name],Calories[Chol.])*Log[[#This Row],[Qty]])</f>
        <v/>
      </c>
      <c r="M636" s="75"/>
      <c r="N636" s="75"/>
      <c r="O636" s="75"/>
    </row>
    <row r="637" spans="1:15" s="66" customFormat="1" ht="25.15" customHeight="1">
      <c r="A637" s="75"/>
      <c r="B637" s="98"/>
      <c r="C637" s="78"/>
      <c r="D637" s="79"/>
      <c r="E637" s="76" t="str">
        <f>IF(ISBLANK(Log[[#This Row],[Item]]),"",_xlfn.XLOOKUP(Log[[#This Row],[Item]],Calories[Name],Calories[Unit]))</f>
        <v/>
      </c>
      <c r="F637" s="65" t="str">
        <f>IF(ISBLANK(Log[[#This Row],[Item]]),"",_xlfn.XLOOKUP(Log[[#This Row],[Item]],Calories[Name],Calories[Cals])*Log[[#This Row],[Qty]])</f>
        <v/>
      </c>
      <c r="G637" s="71" t="str">
        <f>IF(ISBLANK(Log[[#This Row],[Item]]),"",_xlfn.XLOOKUP(Log[[#This Row],[Item]],Calories[Name],Calories[Carbs])*Log[[#This Row],[Qty]])</f>
        <v/>
      </c>
      <c r="H637" s="71" t="str">
        <f>IF(ISBLANK(Log[[#This Row],[Item]]),"",_xlfn.XLOOKUP(Log[[#This Row],[Item]],Calories[Name],Calories[Fibre])*Log[[#This Row],[Qty]])</f>
        <v/>
      </c>
      <c r="I637" s="71" t="str">
        <f>IF(ISBLANK(Log[[#This Row],[Item]]),"",(Log[[#This Row],[Carbs]]-Log[[#This Row],[Fibre]]))</f>
        <v/>
      </c>
      <c r="J637" s="103" t="str">
        <f>IF(ISBLANK(Log[[#This Row],[Item]]),"",_xlfn.XLOOKUP(Log[[#This Row],[Item]],Calories[Name],Calories[Sodium])*Log[[#This Row],[Qty]])</f>
        <v/>
      </c>
      <c r="K637" s="71" t="str">
        <f>IF(ISBLANK(Log[[#This Row],[Item]]),"",_xlfn.XLOOKUP(Log[[#This Row],[Item]],Calories[Name],Calories[Protein])*Log[[#This Row],[Qty]])</f>
        <v/>
      </c>
      <c r="L637" s="71" t="str">
        <f>IF(ISBLANK(Log[[#This Row],[Item]]),"",_xlfn.XLOOKUP(Log[[#This Row],[Item]],Calories[Name],Calories[Chol.])*Log[[#This Row],[Qty]])</f>
        <v/>
      </c>
      <c r="M637" s="75"/>
      <c r="N637" s="75"/>
      <c r="O637" s="75"/>
    </row>
    <row r="638" spans="1:15" s="66" customFormat="1" ht="25.15" customHeight="1">
      <c r="A638" s="75"/>
      <c r="B638" s="98"/>
      <c r="C638" s="78"/>
      <c r="D638" s="79"/>
      <c r="E638" s="76" t="str">
        <f>IF(ISBLANK(Log[[#This Row],[Item]]),"",_xlfn.XLOOKUP(Log[[#This Row],[Item]],Calories[Name],Calories[Unit]))</f>
        <v/>
      </c>
      <c r="F638" s="65" t="str">
        <f>IF(ISBLANK(Log[[#This Row],[Item]]),"",_xlfn.XLOOKUP(Log[[#This Row],[Item]],Calories[Name],Calories[Cals])*Log[[#This Row],[Qty]])</f>
        <v/>
      </c>
      <c r="G638" s="71" t="str">
        <f>IF(ISBLANK(Log[[#This Row],[Item]]),"",_xlfn.XLOOKUP(Log[[#This Row],[Item]],Calories[Name],Calories[Carbs])*Log[[#This Row],[Qty]])</f>
        <v/>
      </c>
      <c r="H638" s="71" t="str">
        <f>IF(ISBLANK(Log[[#This Row],[Item]]),"",_xlfn.XLOOKUP(Log[[#This Row],[Item]],Calories[Name],Calories[Fibre])*Log[[#This Row],[Qty]])</f>
        <v/>
      </c>
      <c r="I638" s="71" t="str">
        <f>IF(ISBLANK(Log[[#This Row],[Item]]),"",(Log[[#This Row],[Carbs]]-Log[[#This Row],[Fibre]]))</f>
        <v/>
      </c>
      <c r="J638" s="103" t="str">
        <f>IF(ISBLANK(Log[[#This Row],[Item]]),"",_xlfn.XLOOKUP(Log[[#This Row],[Item]],Calories[Name],Calories[Sodium])*Log[[#This Row],[Qty]])</f>
        <v/>
      </c>
      <c r="K638" s="71" t="str">
        <f>IF(ISBLANK(Log[[#This Row],[Item]]),"",_xlfn.XLOOKUP(Log[[#This Row],[Item]],Calories[Name],Calories[Protein])*Log[[#This Row],[Qty]])</f>
        <v/>
      </c>
      <c r="L638" s="71" t="str">
        <f>IF(ISBLANK(Log[[#This Row],[Item]]),"",_xlfn.XLOOKUP(Log[[#This Row],[Item]],Calories[Name],Calories[Chol.])*Log[[#This Row],[Qty]])</f>
        <v/>
      </c>
      <c r="M638" s="75"/>
      <c r="N638" s="75"/>
      <c r="O638" s="75"/>
    </row>
    <row r="639" spans="1:15" s="66" customFormat="1" ht="25.15" customHeight="1">
      <c r="A639" s="75"/>
      <c r="B639" s="98"/>
      <c r="C639" s="78"/>
      <c r="D639" s="79"/>
      <c r="E639" s="76" t="str">
        <f>IF(ISBLANK(Log[[#This Row],[Item]]),"",_xlfn.XLOOKUP(Log[[#This Row],[Item]],Calories[Name],Calories[Unit]))</f>
        <v/>
      </c>
      <c r="F639" s="65" t="str">
        <f>IF(ISBLANK(Log[[#This Row],[Item]]),"",_xlfn.XLOOKUP(Log[[#This Row],[Item]],Calories[Name],Calories[Cals])*Log[[#This Row],[Qty]])</f>
        <v/>
      </c>
      <c r="G639" s="71" t="str">
        <f>IF(ISBLANK(Log[[#This Row],[Item]]),"",_xlfn.XLOOKUP(Log[[#This Row],[Item]],Calories[Name],Calories[Carbs])*Log[[#This Row],[Qty]])</f>
        <v/>
      </c>
      <c r="H639" s="71" t="str">
        <f>IF(ISBLANK(Log[[#This Row],[Item]]),"",_xlfn.XLOOKUP(Log[[#This Row],[Item]],Calories[Name],Calories[Fibre])*Log[[#This Row],[Qty]])</f>
        <v/>
      </c>
      <c r="I639" s="71" t="str">
        <f>IF(ISBLANK(Log[[#This Row],[Item]]),"",(Log[[#This Row],[Carbs]]-Log[[#This Row],[Fibre]]))</f>
        <v/>
      </c>
      <c r="J639" s="103" t="str">
        <f>IF(ISBLANK(Log[[#This Row],[Item]]),"",_xlfn.XLOOKUP(Log[[#This Row],[Item]],Calories[Name],Calories[Sodium])*Log[[#This Row],[Qty]])</f>
        <v/>
      </c>
      <c r="K639" s="71" t="str">
        <f>IF(ISBLANK(Log[[#This Row],[Item]]),"",_xlfn.XLOOKUP(Log[[#This Row],[Item]],Calories[Name],Calories[Protein])*Log[[#This Row],[Qty]])</f>
        <v/>
      </c>
      <c r="L639" s="71" t="str">
        <f>IF(ISBLANK(Log[[#This Row],[Item]]),"",_xlfn.XLOOKUP(Log[[#This Row],[Item]],Calories[Name],Calories[Chol.])*Log[[#This Row],[Qty]])</f>
        <v/>
      </c>
      <c r="M639" s="75"/>
      <c r="N639" s="75"/>
      <c r="O639" s="75"/>
    </row>
    <row r="640" spans="1:15" s="66" customFormat="1" ht="25.15" customHeight="1">
      <c r="A640" s="75"/>
      <c r="B640" s="98"/>
      <c r="C640" s="78"/>
      <c r="D640" s="79"/>
      <c r="E640" s="76" t="str">
        <f>IF(ISBLANK(Log[[#This Row],[Item]]),"",_xlfn.XLOOKUP(Log[[#This Row],[Item]],Calories[Name],Calories[Unit]))</f>
        <v/>
      </c>
      <c r="F640" s="65" t="str">
        <f>IF(ISBLANK(Log[[#This Row],[Item]]),"",_xlfn.XLOOKUP(Log[[#This Row],[Item]],Calories[Name],Calories[Cals])*Log[[#This Row],[Qty]])</f>
        <v/>
      </c>
      <c r="G640" s="71" t="str">
        <f>IF(ISBLANK(Log[[#This Row],[Item]]),"",_xlfn.XLOOKUP(Log[[#This Row],[Item]],Calories[Name],Calories[Carbs])*Log[[#This Row],[Qty]])</f>
        <v/>
      </c>
      <c r="H640" s="71" t="str">
        <f>IF(ISBLANK(Log[[#This Row],[Item]]),"",_xlfn.XLOOKUP(Log[[#This Row],[Item]],Calories[Name],Calories[Fibre])*Log[[#This Row],[Qty]])</f>
        <v/>
      </c>
      <c r="I640" s="71" t="str">
        <f>IF(ISBLANK(Log[[#This Row],[Item]]),"",(Log[[#This Row],[Carbs]]-Log[[#This Row],[Fibre]]))</f>
        <v/>
      </c>
      <c r="J640" s="103" t="str">
        <f>IF(ISBLANK(Log[[#This Row],[Item]]),"",_xlfn.XLOOKUP(Log[[#This Row],[Item]],Calories[Name],Calories[Sodium])*Log[[#This Row],[Qty]])</f>
        <v/>
      </c>
      <c r="K640" s="71" t="str">
        <f>IF(ISBLANK(Log[[#This Row],[Item]]),"",_xlfn.XLOOKUP(Log[[#This Row],[Item]],Calories[Name],Calories[Protein])*Log[[#This Row],[Qty]])</f>
        <v/>
      </c>
      <c r="L640" s="71" t="str">
        <f>IF(ISBLANK(Log[[#This Row],[Item]]),"",_xlfn.XLOOKUP(Log[[#This Row],[Item]],Calories[Name],Calories[Chol.])*Log[[#This Row],[Qty]])</f>
        <v/>
      </c>
      <c r="M640" s="75"/>
      <c r="N640" s="75"/>
      <c r="O640" s="75"/>
    </row>
    <row r="641" spans="1:15" s="66" customFormat="1" ht="25.15" customHeight="1">
      <c r="A641" s="75"/>
      <c r="B641" s="98"/>
      <c r="C641" s="78"/>
      <c r="D641" s="79"/>
      <c r="E641" s="76" t="str">
        <f>IF(ISBLANK(Log[[#This Row],[Item]]),"",_xlfn.XLOOKUP(Log[[#This Row],[Item]],Calories[Name],Calories[Unit]))</f>
        <v/>
      </c>
      <c r="F641" s="65" t="str">
        <f>IF(ISBLANK(Log[[#This Row],[Item]]),"",_xlfn.XLOOKUP(Log[[#This Row],[Item]],Calories[Name],Calories[Cals])*Log[[#This Row],[Qty]])</f>
        <v/>
      </c>
      <c r="G641" s="71" t="str">
        <f>IF(ISBLANK(Log[[#This Row],[Item]]),"",_xlfn.XLOOKUP(Log[[#This Row],[Item]],Calories[Name],Calories[Carbs])*Log[[#This Row],[Qty]])</f>
        <v/>
      </c>
      <c r="H641" s="71" t="str">
        <f>IF(ISBLANK(Log[[#This Row],[Item]]),"",_xlfn.XLOOKUP(Log[[#This Row],[Item]],Calories[Name],Calories[Fibre])*Log[[#This Row],[Qty]])</f>
        <v/>
      </c>
      <c r="I641" s="71" t="str">
        <f>IF(ISBLANK(Log[[#This Row],[Item]]),"",(Log[[#This Row],[Carbs]]-Log[[#This Row],[Fibre]]))</f>
        <v/>
      </c>
      <c r="J641" s="103" t="str">
        <f>IF(ISBLANK(Log[[#This Row],[Item]]),"",_xlfn.XLOOKUP(Log[[#This Row],[Item]],Calories[Name],Calories[Sodium])*Log[[#This Row],[Qty]])</f>
        <v/>
      </c>
      <c r="K641" s="71" t="str">
        <f>IF(ISBLANK(Log[[#This Row],[Item]]),"",_xlfn.XLOOKUP(Log[[#This Row],[Item]],Calories[Name],Calories[Protein])*Log[[#This Row],[Qty]])</f>
        <v/>
      </c>
      <c r="L641" s="71" t="str">
        <f>IF(ISBLANK(Log[[#This Row],[Item]]),"",_xlfn.XLOOKUP(Log[[#This Row],[Item]],Calories[Name],Calories[Chol.])*Log[[#This Row],[Qty]])</f>
        <v/>
      </c>
      <c r="M641" s="75"/>
      <c r="N641" s="75"/>
      <c r="O641" s="75"/>
    </row>
    <row r="642" spans="1:15" s="66" customFormat="1" ht="25.15" customHeight="1">
      <c r="A642" s="75"/>
      <c r="B642" s="98"/>
      <c r="C642" s="78"/>
      <c r="D642" s="79"/>
      <c r="E642" s="76" t="str">
        <f>IF(ISBLANK(Log[[#This Row],[Item]]),"",_xlfn.XLOOKUP(Log[[#This Row],[Item]],Calories[Name],Calories[Unit]))</f>
        <v/>
      </c>
      <c r="F642" s="65" t="str">
        <f>IF(ISBLANK(Log[[#This Row],[Item]]),"",_xlfn.XLOOKUP(Log[[#This Row],[Item]],Calories[Name],Calories[Cals])*Log[[#This Row],[Qty]])</f>
        <v/>
      </c>
      <c r="G642" s="71" t="str">
        <f>IF(ISBLANK(Log[[#This Row],[Item]]),"",_xlfn.XLOOKUP(Log[[#This Row],[Item]],Calories[Name],Calories[Carbs])*Log[[#This Row],[Qty]])</f>
        <v/>
      </c>
      <c r="H642" s="71" t="str">
        <f>IF(ISBLANK(Log[[#This Row],[Item]]),"",_xlfn.XLOOKUP(Log[[#This Row],[Item]],Calories[Name],Calories[Fibre])*Log[[#This Row],[Qty]])</f>
        <v/>
      </c>
      <c r="I642" s="71" t="str">
        <f>IF(ISBLANK(Log[[#This Row],[Item]]),"",(Log[[#This Row],[Carbs]]-Log[[#This Row],[Fibre]]))</f>
        <v/>
      </c>
      <c r="J642" s="103" t="str">
        <f>IF(ISBLANK(Log[[#This Row],[Item]]),"",_xlfn.XLOOKUP(Log[[#This Row],[Item]],Calories[Name],Calories[Sodium])*Log[[#This Row],[Qty]])</f>
        <v/>
      </c>
      <c r="K642" s="71" t="str">
        <f>IF(ISBLANK(Log[[#This Row],[Item]]),"",_xlfn.XLOOKUP(Log[[#This Row],[Item]],Calories[Name],Calories[Protein])*Log[[#This Row],[Qty]])</f>
        <v/>
      </c>
      <c r="L642" s="71" t="str">
        <f>IF(ISBLANK(Log[[#This Row],[Item]]),"",_xlfn.XLOOKUP(Log[[#This Row],[Item]],Calories[Name],Calories[Chol.])*Log[[#This Row],[Qty]])</f>
        <v/>
      </c>
      <c r="M642" s="75"/>
      <c r="N642" s="75"/>
      <c r="O642" s="75"/>
    </row>
    <row r="643" spans="1:15" s="66" customFormat="1" ht="25.15" customHeight="1">
      <c r="A643" s="75"/>
      <c r="B643" s="98"/>
      <c r="C643" s="78"/>
      <c r="D643" s="79"/>
      <c r="E643" s="76" t="str">
        <f>IF(ISBLANK(Log[[#This Row],[Item]]),"",_xlfn.XLOOKUP(Log[[#This Row],[Item]],Calories[Name],Calories[Unit]))</f>
        <v/>
      </c>
      <c r="F643" s="65" t="str">
        <f>IF(ISBLANK(Log[[#This Row],[Item]]),"",_xlfn.XLOOKUP(Log[[#This Row],[Item]],Calories[Name],Calories[Cals])*Log[[#This Row],[Qty]])</f>
        <v/>
      </c>
      <c r="G643" s="71" t="str">
        <f>IF(ISBLANK(Log[[#This Row],[Item]]),"",_xlfn.XLOOKUP(Log[[#This Row],[Item]],Calories[Name],Calories[Carbs])*Log[[#This Row],[Qty]])</f>
        <v/>
      </c>
      <c r="H643" s="71" t="str">
        <f>IF(ISBLANK(Log[[#This Row],[Item]]),"",_xlfn.XLOOKUP(Log[[#This Row],[Item]],Calories[Name],Calories[Fibre])*Log[[#This Row],[Qty]])</f>
        <v/>
      </c>
      <c r="I643" s="71" t="str">
        <f>IF(ISBLANK(Log[[#This Row],[Item]]),"",(Log[[#This Row],[Carbs]]-Log[[#This Row],[Fibre]]))</f>
        <v/>
      </c>
      <c r="J643" s="103" t="str">
        <f>IF(ISBLANK(Log[[#This Row],[Item]]),"",_xlfn.XLOOKUP(Log[[#This Row],[Item]],Calories[Name],Calories[Sodium])*Log[[#This Row],[Qty]])</f>
        <v/>
      </c>
      <c r="K643" s="71" t="str">
        <f>IF(ISBLANK(Log[[#This Row],[Item]]),"",_xlfn.XLOOKUP(Log[[#This Row],[Item]],Calories[Name],Calories[Protein])*Log[[#This Row],[Qty]])</f>
        <v/>
      </c>
      <c r="L643" s="71" t="str">
        <f>IF(ISBLANK(Log[[#This Row],[Item]]),"",_xlfn.XLOOKUP(Log[[#This Row],[Item]],Calories[Name],Calories[Chol.])*Log[[#This Row],[Qty]])</f>
        <v/>
      </c>
      <c r="M643" s="75"/>
      <c r="N643" s="75"/>
      <c r="O643" s="75"/>
    </row>
    <row r="644" spans="1:15" s="66" customFormat="1" ht="25.15" customHeight="1">
      <c r="A644" s="75"/>
      <c r="B644" s="98"/>
      <c r="C644" s="78"/>
      <c r="D644" s="79"/>
      <c r="E644" s="76" t="str">
        <f>IF(ISBLANK(Log[[#This Row],[Item]]),"",_xlfn.XLOOKUP(Log[[#This Row],[Item]],Calories[Name],Calories[Unit]))</f>
        <v/>
      </c>
      <c r="F644" s="65" t="str">
        <f>IF(ISBLANK(Log[[#This Row],[Item]]),"",_xlfn.XLOOKUP(Log[[#This Row],[Item]],Calories[Name],Calories[Cals])*Log[[#This Row],[Qty]])</f>
        <v/>
      </c>
      <c r="G644" s="71" t="str">
        <f>IF(ISBLANK(Log[[#This Row],[Item]]),"",_xlfn.XLOOKUP(Log[[#This Row],[Item]],Calories[Name],Calories[Carbs])*Log[[#This Row],[Qty]])</f>
        <v/>
      </c>
      <c r="H644" s="71" t="str">
        <f>IF(ISBLANK(Log[[#This Row],[Item]]),"",_xlfn.XLOOKUP(Log[[#This Row],[Item]],Calories[Name],Calories[Fibre])*Log[[#This Row],[Qty]])</f>
        <v/>
      </c>
      <c r="I644" s="71" t="str">
        <f>IF(ISBLANK(Log[[#This Row],[Item]]),"",(Log[[#This Row],[Carbs]]-Log[[#This Row],[Fibre]]))</f>
        <v/>
      </c>
      <c r="J644" s="103" t="str">
        <f>IF(ISBLANK(Log[[#This Row],[Item]]),"",_xlfn.XLOOKUP(Log[[#This Row],[Item]],Calories[Name],Calories[Sodium])*Log[[#This Row],[Qty]])</f>
        <v/>
      </c>
      <c r="K644" s="71" t="str">
        <f>IF(ISBLANK(Log[[#This Row],[Item]]),"",_xlfn.XLOOKUP(Log[[#This Row],[Item]],Calories[Name],Calories[Protein])*Log[[#This Row],[Qty]])</f>
        <v/>
      </c>
      <c r="L644" s="71" t="str">
        <f>IF(ISBLANK(Log[[#This Row],[Item]]),"",_xlfn.XLOOKUP(Log[[#This Row],[Item]],Calories[Name],Calories[Chol.])*Log[[#This Row],[Qty]])</f>
        <v/>
      </c>
      <c r="M644" s="75"/>
      <c r="N644" s="75"/>
      <c r="O644" s="75"/>
    </row>
    <row r="645" spans="1:15" s="66" customFormat="1" ht="25.15" customHeight="1">
      <c r="A645" s="75"/>
      <c r="B645" s="98"/>
      <c r="C645" s="78"/>
      <c r="D645" s="79"/>
      <c r="E645" s="76" t="str">
        <f>IF(ISBLANK(Log[[#This Row],[Item]]),"",_xlfn.XLOOKUP(Log[[#This Row],[Item]],Calories[Name],Calories[Unit]))</f>
        <v/>
      </c>
      <c r="F645" s="65" t="str">
        <f>IF(ISBLANK(Log[[#This Row],[Item]]),"",_xlfn.XLOOKUP(Log[[#This Row],[Item]],Calories[Name],Calories[Cals])*Log[[#This Row],[Qty]])</f>
        <v/>
      </c>
      <c r="G645" s="71" t="str">
        <f>IF(ISBLANK(Log[[#This Row],[Item]]),"",_xlfn.XLOOKUP(Log[[#This Row],[Item]],Calories[Name],Calories[Carbs])*Log[[#This Row],[Qty]])</f>
        <v/>
      </c>
      <c r="H645" s="71" t="str">
        <f>IF(ISBLANK(Log[[#This Row],[Item]]),"",_xlfn.XLOOKUP(Log[[#This Row],[Item]],Calories[Name],Calories[Fibre])*Log[[#This Row],[Qty]])</f>
        <v/>
      </c>
      <c r="I645" s="71" t="str">
        <f>IF(ISBLANK(Log[[#This Row],[Item]]),"",(Log[[#This Row],[Carbs]]-Log[[#This Row],[Fibre]]))</f>
        <v/>
      </c>
      <c r="J645" s="103" t="str">
        <f>IF(ISBLANK(Log[[#This Row],[Item]]),"",_xlfn.XLOOKUP(Log[[#This Row],[Item]],Calories[Name],Calories[Sodium])*Log[[#This Row],[Qty]])</f>
        <v/>
      </c>
      <c r="K645" s="71" t="str">
        <f>IF(ISBLANK(Log[[#This Row],[Item]]),"",_xlfn.XLOOKUP(Log[[#This Row],[Item]],Calories[Name],Calories[Protein])*Log[[#This Row],[Qty]])</f>
        <v/>
      </c>
      <c r="L645" s="71" t="str">
        <f>IF(ISBLANK(Log[[#This Row],[Item]]),"",_xlfn.XLOOKUP(Log[[#This Row],[Item]],Calories[Name],Calories[Chol.])*Log[[#This Row],[Qty]])</f>
        <v/>
      </c>
      <c r="M645" s="75"/>
      <c r="N645" s="75"/>
      <c r="O645" s="75"/>
    </row>
    <row r="646" spans="1:15" s="66" customFormat="1" ht="25.15" customHeight="1">
      <c r="A646" s="75"/>
      <c r="B646" s="98"/>
      <c r="C646" s="78"/>
      <c r="D646" s="79"/>
      <c r="E646" s="76" t="str">
        <f>IF(ISBLANK(Log[[#This Row],[Item]]),"",_xlfn.XLOOKUP(Log[[#This Row],[Item]],Calories[Name],Calories[Unit]))</f>
        <v/>
      </c>
      <c r="F646" s="65" t="str">
        <f>IF(ISBLANK(Log[[#This Row],[Item]]),"",_xlfn.XLOOKUP(Log[[#This Row],[Item]],Calories[Name],Calories[Cals])*Log[[#This Row],[Qty]])</f>
        <v/>
      </c>
      <c r="G646" s="71" t="str">
        <f>IF(ISBLANK(Log[[#This Row],[Item]]),"",_xlfn.XLOOKUP(Log[[#This Row],[Item]],Calories[Name],Calories[Carbs])*Log[[#This Row],[Qty]])</f>
        <v/>
      </c>
      <c r="H646" s="71" t="str">
        <f>IF(ISBLANK(Log[[#This Row],[Item]]),"",_xlfn.XLOOKUP(Log[[#This Row],[Item]],Calories[Name],Calories[Fibre])*Log[[#This Row],[Qty]])</f>
        <v/>
      </c>
      <c r="I646" s="71" t="str">
        <f>IF(ISBLANK(Log[[#This Row],[Item]]),"",(Log[[#This Row],[Carbs]]-Log[[#This Row],[Fibre]]))</f>
        <v/>
      </c>
      <c r="J646" s="103" t="str">
        <f>IF(ISBLANK(Log[[#This Row],[Item]]),"",_xlfn.XLOOKUP(Log[[#This Row],[Item]],Calories[Name],Calories[Sodium])*Log[[#This Row],[Qty]])</f>
        <v/>
      </c>
      <c r="K646" s="71" t="str">
        <f>IF(ISBLANK(Log[[#This Row],[Item]]),"",_xlfn.XLOOKUP(Log[[#This Row],[Item]],Calories[Name],Calories[Protein])*Log[[#This Row],[Qty]])</f>
        <v/>
      </c>
      <c r="L646" s="71" t="str">
        <f>IF(ISBLANK(Log[[#This Row],[Item]]),"",_xlfn.XLOOKUP(Log[[#This Row],[Item]],Calories[Name],Calories[Chol.])*Log[[#This Row],[Qty]])</f>
        <v/>
      </c>
      <c r="M646" s="75"/>
      <c r="N646" s="75"/>
      <c r="O646" s="75"/>
    </row>
    <row r="647" spans="1:15" s="66" customFormat="1" ht="25.15" customHeight="1">
      <c r="A647" s="75"/>
      <c r="B647" s="98"/>
      <c r="C647" s="78"/>
      <c r="D647" s="79"/>
      <c r="E647" s="76" t="str">
        <f>IF(ISBLANK(Log[[#This Row],[Item]]),"",_xlfn.XLOOKUP(Log[[#This Row],[Item]],Calories[Name],Calories[Unit]))</f>
        <v/>
      </c>
      <c r="F647" s="65" t="str">
        <f>IF(ISBLANK(Log[[#This Row],[Item]]),"",_xlfn.XLOOKUP(Log[[#This Row],[Item]],Calories[Name],Calories[Cals])*Log[[#This Row],[Qty]])</f>
        <v/>
      </c>
      <c r="G647" s="71" t="str">
        <f>IF(ISBLANK(Log[[#This Row],[Item]]),"",_xlfn.XLOOKUP(Log[[#This Row],[Item]],Calories[Name],Calories[Carbs])*Log[[#This Row],[Qty]])</f>
        <v/>
      </c>
      <c r="H647" s="71" t="str">
        <f>IF(ISBLANK(Log[[#This Row],[Item]]),"",_xlfn.XLOOKUP(Log[[#This Row],[Item]],Calories[Name],Calories[Fibre])*Log[[#This Row],[Qty]])</f>
        <v/>
      </c>
      <c r="I647" s="71" t="str">
        <f>IF(ISBLANK(Log[[#This Row],[Item]]),"",(Log[[#This Row],[Carbs]]-Log[[#This Row],[Fibre]]))</f>
        <v/>
      </c>
      <c r="J647" s="103" t="str">
        <f>IF(ISBLANK(Log[[#This Row],[Item]]),"",_xlfn.XLOOKUP(Log[[#This Row],[Item]],Calories[Name],Calories[Sodium])*Log[[#This Row],[Qty]])</f>
        <v/>
      </c>
      <c r="K647" s="71" t="str">
        <f>IF(ISBLANK(Log[[#This Row],[Item]]),"",_xlfn.XLOOKUP(Log[[#This Row],[Item]],Calories[Name],Calories[Protein])*Log[[#This Row],[Qty]])</f>
        <v/>
      </c>
      <c r="L647" s="71" t="str">
        <f>IF(ISBLANK(Log[[#This Row],[Item]]),"",_xlfn.XLOOKUP(Log[[#This Row],[Item]],Calories[Name],Calories[Chol.])*Log[[#This Row],[Qty]])</f>
        <v/>
      </c>
      <c r="M647" s="75"/>
      <c r="N647" s="75"/>
      <c r="O647" s="75"/>
    </row>
    <row r="648" spans="1:15" s="66" customFormat="1" ht="25.15" customHeight="1">
      <c r="A648" s="75"/>
      <c r="B648" s="98"/>
      <c r="C648" s="78"/>
      <c r="D648" s="79"/>
      <c r="E648" s="76" t="str">
        <f>IF(ISBLANK(Log[[#This Row],[Item]]),"",_xlfn.XLOOKUP(Log[[#This Row],[Item]],Calories[Name],Calories[Unit]))</f>
        <v/>
      </c>
      <c r="F648" s="65" t="str">
        <f>IF(ISBLANK(Log[[#This Row],[Item]]),"",_xlfn.XLOOKUP(Log[[#This Row],[Item]],Calories[Name],Calories[Cals])*Log[[#This Row],[Qty]])</f>
        <v/>
      </c>
      <c r="G648" s="71" t="str">
        <f>IF(ISBLANK(Log[[#This Row],[Item]]),"",_xlfn.XLOOKUP(Log[[#This Row],[Item]],Calories[Name],Calories[Carbs])*Log[[#This Row],[Qty]])</f>
        <v/>
      </c>
      <c r="H648" s="71" t="str">
        <f>IF(ISBLANK(Log[[#This Row],[Item]]),"",_xlfn.XLOOKUP(Log[[#This Row],[Item]],Calories[Name],Calories[Fibre])*Log[[#This Row],[Qty]])</f>
        <v/>
      </c>
      <c r="I648" s="71" t="str">
        <f>IF(ISBLANK(Log[[#This Row],[Item]]),"",(Log[[#This Row],[Carbs]]-Log[[#This Row],[Fibre]]))</f>
        <v/>
      </c>
      <c r="J648" s="103" t="str">
        <f>IF(ISBLANK(Log[[#This Row],[Item]]),"",_xlfn.XLOOKUP(Log[[#This Row],[Item]],Calories[Name],Calories[Sodium])*Log[[#This Row],[Qty]])</f>
        <v/>
      </c>
      <c r="K648" s="71" t="str">
        <f>IF(ISBLANK(Log[[#This Row],[Item]]),"",_xlfn.XLOOKUP(Log[[#This Row],[Item]],Calories[Name],Calories[Protein])*Log[[#This Row],[Qty]])</f>
        <v/>
      </c>
      <c r="L648" s="71" t="str">
        <f>IF(ISBLANK(Log[[#This Row],[Item]]),"",_xlfn.XLOOKUP(Log[[#This Row],[Item]],Calories[Name],Calories[Chol.])*Log[[#This Row],[Qty]])</f>
        <v/>
      </c>
      <c r="M648" s="75"/>
      <c r="N648" s="75"/>
      <c r="O648" s="75"/>
    </row>
    <row r="649" spans="1:15" s="66" customFormat="1" ht="25.15" customHeight="1">
      <c r="A649" s="75"/>
      <c r="B649" s="98"/>
      <c r="C649" s="78"/>
      <c r="D649" s="79"/>
      <c r="E649" s="76" t="str">
        <f>IF(ISBLANK(Log[[#This Row],[Item]]),"",_xlfn.XLOOKUP(Log[[#This Row],[Item]],Calories[Name],Calories[Unit]))</f>
        <v/>
      </c>
      <c r="F649" s="65" t="str">
        <f>IF(ISBLANK(Log[[#This Row],[Item]]),"",_xlfn.XLOOKUP(Log[[#This Row],[Item]],Calories[Name],Calories[Cals])*Log[[#This Row],[Qty]])</f>
        <v/>
      </c>
      <c r="G649" s="71" t="str">
        <f>IF(ISBLANK(Log[[#This Row],[Item]]),"",_xlfn.XLOOKUP(Log[[#This Row],[Item]],Calories[Name],Calories[Carbs])*Log[[#This Row],[Qty]])</f>
        <v/>
      </c>
      <c r="H649" s="71" t="str">
        <f>IF(ISBLANK(Log[[#This Row],[Item]]),"",_xlfn.XLOOKUP(Log[[#This Row],[Item]],Calories[Name],Calories[Fibre])*Log[[#This Row],[Qty]])</f>
        <v/>
      </c>
      <c r="I649" s="71" t="str">
        <f>IF(ISBLANK(Log[[#This Row],[Item]]),"",(Log[[#This Row],[Carbs]]-Log[[#This Row],[Fibre]]))</f>
        <v/>
      </c>
      <c r="J649" s="103" t="str">
        <f>IF(ISBLANK(Log[[#This Row],[Item]]),"",_xlfn.XLOOKUP(Log[[#This Row],[Item]],Calories[Name],Calories[Sodium])*Log[[#This Row],[Qty]])</f>
        <v/>
      </c>
      <c r="K649" s="71" t="str">
        <f>IF(ISBLANK(Log[[#This Row],[Item]]),"",_xlfn.XLOOKUP(Log[[#This Row],[Item]],Calories[Name],Calories[Protein])*Log[[#This Row],[Qty]])</f>
        <v/>
      </c>
      <c r="L649" s="71" t="str">
        <f>IF(ISBLANK(Log[[#This Row],[Item]]),"",_xlfn.XLOOKUP(Log[[#This Row],[Item]],Calories[Name],Calories[Chol.])*Log[[#This Row],[Qty]])</f>
        <v/>
      </c>
      <c r="M649" s="75"/>
      <c r="N649" s="75"/>
      <c r="O649" s="75"/>
    </row>
    <row r="650" spans="1:15" s="66" customFormat="1" ht="25.15" customHeight="1">
      <c r="A650" s="75"/>
      <c r="B650" s="98"/>
      <c r="C650" s="78"/>
      <c r="D650" s="79"/>
      <c r="E650" s="76" t="str">
        <f>IF(ISBLANK(Log[[#This Row],[Item]]),"",_xlfn.XLOOKUP(Log[[#This Row],[Item]],Calories[Name],Calories[Unit]))</f>
        <v/>
      </c>
      <c r="F650" s="65" t="str">
        <f>IF(ISBLANK(Log[[#This Row],[Item]]),"",_xlfn.XLOOKUP(Log[[#This Row],[Item]],Calories[Name],Calories[Cals])*Log[[#This Row],[Qty]])</f>
        <v/>
      </c>
      <c r="G650" s="71" t="str">
        <f>IF(ISBLANK(Log[[#This Row],[Item]]),"",_xlfn.XLOOKUP(Log[[#This Row],[Item]],Calories[Name],Calories[Carbs])*Log[[#This Row],[Qty]])</f>
        <v/>
      </c>
      <c r="H650" s="71" t="str">
        <f>IF(ISBLANK(Log[[#This Row],[Item]]),"",_xlfn.XLOOKUP(Log[[#This Row],[Item]],Calories[Name],Calories[Fibre])*Log[[#This Row],[Qty]])</f>
        <v/>
      </c>
      <c r="I650" s="71" t="str">
        <f>IF(ISBLANK(Log[[#This Row],[Item]]),"",(Log[[#This Row],[Carbs]]-Log[[#This Row],[Fibre]]))</f>
        <v/>
      </c>
      <c r="J650" s="103" t="str">
        <f>IF(ISBLANK(Log[[#This Row],[Item]]),"",_xlfn.XLOOKUP(Log[[#This Row],[Item]],Calories[Name],Calories[Sodium])*Log[[#This Row],[Qty]])</f>
        <v/>
      </c>
      <c r="K650" s="71" t="str">
        <f>IF(ISBLANK(Log[[#This Row],[Item]]),"",_xlfn.XLOOKUP(Log[[#This Row],[Item]],Calories[Name],Calories[Protein])*Log[[#This Row],[Qty]])</f>
        <v/>
      </c>
      <c r="L650" s="71" t="str">
        <f>IF(ISBLANK(Log[[#This Row],[Item]]),"",_xlfn.XLOOKUP(Log[[#This Row],[Item]],Calories[Name],Calories[Chol.])*Log[[#This Row],[Qty]])</f>
        <v/>
      </c>
      <c r="M650" s="75"/>
      <c r="N650" s="75"/>
      <c r="O650" s="75"/>
    </row>
    <row r="651" spans="1:15" s="66" customFormat="1" ht="25.15" customHeight="1">
      <c r="A651" s="75"/>
      <c r="B651" s="98"/>
      <c r="C651" s="78"/>
      <c r="D651" s="79"/>
      <c r="E651" s="76" t="str">
        <f>IF(ISBLANK(Log[[#This Row],[Item]]),"",_xlfn.XLOOKUP(Log[[#This Row],[Item]],Calories[Name],Calories[Unit]))</f>
        <v/>
      </c>
      <c r="F651" s="65" t="str">
        <f>IF(ISBLANK(Log[[#This Row],[Item]]),"",_xlfn.XLOOKUP(Log[[#This Row],[Item]],Calories[Name],Calories[Cals])*Log[[#This Row],[Qty]])</f>
        <v/>
      </c>
      <c r="G651" s="71" t="str">
        <f>IF(ISBLANK(Log[[#This Row],[Item]]),"",_xlfn.XLOOKUP(Log[[#This Row],[Item]],Calories[Name],Calories[Carbs])*Log[[#This Row],[Qty]])</f>
        <v/>
      </c>
      <c r="H651" s="71" t="str">
        <f>IF(ISBLANK(Log[[#This Row],[Item]]),"",_xlfn.XLOOKUP(Log[[#This Row],[Item]],Calories[Name],Calories[Fibre])*Log[[#This Row],[Qty]])</f>
        <v/>
      </c>
      <c r="I651" s="71" t="str">
        <f>IF(ISBLANK(Log[[#This Row],[Item]]),"",(Log[[#This Row],[Carbs]]-Log[[#This Row],[Fibre]]))</f>
        <v/>
      </c>
      <c r="J651" s="103" t="str">
        <f>IF(ISBLANK(Log[[#This Row],[Item]]),"",_xlfn.XLOOKUP(Log[[#This Row],[Item]],Calories[Name],Calories[Sodium])*Log[[#This Row],[Qty]])</f>
        <v/>
      </c>
      <c r="K651" s="71" t="str">
        <f>IF(ISBLANK(Log[[#This Row],[Item]]),"",_xlfn.XLOOKUP(Log[[#This Row],[Item]],Calories[Name],Calories[Protein])*Log[[#This Row],[Qty]])</f>
        <v/>
      </c>
      <c r="L651" s="71" t="str">
        <f>IF(ISBLANK(Log[[#This Row],[Item]]),"",_xlfn.XLOOKUP(Log[[#This Row],[Item]],Calories[Name],Calories[Chol.])*Log[[#This Row],[Qty]])</f>
        <v/>
      </c>
      <c r="M651" s="75"/>
      <c r="N651" s="75"/>
      <c r="O651" s="75"/>
    </row>
    <row r="652" spans="1:15" s="66" customFormat="1" ht="25.15" customHeight="1">
      <c r="A652" s="75"/>
      <c r="B652" s="98"/>
      <c r="C652" s="78"/>
      <c r="D652" s="79"/>
      <c r="E652" s="76" t="str">
        <f>IF(ISBLANK(Log[[#This Row],[Item]]),"",_xlfn.XLOOKUP(Log[[#This Row],[Item]],Calories[Name],Calories[Unit]))</f>
        <v/>
      </c>
      <c r="F652" s="65" t="str">
        <f>IF(ISBLANK(Log[[#This Row],[Item]]),"",_xlfn.XLOOKUP(Log[[#This Row],[Item]],Calories[Name],Calories[Cals])*Log[[#This Row],[Qty]])</f>
        <v/>
      </c>
      <c r="G652" s="71" t="str">
        <f>IF(ISBLANK(Log[[#This Row],[Item]]),"",_xlfn.XLOOKUP(Log[[#This Row],[Item]],Calories[Name],Calories[Carbs])*Log[[#This Row],[Qty]])</f>
        <v/>
      </c>
      <c r="H652" s="71" t="str">
        <f>IF(ISBLANK(Log[[#This Row],[Item]]),"",_xlfn.XLOOKUP(Log[[#This Row],[Item]],Calories[Name],Calories[Fibre])*Log[[#This Row],[Qty]])</f>
        <v/>
      </c>
      <c r="I652" s="71" t="str">
        <f>IF(ISBLANK(Log[[#This Row],[Item]]),"",(Log[[#This Row],[Carbs]]-Log[[#This Row],[Fibre]]))</f>
        <v/>
      </c>
      <c r="J652" s="103" t="str">
        <f>IF(ISBLANK(Log[[#This Row],[Item]]),"",_xlfn.XLOOKUP(Log[[#This Row],[Item]],Calories[Name],Calories[Sodium])*Log[[#This Row],[Qty]])</f>
        <v/>
      </c>
      <c r="K652" s="71" t="str">
        <f>IF(ISBLANK(Log[[#This Row],[Item]]),"",_xlfn.XLOOKUP(Log[[#This Row],[Item]],Calories[Name],Calories[Protein])*Log[[#This Row],[Qty]])</f>
        <v/>
      </c>
      <c r="L652" s="71" t="str">
        <f>IF(ISBLANK(Log[[#This Row],[Item]]),"",_xlfn.XLOOKUP(Log[[#This Row],[Item]],Calories[Name],Calories[Chol.])*Log[[#This Row],[Qty]])</f>
        <v/>
      </c>
      <c r="M652" s="75"/>
      <c r="N652" s="75"/>
      <c r="O652" s="75"/>
    </row>
    <row r="653" spans="1:15" s="66" customFormat="1" ht="25.15" customHeight="1">
      <c r="A653" s="75"/>
      <c r="B653" s="98"/>
      <c r="C653" s="78"/>
      <c r="D653" s="79"/>
      <c r="E653" s="76" t="str">
        <f>IF(ISBLANK(Log[[#This Row],[Item]]),"",_xlfn.XLOOKUP(Log[[#This Row],[Item]],Calories[Name],Calories[Unit]))</f>
        <v/>
      </c>
      <c r="F653" s="65" t="str">
        <f>IF(ISBLANK(Log[[#This Row],[Item]]),"",_xlfn.XLOOKUP(Log[[#This Row],[Item]],Calories[Name],Calories[Cals])*Log[[#This Row],[Qty]])</f>
        <v/>
      </c>
      <c r="G653" s="71" t="str">
        <f>IF(ISBLANK(Log[[#This Row],[Item]]),"",_xlfn.XLOOKUP(Log[[#This Row],[Item]],Calories[Name],Calories[Carbs])*Log[[#This Row],[Qty]])</f>
        <v/>
      </c>
      <c r="H653" s="71" t="str">
        <f>IF(ISBLANK(Log[[#This Row],[Item]]),"",_xlfn.XLOOKUP(Log[[#This Row],[Item]],Calories[Name],Calories[Fibre])*Log[[#This Row],[Qty]])</f>
        <v/>
      </c>
      <c r="I653" s="71" t="str">
        <f>IF(ISBLANK(Log[[#This Row],[Item]]),"",(Log[[#This Row],[Carbs]]-Log[[#This Row],[Fibre]]))</f>
        <v/>
      </c>
      <c r="J653" s="103" t="str">
        <f>IF(ISBLANK(Log[[#This Row],[Item]]),"",_xlfn.XLOOKUP(Log[[#This Row],[Item]],Calories[Name],Calories[Sodium])*Log[[#This Row],[Qty]])</f>
        <v/>
      </c>
      <c r="K653" s="71" t="str">
        <f>IF(ISBLANK(Log[[#This Row],[Item]]),"",_xlfn.XLOOKUP(Log[[#This Row],[Item]],Calories[Name],Calories[Protein])*Log[[#This Row],[Qty]])</f>
        <v/>
      </c>
      <c r="L653" s="71" t="str">
        <f>IF(ISBLANK(Log[[#This Row],[Item]]),"",_xlfn.XLOOKUP(Log[[#This Row],[Item]],Calories[Name],Calories[Chol.])*Log[[#This Row],[Qty]])</f>
        <v/>
      </c>
      <c r="M653" s="75"/>
      <c r="N653" s="75"/>
      <c r="O653" s="75"/>
    </row>
    <row r="654" spans="1:15" s="66" customFormat="1" ht="25.15" customHeight="1">
      <c r="A654" s="75"/>
      <c r="B654" s="98"/>
      <c r="C654" s="78"/>
      <c r="D654" s="79"/>
      <c r="E654" s="76" t="str">
        <f>IF(ISBLANK(Log[[#This Row],[Item]]),"",_xlfn.XLOOKUP(Log[[#This Row],[Item]],Calories[Name],Calories[Unit]))</f>
        <v/>
      </c>
      <c r="F654" s="65" t="str">
        <f>IF(ISBLANK(Log[[#This Row],[Item]]),"",_xlfn.XLOOKUP(Log[[#This Row],[Item]],Calories[Name],Calories[Cals])*Log[[#This Row],[Qty]])</f>
        <v/>
      </c>
      <c r="G654" s="71" t="str">
        <f>IF(ISBLANK(Log[[#This Row],[Item]]),"",_xlfn.XLOOKUP(Log[[#This Row],[Item]],Calories[Name],Calories[Carbs])*Log[[#This Row],[Qty]])</f>
        <v/>
      </c>
      <c r="H654" s="71" t="str">
        <f>IF(ISBLANK(Log[[#This Row],[Item]]),"",_xlfn.XLOOKUP(Log[[#This Row],[Item]],Calories[Name],Calories[Fibre])*Log[[#This Row],[Qty]])</f>
        <v/>
      </c>
      <c r="I654" s="71" t="str">
        <f>IF(ISBLANK(Log[[#This Row],[Item]]),"",(Log[[#This Row],[Carbs]]-Log[[#This Row],[Fibre]]))</f>
        <v/>
      </c>
      <c r="J654" s="103" t="str">
        <f>IF(ISBLANK(Log[[#This Row],[Item]]),"",_xlfn.XLOOKUP(Log[[#This Row],[Item]],Calories[Name],Calories[Sodium])*Log[[#This Row],[Qty]])</f>
        <v/>
      </c>
      <c r="K654" s="71" t="str">
        <f>IF(ISBLANK(Log[[#This Row],[Item]]),"",_xlfn.XLOOKUP(Log[[#This Row],[Item]],Calories[Name],Calories[Protein])*Log[[#This Row],[Qty]])</f>
        <v/>
      </c>
      <c r="L654" s="71" t="str">
        <f>IF(ISBLANK(Log[[#This Row],[Item]]),"",_xlfn.XLOOKUP(Log[[#This Row],[Item]],Calories[Name],Calories[Chol.])*Log[[#This Row],[Qty]])</f>
        <v/>
      </c>
      <c r="M654" s="75"/>
      <c r="N654" s="75"/>
      <c r="O654" s="75"/>
    </row>
    <row r="655" spans="1:15" s="66" customFormat="1" ht="25.15" customHeight="1">
      <c r="A655" s="75"/>
      <c r="B655" s="98"/>
      <c r="C655" s="78"/>
      <c r="D655" s="79"/>
      <c r="E655" s="76" t="str">
        <f>IF(ISBLANK(Log[[#This Row],[Item]]),"",_xlfn.XLOOKUP(Log[[#This Row],[Item]],Calories[Name],Calories[Unit]))</f>
        <v/>
      </c>
      <c r="F655" s="65" t="str">
        <f>IF(ISBLANK(Log[[#This Row],[Item]]),"",_xlfn.XLOOKUP(Log[[#This Row],[Item]],Calories[Name],Calories[Cals])*Log[[#This Row],[Qty]])</f>
        <v/>
      </c>
      <c r="G655" s="71" t="str">
        <f>IF(ISBLANK(Log[[#This Row],[Item]]),"",_xlfn.XLOOKUP(Log[[#This Row],[Item]],Calories[Name],Calories[Carbs])*Log[[#This Row],[Qty]])</f>
        <v/>
      </c>
      <c r="H655" s="71" t="str">
        <f>IF(ISBLANK(Log[[#This Row],[Item]]),"",_xlfn.XLOOKUP(Log[[#This Row],[Item]],Calories[Name],Calories[Fibre])*Log[[#This Row],[Qty]])</f>
        <v/>
      </c>
      <c r="I655" s="71" t="str">
        <f>IF(ISBLANK(Log[[#This Row],[Item]]),"",(Log[[#This Row],[Carbs]]-Log[[#This Row],[Fibre]]))</f>
        <v/>
      </c>
      <c r="J655" s="103" t="str">
        <f>IF(ISBLANK(Log[[#This Row],[Item]]),"",_xlfn.XLOOKUP(Log[[#This Row],[Item]],Calories[Name],Calories[Sodium])*Log[[#This Row],[Qty]])</f>
        <v/>
      </c>
      <c r="K655" s="71" t="str">
        <f>IF(ISBLANK(Log[[#This Row],[Item]]),"",_xlfn.XLOOKUP(Log[[#This Row],[Item]],Calories[Name],Calories[Protein])*Log[[#This Row],[Qty]])</f>
        <v/>
      </c>
      <c r="L655" s="71" t="str">
        <f>IF(ISBLANK(Log[[#This Row],[Item]]),"",_xlfn.XLOOKUP(Log[[#This Row],[Item]],Calories[Name],Calories[Chol.])*Log[[#This Row],[Qty]])</f>
        <v/>
      </c>
      <c r="M655" s="75"/>
      <c r="N655" s="75"/>
      <c r="O655" s="75"/>
    </row>
    <row r="656" spans="1:15" s="66" customFormat="1" ht="25.15" customHeight="1">
      <c r="A656" s="75"/>
      <c r="B656" s="98"/>
      <c r="C656" s="78"/>
      <c r="D656" s="79"/>
      <c r="E656" s="76" t="str">
        <f>IF(ISBLANK(Log[[#This Row],[Item]]),"",_xlfn.XLOOKUP(Log[[#This Row],[Item]],Calories[Name],Calories[Unit]))</f>
        <v/>
      </c>
      <c r="F656" s="65" t="str">
        <f>IF(ISBLANK(Log[[#This Row],[Item]]),"",_xlfn.XLOOKUP(Log[[#This Row],[Item]],Calories[Name],Calories[Cals])*Log[[#This Row],[Qty]])</f>
        <v/>
      </c>
      <c r="G656" s="71" t="str">
        <f>IF(ISBLANK(Log[[#This Row],[Item]]),"",_xlfn.XLOOKUP(Log[[#This Row],[Item]],Calories[Name],Calories[Carbs])*Log[[#This Row],[Qty]])</f>
        <v/>
      </c>
      <c r="H656" s="71" t="str">
        <f>IF(ISBLANK(Log[[#This Row],[Item]]),"",_xlfn.XLOOKUP(Log[[#This Row],[Item]],Calories[Name],Calories[Fibre])*Log[[#This Row],[Qty]])</f>
        <v/>
      </c>
      <c r="I656" s="71" t="str">
        <f>IF(ISBLANK(Log[[#This Row],[Item]]),"",(Log[[#This Row],[Carbs]]-Log[[#This Row],[Fibre]]))</f>
        <v/>
      </c>
      <c r="J656" s="103" t="str">
        <f>IF(ISBLANK(Log[[#This Row],[Item]]),"",_xlfn.XLOOKUP(Log[[#This Row],[Item]],Calories[Name],Calories[Sodium])*Log[[#This Row],[Qty]])</f>
        <v/>
      </c>
      <c r="K656" s="71" t="str">
        <f>IF(ISBLANK(Log[[#This Row],[Item]]),"",_xlfn.XLOOKUP(Log[[#This Row],[Item]],Calories[Name],Calories[Protein])*Log[[#This Row],[Qty]])</f>
        <v/>
      </c>
      <c r="L656" s="71" t="str">
        <f>IF(ISBLANK(Log[[#This Row],[Item]]),"",_xlfn.XLOOKUP(Log[[#This Row],[Item]],Calories[Name],Calories[Chol.])*Log[[#This Row],[Qty]])</f>
        <v/>
      </c>
      <c r="M656" s="75"/>
      <c r="N656" s="75"/>
      <c r="O656" s="75"/>
    </row>
    <row r="657" spans="1:15" s="66" customFormat="1" ht="25.15" customHeight="1">
      <c r="A657" s="75"/>
      <c r="B657" s="98"/>
      <c r="C657" s="78"/>
      <c r="D657" s="79"/>
      <c r="E657" s="76" t="str">
        <f>IF(ISBLANK(Log[[#This Row],[Item]]),"",_xlfn.XLOOKUP(Log[[#This Row],[Item]],Calories[Name],Calories[Unit]))</f>
        <v/>
      </c>
      <c r="F657" s="65" t="str">
        <f>IF(ISBLANK(Log[[#This Row],[Item]]),"",_xlfn.XLOOKUP(Log[[#This Row],[Item]],Calories[Name],Calories[Cals])*Log[[#This Row],[Qty]])</f>
        <v/>
      </c>
      <c r="G657" s="71" t="str">
        <f>IF(ISBLANK(Log[[#This Row],[Item]]),"",_xlfn.XLOOKUP(Log[[#This Row],[Item]],Calories[Name],Calories[Carbs])*Log[[#This Row],[Qty]])</f>
        <v/>
      </c>
      <c r="H657" s="71" t="str">
        <f>IF(ISBLANK(Log[[#This Row],[Item]]),"",_xlfn.XLOOKUP(Log[[#This Row],[Item]],Calories[Name],Calories[Fibre])*Log[[#This Row],[Qty]])</f>
        <v/>
      </c>
      <c r="I657" s="71" t="str">
        <f>IF(ISBLANK(Log[[#This Row],[Item]]),"",(Log[[#This Row],[Carbs]]-Log[[#This Row],[Fibre]]))</f>
        <v/>
      </c>
      <c r="J657" s="103" t="str">
        <f>IF(ISBLANK(Log[[#This Row],[Item]]),"",_xlfn.XLOOKUP(Log[[#This Row],[Item]],Calories[Name],Calories[Sodium])*Log[[#This Row],[Qty]])</f>
        <v/>
      </c>
      <c r="K657" s="71" t="str">
        <f>IF(ISBLANK(Log[[#This Row],[Item]]),"",_xlfn.XLOOKUP(Log[[#This Row],[Item]],Calories[Name],Calories[Protein])*Log[[#This Row],[Qty]])</f>
        <v/>
      </c>
      <c r="L657" s="71" t="str">
        <f>IF(ISBLANK(Log[[#This Row],[Item]]),"",_xlfn.XLOOKUP(Log[[#This Row],[Item]],Calories[Name],Calories[Chol.])*Log[[#This Row],[Qty]])</f>
        <v/>
      </c>
      <c r="M657" s="75"/>
      <c r="N657" s="75"/>
      <c r="O657" s="75"/>
    </row>
    <row r="658" spans="1:15" s="66" customFormat="1" ht="25.15" customHeight="1">
      <c r="A658" s="75"/>
      <c r="B658" s="98"/>
      <c r="C658" s="78"/>
      <c r="D658" s="79"/>
      <c r="E658" s="76" t="str">
        <f>IF(ISBLANK(Log[[#This Row],[Item]]),"",_xlfn.XLOOKUP(Log[[#This Row],[Item]],Calories[Name],Calories[Unit]))</f>
        <v/>
      </c>
      <c r="F658" s="65" t="str">
        <f>IF(ISBLANK(Log[[#This Row],[Item]]),"",_xlfn.XLOOKUP(Log[[#This Row],[Item]],Calories[Name],Calories[Cals])*Log[[#This Row],[Qty]])</f>
        <v/>
      </c>
      <c r="G658" s="71" t="str">
        <f>IF(ISBLANK(Log[[#This Row],[Item]]),"",_xlfn.XLOOKUP(Log[[#This Row],[Item]],Calories[Name],Calories[Carbs])*Log[[#This Row],[Qty]])</f>
        <v/>
      </c>
      <c r="H658" s="71" t="str">
        <f>IF(ISBLANK(Log[[#This Row],[Item]]),"",_xlfn.XLOOKUP(Log[[#This Row],[Item]],Calories[Name],Calories[Fibre])*Log[[#This Row],[Qty]])</f>
        <v/>
      </c>
      <c r="I658" s="71" t="str">
        <f>IF(ISBLANK(Log[[#This Row],[Item]]),"",(Log[[#This Row],[Carbs]]-Log[[#This Row],[Fibre]]))</f>
        <v/>
      </c>
      <c r="J658" s="103" t="str">
        <f>IF(ISBLANK(Log[[#This Row],[Item]]),"",_xlfn.XLOOKUP(Log[[#This Row],[Item]],Calories[Name],Calories[Sodium])*Log[[#This Row],[Qty]])</f>
        <v/>
      </c>
      <c r="K658" s="71" t="str">
        <f>IF(ISBLANK(Log[[#This Row],[Item]]),"",_xlfn.XLOOKUP(Log[[#This Row],[Item]],Calories[Name],Calories[Protein])*Log[[#This Row],[Qty]])</f>
        <v/>
      </c>
      <c r="L658" s="71" t="str">
        <f>IF(ISBLANK(Log[[#This Row],[Item]]),"",_xlfn.XLOOKUP(Log[[#This Row],[Item]],Calories[Name],Calories[Chol.])*Log[[#This Row],[Qty]])</f>
        <v/>
      </c>
      <c r="M658" s="75"/>
      <c r="N658" s="75"/>
      <c r="O658" s="75"/>
    </row>
    <row r="659" spans="1:15" s="66" customFormat="1" ht="25.15" customHeight="1">
      <c r="A659" s="75"/>
      <c r="B659" s="98"/>
      <c r="C659" s="78"/>
      <c r="D659" s="79"/>
      <c r="E659" s="76" t="str">
        <f>IF(ISBLANK(Log[[#This Row],[Item]]),"",_xlfn.XLOOKUP(Log[[#This Row],[Item]],Calories[Name],Calories[Unit]))</f>
        <v/>
      </c>
      <c r="F659" s="65" t="str">
        <f>IF(ISBLANK(Log[[#This Row],[Item]]),"",_xlfn.XLOOKUP(Log[[#This Row],[Item]],Calories[Name],Calories[Cals])*Log[[#This Row],[Qty]])</f>
        <v/>
      </c>
      <c r="G659" s="71" t="str">
        <f>IF(ISBLANK(Log[[#This Row],[Item]]),"",_xlfn.XLOOKUP(Log[[#This Row],[Item]],Calories[Name],Calories[Carbs])*Log[[#This Row],[Qty]])</f>
        <v/>
      </c>
      <c r="H659" s="71" t="str">
        <f>IF(ISBLANK(Log[[#This Row],[Item]]),"",_xlfn.XLOOKUP(Log[[#This Row],[Item]],Calories[Name],Calories[Fibre])*Log[[#This Row],[Qty]])</f>
        <v/>
      </c>
      <c r="I659" s="71" t="str">
        <f>IF(ISBLANK(Log[[#This Row],[Item]]),"",(Log[[#This Row],[Carbs]]-Log[[#This Row],[Fibre]]))</f>
        <v/>
      </c>
      <c r="J659" s="103" t="str">
        <f>IF(ISBLANK(Log[[#This Row],[Item]]),"",_xlfn.XLOOKUP(Log[[#This Row],[Item]],Calories[Name],Calories[Sodium])*Log[[#This Row],[Qty]])</f>
        <v/>
      </c>
      <c r="K659" s="71" t="str">
        <f>IF(ISBLANK(Log[[#This Row],[Item]]),"",_xlfn.XLOOKUP(Log[[#This Row],[Item]],Calories[Name],Calories[Protein])*Log[[#This Row],[Qty]])</f>
        <v/>
      </c>
      <c r="L659" s="71" t="str">
        <f>IF(ISBLANK(Log[[#This Row],[Item]]),"",_xlfn.XLOOKUP(Log[[#This Row],[Item]],Calories[Name],Calories[Chol.])*Log[[#This Row],[Qty]])</f>
        <v/>
      </c>
      <c r="M659" s="75"/>
      <c r="N659" s="75"/>
      <c r="O659" s="75"/>
    </row>
    <row r="660" spans="1:15" s="66" customFormat="1" ht="25.15" customHeight="1">
      <c r="A660" s="75"/>
      <c r="B660" s="98"/>
      <c r="C660" s="78"/>
      <c r="D660" s="79"/>
      <c r="E660" s="76" t="str">
        <f>IF(ISBLANK(Log[[#This Row],[Item]]),"",_xlfn.XLOOKUP(Log[[#This Row],[Item]],Calories[Name],Calories[Unit]))</f>
        <v/>
      </c>
      <c r="F660" s="65" t="str">
        <f>IF(ISBLANK(Log[[#This Row],[Item]]),"",_xlfn.XLOOKUP(Log[[#This Row],[Item]],Calories[Name],Calories[Cals])*Log[[#This Row],[Qty]])</f>
        <v/>
      </c>
      <c r="G660" s="71" t="str">
        <f>IF(ISBLANK(Log[[#This Row],[Item]]),"",_xlfn.XLOOKUP(Log[[#This Row],[Item]],Calories[Name],Calories[Carbs])*Log[[#This Row],[Qty]])</f>
        <v/>
      </c>
      <c r="H660" s="71" t="str">
        <f>IF(ISBLANK(Log[[#This Row],[Item]]),"",_xlfn.XLOOKUP(Log[[#This Row],[Item]],Calories[Name],Calories[Fibre])*Log[[#This Row],[Qty]])</f>
        <v/>
      </c>
      <c r="I660" s="71" t="str">
        <f>IF(ISBLANK(Log[[#This Row],[Item]]),"",(Log[[#This Row],[Carbs]]-Log[[#This Row],[Fibre]]))</f>
        <v/>
      </c>
      <c r="J660" s="103" t="str">
        <f>IF(ISBLANK(Log[[#This Row],[Item]]),"",_xlfn.XLOOKUP(Log[[#This Row],[Item]],Calories[Name],Calories[Sodium])*Log[[#This Row],[Qty]])</f>
        <v/>
      </c>
      <c r="K660" s="71" t="str">
        <f>IF(ISBLANK(Log[[#This Row],[Item]]),"",_xlfn.XLOOKUP(Log[[#This Row],[Item]],Calories[Name],Calories[Protein])*Log[[#This Row],[Qty]])</f>
        <v/>
      </c>
      <c r="L660" s="71" t="str">
        <f>IF(ISBLANK(Log[[#This Row],[Item]]),"",_xlfn.XLOOKUP(Log[[#This Row],[Item]],Calories[Name],Calories[Chol.])*Log[[#This Row],[Qty]])</f>
        <v/>
      </c>
      <c r="M660" s="75"/>
      <c r="N660" s="75"/>
      <c r="O660" s="75"/>
    </row>
    <row r="661" spans="1:15" s="66" customFormat="1" ht="25.15" customHeight="1">
      <c r="A661" s="75"/>
      <c r="B661" s="98"/>
      <c r="C661" s="78"/>
      <c r="D661" s="79"/>
      <c r="E661" s="76" t="str">
        <f>IF(ISBLANK(Log[[#This Row],[Item]]),"",_xlfn.XLOOKUP(Log[[#This Row],[Item]],Calories[Name],Calories[Unit]))</f>
        <v/>
      </c>
      <c r="F661" s="65" t="str">
        <f>IF(ISBLANK(Log[[#This Row],[Item]]),"",_xlfn.XLOOKUP(Log[[#This Row],[Item]],Calories[Name],Calories[Cals])*Log[[#This Row],[Qty]])</f>
        <v/>
      </c>
      <c r="G661" s="71" t="str">
        <f>IF(ISBLANK(Log[[#This Row],[Item]]),"",_xlfn.XLOOKUP(Log[[#This Row],[Item]],Calories[Name],Calories[Carbs])*Log[[#This Row],[Qty]])</f>
        <v/>
      </c>
      <c r="H661" s="71" t="str">
        <f>IF(ISBLANK(Log[[#This Row],[Item]]),"",_xlfn.XLOOKUP(Log[[#This Row],[Item]],Calories[Name],Calories[Fibre])*Log[[#This Row],[Qty]])</f>
        <v/>
      </c>
      <c r="I661" s="71" t="str">
        <f>IF(ISBLANK(Log[[#This Row],[Item]]),"",(Log[[#This Row],[Carbs]]-Log[[#This Row],[Fibre]]))</f>
        <v/>
      </c>
      <c r="J661" s="103" t="str">
        <f>IF(ISBLANK(Log[[#This Row],[Item]]),"",_xlfn.XLOOKUP(Log[[#This Row],[Item]],Calories[Name],Calories[Sodium])*Log[[#This Row],[Qty]])</f>
        <v/>
      </c>
      <c r="K661" s="71" t="str">
        <f>IF(ISBLANK(Log[[#This Row],[Item]]),"",_xlfn.XLOOKUP(Log[[#This Row],[Item]],Calories[Name],Calories[Protein])*Log[[#This Row],[Qty]])</f>
        <v/>
      </c>
      <c r="L661" s="71" t="str">
        <f>IF(ISBLANK(Log[[#This Row],[Item]]),"",_xlfn.XLOOKUP(Log[[#This Row],[Item]],Calories[Name],Calories[Chol.])*Log[[#This Row],[Qty]])</f>
        <v/>
      </c>
      <c r="M661" s="75"/>
      <c r="N661" s="75"/>
      <c r="O661" s="75"/>
    </row>
    <row r="662" spans="1:15" s="66" customFormat="1" ht="25.15" customHeight="1">
      <c r="A662" s="75"/>
      <c r="B662" s="98"/>
      <c r="C662" s="78"/>
      <c r="D662" s="79"/>
      <c r="E662" s="76" t="str">
        <f>IF(ISBLANK(Log[[#This Row],[Item]]),"",_xlfn.XLOOKUP(Log[[#This Row],[Item]],Calories[Name],Calories[Unit]))</f>
        <v/>
      </c>
      <c r="F662" s="65" t="str">
        <f>IF(ISBLANK(Log[[#This Row],[Item]]),"",_xlfn.XLOOKUP(Log[[#This Row],[Item]],Calories[Name],Calories[Cals])*Log[[#This Row],[Qty]])</f>
        <v/>
      </c>
      <c r="G662" s="71" t="str">
        <f>IF(ISBLANK(Log[[#This Row],[Item]]),"",_xlfn.XLOOKUP(Log[[#This Row],[Item]],Calories[Name],Calories[Carbs])*Log[[#This Row],[Qty]])</f>
        <v/>
      </c>
      <c r="H662" s="71" t="str">
        <f>IF(ISBLANK(Log[[#This Row],[Item]]),"",_xlfn.XLOOKUP(Log[[#This Row],[Item]],Calories[Name],Calories[Fibre])*Log[[#This Row],[Qty]])</f>
        <v/>
      </c>
      <c r="I662" s="71" t="str">
        <f>IF(ISBLANK(Log[[#This Row],[Item]]),"",(Log[[#This Row],[Carbs]]-Log[[#This Row],[Fibre]]))</f>
        <v/>
      </c>
      <c r="J662" s="103" t="str">
        <f>IF(ISBLANK(Log[[#This Row],[Item]]),"",_xlfn.XLOOKUP(Log[[#This Row],[Item]],Calories[Name],Calories[Sodium])*Log[[#This Row],[Qty]])</f>
        <v/>
      </c>
      <c r="K662" s="71" t="str">
        <f>IF(ISBLANK(Log[[#This Row],[Item]]),"",_xlfn.XLOOKUP(Log[[#This Row],[Item]],Calories[Name],Calories[Protein])*Log[[#This Row],[Qty]])</f>
        <v/>
      </c>
      <c r="L662" s="71" t="str">
        <f>IF(ISBLANK(Log[[#This Row],[Item]]),"",_xlfn.XLOOKUP(Log[[#This Row],[Item]],Calories[Name],Calories[Chol.])*Log[[#This Row],[Qty]])</f>
        <v/>
      </c>
      <c r="M662" s="75"/>
      <c r="N662" s="75"/>
      <c r="O662" s="75"/>
    </row>
    <row r="663" spans="1:15" s="66" customFormat="1" ht="25.15" customHeight="1">
      <c r="A663" s="75"/>
      <c r="B663" s="98"/>
      <c r="C663" s="78"/>
      <c r="D663" s="79"/>
      <c r="E663" s="76" t="str">
        <f>IF(ISBLANK(Log[[#This Row],[Item]]),"",_xlfn.XLOOKUP(Log[[#This Row],[Item]],Calories[Name],Calories[Unit]))</f>
        <v/>
      </c>
      <c r="F663" s="65" t="str">
        <f>IF(ISBLANK(Log[[#This Row],[Item]]),"",_xlfn.XLOOKUP(Log[[#This Row],[Item]],Calories[Name],Calories[Cals])*Log[[#This Row],[Qty]])</f>
        <v/>
      </c>
      <c r="G663" s="71" t="str">
        <f>IF(ISBLANK(Log[[#This Row],[Item]]),"",_xlfn.XLOOKUP(Log[[#This Row],[Item]],Calories[Name],Calories[Carbs])*Log[[#This Row],[Qty]])</f>
        <v/>
      </c>
      <c r="H663" s="71" t="str">
        <f>IF(ISBLANK(Log[[#This Row],[Item]]),"",_xlfn.XLOOKUP(Log[[#This Row],[Item]],Calories[Name],Calories[Fibre])*Log[[#This Row],[Qty]])</f>
        <v/>
      </c>
      <c r="I663" s="71" t="str">
        <f>IF(ISBLANK(Log[[#This Row],[Item]]),"",(Log[[#This Row],[Carbs]]-Log[[#This Row],[Fibre]]))</f>
        <v/>
      </c>
      <c r="J663" s="103" t="str">
        <f>IF(ISBLANK(Log[[#This Row],[Item]]),"",_xlfn.XLOOKUP(Log[[#This Row],[Item]],Calories[Name],Calories[Sodium])*Log[[#This Row],[Qty]])</f>
        <v/>
      </c>
      <c r="K663" s="71" t="str">
        <f>IF(ISBLANK(Log[[#This Row],[Item]]),"",_xlfn.XLOOKUP(Log[[#This Row],[Item]],Calories[Name],Calories[Protein])*Log[[#This Row],[Qty]])</f>
        <v/>
      </c>
      <c r="L663" s="71" t="str">
        <f>IF(ISBLANK(Log[[#This Row],[Item]]),"",_xlfn.XLOOKUP(Log[[#This Row],[Item]],Calories[Name],Calories[Chol.])*Log[[#This Row],[Qty]])</f>
        <v/>
      </c>
      <c r="M663" s="75"/>
      <c r="N663" s="75"/>
      <c r="O663" s="75"/>
    </row>
    <row r="664" spans="1:15" s="66" customFormat="1" ht="25.15" customHeight="1">
      <c r="A664" s="75"/>
      <c r="B664" s="98"/>
      <c r="C664" s="78"/>
      <c r="D664" s="79"/>
      <c r="E664" s="76" t="str">
        <f>IF(ISBLANK(Log[[#This Row],[Item]]),"",_xlfn.XLOOKUP(Log[[#This Row],[Item]],Calories[Name],Calories[Unit]))</f>
        <v/>
      </c>
      <c r="F664" s="65" t="str">
        <f>IF(ISBLANK(Log[[#This Row],[Item]]),"",_xlfn.XLOOKUP(Log[[#This Row],[Item]],Calories[Name],Calories[Cals])*Log[[#This Row],[Qty]])</f>
        <v/>
      </c>
      <c r="G664" s="71" t="str">
        <f>IF(ISBLANK(Log[[#This Row],[Item]]),"",_xlfn.XLOOKUP(Log[[#This Row],[Item]],Calories[Name],Calories[Carbs])*Log[[#This Row],[Qty]])</f>
        <v/>
      </c>
      <c r="H664" s="71" t="str">
        <f>IF(ISBLANK(Log[[#This Row],[Item]]),"",_xlfn.XLOOKUP(Log[[#This Row],[Item]],Calories[Name],Calories[Fibre])*Log[[#This Row],[Qty]])</f>
        <v/>
      </c>
      <c r="I664" s="71" t="str">
        <f>IF(ISBLANK(Log[[#This Row],[Item]]),"",(Log[[#This Row],[Carbs]]-Log[[#This Row],[Fibre]]))</f>
        <v/>
      </c>
      <c r="J664" s="103" t="str">
        <f>IF(ISBLANK(Log[[#This Row],[Item]]),"",_xlfn.XLOOKUP(Log[[#This Row],[Item]],Calories[Name],Calories[Sodium])*Log[[#This Row],[Qty]])</f>
        <v/>
      </c>
      <c r="K664" s="71" t="str">
        <f>IF(ISBLANK(Log[[#This Row],[Item]]),"",_xlfn.XLOOKUP(Log[[#This Row],[Item]],Calories[Name],Calories[Protein])*Log[[#This Row],[Qty]])</f>
        <v/>
      </c>
      <c r="L664" s="71" t="str">
        <f>IF(ISBLANK(Log[[#This Row],[Item]]),"",_xlfn.XLOOKUP(Log[[#This Row],[Item]],Calories[Name],Calories[Chol.])*Log[[#This Row],[Qty]])</f>
        <v/>
      </c>
      <c r="M664" s="75"/>
      <c r="N664" s="75"/>
      <c r="O664" s="75"/>
    </row>
    <row r="665" spans="1:15" s="66" customFormat="1" ht="25.15" customHeight="1">
      <c r="A665" s="75"/>
      <c r="B665" s="98"/>
      <c r="C665" s="78"/>
      <c r="D665" s="79"/>
      <c r="E665" s="76" t="str">
        <f>IF(ISBLANK(Log[[#This Row],[Item]]),"",_xlfn.XLOOKUP(Log[[#This Row],[Item]],Calories[Name],Calories[Unit]))</f>
        <v/>
      </c>
      <c r="F665" s="65" t="str">
        <f>IF(ISBLANK(Log[[#This Row],[Item]]),"",_xlfn.XLOOKUP(Log[[#This Row],[Item]],Calories[Name],Calories[Cals])*Log[[#This Row],[Qty]])</f>
        <v/>
      </c>
      <c r="G665" s="71" t="str">
        <f>IF(ISBLANK(Log[[#This Row],[Item]]),"",_xlfn.XLOOKUP(Log[[#This Row],[Item]],Calories[Name],Calories[Carbs])*Log[[#This Row],[Qty]])</f>
        <v/>
      </c>
      <c r="H665" s="71" t="str">
        <f>IF(ISBLANK(Log[[#This Row],[Item]]),"",_xlfn.XLOOKUP(Log[[#This Row],[Item]],Calories[Name],Calories[Fibre])*Log[[#This Row],[Qty]])</f>
        <v/>
      </c>
      <c r="I665" s="71" t="str">
        <f>IF(ISBLANK(Log[[#This Row],[Item]]),"",(Log[[#This Row],[Carbs]]-Log[[#This Row],[Fibre]]))</f>
        <v/>
      </c>
      <c r="J665" s="103" t="str">
        <f>IF(ISBLANK(Log[[#This Row],[Item]]),"",_xlfn.XLOOKUP(Log[[#This Row],[Item]],Calories[Name],Calories[Sodium])*Log[[#This Row],[Qty]])</f>
        <v/>
      </c>
      <c r="K665" s="71" t="str">
        <f>IF(ISBLANK(Log[[#This Row],[Item]]),"",_xlfn.XLOOKUP(Log[[#This Row],[Item]],Calories[Name],Calories[Protein])*Log[[#This Row],[Qty]])</f>
        <v/>
      </c>
      <c r="L665" s="71" t="str">
        <f>IF(ISBLANK(Log[[#This Row],[Item]]),"",_xlfn.XLOOKUP(Log[[#This Row],[Item]],Calories[Name],Calories[Chol.])*Log[[#This Row],[Qty]])</f>
        <v/>
      </c>
      <c r="M665" s="75"/>
      <c r="N665" s="75"/>
      <c r="O665" s="75"/>
    </row>
    <row r="666" spans="1:15" s="66" customFormat="1" ht="25.15" customHeight="1">
      <c r="A666" s="75"/>
      <c r="B666" s="98"/>
      <c r="C666" s="78"/>
      <c r="D666" s="79"/>
      <c r="E666" s="76" t="str">
        <f>IF(ISBLANK(Log[[#This Row],[Item]]),"",_xlfn.XLOOKUP(Log[[#This Row],[Item]],Calories[Name],Calories[Unit]))</f>
        <v/>
      </c>
      <c r="F666" s="65" t="str">
        <f>IF(ISBLANK(Log[[#This Row],[Item]]),"",_xlfn.XLOOKUP(Log[[#This Row],[Item]],Calories[Name],Calories[Cals])*Log[[#This Row],[Qty]])</f>
        <v/>
      </c>
      <c r="G666" s="71" t="str">
        <f>IF(ISBLANK(Log[[#This Row],[Item]]),"",_xlfn.XLOOKUP(Log[[#This Row],[Item]],Calories[Name],Calories[Carbs])*Log[[#This Row],[Qty]])</f>
        <v/>
      </c>
      <c r="H666" s="71" t="str">
        <f>IF(ISBLANK(Log[[#This Row],[Item]]),"",_xlfn.XLOOKUP(Log[[#This Row],[Item]],Calories[Name],Calories[Fibre])*Log[[#This Row],[Qty]])</f>
        <v/>
      </c>
      <c r="I666" s="71" t="str">
        <f>IF(ISBLANK(Log[[#This Row],[Item]]),"",(Log[[#This Row],[Carbs]]-Log[[#This Row],[Fibre]]))</f>
        <v/>
      </c>
      <c r="J666" s="103" t="str">
        <f>IF(ISBLANK(Log[[#This Row],[Item]]),"",_xlfn.XLOOKUP(Log[[#This Row],[Item]],Calories[Name],Calories[Sodium])*Log[[#This Row],[Qty]])</f>
        <v/>
      </c>
      <c r="K666" s="71" t="str">
        <f>IF(ISBLANK(Log[[#This Row],[Item]]),"",_xlfn.XLOOKUP(Log[[#This Row],[Item]],Calories[Name],Calories[Protein])*Log[[#This Row],[Qty]])</f>
        <v/>
      </c>
      <c r="L666" s="71" t="str">
        <f>IF(ISBLANK(Log[[#This Row],[Item]]),"",_xlfn.XLOOKUP(Log[[#This Row],[Item]],Calories[Name],Calories[Chol.])*Log[[#This Row],[Qty]])</f>
        <v/>
      </c>
      <c r="M666" s="75"/>
      <c r="N666" s="75"/>
      <c r="O666" s="75"/>
    </row>
    <row r="667" spans="1:15" s="66" customFormat="1" ht="25.15" customHeight="1">
      <c r="A667" s="75"/>
      <c r="B667" s="98"/>
      <c r="C667" s="78"/>
      <c r="D667" s="79"/>
      <c r="E667" s="76" t="str">
        <f>IF(ISBLANK(Log[[#This Row],[Item]]),"",_xlfn.XLOOKUP(Log[[#This Row],[Item]],Calories[Name],Calories[Unit]))</f>
        <v/>
      </c>
      <c r="F667" s="65" t="str">
        <f>IF(ISBLANK(Log[[#This Row],[Item]]),"",_xlfn.XLOOKUP(Log[[#This Row],[Item]],Calories[Name],Calories[Cals])*Log[[#This Row],[Qty]])</f>
        <v/>
      </c>
      <c r="G667" s="71" t="str">
        <f>IF(ISBLANK(Log[[#This Row],[Item]]),"",_xlfn.XLOOKUP(Log[[#This Row],[Item]],Calories[Name],Calories[Carbs])*Log[[#This Row],[Qty]])</f>
        <v/>
      </c>
      <c r="H667" s="71" t="str">
        <f>IF(ISBLANK(Log[[#This Row],[Item]]),"",_xlfn.XLOOKUP(Log[[#This Row],[Item]],Calories[Name],Calories[Fibre])*Log[[#This Row],[Qty]])</f>
        <v/>
      </c>
      <c r="I667" s="71" t="str">
        <f>IF(ISBLANK(Log[[#This Row],[Item]]),"",(Log[[#This Row],[Carbs]]-Log[[#This Row],[Fibre]]))</f>
        <v/>
      </c>
      <c r="J667" s="103" t="str">
        <f>IF(ISBLANK(Log[[#This Row],[Item]]),"",_xlfn.XLOOKUP(Log[[#This Row],[Item]],Calories[Name],Calories[Sodium])*Log[[#This Row],[Qty]])</f>
        <v/>
      </c>
      <c r="K667" s="71" t="str">
        <f>IF(ISBLANK(Log[[#This Row],[Item]]),"",_xlfn.XLOOKUP(Log[[#This Row],[Item]],Calories[Name],Calories[Protein])*Log[[#This Row],[Qty]])</f>
        <v/>
      </c>
      <c r="L667" s="71" t="str">
        <f>IF(ISBLANK(Log[[#This Row],[Item]]),"",_xlfn.XLOOKUP(Log[[#This Row],[Item]],Calories[Name],Calories[Chol.])*Log[[#This Row],[Qty]])</f>
        <v/>
      </c>
      <c r="M667" s="75"/>
      <c r="N667" s="75"/>
      <c r="O667" s="75"/>
    </row>
    <row r="668" spans="1:15" s="66" customFormat="1" ht="25.15" customHeight="1">
      <c r="A668" s="75"/>
      <c r="B668" s="98"/>
      <c r="C668" s="78"/>
      <c r="D668" s="79"/>
      <c r="E668" s="76" t="str">
        <f>IF(ISBLANK(Log[[#This Row],[Item]]),"",_xlfn.XLOOKUP(Log[[#This Row],[Item]],Calories[Name],Calories[Unit]))</f>
        <v/>
      </c>
      <c r="F668" s="65" t="str">
        <f>IF(ISBLANK(Log[[#This Row],[Item]]),"",_xlfn.XLOOKUP(Log[[#This Row],[Item]],Calories[Name],Calories[Cals])*Log[[#This Row],[Qty]])</f>
        <v/>
      </c>
      <c r="G668" s="71" t="str">
        <f>IF(ISBLANK(Log[[#This Row],[Item]]),"",_xlfn.XLOOKUP(Log[[#This Row],[Item]],Calories[Name],Calories[Carbs])*Log[[#This Row],[Qty]])</f>
        <v/>
      </c>
      <c r="H668" s="71" t="str">
        <f>IF(ISBLANK(Log[[#This Row],[Item]]),"",_xlfn.XLOOKUP(Log[[#This Row],[Item]],Calories[Name],Calories[Fibre])*Log[[#This Row],[Qty]])</f>
        <v/>
      </c>
      <c r="I668" s="71" t="str">
        <f>IF(ISBLANK(Log[[#This Row],[Item]]),"",(Log[[#This Row],[Carbs]]-Log[[#This Row],[Fibre]]))</f>
        <v/>
      </c>
      <c r="J668" s="103" t="str">
        <f>IF(ISBLANK(Log[[#This Row],[Item]]),"",_xlfn.XLOOKUP(Log[[#This Row],[Item]],Calories[Name],Calories[Sodium])*Log[[#This Row],[Qty]])</f>
        <v/>
      </c>
      <c r="K668" s="71" t="str">
        <f>IF(ISBLANK(Log[[#This Row],[Item]]),"",_xlfn.XLOOKUP(Log[[#This Row],[Item]],Calories[Name],Calories[Protein])*Log[[#This Row],[Qty]])</f>
        <v/>
      </c>
      <c r="L668" s="71" t="str">
        <f>IF(ISBLANK(Log[[#This Row],[Item]]),"",_xlfn.XLOOKUP(Log[[#This Row],[Item]],Calories[Name],Calories[Chol.])*Log[[#This Row],[Qty]])</f>
        <v/>
      </c>
      <c r="M668" s="75"/>
      <c r="N668" s="75"/>
      <c r="O668" s="75"/>
    </row>
    <row r="669" spans="1:15" s="66" customFormat="1" ht="25.15" customHeight="1">
      <c r="A669" s="75"/>
      <c r="B669" s="98"/>
      <c r="C669" s="78"/>
      <c r="D669" s="79"/>
      <c r="E669" s="76" t="str">
        <f>IF(ISBLANK(Log[[#This Row],[Item]]),"",_xlfn.XLOOKUP(Log[[#This Row],[Item]],Calories[Name],Calories[Unit]))</f>
        <v/>
      </c>
      <c r="F669" s="65" t="str">
        <f>IF(ISBLANK(Log[[#This Row],[Item]]),"",_xlfn.XLOOKUP(Log[[#This Row],[Item]],Calories[Name],Calories[Cals])*Log[[#This Row],[Qty]])</f>
        <v/>
      </c>
      <c r="G669" s="71" t="str">
        <f>IF(ISBLANK(Log[[#This Row],[Item]]),"",_xlfn.XLOOKUP(Log[[#This Row],[Item]],Calories[Name],Calories[Carbs])*Log[[#This Row],[Qty]])</f>
        <v/>
      </c>
      <c r="H669" s="71" t="str">
        <f>IF(ISBLANK(Log[[#This Row],[Item]]),"",_xlfn.XLOOKUP(Log[[#This Row],[Item]],Calories[Name],Calories[Fibre])*Log[[#This Row],[Qty]])</f>
        <v/>
      </c>
      <c r="I669" s="71" t="str">
        <f>IF(ISBLANK(Log[[#This Row],[Item]]),"",(Log[[#This Row],[Carbs]]-Log[[#This Row],[Fibre]]))</f>
        <v/>
      </c>
      <c r="J669" s="103" t="str">
        <f>IF(ISBLANK(Log[[#This Row],[Item]]),"",_xlfn.XLOOKUP(Log[[#This Row],[Item]],Calories[Name],Calories[Sodium])*Log[[#This Row],[Qty]])</f>
        <v/>
      </c>
      <c r="K669" s="71" t="str">
        <f>IF(ISBLANK(Log[[#This Row],[Item]]),"",_xlfn.XLOOKUP(Log[[#This Row],[Item]],Calories[Name],Calories[Protein])*Log[[#This Row],[Qty]])</f>
        <v/>
      </c>
      <c r="L669" s="71" t="str">
        <f>IF(ISBLANK(Log[[#This Row],[Item]]),"",_xlfn.XLOOKUP(Log[[#This Row],[Item]],Calories[Name],Calories[Chol.])*Log[[#This Row],[Qty]])</f>
        <v/>
      </c>
      <c r="M669" s="75"/>
      <c r="N669" s="75"/>
      <c r="O669" s="75"/>
    </row>
    <row r="670" spans="1:15" s="66" customFormat="1" ht="25.15" customHeight="1">
      <c r="A670" s="75"/>
      <c r="B670" s="98"/>
      <c r="C670" s="78"/>
      <c r="D670" s="79"/>
      <c r="E670" s="76" t="str">
        <f>IF(ISBLANK(Log[[#This Row],[Item]]),"",_xlfn.XLOOKUP(Log[[#This Row],[Item]],Calories[Name],Calories[Unit]))</f>
        <v/>
      </c>
      <c r="F670" s="65" t="str">
        <f>IF(ISBLANK(Log[[#This Row],[Item]]),"",_xlfn.XLOOKUP(Log[[#This Row],[Item]],Calories[Name],Calories[Cals])*Log[[#This Row],[Qty]])</f>
        <v/>
      </c>
      <c r="G670" s="71" t="str">
        <f>IF(ISBLANK(Log[[#This Row],[Item]]),"",_xlfn.XLOOKUP(Log[[#This Row],[Item]],Calories[Name],Calories[Carbs])*Log[[#This Row],[Qty]])</f>
        <v/>
      </c>
      <c r="H670" s="71" t="str">
        <f>IF(ISBLANK(Log[[#This Row],[Item]]),"",_xlfn.XLOOKUP(Log[[#This Row],[Item]],Calories[Name],Calories[Fibre])*Log[[#This Row],[Qty]])</f>
        <v/>
      </c>
      <c r="I670" s="71" t="str">
        <f>IF(ISBLANK(Log[[#This Row],[Item]]),"",(Log[[#This Row],[Carbs]]-Log[[#This Row],[Fibre]]))</f>
        <v/>
      </c>
      <c r="J670" s="103" t="str">
        <f>IF(ISBLANK(Log[[#This Row],[Item]]),"",_xlfn.XLOOKUP(Log[[#This Row],[Item]],Calories[Name],Calories[Sodium])*Log[[#This Row],[Qty]])</f>
        <v/>
      </c>
      <c r="K670" s="71" t="str">
        <f>IF(ISBLANK(Log[[#This Row],[Item]]),"",_xlfn.XLOOKUP(Log[[#This Row],[Item]],Calories[Name],Calories[Protein])*Log[[#This Row],[Qty]])</f>
        <v/>
      </c>
      <c r="L670" s="71" t="str">
        <f>IF(ISBLANK(Log[[#This Row],[Item]]),"",_xlfn.XLOOKUP(Log[[#This Row],[Item]],Calories[Name],Calories[Chol.])*Log[[#This Row],[Qty]])</f>
        <v/>
      </c>
      <c r="M670" s="75"/>
      <c r="N670" s="75"/>
      <c r="O670" s="75"/>
    </row>
    <row r="671" spans="1:15" s="66" customFormat="1" ht="25.15" customHeight="1">
      <c r="A671" s="75"/>
      <c r="B671" s="98"/>
      <c r="C671" s="78"/>
      <c r="D671" s="79"/>
      <c r="E671" s="76" t="str">
        <f>IF(ISBLANK(Log[[#This Row],[Item]]),"",_xlfn.XLOOKUP(Log[[#This Row],[Item]],Calories[Name],Calories[Unit]))</f>
        <v/>
      </c>
      <c r="F671" s="65" t="str">
        <f>IF(ISBLANK(Log[[#This Row],[Item]]),"",_xlfn.XLOOKUP(Log[[#This Row],[Item]],Calories[Name],Calories[Cals])*Log[[#This Row],[Qty]])</f>
        <v/>
      </c>
      <c r="G671" s="71" t="str">
        <f>IF(ISBLANK(Log[[#This Row],[Item]]),"",_xlfn.XLOOKUP(Log[[#This Row],[Item]],Calories[Name],Calories[Carbs])*Log[[#This Row],[Qty]])</f>
        <v/>
      </c>
      <c r="H671" s="71" t="str">
        <f>IF(ISBLANK(Log[[#This Row],[Item]]),"",_xlfn.XLOOKUP(Log[[#This Row],[Item]],Calories[Name],Calories[Fibre])*Log[[#This Row],[Qty]])</f>
        <v/>
      </c>
      <c r="I671" s="71" t="str">
        <f>IF(ISBLANK(Log[[#This Row],[Item]]),"",(Log[[#This Row],[Carbs]]-Log[[#This Row],[Fibre]]))</f>
        <v/>
      </c>
      <c r="J671" s="103" t="str">
        <f>IF(ISBLANK(Log[[#This Row],[Item]]),"",_xlfn.XLOOKUP(Log[[#This Row],[Item]],Calories[Name],Calories[Sodium])*Log[[#This Row],[Qty]])</f>
        <v/>
      </c>
      <c r="K671" s="71" t="str">
        <f>IF(ISBLANK(Log[[#This Row],[Item]]),"",_xlfn.XLOOKUP(Log[[#This Row],[Item]],Calories[Name],Calories[Protein])*Log[[#This Row],[Qty]])</f>
        <v/>
      </c>
      <c r="L671" s="71" t="str">
        <f>IF(ISBLANK(Log[[#This Row],[Item]]),"",_xlfn.XLOOKUP(Log[[#This Row],[Item]],Calories[Name],Calories[Chol.])*Log[[#This Row],[Qty]])</f>
        <v/>
      </c>
      <c r="M671" s="75"/>
      <c r="N671" s="75"/>
      <c r="O671" s="75"/>
    </row>
    <row r="672" spans="1:15" s="66" customFormat="1" ht="25.15" customHeight="1">
      <c r="A672" s="75"/>
      <c r="B672" s="98"/>
      <c r="C672" s="78"/>
      <c r="D672" s="79"/>
      <c r="E672" s="76" t="str">
        <f>IF(ISBLANK(Log[[#This Row],[Item]]),"",_xlfn.XLOOKUP(Log[[#This Row],[Item]],Calories[Name],Calories[Unit]))</f>
        <v/>
      </c>
      <c r="F672" s="65" t="str">
        <f>IF(ISBLANK(Log[[#This Row],[Item]]),"",_xlfn.XLOOKUP(Log[[#This Row],[Item]],Calories[Name],Calories[Cals])*Log[[#This Row],[Qty]])</f>
        <v/>
      </c>
      <c r="G672" s="71" t="str">
        <f>IF(ISBLANK(Log[[#This Row],[Item]]),"",_xlfn.XLOOKUP(Log[[#This Row],[Item]],Calories[Name],Calories[Carbs])*Log[[#This Row],[Qty]])</f>
        <v/>
      </c>
      <c r="H672" s="71" t="str">
        <f>IF(ISBLANK(Log[[#This Row],[Item]]),"",_xlfn.XLOOKUP(Log[[#This Row],[Item]],Calories[Name],Calories[Fibre])*Log[[#This Row],[Qty]])</f>
        <v/>
      </c>
      <c r="I672" s="71" t="str">
        <f>IF(ISBLANK(Log[[#This Row],[Item]]),"",(Log[[#This Row],[Carbs]]-Log[[#This Row],[Fibre]]))</f>
        <v/>
      </c>
      <c r="J672" s="103" t="str">
        <f>IF(ISBLANK(Log[[#This Row],[Item]]),"",_xlfn.XLOOKUP(Log[[#This Row],[Item]],Calories[Name],Calories[Sodium])*Log[[#This Row],[Qty]])</f>
        <v/>
      </c>
      <c r="K672" s="71" t="str">
        <f>IF(ISBLANK(Log[[#This Row],[Item]]),"",_xlfn.XLOOKUP(Log[[#This Row],[Item]],Calories[Name],Calories[Protein])*Log[[#This Row],[Qty]])</f>
        <v/>
      </c>
      <c r="L672" s="71" t="str">
        <f>IF(ISBLANK(Log[[#This Row],[Item]]),"",_xlfn.XLOOKUP(Log[[#This Row],[Item]],Calories[Name],Calories[Chol.])*Log[[#This Row],[Qty]])</f>
        <v/>
      </c>
      <c r="M672" s="75"/>
      <c r="N672" s="75"/>
      <c r="O672" s="75"/>
    </row>
    <row r="673" spans="1:15" s="66" customFormat="1" ht="25.15" customHeight="1">
      <c r="A673" s="75"/>
      <c r="B673" s="98"/>
      <c r="C673" s="78"/>
      <c r="D673" s="79"/>
      <c r="E673" s="76" t="str">
        <f>IF(ISBLANK(Log[[#This Row],[Item]]),"",_xlfn.XLOOKUP(Log[[#This Row],[Item]],Calories[Name],Calories[Unit]))</f>
        <v/>
      </c>
      <c r="F673" s="65" t="str">
        <f>IF(ISBLANK(Log[[#This Row],[Item]]),"",_xlfn.XLOOKUP(Log[[#This Row],[Item]],Calories[Name],Calories[Cals])*Log[[#This Row],[Qty]])</f>
        <v/>
      </c>
      <c r="G673" s="71" t="str">
        <f>IF(ISBLANK(Log[[#This Row],[Item]]),"",_xlfn.XLOOKUP(Log[[#This Row],[Item]],Calories[Name],Calories[Carbs])*Log[[#This Row],[Qty]])</f>
        <v/>
      </c>
      <c r="H673" s="71" t="str">
        <f>IF(ISBLANK(Log[[#This Row],[Item]]),"",_xlfn.XLOOKUP(Log[[#This Row],[Item]],Calories[Name],Calories[Fibre])*Log[[#This Row],[Qty]])</f>
        <v/>
      </c>
      <c r="I673" s="71" t="str">
        <f>IF(ISBLANK(Log[[#This Row],[Item]]),"",(Log[[#This Row],[Carbs]]-Log[[#This Row],[Fibre]]))</f>
        <v/>
      </c>
      <c r="J673" s="103" t="str">
        <f>IF(ISBLANK(Log[[#This Row],[Item]]),"",_xlfn.XLOOKUP(Log[[#This Row],[Item]],Calories[Name],Calories[Sodium])*Log[[#This Row],[Qty]])</f>
        <v/>
      </c>
      <c r="K673" s="71" t="str">
        <f>IF(ISBLANK(Log[[#This Row],[Item]]),"",_xlfn.XLOOKUP(Log[[#This Row],[Item]],Calories[Name],Calories[Protein])*Log[[#This Row],[Qty]])</f>
        <v/>
      </c>
      <c r="L673" s="71" t="str">
        <f>IF(ISBLANK(Log[[#This Row],[Item]]),"",_xlfn.XLOOKUP(Log[[#This Row],[Item]],Calories[Name],Calories[Chol.])*Log[[#This Row],[Qty]])</f>
        <v/>
      </c>
      <c r="M673" s="75"/>
      <c r="N673" s="75"/>
      <c r="O673" s="75"/>
    </row>
    <row r="674" spans="1:15" s="66" customFormat="1" ht="25.15" customHeight="1">
      <c r="A674" s="75"/>
      <c r="B674" s="98"/>
      <c r="C674" s="78"/>
      <c r="D674" s="79"/>
      <c r="E674" s="76" t="str">
        <f>IF(ISBLANK(Log[[#This Row],[Item]]),"",_xlfn.XLOOKUP(Log[[#This Row],[Item]],Calories[Name],Calories[Unit]))</f>
        <v/>
      </c>
      <c r="F674" s="65" t="str">
        <f>IF(ISBLANK(Log[[#This Row],[Item]]),"",_xlfn.XLOOKUP(Log[[#This Row],[Item]],Calories[Name],Calories[Cals])*Log[[#This Row],[Qty]])</f>
        <v/>
      </c>
      <c r="G674" s="71" t="str">
        <f>IF(ISBLANK(Log[[#This Row],[Item]]),"",_xlfn.XLOOKUP(Log[[#This Row],[Item]],Calories[Name],Calories[Carbs])*Log[[#This Row],[Qty]])</f>
        <v/>
      </c>
      <c r="H674" s="71" t="str">
        <f>IF(ISBLANK(Log[[#This Row],[Item]]),"",_xlfn.XLOOKUP(Log[[#This Row],[Item]],Calories[Name],Calories[Fibre])*Log[[#This Row],[Qty]])</f>
        <v/>
      </c>
      <c r="I674" s="71" t="str">
        <f>IF(ISBLANK(Log[[#This Row],[Item]]),"",(Log[[#This Row],[Carbs]]-Log[[#This Row],[Fibre]]))</f>
        <v/>
      </c>
      <c r="J674" s="103" t="str">
        <f>IF(ISBLANK(Log[[#This Row],[Item]]),"",_xlfn.XLOOKUP(Log[[#This Row],[Item]],Calories[Name],Calories[Sodium])*Log[[#This Row],[Qty]])</f>
        <v/>
      </c>
      <c r="K674" s="71" t="str">
        <f>IF(ISBLANK(Log[[#This Row],[Item]]),"",_xlfn.XLOOKUP(Log[[#This Row],[Item]],Calories[Name],Calories[Protein])*Log[[#This Row],[Qty]])</f>
        <v/>
      </c>
      <c r="L674" s="71" t="str">
        <f>IF(ISBLANK(Log[[#This Row],[Item]]),"",_xlfn.XLOOKUP(Log[[#This Row],[Item]],Calories[Name],Calories[Chol.])*Log[[#This Row],[Qty]])</f>
        <v/>
      </c>
      <c r="M674" s="75"/>
      <c r="N674" s="75"/>
      <c r="O674" s="75"/>
    </row>
    <row r="675" spans="1:15" s="66" customFormat="1" ht="25.15" customHeight="1">
      <c r="A675" s="75"/>
      <c r="B675" s="98"/>
      <c r="C675" s="78"/>
      <c r="D675" s="79"/>
      <c r="E675" s="76" t="str">
        <f>IF(ISBLANK(Log[[#This Row],[Item]]),"",_xlfn.XLOOKUP(Log[[#This Row],[Item]],Calories[Name],Calories[Unit]))</f>
        <v/>
      </c>
      <c r="F675" s="65" t="str">
        <f>IF(ISBLANK(Log[[#This Row],[Item]]),"",_xlfn.XLOOKUP(Log[[#This Row],[Item]],Calories[Name],Calories[Cals])*Log[[#This Row],[Qty]])</f>
        <v/>
      </c>
      <c r="G675" s="71" t="str">
        <f>IF(ISBLANK(Log[[#This Row],[Item]]),"",_xlfn.XLOOKUP(Log[[#This Row],[Item]],Calories[Name],Calories[Carbs])*Log[[#This Row],[Qty]])</f>
        <v/>
      </c>
      <c r="H675" s="71" t="str">
        <f>IF(ISBLANK(Log[[#This Row],[Item]]),"",_xlfn.XLOOKUP(Log[[#This Row],[Item]],Calories[Name],Calories[Fibre])*Log[[#This Row],[Qty]])</f>
        <v/>
      </c>
      <c r="I675" s="71" t="str">
        <f>IF(ISBLANK(Log[[#This Row],[Item]]),"",(Log[[#This Row],[Carbs]]-Log[[#This Row],[Fibre]]))</f>
        <v/>
      </c>
      <c r="J675" s="103" t="str">
        <f>IF(ISBLANK(Log[[#This Row],[Item]]),"",_xlfn.XLOOKUP(Log[[#This Row],[Item]],Calories[Name],Calories[Sodium])*Log[[#This Row],[Qty]])</f>
        <v/>
      </c>
      <c r="K675" s="71" t="str">
        <f>IF(ISBLANK(Log[[#This Row],[Item]]),"",_xlfn.XLOOKUP(Log[[#This Row],[Item]],Calories[Name],Calories[Protein])*Log[[#This Row],[Qty]])</f>
        <v/>
      </c>
      <c r="L675" s="71" t="str">
        <f>IF(ISBLANK(Log[[#This Row],[Item]]),"",_xlfn.XLOOKUP(Log[[#This Row],[Item]],Calories[Name],Calories[Chol.])*Log[[#This Row],[Qty]])</f>
        <v/>
      </c>
      <c r="M675" s="75"/>
      <c r="N675" s="75"/>
      <c r="O675" s="75"/>
    </row>
    <row r="676" spans="1:15" s="66" customFormat="1" ht="25.15" customHeight="1">
      <c r="A676" s="75"/>
      <c r="B676" s="98"/>
      <c r="C676" s="78"/>
      <c r="D676" s="79"/>
      <c r="E676" s="76" t="str">
        <f>IF(ISBLANK(Log[[#This Row],[Item]]),"",_xlfn.XLOOKUP(Log[[#This Row],[Item]],Calories[Name],Calories[Unit]))</f>
        <v/>
      </c>
      <c r="F676" s="65" t="str">
        <f>IF(ISBLANK(Log[[#This Row],[Item]]),"",_xlfn.XLOOKUP(Log[[#This Row],[Item]],Calories[Name],Calories[Cals])*Log[[#This Row],[Qty]])</f>
        <v/>
      </c>
      <c r="G676" s="71" t="str">
        <f>IF(ISBLANK(Log[[#This Row],[Item]]),"",_xlfn.XLOOKUP(Log[[#This Row],[Item]],Calories[Name],Calories[Carbs])*Log[[#This Row],[Qty]])</f>
        <v/>
      </c>
      <c r="H676" s="71" t="str">
        <f>IF(ISBLANK(Log[[#This Row],[Item]]),"",_xlfn.XLOOKUP(Log[[#This Row],[Item]],Calories[Name],Calories[Fibre])*Log[[#This Row],[Qty]])</f>
        <v/>
      </c>
      <c r="I676" s="71" t="str">
        <f>IF(ISBLANK(Log[[#This Row],[Item]]),"",(Log[[#This Row],[Carbs]]-Log[[#This Row],[Fibre]]))</f>
        <v/>
      </c>
      <c r="J676" s="103" t="str">
        <f>IF(ISBLANK(Log[[#This Row],[Item]]),"",_xlfn.XLOOKUP(Log[[#This Row],[Item]],Calories[Name],Calories[Sodium])*Log[[#This Row],[Qty]])</f>
        <v/>
      </c>
      <c r="K676" s="71" t="str">
        <f>IF(ISBLANK(Log[[#This Row],[Item]]),"",_xlfn.XLOOKUP(Log[[#This Row],[Item]],Calories[Name],Calories[Protein])*Log[[#This Row],[Qty]])</f>
        <v/>
      </c>
      <c r="L676" s="71" t="str">
        <f>IF(ISBLANK(Log[[#This Row],[Item]]),"",_xlfn.XLOOKUP(Log[[#This Row],[Item]],Calories[Name],Calories[Chol.])*Log[[#This Row],[Qty]])</f>
        <v/>
      </c>
      <c r="M676" s="75"/>
      <c r="N676" s="75"/>
      <c r="O676" s="75"/>
    </row>
    <row r="677" spans="1:15" s="66" customFormat="1" ht="25.15" customHeight="1">
      <c r="A677" s="75"/>
      <c r="B677" s="98"/>
      <c r="C677" s="78"/>
      <c r="D677" s="79"/>
      <c r="E677" s="76" t="str">
        <f>IF(ISBLANK(Log[[#This Row],[Item]]),"",_xlfn.XLOOKUP(Log[[#This Row],[Item]],Calories[Name],Calories[Unit]))</f>
        <v/>
      </c>
      <c r="F677" s="65" t="str">
        <f>IF(ISBLANK(Log[[#This Row],[Item]]),"",_xlfn.XLOOKUP(Log[[#This Row],[Item]],Calories[Name],Calories[Cals])*Log[[#This Row],[Qty]])</f>
        <v/>
      </c>
      <c r="G677" s="71" t="str">
        <f>IF(ISBLANK(Log[[#This Row],[Item]]),"",_xlfn.XLOOKUP(Log[[#This Row],[Item]],Calories[Name],Calories[Carbs])*Log[[#This Row],[Qty]])</f>
        <v/>
      </c>
      <c r="H677" s="71" t="str">
        <f>IF(ISBLANK(Log[[#This Row],[Item]]),"",_xlfn.XLOOKUP(Log[[#This Row],[Item]],Calories[Name],Calories[Fibre])*Log[[#This Row],[Qty]])</f>
        <v/>
      </c>
      <c r="I677" s="71" t="str">
        <f>IF(ISBLANK(Log[[#This Row],[Item]]),"",(Log[[#This Row],[Carbs]]-Log[[#This Row],[Fibre]]))</f>
        <v/>
      </c>
      <c r="J677" s="103" t="str">
        <f>IF(ISBLANK(Log[[#This Row],[Item]]),"",_xlfn.XLOOKUP(Log[[#This Row],[Item]],Calories[Name],Calories[Sodium])*Log[[#This Row],[Qty]])</f>
        <v/>
      </c>
      <c r="K677" s="71" t="str">
        <f>IF(ISBLANK(Log[[#This Row],[Item]]),"",_xlfn.XLOOKUP(Log[[#This Row],[Item]],Calories[Name],Calories[Protein])*Log[[#This Row],[Qty]])</f>
        <v/>
      </c>
      <c r="L677" s="71" t="str">
        <f>IF(ISBLANK(Log[[#This Row],[Item]]),"",_xlfn.XLOOKUP(Log[[#This Row],[Item]],Calories[Name],Calories[Chol.])*Log[[#This Row],[Qty]])</f>
        <v/>
      </c>
      <c r="M677" s="75"/>
      <c r="N677" s="75"/>
      <c r="O677" s="75"/>
    </row>
    <row r="678" spans="1:15" s="66" customFormat="1" ht="25.15" customHeight="1">
      <c r="A678" s="75"/>
      <c r="B678" s="98"/>
      <c r="C678" s="78"/>
      <c r="D678" s="79"/>
      <c r="E678" s="76" t="str">
        <f>IF(ISBLANK(Log[[#This Row],[Item]]),"",_xlfn.XLOOKUP(Log[[#This Row],[Item]],Calories[Name],Calories[Unit]))</f>
        <v/>
      </c>
      <c r="F678" s="65" t="str">
        <f>IF(ISBLANK(Log[[#This Row],[Item]]),"",_xlfn.XLOOKUP(Log[[#This Row],[Item]],Calories[Name],Calories[Cals])*Log[[#This Row],[Qty]])</f>
        <v/>
      </c>
      <c r="G678" s="71" t="str">
        <f>IF(ISBLANK(Log[[#This Row],[Item]]),"",_xlfn.XLOOKUP(Log[[#This Row],[Item]],Calories[Name],Calories[Carbs])*Log[[#This Row],[Qty]])</f>
        <v/>
      </c>
      <c r="H678" s="71" t="str">
        <f>IF(ISBLANK(Log[[#This Row],[Item]]),"",_xlfn.XLOOKUP(Log[[#This Row],[Item]],Calories[Name],Calories[Fibre])*Log[[#This Row],[Qty]])</f>
        <v/>
      </c>
      <c r="I678" s="71" t="str">
        <f>IF(ISBLANK(Log[[#This Row],[Item]]),"",(Log[[#This Row],[Carbs]]-Log[[#This Row],[Fibre]]))</f>
        <v/>
      </c>
      <c r="J678" s="103" t="str">
        <f>IF(ISBLANK(Log[[#This Row],[Item]]),"",_xlfn.XLOOKUP(Log[[#This Row],[Item]],Calories[Name],Calories[Sodium])*Log[[#This Row],[Qty]])</f>
        <v/>
      </c>
      <c r="K678" s="71" t="str">
        <f>IF(ISBLANK(Log[[#This Row],[Item]]),"",_xlfn.XLOOKUP(Log[[#This Row],[Item]],Calories[Name],Calories[Protein])*Log[[#This Row],[Qty]])</f>
        <v/>
      </c>
      <c r="L678" s="71" t="str">
        <f>IF(ISBLANK(Log[[#This Row],[Item]]),"",_xlfn.XLOOKUP(Log[[#This Row],[Item]],Calories[Name],Calories[Chol.])*Log[[#This Row],[Qty]])</f>
        <v/>
      </c>
      <c r="M678" s="75"/>
      <c r="N678" s="75"/>
      <c r="O678" s="75"/>
    </row>
    <row r="679" spans="1:15" s="66" customFormat="1" ht="25.15" customHeight="1">
      <c r="A679" s="75"/>
      <c r="B679" s="98"/>
      <c r="C679" s="78"/>
      <c r="D679" s="79"/>
      <c r="E679" s="76" t="str">
        <f>IF(ISBLANK(Log[[#This Row],[Item]]),"",_xlfn.XLOOKUP(Log[[#This Row],[Item]],Calories[Name],Calories[Unit]))</f>
        <v/>
      </c>
      <c r="F679" s="65" t="str">
        <f>IF(ISBLANK(Log[[#This Row],[Item]]),"",_xlfn.XLOOKUP(Log[[#This Row],[Item]],Calories[Name],Calories[Cals])*Log[[#This Row],[Qty]])</f>
        <v/>
      </c>
      <c r="G679" s="71" t="str">
        <f>IF(ISBLANK(Log[[#This Row],[Item]]),"",_xlfn.XLOOKUP(Log[[#This Row],[Item]],Calories[Name],Calories[Carbs])*Log[[#This Row],[Qty]])</f>
        <v/>
      </c>
      <c r="H679" s="71" t="str">
        <f>IF(ISBLANK(Log[[#This Row],[Item]]),"",_xlfn.XLOOKUP(Log[[#This Row],[Item]],Calories[Name],Calories[Fibre])*Log[[#This Row],[Qty]])</f>
        <v/>
      </c>
      <c r="I679" s="71" t="str">
        <f>IF(ISBLANK(Log[[#This Row],[Item]]),"",(Log[[#This Row],[Carbs]]-Log[[#This Row],[Fibre]]))</f>
        <v/>
      </c>
      <c r="J679" s="103" t="str">
        <f>IF(ISBLANK(Log[[#This Row],[Item]]),"",_xlfn.XLOOKUP(Log[[#This Row],[Item]],Calories[Name],Calories[Sodium])*Log[[#This Row],[Qty]])</f>
        <v/>
      </c>
      <c r="K679" s="71" t="str">
        <f>IF(ISBLANK(Log[[#This Row],[Item]]),"",_xlfn.XLOOKUP(Log[[#This Row],[Item]],Calories[Name],Calories[Protein])*Log[[#This Row],[Qty]])</f>
        <v/>
      </c>
      <c r="L679" s="71" t="str">
        <f>IF(ISBLANK(Log[[#This Row],[Item]]),"",_xlfn.XLOOKUP(Log[[#This Row],[Item]],Calories[Name],Calories[Chol.])*Log[[#This Row],[Qty]])</f>
        <v/>
      </c>
      <c r="M679" s="75"/>
      <c r="N679" s="75"/>
      <c r="O679" s="75"/>
    </row>
    <row r="680" spans="1:15" s="66" customFormat="1" ht="25.15" customHeight="1">
      <c r="A680" s="75"/>
      <c r="B680" s="98"/>
      <c r="C680" s="78"/>
      <c r="D680" s="79"/>
      <c r="E680" s="76" t="str">
        <f>IF(ISBLANK(Log[[#This Row],[Item]]),"",_xlfn.XLOOKUP(Log[[#This Row],[Item]],Calories[Name],Calories[Unit]))</f>
        <v/>
      </c>
      <c r="F680" s="65" t="str">
        <f>IF(ISBLANK(Log[[#This Row],[Item]]),"",_xlfn.XLOOKUP(Log[[#This Row],[Item]],Calories[Name],Calories[Cals])*Log[[#This Row],[Qty]])</f>
        <v/>
      </c>
      <c r="G680" s="71" t="str">
        <f>IF(ISBLANK(Log[[#This Row],[Item]]),"",_xlfn.XLOOKUP(Log[[#This Row],[Item]],Calories[Name],Calories[Carbs])*Log[[#This Row],[Qty]])</f>
        <v/>
      </c>
      <c r="H680" s="71" t="str">
        <f>IF(ISBLANK(Log[[#This Row],[Item]]),"",_xlfn.XLOOKUP(Log[[#This Row],[Item]],Calories[Name],Calories[Fibre])*Log[[#This Row],[Qty]])</f>
        <v/>
      </c>
      <c r="I680" s="71" t="str">
        <f>IF(ISBLANK(Log[[#This Row],[Item]]),"",(Log[[#This Row],[Carbs]]-Log[[#This Row],[Fibre]]))</f>
        <v/>
      </c>
      <c r="J680" s="103" t="str">
        <f>IF(ISBLANK(Log[[#This Row],[Item]]),"",_xlfn.XLOOKUP(Log[[#This Row],[Item]],Calories[Name],Calories[Sodium])*Log[[#This Row],[Qty]])</f>
        <v/>
      </c>
      <c r="K680" s="71" t="str">
        <f>IF(ISBLANK(Log[[#This Row],[Item]]),"",_xlfn.XLOOKUP(Log[[#This Row],[Item]],Calories[Name],Calories[Protein])*Log[[#This Row],[Qty]])</f>
        <v/>
      </c>
      <c r="L680" s="71" t="str">
        <f>IF(ISBLANK(Log[[#This Row],[Item]]),"",_xlfn.XLOOKUP(Log[[#This Row],[Item]],Calories[Name],Calories[Chol.])*Log[[#This Row],[Qty]])</f>
        <v/>
      </c>
      <c r="M680" s="75"/>
      <c r="N680" s="75"/>
      <c r="O680" s="75"/>
    </row>
    <row r="681" spans="1:15" s="66" customFormat="1" ht="25.15" customHeight="1">
      <c r="A681" s="75"/>
      <c r="B681" s="98"/>
      <c r="C681" s="78"/>
      <c r="D681" s="79"/>
      <c r="E681" s="76" t="str">
        <f>IF(ISBLANK(Log[[#This Row],[Item]]),"",_xlfn.XLOOKUP(Log[[#This Row],[Item]],Calories[Name],Calories[Unit]))</f>
        <v/>
      </c>
      <c r="F681" s="65" t="str">
        <f>IF(ISBLANK(Log[[#This Row],[Item]]),"",_xlfn.XLOOKUP(Log[[#This Row],[Item]],Calories[Name],Calories[Cals])*Log[[#This Row],[Qty]])</f>
        <v/>
      </c>
      <c r="G681" s="71" t="str">
        <f>IF(ISBLANK(Log[[#This Row],[Item]]),"",_xlfn.XLOOKUP(Log[[#This Row],[Item]],Calories[Name],Calories[Carbs])*Log[[#This Row],[Qty]])</f>
        <v/>
      </c>
      <c r="H681" s="71" t="str">
        <f>IF(ISBLANK(Log[[#This Row],[Item]]),"",_xlfn.XLOOKUP(Log[[#This Row],[Item]],Calories[Name],Calories[Fibre])*Log[[#This Row],[Qty]])</f>
        <v/>
      </c>
      <c r="I681" s="71" t="str">
        <f>IF(ISBLANK(Log[[#This Row],[Item]]),"",(Log[[#This Row],[Carbs]]-Log[[#This Row],[Fibre]]))</f>
        <v/>
      </c>
      <c r="J681" s="103" t="str">
        <f>IF(ISBLANK(Log[[#This Row],[Item]]),"",_xlfn.XLOOKUP(Log[[#This Row],[Item]],Calories[Name],Calories[Sodium])*Log[[#This Row],[Qty]])</f>
        <v/>
      </c>
      <c r="K681" s="71" t="str">
        <f>IF(ISBLANK(Log[[#This Row],[Item]]),"",_xlfn.XLOOKUP(Log[[#This Row],[Item]],Calories[Name],Calories[Protein])*Log[[#This Row],[Qty]])</f>
        <v/>
      </c>
      <c r="L681" s="71" t="str">
        <f>IF(ISBLANK(Log[[#This Row],[Item]]),"",_xlfn.XLOOKUP(Log[[#This Row],[Item]],Calories[Name],Calories[Chol.])*Log[[#This Row],[Qty]])</f>
        <v/>
      </c>
      <c r="M681" s="75"/>
      <c r="N681" s="75"/>
      <c r="O681" s="75"/>
    </row>
    <row r="682" spans="1:15" s="66" customFormat="1" ht="25.15" customHeight="1">
      <c r="A682" s="75"/>
      <c r="B682" s="98"/>
      <c r="C682" s="78"/>
      <c r="D682" s="79"/>
      <c r="E682" s="76" t="str">
        <f>IF(ISBLANK(Log[[#This Row],[Item]]),"",_xlfn.XLOOKUP(Log[[#This Row],[Item]],Calories[Name],Calories[Unit]))</f>
        <v/>
      </c>
      <c r="F682" s="65" t="str">
        <f>IF(ISBLANK(Log[[#This Row],[Item]]),"",_xlfn.XLOOKUP(Log[[#This Row],[Item]],Calories[Name],Calories[Cals])*Log[[#This Row],[Qty]])</f>
        <v/>
      </c>
      <c r="G682" s="71" t="str">
        <f>IF(ISBLANK(Log[[#This Row],[Item]]),"",_xlfn.XLOOKUP(Log[[#This Row],[Item]],Calories[Name],Calories[Carbs])*Log[[#This Row],[Qty]])</f>
        <v/>
      </c>
      <c r="H682" s="71" t="str">
        <f>IF(ISBLANK(Log[[#This Row],[Item]]),"",_xlfn.XLOOKUP(Log[[#This Row],[Item]],Calories[Name],Calories[Fibre])*Log[[#This Row],[Qty]])</f>
        <v/>
      </c>
      <c r="I682" s="71" t="str">
        <f>IF(ISBLANK(Log[[#This Row],[Item]]),"",(Log[[#This Row],[Carbs]]-Log[[#This Row],[Fibre]]))</f>
        <v/>
      </c>
      <c r="J682" s="103" t="str">
        <f>IF(ISBLANK(Log[[#This Row],[Item]]),"",_xlfn.XLOOKUP(Log[[#This Row],[Item]],Calories[Name],Calories[Sodium])*Log[[#This Row],[Qty]])</f>
        <v/>
      </c>
      <c r="K682" s="71" t="str">
        <f>IF(ISBLANK(Log[[#This Row],[Item]]),"",_xlfn.XLOOKUP(Log[[#This Row],[Item]],Calories[Name],Calories[Protein])*Log[[#This Row],[Qty]])</f>
        <v/>
      </c>
      <c r="L682" s="71" t="str">
        <f>IF(ISBLANK(Log[[#This Row],[Item]]),"",_xlfn.XLOOKUP(Log[[#This Row],[Item]],Calories[Name],Calories[Chol.])*Log[[#This Row],[Qty]])</f>
        <v/>
      </c>
      <c r="M682" s="75"/>
      <c r="N682" s="75"/>
      <c r="O682" s="75"/>
    </row>
    <row r="683" spans="1:15" s="66" customFormat="1" ht="25.15" customHeight="1">
      <c r="A683" s="75"/>
      <c r="B683" s="98"/>
      <c r="C683" s="78"/>
      <c r="D683" s="79"/>
      <c r="E683" s="76" t="str">
        <f>IF(ISBLANK(Log[[#This Row],[Item]]),"",_xlfn.XLOOKUP(Log[[#This Row],[Item]],Calories[Name],Calories[Unit]))</f>
        <v/>
      </c>
      <c r="F683" s="65" t="str">
        <f>IF(ISBLANK(Log[[#This Row],[Item]]),"",_xlfn.XLOOKUP(Log[[#This Row],[Item]],Calories[Name],Calories[Cals])*Log[[#This Row],[Qty]])</f>
        <v/>
      </c>
      <c r="G683" s="71" t="str">
        <f>IF(ISBLANK(Log[[#This Row],[Item]]),"",_xlfn.XLOOKUP(Log[[#This Row],[Item]],Calories[Name],Calories[Carbs])*Log[[#This Row],[Qty]])</f>
        <v/>
      </c>
      <c r="H683" s="71" t="str">
        <f>IF(ISBLANK(Log[[#This Row],[Item]]),"",_xlfn.XLOOKUP(Log[[#This Row],[Item]],Calories[Name],Calories[Fibre])*Log[[#This Row],[Qty]])</f>
        <v/>
      </c>
      <c r="I683" s="71" t="str">
        <f>IF(ISBLANK(Log[[#This Row],[Item]]),"",(Log[[#This Row],[Carbs]]-Log[[#This Row],[Fibre]]))</f>
        <v/>
      </c>
      <c r="J683" s="103" t="str">
        <f>IF(ISBLANK(Log[[#This Row],[Item]]),"",_xlfn.XLOOKUP(Log[[#This Row],[Item]],Calories[Name],Calories[Sodium])*Log[[#This Row],[Qty]])</f>
        <v/>
      </c>
      <c r="K683" s="71" t="str">
        <f>IF(ISBLANK(Log[[#This Row],[Item]]),"",_xlfn.XLOOKUP(Log[[#This Row],[Item]],Calories[Name],Calories[Protein])*Log[[#This Row],[Qty]])</f>
        <v/>
      </c>
      <c r="L683" s="71" t="str">
        <f>IF(ISBLANK(Log[[#This Row],[Item]]),"",_xlfn.XLOOKUP(Log[[#This Row],[Item]],Calories[Name],Calories[Chol.])*Log[[#This Row],[Qty]])</f>
        <v/>
      </c>
      <c r="M683" s="75"/>
      <c r="N683" s="75"/>
      <c r="O683" s="75"/>
    </row>
    <row r="684" spans="1:15" s="66" customFormat="1" ht="25.15" customHeight="1">
      <c r="A684" s="75"/>
      <c r="B684" s="98"/>
      <c r="C684" s="78"/>
      <c r="D684" s="79"/>
      <c r="E684" s="76" t="str">
        <f>IF(ISBLANK(Log[[#This Row],[Item]]),"",_xlfn.XLOOKUP(Log[[#This Row],[Item]],Calories[Name],Calories[Unit]))</f>
        <v/>
      </c>
      <c r="F684" s="65" t="str">
        <f>IF(ISBLANK(Log[[#This Row],[Item]]),"",_xlfn.XLOOKUP(Log[[#This Row],[Item]],Calories[Name],Calories[Cals])*Log[[#This Row],[Qty]])</f>
        <v/>
      </c>
      <c r="G684" s="71" t="str">
        <f>IF(ISBLANK(Log[[#This Row],[Item]]),"",_xlfn.XLOOKUP(Log[[#This Row],[Item]],Calories[Name],Calories[Carbs])*Log[[#This Row],[Qty]])</f>
        <v/>
      </c>
      <c r="H684" s="71" t="str">
        <f>IF(ISBLANK(Log[[#This Row],[Item]]),"",_xlfn.XLOOKUP(Log[[#This Row],[Item]],Calories[Name],Calories[Fibre])*Log[[#This Row],[Qty]])</f>
        <v/>
      </c>
      <c r="I684" s="71" t="str">
        <f>IF(ISBLANK(Log[[#This Row],[Item]]),"",(Log[[#This Row],[Carbs]]-Log[[#This Row],[Fibre]]))</f>
        <v/>
      </c>
      <c r="J684" s="103" t="str">
        <f>IF(ISBLANK(Log[[#This Row],[Item]]),"",_xlfn.XLOOKUP(Log[[#This Row],[Item]],Calories[Name],Calories[Sodium])*Log[[#This Row],[Qty]])</f>
        <v/>
      </c>
      <c r="K684" s="71" t="str">
        <f>IF(ISBLANK(Log[[#This Row],[Item]]),"",_xlfn.XLOOKUP(Log[[#This Row],[Item]],Calories[Name],Calories[Protein])*Log[[#This Row],[Qty]])</f>
        <v/>
      </c>
      <c r="L684" s="71" t="str">
        <f>IF(ISBLANK(Log[[#This Row],[Item]]),"",_xlfn.XLOOKUP(Log[[#This Row],[Item]],Calories[Name],Calories[Chol.])*Log[[#This Row],[Qty]])</f>
        <v/>
      </c>
      <c r="M684" s="75"/>
      <c r="N684" s="75"/>
      <c r="O684" s="75"/>
    </row>
    <row r="685" spans="1:15" s="66" customFormat="1" ht="25.15" customHeight="1">
      <c r="A685" s="75"/>
      <c r="B685" s="98"/>
      <c r="C685" s="78"/>
      <c r="D685" s="79"/>
      <c r="E685" s="76" t="str">
        <f>IF(ISBLANK(Log[[#This Row],[Item]]),"",_xlfn.XLOOKUP(Log[[#This Row],[Item]],Calories[Name],Calories[Unit]))</f>
        <v/>
      </c>
      <c r="F685" s="65" t="str">
        <f>IF(ISBLANK(Log[[#This Row],[Item]]),"",_xlfn.XLOOKUP(Log[[#This Row],[Item]],Calories[Name],Calories[Cals])*Log[[#This Row],[Qty]])</f>
        <v/>
      </c>
      <c r="G685" s="71" t="str">
        <f>IF(ISBLANK(Log[[#This Row],[Item]]),"",_xlfn.XLOOKUP(Log[[#This Row],[Item]],Calories[Name],Calories[Carbs])*Log[[#This Row],[Qty]])</f>
        <v/>
      </c>
      <c r="H685" s="71" t="str">
        <f>IF(ISBLANK(Log[[#This Row],[Item]]),"",_xlfn.XLOOKUP(Log[[#This Row],[Item]],Calories[Name],Calories[Fibre])*Log[[#This Row],[Qty]])</f>
        <v/>
      </c>
      <c r="I685" s="71" t="str">
        <f>IF(ISBLANK(Log[[#This Row],[Item]]),"",(Log[[#This Row],[Carbs]]-Log[[#This Row],[Fibre]]))</f>
        <v/>
      </c>
      <c r="J685" s="103" t="str">
        <f>IF(ISBLANK(Log[[#This Row],[Item]]),"",_xlfn.XLOOKUP(Log[[#This Row],[Item]],Calories[Name],Calories[Sodium])*Log[[#This Row],[Qty]])</f>
        <v/>
      </c>
      <c r="K685" s="71" t="str">
        <f>IF(ISBLANK(Log[[#This Row],[Item]]),"",_xlfn.XLOOKUP(Log[[#This Row],[Item]],Calories[Name],Calories[Protein])*Log[[#This Row],[Qty]])</f>
        <v/>
      </c>
      <c r="L685" s="71" t="str">
        <f>IF(ISBLANK(Log[[#This Row],[Item]]),"",_xlfn.XLOOKUP(Log[[#This Row],[Item]],Calories[Name],Calories[Chol.])*Log[[#This Row],[Qty]])</f>
        <v/>
      </c>
      <c r="M685" s="75"/>
      <c r="N685" s="75"/>
      <c r="O685" s="75"/>
    </row>
    <row r="686" spans="1:15" s="66" customFormat="1" ht="25.15" customHeight="1">
      <c r="A686" s="75"/>
      <c r="B686" s="98"/>
      <c r="C686" s="78"/>
      <c r="D686" s="79"/>
      <c r="E686" s="76" t="str">
        <f>IF(ISBLANK(Log[[#This Row],[Item]]),"",_xlfn.XLOOKUP(Log[[#This Row],[Item]],Calories[Name],Calories[Unit]))</f>
        <v/>
      </c>
      <c r="F686" s="65" t="str">
        <f>IF(ISBLANK(Log[[#This Row],[Item]]),"",_xlfn.XLOOKUP(Log[[#This Row],[Item]],Calories[Name],Calories[Cals])*Log[[#This Row],[Qty]])</f>
        <v/>
      </c>
      <c r="G686" s="71" t="str">
        <f>IF(ISBLANK(Log[[#This Row],[Item]]),"",_xlfn.XLOOKUP(Log[[#This Row],[Item]],Calories[Name],Calories[Carbs])*Log[[#This Row],[Qty]])</f>
        <v/>
      </c>
      <c r="H686" s="71" t="str">
        <f>IF(ISBLANK(Log[[#This Row],[Item]]),"",_xlfn.XLOOKUP(Log[[#This Row],[Item]],Calories[Name],Calories[Fibre])*Log[[#This Row],[Qty]])</f>
        <v/>
      </c>
      <c r="I686" s="71" t="str">
        <f>IF(ISBLANK(Log[[#This Row],[Item]]),"",(Log[[#This Row],[Carbs]]-Log[[#This Row],[Fibre]]))</f>
        <v/>
      </c>
      <c r="J686" s="103" t="str">
        <f>IF(ISBLANK(Log[[#This Row],[Item]]),"",_xlfn.XLOOKUP(Log[[#This Row],[Item]],Calories[Name],Calories[Sodium])*Log[[#This Row],[Qty]])</f>
        <v/>
      </c>
      <c r="K686" s="71" t="str">
        <f>IF(ISBLANK(Log[[#This Row],[Item]]),"",_xlfn.XLOOKUP(Log[[#This Row],[Item]],Calories[Name],Calories[Protein])*Log[[#This Row],[Qty]])</f>
        <v/>
      </c>
      <c r="L686" s="71" t="str">
        <f>IF(ISBLANK(Log[[#This Row],[Item]]),"",_xlfn.XLOOKUP(Log[[#This Row],[Item]],Calories[Name],Calories[Chol.])*Log[[#This Row],[Qty]])</f>
        <v/>
      </c>
      <c r="M686" s="75"/>
      <c r="N686" s="75"/>
      <c r="O686" s="75"/>
    </row>
    <row r="687" spans="1:15" s="66" customFormat="1" ht="25.15" customHeight="1">
      <c r="A687" s="75"/>
      <c r="B687" s="98"/>
      <c r="C687" s="78"/>
      <c r="D687" s="79"/>
      <c r="E687" s="76" t="str">
        <f>IF(ISBLANK(Log[[#This Row],[Item]]),"",_xlfn.XLOOKUP(Log[[#This Row],[Item]],Calories[Name],Calories[Unit]))</f>
        <v/>
      </c>
      <c r="F687" s="65" t="str">
        <f>IF(ISBLANK(Log[[#This Row],[Item]]),"",_xlfn.XLOOKUP(Log[[#This Row],[Item]],Calories[Name],Calories[Cals])*Log[[#This Row],[Qty]])</f>
        <v/>
      </c>
      <c r="G687" s="71" t="str">
        <f>IF(ISBLANK(Log[[#This Row],[Item]]),"",_xlfn.XLOOKUP(Log[[#This Row],[Item]],Calories[Name],Calories[Carbs])*Log[[#This Row],[Qty]])</f>
        <v/>
      </c>
      <c r="H687" s="71" t="str">
        <f>IF(ISBLANK(Log[[#This Row],[Item]]),"",_xlfn.XLOOKUP(Log[[#This Row],[Item]],Calories[Name],Calories[Fibre])*Log[[#This Row],[Qty]])</f>
        <v/>
      </c>
      <c r="I687" s="71" t="str">
        <f>IF(ISBLANK(Log[[#This Row],[Item]]),"",(Log[[#This Row],[Carbs]]-Log[[#This Row],[Fibre]]))</f>
        <v/>
      </c>
      <c r="J687" s="103" t="str">
        <f>IF(ISBLANK(Log[[#This Row],[Item]]),"",_xlfn.XLOOKUP(Log[[#This Row],[Item]],Calories[Name],Calories[Sodium])*Log[[#This Row],[Qty]])</f>
        <v/>
      </c>
      <c r="K687" s="71" t="str">
        <f>IF(ISBLANK(Log[[#This Row],[Item]]),"",_xlfn.XLOOKUP(Log[[#This Row],[Item]],Calories[Name],Calories[Protein])*Log[[#This Row],[Qty]])</f>
        <v/>
      </c>
      <c r="L687" s="71" t="str">
        <f>IF(ISBLANK(Log[[#This Row],[Item]]),"",_xlfn.XLOOKUP(Log[[#This Row],[Item]],Calories[Name],Calories[Chol.])*Log[[#This Row],[Qty]])</f>
        <v/>
      </c>
      <c r="M687" s="75"/>
      <c r="N687" s="75"/>
      <c r="O687" s="75"/>
    </row>
    <row r="688" spans="1:15" s="66" customFormat="1" ht="25.15" customHeight="1">
      <c r="A688" s="75"/>
      <c r="B688" s="98"/>
      <c r="C688" s="78"/>
      <c r="D688" s="79"/>
      <c r="E688" s="76" t="str">
        <f>IF(ISBLANK(Log[[#This Row],[Item]]),"",_xlfn.XLOOKUP(Log[[#This Row],[Item]],Calories[Name],Calories[Unit]))</f>
        <v/>
      </c>
      <c r="F688" s="65" t="str">
        <f>IF(ISBLANK(Log[[#This Row],[Item]]),"",_xlfn.XLOOKUP(Log[[#This Row],[Item]],Calories[Name],Calories[Cals])*Log[[#This Row],[Qty]])</f>
        <v/>
      </c>
      <c r="G688" s="71" t="str">
        <f>IF(ISBLANK(Log[[#This Row],[Item]]),"",_xlfn.XLOOKUP(Log[[#This Row],[Item]],Calories[Name],Calories[Carbs])*Log[[#This Row],[Qty]])</f>
        <v/>
      </c>
      <c r="H688" s="71" t="str">
        <f>IF(ISBLANK(Log[[#This Row],[Item]]),"",_xlfn.XLOOKUP(Log[[#This Row],[Item]],Calories[Name],Calories[Fibre])*Log[[#This Row],[Qty]])</f>
        <v/>
      </c>
      <c r="I688" s="71" t="str">
        <f>IF(ISBLANK(Log[[#This Row],[Item]]),"",(Log[[#This Row],[Carbs]]-Log[[#This Row],[Fibre]]))</f>
        <v/>
      </c>
      <c r="J688" s="103" t="str">
        <f>IF(ISBLANK(Log[[#This Row],[Item]]),"",_xlfn.XLOOKUP(Log[[#This Row],[Item]],Calories[Name],Calories[Sodium])*Log[[#This Row],[Qty]])</f>
        <v/>
      </c>
      <c r="K688" s="71" t="str">
        <f>IF(ISBLANK(Log[[#This Row],[Item]]),"",_xlfn.XLOOKUP(Log[[#This Row],[Item]],Calories[Name],Calories[Protein])*Log[[#This Row],[Qty]])</f>
        <v/>
      </c>
      <c r="L688" s="71" t="str">
        <f>IF(ISBLANK(Log[[#This Row],[Item]]),"",_xlfn.XLOOKUP(Log[[#This Row],[Item]],Calories[Name],Calories[Chol.])*Log[[#This Row],[Qty]])</f>
        <v/>
      </c>
      <c r="M688" s="75"/>
      <c r="N688" s="75"/>
      <c r="O688" s="75"/>
    </row>
    <row r="689" spans="1:15" s="66" customFormat="1" ht="25.15" customHeight="1">
      <c r="A689" s="75"/>
      <c r="B689" s="98"/>
      <c r="C689" s="78"/>
      <c r="D689" s="79"/>
      <c r="E689" s="76" t="str">
        <f>IF(ISBLANK(Log[[#This Row],[Item]]),"",_xlfn.XLOOKUP(Log[[#This Row],[Item]],Calories[Name],Calories[Unit]))</f>
        <v/>
      </c>
      <c r="F689" s="65" t="str">
        <f>IF(ISBLANK(Log[[#This Row],[Item]]),"",_xlfn.XLOOKUP(Log[[#This Row],[Item]],Calories[Name],Calories[Cals])*Log[[#This Row],[Qty]])</f>
        <v/>
      </c>
      <c r="G689" s="71" t="str">
        <f>IF(ISBLANK(Log[[#This Row],[Item]]),"",_xlfn.XLOOKUP(Log[[#This Row],[Item]],Calories[Name],Calories[Carbs])*Log[[#This Row],[Qty]])</f>
        <v/>
      </c>
      <c r="H689" s="71" t="str">
        <f>IF(ISBLANK(Log[[#This Row],[Item]]),"",_xlfn.XLOOKUP(Log[[#This Row],[Item]],Calories[Name],Calories[Fibre])*Log[[#This Row],[Qty]])</f>
        <v/>
      </c>
      <c r="I689" s="71" t="str">
        <f>IF(ISBLANK(Log[[#This Row],[Item]]),"",(Log[[#This Row],[Carbs]]-Log[[#This Row],[Fibre]]))</f>
        <v/>
      </c>
      <c r="J689" s="103" t="str">
        <f>IF(ISBLANK(Log[[#This Row],[Item]]),"",_xlfn.XLOOKUP(Log[[#This Row],[Item]],Calories[Name],Calories[Sodium])*Log[[#This Row],[Qty]])</f>
        <v/>
      </c>
      <c r="K689" s="71" t="str">
        <f>IF(ISBLANK(Log[[#This Row],[Item]]),"",_xlfn.XLOOKUP(Log[[#This Row],[Item]],Calories[Name],Calories[Protein])*Log[[#This Row],[Qty]])</f>
        <v/>
      </c>
      <c r="L689" s="71" t="str">
        <f>IF(ISBLANK(Log[[#This Row],[Item]]),"",_xlfn.XLOOKUP(Log[[#This Row],[Item]],Calories[Name],Calories[Chol.])*Log[[#This Row],[Qty]])</f>
        <v/>
      </c>
      <c r="M689" s="75"/>
      <c r="N689" s="75"/>
      <c r="O689" s="75"/>
    </row>
    <row r="690" spans="1:15" s="66" customFormat="1" ht="25.15" customHeight="1">
      <c r="A690" s="75"/>
      <c r="B690" s="98"/>
      <c r="C690" s="78"/>
      <c r="D690" s="79"/>
      <c r="E690" s="76" t="str">
        <f>IF(ISBLANK(Log[[#This Row],[Item]]),"",_xlfn.XLOOKUP(Log[[#This Row],[Item]],Calories[Name],Calories[Unit]))</f>
        <v/>
      </c>
      <c r="F690" s="65" t="str">
        <f>IF(ISBLANK(Log[[#This Row],[Item]]),"",_xlfn.XLOOKUP(Log[[#This Row],[Item]],Calories[Name],Calories[Cals])*Log[[#This Row],[Qty]])</f>
        <v/>
      </c>
      <c r="G690" s="71" t="str">
        <f>IF(ISBLANK(Log[[#This Row],[Item]]),"",_xlfn.XLOOKUP(Log[[#This Row],[Item]],Calories[Name],Calories[Carbs])*Log[[#This Row],[Qty]])</f>
        <v/>
      </c>
      <c r="H690" s="71" t="str">
        <f>IF(ISBLANK(Log[[#This Row],[Item]]),"",_xlfn.XLOOKUP(Log[[#This Row],[Item]],Calories[Name],Calories[Fibre])*Log[[#This Row],[Qty]])</f>
        <v/>
      </c>
      <c r="I690" s="71" t="str">
        <f>IF(ISBLANK(Log[[#This Row],[Item]]),"",(Log[[#This Row],[Carbs]]-Log[[#This Row],[Fibre]]))</f>
        <v/>
      </c>
      <c r="J690" s="103" t="str">
        <f>IF(ISBLANK(Log[[#This Row],[Item]]),"",_xlfn.XLOOKUP(Log[[#This Row],[Item]],Calories[Name],Calories[Sodium])*Log[[#This Row],[Qty]])</f>
        <v/>
      </c>
      <c r="K690" s="71" t="str">
        <f>IF(ISBLANK(Log[[#This Row],[Item]]),"",_xlfn.XLOOKUP(Log[[#This Row],[Item]],Calories[Name],Calories[Protein])*Log[[#This Row],[Qty]])</f>
        <v/>
      </c>
      <c r="L690" s="71" t="str">
        <f>IF(ISBLANK(Log[[#This Row],[Item]]),"",_xlfn.XLOOKUP(Log[[#This Row],[Item]],Calories[Name],Calories[Chol.])*Log[[#This Row],[Qty]])</f>
        <v/>
      </c>
      <c r="M690" s="75"/>
      <c r="N690" s="75"/>
      <c r="O690" s="75"/>
    </row>
    <row r="691" spans="1:15" s="66" customFormat="1" ht="25.15" customHeight="1">
      <c r="A691" s="75"/>
      <c r="B691" s="98"/>
      <c r="C691" s="78"/>
      <c r="D691" s="79"/>
      <c r="E691" s="76" t="str">
        <f>IF(ISBLANK(Log[[#This Row],[Item]]),"",_xlfn.XLOOKUP(Log[[#This Row],[Item]],Calories[Name],Calories[Unit]))</f>
        <v/>
      </c>
      <c r="F691" s="65" t="str">
        <f>IF(ISBLANK(Log[[#This Row],[Item]]),"",_xlfn.XLOOKUP(Log[[#This Row],[Item]],Calories[Name],Calories[Cals])*Log[[#This Row],[Qty]])</f>
        <v/>
      </c>
      <c r="G691" s="71" t="str">
        <f>IF(ISBLANK(Log[[#This Row],[Item]]),"",_xlfn.XLOOKUP(Log[[#This Row],[Item]],Calories[Name],Calories[Carbs])*Log[[#This Row],[Qty]])</f>
        <v/>
      </c>
      <c r="H691" s="71" t="str">
        <f>IF(ISBLANK(Log[[#This Row],[Item]]),"",_xlfn.XLOOKUP(Log[[#This Row],[Item]],Calories[Name],Calories[Fibre])*Log[[#This Row],[Qty]])</f>
        <v/>
      </c>
      <c r="I691" s="71" t="str">
        <f>IF(ISBLANK(Log[[#This Row],[Item]]),"",(Log[[#This Row],[Carbs]]-Log[[#This Row],[Fibre]]))</f>
        <v/>
      </c>
      <c r="J691" s="103" t="str">
        <f>IF(ISBLANK(Log[[#This Row],[Item]]),"",_xlfn.XLOOKUP(Log[[#This Row],[Item]],Calories[Name],Calories[Sodium])*Log[[#This Row],[Qty]])</f>
        <v/>
      </c>
      <c r="K691" s="71" t="str">
        <f>IF(ISBLANK(Log[[#This Row],[Item]]),"",_xlfn.XLOOKUP(Log[[#This Row],[Item]],Calories[Name],Calories[Protein])*Log[[#This Row],[Qty]])</f>
        <v/>
      </c>
      <c r="L691" s="71" t="str">
        <f>IF(ISBLANK(Log[[#This Row],[Item]]),"",_xlfn.XLOOKUP(Log[[#This Row],[Item]],Calories[Name],Calories[Chol.])*Log[[#This Row],[Qty]])</f>
        <v/>
      </c>
      <c r="M691" s="75"/>
      <c r="N691" s="75"/>
      <c r="O691" s="75"/>
    </row>
    <row r="692" spans="1:15" s="66" customFormat="1" ht="25.15" customHeight="1">
      <c r="A692" s="75"/>
      <c r="B692" s="98"/>
      <c r="C692" s="78"/>
      <c r="D692" s="79"/>
      <c r="E692" s="76" t="str">
        <f>IF(ISBLANK(Log[[#This Row],[Item]]),"",_xlfn.XLOOKUP(Log[[#This Row],[Item]],Calories[Name],Calories[Unit]))</f>
        <v/>
      </c>
      <c r="F692" s="65" t="str">
        <f>IF(ISBLANK(Log[[#This Row],[Item]]),"",_xlfn.XLOOKUP(Log[[#This Row],[Item]],Calories[Name],Calories[Cals])*Log[[#This Row],[Qty]])</f>
        <v/>
      </c>
      <c r="G692" s="71" t="str">
        <f>IF(ISBLANK(Log[[#This Row],[Item]]),"",_xlfn.XLOOKUP(Log[[#This Row],[Item]],Calories[Name],Calories[Carbs])*Log[[#This Row],[Qty]])</f>
        <v/>
      </c>
      <c r="H692" s="71" t="str">
        <f>IF(ISBLANK(Log[[#This Row],[Item]]),"",_xlfn.XLOOKUP(Log[[#This Row],[Item]],Calories[Name],Calories[Fibre])*Log[[#This Row],[Qty]])</f>
        <v/>
      </c>
      <c r="I692" s="71" t="str">
        <f>IF(ISBLANK(Log[[#This Row],[Item]]),"",(Log[[#This Row],[Carbs]]-Log[[#This Row],[Fibre]]))</f>
        <v/>
      </c>
      <c r="J692" s="103" t="str">
        <f>IF(ISBLANK(Log[[#This Row],[Item]]),"",_xlfn.XLOOKUP(Log[[#This Row],[Item]],Calories[Name],Calories[Sodium])*Log[[#This Row],[Qty]])</f>
        <v/>
      </c>
      <c r="K692" s="71" t="str">
        <f>IF(ISBLANK(Log[[#This Row],[Item]]),"",_xlfn.XLOOKUP(Log[[#This Row],[Item]],Calories[Name],Calories[Protein])*Log[[#This Row],[Qty]])</f>
        <v/>
      </c>
      <c r="L692" s="71" t="str">
        <f>IF(ISBLANK(Log[[#This Row],[Item]]),"",_xlfn.XLOOKUP(Log[[#This Row],[Item]],Calories[Name],Calories[Chol.])*Log[[#This Row],[Qty]])</f>
        <v/>
      </c>
      <c r="M692" s="75"/>
      <c r="N692" s="75"/>
      <c r="O692" s="75"/>
    </row>
    <row r="693" spans="1:15" s="66" customFormat="1" ht="25.15" customHeight="1">
      <c r="A693" s="75"/>
      <c r="B693" s="98"/>
      <c r="C693" s="78"/>
      <c r="D693" s="79"/>
      <c r="E693" s="76" t="str">
        <f>IF(ISBLANK(Log[[#This Row],[Item]]),"",_xlfn.XLOOKUP(Log[[#This Row],[Item]],Calories[Name],Calories[Unit]))</f>
        <v/>
      </c>
      <c r="F693" s="65" t="str">
        <f>IF(ISBLANK(Log[[#This Row],[Item]]),"",_xlfn.XLOOKUP(Log[[#This Row],[Item]],Calories[Name],Calories[Cals])*Log[[#This Row],[Qty]])</f>
        <v/>
      </c>
      <c r="G693" s="71" t="str">
        <f>IF(ISBLANK(Log[[#This Row],[Item]]),"",_xlfn.XLOOKUP(Log[[#This Row],[Item]],Calories[Name],Calories[Carbs])*Log[[#This Row],[Qty]])</f>
        <v/>
      </c>
      <c r="H693" s="71" t="str">
        <f>IF(ISBLANK(Log[[#This Row],[Item]]),"",_xlfn.XLOOKUP(Log[[#This Row],[Item]],Calories[Name],Calories[Fibre])*Log[[#This Row],[Qty]])</f>
        <v/>
      </c>
      <c r="I693" s="71" t="str">
        <f>IF(ISBLANK(Log[[#This Row],[Item]]),"",(Log[[#This Row],[Carbs]]-Log[[#This Row],[Fibre]]))</f>
        <v/>
      </c>
      <c r="J693" s="103" t="str">
        <f>IF(ISBLANK(Log[[#This Row],[Item]]),"",_xlfn.XLOOKUP(Log[[#This Row],[Item]],Calories[Name],Calories[Sodium])*Log[[#This Row],[Qty]])</f>
        <v/>
      </c>
      <c r="K693" s="71" t="str">
        <f>IF(ISBLANK(Log[[#This Row],[Item]]),"",_xlfn.XLOOKUP(Log[[#This Row],[Item]],Calories[Name],Calories[Protein])*Log[[#This Row],[Qty]])</f>
        <v/>
      </c>
      <c r="L693" s="71" t="str">
        <f>IF(ISBLANK(Log[[#This Row],[Item]]),"",_xlfn.XLOOKUP(Log[[#This Row],[Item]],Calories[Name],Calories[Chol.])*Log[[#This Row],[Qty]])</f>
        <v/>
      </c>
      <c r="M693" s="75"/>
      <c r="N693" s="75"/>
      <c r="O693" s="75"/>
    </row>
    <row r="694" spans="1:15" s="66" customFormat="1" ht="25.15" customHeight="1">
      <c r="A694" s="75"/>
      <c r="B694" s="98"/>
      <c r="C694" s="78"/>
      <c r="D694" s="79"/>
      <c r="E694" s="76" t="str">
        <f>IF(ISBLANK(Log[[#This Row],[Item]]),"",_xlfn.XLOOKUP(Log[[#This Row],[Item]],Calories[Name],Calories[Unit]))</f>
        <v/>
      </c>
      <c r="F694" s="65" t="str">
        <f>IF(ISBLANK(Log[[#This Row],[Item]]),"",_xlfn.XLOOKUP(Log[[#This Row],[Item]],Calories[Name],Calories[Cals])*Log[[#This Row],[Qty]])</f>
        <v/>
      </c>
      <c r="G694" s="71" t="str">
        <f>IF(ISBLANK(Log[[#This Row],[Item]]),"",_xlfn.XLOOKUP(Log[[#This Row],[Item]],Calories[Name],Calories[Carbs])*Log[[#This Row],[Qty]])</f>
        <v/>
      </c>
      <c r="H694" s="71" t="str">
        <f>IF(ISBLANK(Log[[#This Row],[Item]]),"",_xlfn.XLOOKUP(Log[[#This Row],[Item]],Calories[Name],Calories[Fibre])*Log[[#This Row],[Qty]])</f>
        <v/>
      </c>
      <c r="I694" s="71" t="str">
        <f>IF(ISBLANK(Log[[#This Row],[Item]]),"",(Log[[#This Row],[Carbs]]-Log[[#This Row],[Fibre]]))</f>
        <v/>
      </c>
      <c r="J694" s="103" t="str">
        <f>IF(ISBLANK(Log[[#This Row],[Item]]),"",_xlfn.XLOOKUP(Log[[#This Row],[Item]],Calories[Name],Calories[Sodium])*Log[[#This Row],[Qty]])</f>
        <v/>
      </c>
      <c r="K694" s="71" t="str">
        <f>IF(ISBLANK(Log[[#This Row],[Item]]),"",_xlfn.XLOOKUP(Log[[#This Row],[Item]],Calories[Name],Calories[Protein])*Log[[#This Row],[Qty]])</f>
        <v/>
      </c>
      <c r="L694" s="71" t="str">
        <f>IF(ISBLANK(Log[[#This Row],[Item]]),"",_xlfn.XLOOKUP(Log[[#This Row],[Item]],Calories[Name],Calories[Chol.])*Log[[#This Row],[Qty]])</f>
        <v/>
      </c>
      <c r="M694" s="75"/>
      <c r="N694" s="75"/>
      <c r="O694" s="75"/>
    </row>
    <row r="695" spans="1:15" s="66" customFormat="1" ht="25.15" customHeight="1">
      <c r="A695" s="75"/>
      <c r="B695" s="98"/>
      <c r="C695" s="78"/>
      <c r="D695" s="79"/>
      <c r="E695" s="76" t="str">
        <f>IF(ISBLANK(Log[[#This Row],[Item]]),"",_xlfn.XLOOKUP(Log[[#This Row],[Item]],Calories[Name],Calories[Unit]))</f>
        <v/>
      </c>
      <c r="F695" s="65" t="str">
        <f>IF(ISBLANK(Log[[#This Row],[Item]]),"",_xlfn.XLOOKUP(Log[[#This Row],[Item]],Calories[Name],Calories[Cals])*Log[[#This Row],[Qty]])</f>
        <v/>
      </c>
      <c r="G695" s="71" t="str">
        <f>IF(ISBLANK(Log[[#This Row],[Item]]),"",_xlfn.XLOOKUP(Log[[#This Row],[Item]],Calories[Name],Calories[Carbs])*Log[[#This Row],[Qty]])</f>
        <v/>
      </c>
      <c r="H695" s="71" t="str">
        <f>IF(ISBLANK(Log[[#This Row],[Item]]),"",_xlfn.XLOOKUP(Log[[#This Row],[Item]],Calories[Name],Calories[Fibre])*Log[[#This Row],[Qty]])</f>
        <v/>
      </c>
      <c r="I695" s="71" t="str">
        <f>IF(ISBLANK(Log[[#This Row],[Item]]),"",(Log[[#This Row],[Carbs]]-Log[[#This Row],[Fibre]]))</f>
        <v/>
      </c>
      <c r="J695" s="103" t="str">
        <f>IF(ISBLANK(Log[[#This Row],[Item]]),"",_xlfn.XLOOKUP(Log[[#This Row],[Item]],Calories[Name],Calories[Sodium])*Log[[#This Row],[Qty]])</f>
        <v/>
      </c>
      <c r="K695" s="71" t="str">
        <f>IF(ISBLANK(Log[[#This Row],[Item]]),"",_xlfn.XLOOKUP(Log[[#This Row],[Item]],Calories[Name],Calories[Protein])*Log[[#This Row],[Qty]])</f>
        <v/>
      </c>
      <c r="L695" s="71" t="str">
        <f>IF(ISBLANK(Log[[#This Row],[Item]]),"",_xlfn.XLOOKUP(Log[[#This Row],[Item]],Calories[Name],Calories[Chol.])*Log[[#This Row],[Qty]])</f>
        <v/>
      </c>
      <c r="M695" s="75"/>
      <c r="N695" s="75"/>
      <c r="O695" s="75"/>
    </row>
    <row r="696" spans="1:15" s="66" customFormat="1" ht="25.15" customHeight="1">
      <c r="A696" s="75"/>
      <c r="B696" s="98"/>
      <c r="C696" s="78"/>
      <c r="D696" s="79"/>
      <c r="E696" s="76" t="str">
        <f>IF(ISBLANK(Log[[#This Row],[Item]]),"",_xlfn.XLOOKUP(Log[[#This Row],[Item]],Calories[Name],Calories[Unit]))</f>
        <v/>
      </c>
      <c r="F696" s="65" t="str">
        <f>IF(ISBLANK(Log[[#This Row],[Item]]),"",_xlfn.XLOOKUP(Log[[#This Row],[Item]],Calories[Name],Calories[Cals])*Log[[#This Row],[Qty]])</f>
        <v/>
      </c>
      <c r="G696" s="71" t="str">
        <f>IF(ISBLANK(Log[[#This Row],[Item]]),"",_xlfn.XLOOKUP(Log[[#This Row],[Item]],Calories[Name],Calories[Carbs])*Log[[#This Row],[Qty]])</f>
        <v/>
      </c>
      <c r="H696" s="71" t="str">
        <f>IF(ISBLANK(Log[[#This Row],[Item]]),"",_xlfn.XLOOKUP(Log[[#This Row],[Item]],Calories[Name],Calories[Fibre])*Log[[#This Row],[Qty]])</f>
        <v/>
      </c>
      <c r="I696" s="71" t="str">
        <f>IF(ISBLANK(Log[[#This Row],[Item]]),"",(Log[[#This Row],[Carbs]]-Log[[#This Row],[Fibre]]))</f>
        <v/>
      </c>
      <c r="J696" s="103" t="str">
        <f>IF(ISBLANK(Log[[#This Row],[Item]]),"",_xlfn.XLOOKUP(Log[[#This Row],[Item]],Calories[Name],Calories[Sodium])*Log[[#This Row],[Qty]])</f>
        <v/>
      </c>
      <c r="K696" s="71" t="str">
        <f>IF(ISBLANK(Log[[#This Row],[Item]]),"",_xlfn.XLOOKUP(Log[[#This Row],[Item]],Calories[Name],Calories[Protein])*Log[[#This Row],[Qty]])</f>
        <v/>
      </c>
      <c r="L696" s="71" t="str">
        <f>IF(ISBLANK(Log[[#This Row],[Item]]),"",_xlfn.XLOOKUP(Log[[#This Row],[Item]],Calories[Name],Calories[Chol.])*Log[[#This Row],[Qty]])</f>
        <v/>
      </c>
      <c r="M696" s="75"/>
      <c r="N696" s="75"/>
      <c r="O696" s="75"/>
    </row>
    <row r="697" spans="1:15" s="66" customFormat="1" ht="25.15" customHeight="1">
      <c r="A697" s="75"/>
      <c r="B697" s="98"/>
      <c r="C697" s="78"/>
      <c r="D697" s="79"/>
      <c r="E697" s="76" t="str">
        <f>IF(ISBLANK(Log[[#This Row],[Item]]),"",_xlfn.XLOOKUP(Log[[#This Row],[Item]],Calories[Name],Calories[Unit]))</f>
        <v/>
      </c>
      <c r="F697" s="65" t="str">
        <f>IF(ISBLANK(Log[[#This Row],[Item]]),"",_xlfn.XLOOKUP(Log[[#This Row],[Item]],Calories[Name],Calories[Cals])*Log[[#This Row],[Qty]])</f>
        <v/>
      </c>
      <c r="G697" s="71" t="str">
        <f>IF(ISBLANK(Log[[#This Row],[Item]]),"",_xlfn.XLOOKUP(Log[[#This Row],[Item]],Calories[Name],Calories[Carbs])*Log[[#This Row],[Qty]])</f>
        <v/>
      </c>
      <c r="H697" s="71" t="str">
        <f>IF(ISBLANK(Log[[#This Row],[Item]]),"",_xlfn.XLOOKUP(Log[[#This Row],[Item]],Calories[Name],Calories[Fibre])*Log[[#This Row],[Qty]])</f>
        <v/>
      </c>
      <c r="I697" s="71" t="str">
        <f>IF(ISBLANK(Log[[#This Row],[Item]]),"",(Log[[#This Row],[Carbs]]-Log[[#This Row],[Fibre]]))</f>
        <v/>
      </c>
      <c r="J697" s="103" t="str">
        <f>IF(ISBLANK(Log[[#This Row],[Item]]),"",_xlfn.XLOOKUP(Log[[#This Row],[Item]],Calories[Name],Calories[Sodium])*Log[[#This Row],[Qty]])</f>
        <v/>
      </c>
      <c r="K697" s="71" t="str">
        <f>IF(ISBLANK(Log[[#This Row],[Item]]),"",_xlfn.XLOOKUP(Log[[#This Row],[Item]],Calories[Name],Calories[Protein])*Log[[#This Row],[Qty]])</f>
        <v/>
      </c>
      <c r="L697" s="71" t="str">
        <f>IF(ISBLANK(Log[[#This Row],[Item]]),"",_xlfn.XLOOKUP(Log[[#This Row],[Item]],Calories[Name],Calories[Chol.])*Log[[#This Row],[Qty]])</f>
        <v/>
      </c>
      <c r="M697" s="75"/>
      <c r="N697" s="75"/>
      <c r="O697" s="75"/>
    </row>
    <row r="698" spans="1:15" s="66" customFormat="1" ht="25.15" customHeight="1">
      <c r="A698" s="75"/>
      <c r="B698" s="98"/>
      <c r="C698" s="78"/>
      <c r="D698" s="79"/>
      <c r="E698" s="76" t="str">
        <f>IF(ISBLANK(Log[[#This Row],[Item]]),"",_xlfn.XLOOKUP(Log[[#This Row],[Item]],Calories[Name],Calories[Unit]))</f>
        <v/>
      </c>
      <c r="F698" s="65" t="str">
        <f>IF(ISBLANK(Log[[#This Row],[Item]]),"",_xlfn.XLOOKUP(Log[[#This Row],[Item]],Calories[Name],Calories[Cals])*Log[[#This Row],[Qty]])</f>
        <v/>
      </c>
      <c r="G698" s="71" t="str">
        <f>IF(ISBLANK(Log[[#This Row],[Item]]),"",_xlfn.XLOOKUP(Log[[#This Row],[Item]],Calories[Name],Calories[Carbs])*Log[[#This Row],[Qty]])</f>
        <v/>
      </c>
      <c r="H698" s="71" t="str">
        <f>IF(ISBLANK(Log[[#This Row],[Item]]),"",_xlfn.XLOOKUP(Log[[#This Row],[Item]],Calories[Name],Calories[Fibre])*Log[[#This Row],[Qty]])</f>
        <v/>
      </c>
      <c r="I698" s="71" t="str">
        <f>IF(ISBLANK(Log[[#This Row],[Item]]),"",(Log[[#This Row],[Carbs]]-Log[[#This Row],[Fibre]]))</f>
        <v/>
      </c>
      <c r="J698" s="103" t="str">
        <f>IF(ISBLANK(Log[[#This Row],[Item]]),"",_xlfn.XLOOKUP(Log[[#This Row],[Item]],Calories[Name],Calories[Sodium])*Log[[#This Row],[Qty]])</f>
        <v/>
      </c>
      <c r="K698" s="71" t="str">
        <f>IF(ISBLANK(Log[[#This Row],[Item]]),"",_xlfn.XLOOKUP(Log[[#This Row],[Item]],Calories[Name],Calories[Protein])*Log[[#This Row],[Qty]])</f>
        <v/>
      </c>
      <c r="L698" s="71" t="str">
        <f>IF(ISBLANK(Log[[#This Row],[Item]]),"",_xlfn.XLOOKUP(Log[[#This Row],[Item]],Calories[Name],Calories[Chol.])*Log[[#This Row],[Qty]])</f>
        <v/>
      </c>
      <c r="M698" s="75"/>
      <c r="N698" s="75"/>
      <c r="O698" s="75"/>
    </row>
    <row r="699" spans="1:15" s="66" customFormat="1" ht="25.15" customHeight="1">
      <c r="A699" s="75"/>
      <c r="B699" s="98"/>
      <c r="C699" s="78"/>
      <c r="D699" s="79"/>
      <c r="E699" s="76" t="str">
        <f>IF(ISBLANK(Log[[#This Row],[Item]]),"",_xlfn.XLOOKUP(Log[[#This Row],[Item]],Calories[Name],Calories[Unit]))</f>
        <v/>
      </c>
      <c r="F699" s="65" t="str">
        <f>IF(ISBLANK(Log[[#This Row],[Item]]),"",_xlfn.XLOOKUP(Log[[#This Row],[Item]],Calories[Name],Calories[Cals])*Log[[#This Row],[Qty]])</f>
        <v/>
      </c>
      <c r="G699" s="71" t="str">
        <f>IF(ISBLANK(Log[[#This Row],[Item]]),"",_xlfn.XLOOKUP(Log[[#This Row],[Item]],Calories[Name],Calories[Carbs])*Log[[#This Row],[Qty]])</f>
        <v/>
      </c>
      <c r="H699" s="71" t="str">
        <f>IF(ISBLANK(Log[[#This Row],[Item]]),"",_xlfn.XLOOKUP(Log[[#This Row],[Item]],Calories[Name],Calories[Fibre])*Log[[#This Row],[Qty]])</f>
        <v/>
      </c>
      <c r="I699" s="71" t="str">
        <f>IF(ISBLANK(Log[[#This Row],[Item]]),"",(Log[[#This Row],[Carbs]]-Log[[#This Row],[Fibre]]))</f>
        <v/>
      </c>
      <c r="J699" s="103" t="str">
        <f>IF(ISBLANK(Log[[#This Row],[Item]]),"",_xlfn.XLOOKUP(Log[[#This Row],[Item]],Calories[Name],Calories[Sodium])*Log[[#This Row],[Qty]])</f>
        <v/>
      </c>
      <c r="K699" s="71" t="str">
        <f>IF(ISBLANK(Log[[#This Row],[Item]]),"",_xlfn.XLOOKUP(Log[[#This Row],[Item]],Calories[Name],Calories[Protein])*Log[[#This Row],[Qty]])</f>
        <v/>
      </c>
      <c r="L699" s="71" t="str">
        <f>IF(ISBLANK(Log[[#This Row],[Item]]),"",_xlfn.XLOOKUP(Log[[#This Row],[Item]],Calories[Name],Calories[Chol.])*Log[[#This Row],[Qty]])</f>
        <v/>
      </c>
      <c r="M699" s="75"/>
      <c r="N699" s="75"/>
      <c r="O699" s="75"/>
    </row>
    <row r="700" spans="1:15" s="66" customFormat="1" ht="25.15" customHeight="1">
      <c r="A700" s="75"/>
      <c r="B700" s="98"/>
      <c r="C700" s="78"/>
      <c r="D700" s="79"/>
      <c r="E700" s="76" t="str">
        <f>IF(ISBLANK(Log[[#This Row],[Item]]),"",_xlfn.XLOOKUP(Log[[#This Row],[Item]],Calories[Name],Calories[Unit]))</f>
        <v/>
      </c>
      <c r="F700" s="65" t="str">
        <f>IF(ISBLANK(Log[[#This Row],[Item]]),"",_xlfn.XLOOKUP(Log[[#This Row],[Item]],Calories[Name],Calories[Cals])*Log[[#This Row],[Qty]])</f>
        <v/>
      </c>
      <c r="G700" s="71" t="str">
        <f>IF(ISBLANK(Log[[#This Row],[Item]]),"",_xlfn.XLOOKUP(Log[[#This Row],[Item]],Calories[Name],Calories[Carbs])*Log[[#This Row],[Qty]])</f>
        <v/>
      </c>
      <c r="H700" s="71" t="str">
        <f>IF(ISBLANK(Log[[#This Row],[Item]]),"",_xlfn.XLOOKUP(Log[[#This Row],[Item]],Calories[Name],Calories[Fibre])*Log[[#This Row],[Qty]])</f>
        <v/>
      </c>
      <c r="I700" s="71" t="str">
        <f>IF(ISBLANK(Log[[#This Row],[Item]]),"",(Log[[#This Row],[Carbs]]-Log[[#This Row],[Fibre]]))</f>
        <v/>
      </c>
      <c r="J700" s="103" t="str">
        <f>IF(ISBLANK(Log[[#This Row],[Item]]),"",_xlfn.XLOOKUP(Log[[#This Row],[Item]],Calories[Name],Calories[Sodium])*Log[[#This Row],[Qty]])</f>
        <v/>
      </c>
      <c r="K700" s="71" t="str">
        <f>IF(ISBLANK(Log[[#This Row],[Item]]),"",_xlfn.XLOOKUP(Log[[#This Row],[Item]],Calories[Name],Calories[Protein])*Log[[#This Row],[Qty]])</f>
        <v/>
      </c>
      <c r="L700" s="71" t="str">
        <f>IF(ISBLANK(Log[[#This Row],[Item]]),"",_xlfn.XLOOKUP(Log[[#This Row],[Item]],Calories[Name],Calories[Chol.])*Log[[#This Row],[Qty]])</f>
        <v/>
      </c>
      <c r="M700" s="75"/>
      <c r="N700" s="75"/>
      <c r="O700" s="75"/>
    </row>
    <row r="701" spans="1:15" s="66" customFormat="1" ht="25.15" customHeight="1">
      <c r="A701" s="75"/>
      <c r="B701" s="98"/>
      <c r="C701" s="78"/>
      <c r="D701" s="79"/>
      <c r="E701" s="76" t="str">
        <f>IF(ISBLANK(Log[[#This Row],[Item]]),"",_xlfn.XLOOKUP(Log[[#This Row],[Item]],Calories[Name],Calories[Unit]))</f>
        <v/>
      </c>
      <c r="F701" s="65" t="str">
        <f>IF(ISBLANK(Log[[#This Row],[Item]]),"",_xlfn.XLOOKUP(Log[[#This Row],[Item]],Calories[Name],Calories[Cals])*Log[[#This Row],[Qty]])</f>
        <v/>
      </c>
      <c r="G701" s="71" t="str">
        <f>IF(ISBLANK(Log[[#This Row],[Item]]),"",_xlfn.XLOOKUP(Log[[#This Row],[Item]],Calories[Name],Calories[Carbs])*Log[[#This Row],[Qty]])</f>
        <v/>
      </c>
      <c r="H701" s="71" t="str">
        <f>IF(ISBLANK(Log[[#This Row],[Item]]),"",_xlfn.XLOOKUP(Log[[#This Row],[Item]],Calories[Name],Calories[Fibre])*Log[[#This Row],[Qty]])</f>
        <v/>
      </c>
      <c r="I701" s="71" t="str">
        <f>IF(ISBLANK(Log[[#This Row],[Item]]),"",(Log[[#This Row],[Carbs]]-Log[[#This Row],[Fibre]]))</f>
        <v/>
      </c>
      <c r="J701" s="103" t="str">
        <f>IF(ISBLANK(Log[[#This Row],[Item]]),"",_xlfn.XLOOKUP(Log[[#This Row],[Item]],Calories[Name],Calories[Sodium])*Log[[#This Row],[Qty]])</f>
        <v/>
      </c>
      <c r="K701" s="71" t="str">
        <f>IF(ISBLANK(Log[[#This Row],[Item]]),"",_xlfn.XLOOKUP(Log[[#This Row],[Item]],Calories[Name],Calories[Protein])*Log[[#This Row],[Qty]])</f>
        <v/>
      </c>
      <c r="L701" s="71" t="str">
        <f>IF(ISBLANK(Log[[#This Row],[Item]]),"",_xlfn.XLOOKUP(Log[[#This Row],[Item]],Calories[Name],Calories[Chol.])*Log[[#This Row],[Qty]])</f>
        <v/>
      </c>
      <c r="M701" s="75"/>
      <c r="N701" s="75"/>
      <c r="O701" s="75"/>
    </row>
    <row r="702" spans="1:15" s="66" customFormat="1" ht="25.15" customHeight="1">
      <c r="A702" s="75"/>
      <c r="B702" s="98"/>
      <c r="C702" s="78"/>
      <c r="D702" s="79"/>
      <c r="E702" s="76" t="str">
        <f>IF(ISBLANK(Log[[#This Row],[Item]]),"",_xlfn.XLOOKUP(Log[[#This Row],[Item]],Calories[Name],Calories[Unit]))</f>
        <v/>
      </c>
      <c r="F702" s="65" t="str">
        <f>IF(ISBLANK(Log[[#This Row],[Item]]),"",_xlfn.XLOOKUP(Log[[#This Row],[Item]],Calories[Name],Calories[Cals])*Log[[#This Row],[Qty]])</f>
        <v/>
      </c>
      <c r="G702" s="71" t="str">
        <f>IF(ISBLANK(Log[[#This Row],[Item]]),"",_xlfn.XLOOKUP(Log[[#This Row],[Item]],Calories[Name],Calories[Carbs])*Log[[#This Row],[Qty]])</f>
        <v/>
      </c>
      <c r="H702" s="71" t="str">
        <f>IF(ISBLANK(Log[[#This Row],[Item]]),"",_xlfn.XLOOKUP(Log[[#This Row],[Item]],Calories[Name],Calories[Fibre])*Log[[#This Row],[Qty]])</f>
        <v/>
      </c>
      <c r="I702" s="71" t="str">
        <f>IF(ISBLANK(Log[[#This Row],[Item]]),"",(Log[[#This Row],[Carbs]]-Log[[#This Row],[Fibre]]))</f>
        <v/>
      </c>
      <c r="J702" s="103" t="str">
        <f>IF(ISBLANK(Log[[#This Row],[Item]]),"",_xlfn.XLOOKUP(Log[[#This Row],[Item]],Calories[Name],Calories[Sodium])*Log[[#This Row],[Qty]])</f>
        <v/>
      </c>
      <c r="K702" s="71" t="str">
        <f>IF(ISBLANK(Log[[#This Row],[Item]]),"",_xlfn.XLOOKUP(Log[[#This Row],[Item]],Calories[Name],Calories[Protein])*Log[[#This Row],[Qty]])</f>
        <v/>
      </c>
      <c r="L702" s="71" t="str">
        <f>IF(ISBLANK(Log[[#This Row],[Item]]),"",_xlfn.XLOOKUP(Log[[#This Row],[Item]],Calories[Name],Calories[Chol.])*Log[[#This Row],[Qty]])</f>
        <v/>
      </c>
      <c r="M702" s="75"/>
      <c r="N702" s="75"/>
      <c r="O702" s="75"/>
    </row>
    <row r="703" spans="1:15" s="66" customFormat="1" ht="25.15" customHeight="1">
      <c r="A703" s="75"/>
      <c r="B703" s="98"/>
      <c r="C703" s="78"/>
      <c r="D703" s="79"/>
      <c r="E703" s="76" t="str">
        <f>IF(ISBLANK(Log[[#This Row],[Item]]),"",_xlfn.XLOOKUP(Log[[#This Row],[Item]],Calories[Name],Calories[Unit]))</f>
        <v/>
      </c>
      <c r="F703" s="65" t="str">
        <f>IF(ISBLANK(Log[[#This Row],[Item]]),"",_xlfn.XLOOKUP(Log[[#This Row],[Item]],Calories[Name],Calories[Cals])*Log[[#This Row],[Qty]])</f>
        <v/>
      </c>
      <c r="G703" s="71" t="str">
        <f>IF(ISBLANK(Log[[#This Row],[Item]]),"",_xlfn.XLOOKUP(Log[[#This Row],[Item]],Calories[Name],Calories[Carbs])*Log[[#This Row],[Qty]])</f>
        <v/>
      </c>
      <c r="H703" s="71" t="str">
        <f>IF(ISBLANK(Log[[#This Row],[Item]]),"",_xlfn.XLOOKUP(Log[[#This Row],[Item]],Calories[Name],Calories[Fibre])*Log[[#This Row],[Qty]])</f>
        <v/>
      </c>
      <c r="I703" s="71" t="str">
        <f>IF(ISBLANK(Log[[#This Row],[Item]]),"",(Log[[#This Row],[Carbs]]-Log[[#This Row],[Fibre]]))</f>
        <v/>
      </c>
      <c r="J703" s="103" t="str">
        <f>IF(ISBLANK(Log[[#This Row],[Item]]),"",_xlfn.XLOOKUP(Log[[#This Row],[Item]],Calories[Name],Calories[Sodium])*Log[[#This Row],[Qty]])</f>
        <v/>
      </c>
      <c r="K703" s="71" t="str">
        <f>IF(ISBLANK(Log[[#This Row],[Item]]),"",_xlfn.XLOOKUP(Log[[#This Row],[Item]],Calories[Name],Calories[Protein])*Log[[#This Row],[Qty]])</f>
        <v/>
      </c>
      <c r="L703" s="71" t="str">
        <f>IF(ISBLANK(Log[[#This Row],[Item]]),"",_xlfn.XLOOKUP(Log[[#This Row],[Item]],Calories[Name],Calories[Chol.])*Log[[#This Row],[Qty]])</f>
        <v/>
      </c>
      <c r="M703" s="75"/>
      <c r="N703" s="75"/>
      <c r="O703" s="75"/>
    </row>
    <row r="704" spans="1:15" s="66" customFormat="1" ht="25.15" customHeight="1">
      <c r="A704" s="75"/>
      <c r="B704" s="98"/>
      <c r="C704" s="78"/>
      <c r="D704" s="79"/>
      <c r="E704" s="76" t="str">
        <f>IF(ISBLANK(Log[[#This Row],[Item]]),"",_xlfn.XLOOKUP(Log[[#This Row],[Item]],Calories[Name],Calories[Unit]))</f>
        <v/>
      </c>
      <c r="F704" s="65" t="str">
        <f>IF(ISBLANK(Log[[#This Row],[Item]]),"",_xlfn.XLOOKUP(Log[[#This Row],[Item]],Calories[Name],Calories[Cals])*Log[[#This Row],[Qty]])</f>
        <v/>
      </c>
      <c r="G704" s="71" t="str">
        <f>IF(ISBLANK(Log[[#This Row],[Item]]),"",_xlfn.XLOOKUP(Log[[#This Row],[Item]],Calories[Name],Calories[Carbs])*Log[[#This Row],[Qty]])</f>
        <v/>
      </c>
      <c r="H704" s="71" t="str">
        <f>IF(ISBLANK(Log[[#This Row],[Item]]),"",_xlfn.XLOOKUP(Log[[#This Row],[Item]],Calories[Name],Calories[Fibre])*Log[[#This Row],[Qty]])</f>
        <v/>
      </c>
      <c r="I704" s="71" t="str">
        <f>IF(ISBLANK(Log[[#This Row],[Item]]),"",(Log[[#This Row],[Carbs]]-Log[[#This Row],[Fibre]]))</f>
        <v/>
      </c>
      <c r="J704" s="103" t="str">
        <f>IF(ISBLANK(Log[[#This Row],[Item]]),"",_xlfn.XLOOKUP(Log[[#This Row],[Item]],Calories[Name],Calories[Sodium])*Log[[#This Row],[Qty]])</f>
        <v/>
      </c>
      <c r="K704" s="71" t="str">
        <f>IF(ISBLANK(Log[[#This Row],[Item]]),"",_xlfn.XLOOKUP(Log[[#This Row],[Item]],Calories[Name],Calories[Protein])*Log[[#This Row],[Qty]])</f>
        <v/>
      </c>
      <c r="L704" s="71" t="str">
        <f>IF(ISBLANK(Log[[#This Row],[Item]]),"",_xlfn.XLOOKUP(Log[[#This Row],[Item]],Calories[Name],Calories[Chol.])*Log[[#This Row],[Qty]])</f>
        <v/>
      </c>
      <c r="M704" s="75"/>
      <c r="N704" s="75"/>
      <c r="O704" s="75"/>
    </row>
    <row r="705" spans="1:15" s="66" customFormat="1" ht="25.15" customHeight="1">
      <c r="A705" s="75"/>
      <c r="B705" s="98"/>
      <c r="C705" s="78"/>
      <c r="D705" s="79"/>
      <c r="E705" s="76" t="str">
        <f>IF(ISBLANK(Log[[#This Row],[Item]]),"",_xlfn.XLOOKUP(Log[[#This Row],[Item]],Calories[Name],Calories[Unit]))</f>
        <v/>
      </c>
      <c r="F705" s="65" t="str">
        <f>IF(ISBLANK(Log[[#This Row],[Item]]),"",_xlfn.XLOOKUP(Log[[#This Row],[Item]],Calories[Name],Calories[Cals])*Log[[#This Row],[Qty]])</f>
        <v/>
      </c>
      <c r="G705" s="71" t="str">
        <f>IF(ISBLANK(Log[[#This Row],[Item]]),"",_xlfn.XLOOKUP(Log[[#This Row],[Item]],Calories[Name],Calories[Carbs])*Log[[#This Row],[Qty]])</f>
        <v/>
      </c>
      <c r="H705" s="71" t="str">
        <f>IF(ISBLANK(Log[[#This Row],[Item]]),"",_xlfn.XLOOKUP(Log[[#This Row],[Item]],Calories[Name],Calories[Fibre])*Log[[#This Row],[Qty]])</f>
        <v/>
      </c>
      <c r="I705" s="71" t="str">
        <f>IF(ISBLANK(Log[[#This Row],[Item]]),"",(Log[[#This Row],[Carbs]]-Log[[#This Row],[Fibre]]))</f>
        <v/>
      </c>
      <c r="J705" s="103" t="str">
        <f>IF(ISBLANK(Log[[#This Row],[Item]]),"",_xlfn.XLOOKUP(Log[[#This Row],[Item]],Calories[Name],Calories[Sodium])*Log[[#This Row],[Qty]])</f>
        <v/>
      </c>
      <c r="K705" s="71" t="str">
        <f>IF(ISBLANK(Log[[#This Row],[Item]]),"",_xlfn.XLOOKUP(Log[[#This Row],[Item]],Calories[Name],Calories[Protein])*Log[[#This Row],[Qty]])</f>
        <v/>
      </c>
      <c r="L705" s="71" t="str">
        <f>IF(ISBLANK(Log[[#This Row],[Item]]),"",_xlfn.XLOOKUP(Log[[#This Row],[Item]],Calories[Name],Calories[Chol.])*Log[[#This Row],[Qty]])</f>
        <v/>
      </c>
      <c r="M705" s="75"/>
      <c r="N705" s="75"/>
      <c r="O705" s="75"/>
    </row>
    <row r="706" spans="1:15" s="66" customFormat="1" ht="25.15" customHeight="1">
      <c r="A706" s="75"/>
      <c r="B706" s="98"/>
      <c r="C706" s="78"/>
      <c r="D706" s="79"/>
      <c r="E706" s="76" t="str">
        <f>IF(ISBLANK(Log[[#This Row],[Item]]),"",_xlfn.XLOOKUP(Log[[#This Row],[Item]],Calories[Name],Calories[Unit]))</f>
        <v/>
      </c>
      <c r="F706" s="65" t="str">
        <f>IF(ISBLANK(Log[[#This Row],[Item]]),"",_xlfn.XLOOKUP(Log[[#This Row],[Item]],Calories[Name],Calories[Cals])*Log[[#This Row],[Qty]])</f>
        <v/>
      </c>
      <c r="G706" s="71" t="str">
        <f>IF(ISBLANK(Log[[#This Row],[Item]]),"",_xlfn.XLOOKUP(Log[[#This Row],[Item]],Calories[Name],Calories[Carbs])*Log[[#This Row],[Qty]])</f>
        <v/>
      </c>
      <c r="H706" s="71" t="str">
        <f>IF(ISBLANK(Log[[#This Row],[Item]]),"",_xlfn.XLOOKUP(Log[[#This Row],[Item]],Calories[Name],Calories[Fibre])*Log[[#This Row],[Qty]])</f>
        <v/>
      </c>
      <c r="I706" s="71" t="str">
        <f>IF(ISBLANK(Log[[#This Row],[Item]]),"",(Log[[#This Row],[Carbs]]-Log[[#This Row],[Fibre]]))</f>
        <v/>
      </c>
      <c r="J706" s="103" t="str">
        <f>IF(ISBLANK(Log[[#This Row],[Item]]),"",_xlfn.XLOOKUP(Log[[#This Row],[Item]],Calories[Name],Calories[Sodium])*Log[[#This Row],[Qty]])</f>
        <v/>
      </c>
      <c r="K706" s="71" t="str">
        <f>IF(ISBLANK(Log[[#This Row],[Item]]),"",_xlfn.XLOOKUP(Log[[#This Row],[Item]],Calories[Name],Calories[Protein])*Log[[#This Row],[Qty]])</f>
        <v/>
      </c>
      <c r="L706" s="71" t="str">
        <f>IF(ISBLANK(Log[[#This Row],[Item]]),"",_xlfn.XLOOKUP(Log[[#This Row],[Item]],Calories[Name],Calories[Chol.])*Log[[#This Row],[Qty]])</f>
        <v/>
      </c>
      <c r="M706" s="75"/>
      <c r="N706" s="75"/>
      <c r="O706" s="75"/>
    </row>
    <row r="707" spans="1:15" s="66" customFormat="1" ht="25.15" customHeight="1">
      <c r="A707" s="75"/>
      <c r="B707" s="98"/>
      <c r="C707" s="78"/>
      <c r="D707" s="79"/>
      <c r="E707" s="76" t="str">
        <f>IF(ISBLANK(Log[[#This Row],[Item]]),"",_xlfn.XLOOKUP(Log[[#This Row],[Item]],Calories[Name],Calories[Unit]))</f>
        <v/>
      </c>
      <c r="F707" s="65" t="str">
        <f>IF(ISBLANK(Log[[#This Row],[Item]]),"",_xlfn.XLOOKUP(Log[[#This Row],[Item]],Calories[Name],Calories[Cals])*Log[[#This Row],[Qty]])</f>
        <v/>
      </c>
      <c r="G707" s="71" t="str">
        <f>IF(ISBLANK(Log[[#This Row],[Item]]),"",_xlfn.XLOOKUP(Log[[#This Row],[Item]],Calories[Name],Calories[Carbs])*Log[[#This Row],[Qty]])</f>
        <v/>
      </c>
      <c r="H707" s="71" t="str">
        <f>IF(ISBLANK(Log[[#This Row],[Item]]),"",_xlfn.XLOOKUP(Log[[#This Row],[Item]],Calories[Name],Calories[Fibre])*Log[[#This Row],[Qty]])</f>
        <v/>
      </c>
      <c r="I707" s="71" t="str">
        <f>IF(ISBLANK(Log[[#This Row],[Item]]),"",(Log[[#This Row],[Carbs]]-Log[[#This Row],[Fibre]]))</f>
        <v/>
      </c>
      <c r="J707" s="103" t="str">
        <f>IF(ISBLANK(Log[[#This Row],[Item]]),"",_xlfn.XLOOKUP(Log[[#This Row],[Item]],Calories[Name],Calories[Sodium])*Log[[#This Row],[Qty]])</f>
        <v/>
      </c>
      <c r="K707" s="71" t="str">
        <f>IF(ISBLANK(Log[[#This Row],[Item]]),"",_xlfn.XLOOKUP(Log[[#This Row],[Item]],Calories[Name],Calories[Protein])*Log[[#This Row],[Qty]])</f>
        <v/>
      </c>
      <c r="L707" s="71" t="str">
        <f>IF(ISBLANK(Log[[#This Row],[Item]]),"",_xlfn.XLOOKUP(Log[[#This Row],[Item]],Calories[Name],Calories[Chol.])*Log[[#This Row],[Qty]])</f>
        <v/>
      </c>
      <c r="M707" s="75"/>
      <c r="N707" s="75"/>
      <c r="O707" s="75"/>
    </row>
    <row r="708" spans="1:15" s="66" customFormat="1" ht="25.15" customHeight="1">
      <c r="A708" s="75"/>
      <c r="B708" s="98"/>
      <c r="C708" s="78"/>
      <c r="D708" s="79"/>
      <c r="E708" s="76" t="str">
        <f>IF(ISBLANK(Log[[#This Row],[Item]]),"",_xlfn.XLOOKUP(Log[[#This Row],[Item]],Calories[Name],Calories[Unit]))</f>
        <v/>
      </c>
      <c r="F708" s="65" t="str">
        <f>IF(ISBLANK(Log[[#This Row],[Item]]),"",_xlfn.XLOOKUP(Log[[#This Row],[Item]],Calories[Name],Calories[Cals])*Log[[#This Row],[Qty]])</f>
        <v/>
      </c>
      <c r="G708" s="71" t="str">
        <f>IF(ISBLANK(Log[[#This Row],[Item]]),"",_xlfn.XLOOKUP(Log[[#This Row],[Item]],Calories[Name],Calories[Carbs])*Log[[#This Row],[Qty]])</f>
        <v/>
      </c>
      <c r="H708" s="71" t="str">
        <f>IF(ISBLANK(Log[[#This Row],[Item]]),"",_xlfn.XLOOKUP(Log[[#This Row],[Item]],Calories[Name],Calories[Fibre])*Log[[#This Row],[Qty]])</f>
        <v/>
      </c>
      <c r="I708" s="71" t="str">
        <f>IF(ISBLANK(Log[[#This Row],[Item]]),"",(Log[[#This Row],[Carbs]]-Log[[#This Row],[Fibre]]))</f>
        <v/>
      </c>
      <c r="J708" s="103" t="str">
        <f>IF(ISBLANK(Log[[#This Row],[Item]]),"",_xlfn.XLOOKUP(Log[[#This Row],[Item]],Calories[Name],Calories[Sodium])*Log[[#This Row],[Qty]])</f>
        <v/>
      </c>
      <c r="K708" s="71" t="str">
        <f>IF(ISBLANK(Log[[#This Row],[Item]]),"",_xlfn.XLOOKUP(Log[[#This Row],[Item]],Calories[Name],Calories[Protein])*Log[[#This Row],[Qty]])</f>
        <v/>
      </c>
      <c r="L708" s="71" t="str">
        <f>IF(ISBLANK(Log[[#This Row],[Item]]),"",_xlfn.XLOOKUP(Log[[#This Row],[Item]],Calories[Name],Calories[Chol.])*Log[[#This Row],[Qty]])</f>
        <v/>
      </c>
      <c r="M708" s="75"/>
      <c r="N708" s="75"/>
      <c r="O708" s="75"/>
    </row>
    <row r="709" spans="1:15" s="66" customFormat="1" ht="25.15" customHeight="1">
      <c r="A709" s="75"/>
      <c r="B709" s="98"/>
      <c r="C709" s="78"/>
      <c r="D709" s="79"/>
      <c r="E709" s="76" t="str">
        <f>IF(ISBLANK(Log[[#This Row],[Item]]),"",_xlfn.XLOOKUP(Log[[#This Row],[Item]],Calories[Name],Calories[Unit]))</f>
        <v/>
      </c>
      <c r="F709" s="65" t="str">
        <f>IF(ISBLANK(Log[[#This Row],[Item]]),"",_xlfn.XLOOKUP(Log[[#This Row],[Item]],Calories[Name],Calories[Cals])*Log[[#This Row],[Qty]])</f>
        <v/>
      </c>
      <c r="G709" s="71" t="str">
        <f>IF(ISBLANK(Log[[#This Row],[Item]]),"",_xlfn.XLOOKUP(Log[[#This Row],[Item]],Calories[Name],Calories[Carbs])*Log[[#This Row],[Qty]])</f>
        <v/>
      </c>
      <c r="H709" s="71" t="str">
        <f>IF(ISBLANK(Log[[#This Row],[Item]]),"",_xlfn.XLOOKUP(Log[[#This Row],[Item]],Calories[Name],Calories[Fibre])*Log[[#This Row],[Qty]])</f>
        <v/>
      </c>
      <c r="I709" s="71" t="str">
        <f>IF(ISBLANK(Log[[#This Row],[Item]]),"",(Log[[#This Row],[Carbs]]-Log[[#This Row],[Fibre]]))</f>
        <v/>
      </c>
      <c r="J709" s="103" t="str">
        <f>IF(ISBLANK(Log[[#This Row],[Item]]),"",_xlfn.XLOOKUP(Log[[#This Row],[Item]],Calories[Name],Calories[Sodium])*Log[[#This Row],[Qty]])</f>
        <v/>
      </c>
      <c r="K709" s="71" t="str">
        <f>IF(ISBLANK(Log[[#This Row],[Item]]),"",_xlfn.XLOOKUP(Log[[#This Row],[Item]],Calories[Name],Calories[Protein])*Log[[#This Row],[Qty]])</f>
        <v/>
      </c>
      <c r="L709" s="71" t="str">
        <f>IF(ISBLANK(Log[[#This Row],[Item]]),"",_xlfn.XLOOKUP(Log[[#This Row],[Item]],Calories[Name],Calories[Chol.])*Log[[#This Row],[Qty]])</f>
        <v/>
      </c>
      <c r="M709" s="75"/>
      <c r="N709" s="75"/>
      <c r="O709" s="75"/>
    </row>
    <row r="710" spans="1:15" s="66" customFormat="1" ht="25.15" customHeight="1">
      <c r="A710" s="75"/>
      <c r="B710" s="98"/>
      <c r="C710" s="78"/>
      <c r="D710" s="79"/>
      <c r="E710" s="76" t="str">
        <f>IF(ISBLANK(Log[[#This Row],[Item]]),"",_xlfn.XLOOKUP(Log[[#This Row],[Item]],Calories[Name],Calories[Unit]))</f>
        <v/>
      </c>
      <c r="F710" s="65" t="str">
        <f>IF(ISBLANK(Log[[#This Row],[Item]]),"",_xlfn.XLOOKUP(Log[[#This Row],[Item]],Calories[Name],Calories[Cals])*Log[[#This Row],[Qty]])</f>
        <v/>
      </c>
      <c r="G710" s="71" t="str">
        <f>IF(ISBLANK(Log[[#This Row],[Item]]),"",_xlfn.XLOOKUP(Log[[#This Row],[Item]],Calories[Name],Calories[Carbs])*Log[[#This Row],[Qty]])</f>
        <v/>
      </c>
      <c r="H710" s="71" t="str">
        <f>IF(ISBLANK(Log[[#This Row],[Item]]),"",_xlfn.XLOOKUP(Log[[#This Row],[Item]],Calories[Name],Calories[Fibre])*Log[[#This Row],[Qty]])</f>
        <v/>
      </c>
      <c r="I710" s="71" t="str">
        <f>IF(ISBLANK(Log[[#This Row],[Item]]),"",(Log[[#This Row],[Carbs]]-Log[[#This Row],[Fibre]]))</f>
        <v/>
      </c>
      <c r="J710" s="103" t="str">
        <f>IF(ISBLANK(Log[[#This Row],[Item]]),"",_xlfn.XLOOKUP(Log[[#This Row],[Item]],Calories[Name],Calories[Sodium])*Log[[#This Row],[Qty]])</f>
        <v/>
      </c>
      <c r="K710" s="71" t="str">
        <f>IF(ISBLANK(Log[[#This Row],[Item]]),"",_xlfn.XLOOKUP(Log[[#This Row],[Item]],Calories[Name],Calories[Protein])*Log[[#This Row],[Qty]])</f>
        <v/>
      </c>
      <c r="L710" s="71" t="str">
        <f>IF(ISBLANK(Log[[#This Row],[Item]]),"",_xlfn.XLOOKUP(Log[[#This Row],[Item]],Calories[Name],Calories[Chol.])*Log[[#This Row],[Qty]])</f>
        <v/>
      </c>
      <c r="M710" s="75"/>
      <c r="N710" s="75"/>
      <c r="O710" s="75"/>
    </row>
    <row r="711" spans="1:15" s="66" customFormat="1" ht="25.15" customHeight="1">
      <c r="A711" s="75"/>
      <c r="B711" s="98"/>
      <c r="C711" s="78"/>
      <c r="D711" s="79"/>
      <c r="E711" s="76" t="str">
        <f>IF(ISBLANK(Log[[#This Row],[Item]]),"",_xlfn.XLOOKUP(Log[[#This Row],[Item]],Calories[Name],Calories[Unit]))</f>
        <v/>
      </c>
      <c r="F711" s="65" t="str">
        <f>IF(ISBLANK(Log[[#This Row],[Item]]),"",_xlfn.XLOOKUP(Log[[#This Row],[Item]],Calories[Name],Calories[Cals])*Log[[#This Row],[Qty]])</f>
        <v/>
      </c>
      <c r="G711" s="71" t="str">
        <f>IF(ISBLANK(Log[[#This Row],[Item]]),"",_xlfn.XLOOKUP(Log[[#This Row],[Item]],Calories[Name],Calories[Carbs])*Log[[#This Row],[Qty]])</f>
        <v/>
      </c>
      <c r="H711" s="71" t="str">
        <f>IF(ISBLANK(Log[[#This Row],[Item]]),"",_xlfn.XLOOKUP(Log[[#This Row],[Item]],Calories[Name],Calories[Fibre])*Log[[#This Row],[Qty]])</f>
        <v/>
      </c>
      <c r="I711" s="71" t="str">
        <f>IF(ISBLANK(Log[[#This Row],[Item]]),"",(Log[[#This Row],[Carbs]]-Log[[#This Row],[Fibre]]))</f>
        <v/>
      </c>
      <c r="J711" s="103" t="str">
        <f>IF(ISBLANK(Log[[#This Row],[Item]]),"",_xlfn.XLOOKUP(Log[[#This Row],[Item]],Calories[Name],Calories[Sodium])*Log[[#This Row],[Qty]])</f>
        <v/>
      </c>
      <c r="K711" s="71" t="str">
        <f>IF(ISBLANK(Log[[#This Row],[Item]]),"",_xlfn.XLOOKUP(Log[[#This Row],[Item]],Calories[Name],Calories[Protein])*Log[[#This Row],[Qty]])</f>
        <v/>
      </c>
      <c r="L711" s="71" t="str">
        <f>IF(ISBLANK(Log[[#This Row],[Item]]),"",_xlfn.XLOOKUP(Log[[#This Row],[Item]],Calories[Name],Calories[Chol.])*Log[[#This Row],[Qty]])</f>
        <v/>
      </c>
      <c r="M711" s="75"/>
      <c r="N711" s="75"/>
      <c r="O711" s="75"/>
    </row>
    <row r="712" spans="1:15" s="66" customFormat="1" ht="25.15" customHeight="1">
      <c r="A712" s="75"/>
      <c r="B712" s="98"/>
      <c r="C712" s="78"/>
      <c r="D712" s="79"/>
      <c r="E712" s="76" t="str">
        <f>IF(ISBLANK(Log[[#This Row],[Item]]),"",_xlfn.XLOOKUP(Log[[#This Row],[Item]],Calories[Name],Calories[Unit]))</f>
        <v/>
      </c>
      <c r="F712" s="65" t="str">
        <f>IF(ISBLANK(Log[[#This Row],[Item]]),"",_xlfn.XLOOKUP(Log[[#This Row],[Item]],Calories[Name],Calories[Cals])*Log[[#This Row],[Qty]])</f>
        <v/>
      </c>
      <c r="G712" s="71" t="str">
        <f>IF(ISBLANK(Log[[#This Row],[Item]]),"",_xlfn.XLOOKUP(Log[[#This Row],[Item]],Calories[Name],Calories[Carbs])*Log[[#This Row],[Qty]])</f>
        <v/>
      </c>
      <c r="H712" s="71" t="str">
        <f>IF(ISBLANK(Log[[#This Row],[Item]]),"",_xlfn.XLOOKUP(Log[[#This Row],[Item]],Calories[Name],Calories[Fibre])*Log[[#This Row],[Qty]])</f>
        <v/>
      </c>
      <c r="I712" s="71" t="str">
        <f>IF(ISBLANK(Log[[#This Row],[Item]]),"",(Log[[#This Row],[Carbs]]-Log[[#This Row],[Fibre]]))</f>
        <v/>
      </c>
      <c r="J712" s="103" t="str">
        <f>IF(ISBLANK(Log[[#This Row],[Item]]),"",_xlfn.XLOOKUP(Log[[#This Row],[Item]],Calories[Name],Calories[Sodium])*Log[[#This Row],[Qty]])</f>
        <v/>
      </c>
      <c r="K712" s="71" t="str">
        <f>IF(ISBLANK(Log[[#This Row],[Item]]),"",_xlfn.XLOOKUP(Log[[#This Row],[Item]],Calories[Name],Calories[Protein])*Log[[#This Row],[Qty]])</f>
        <v/>
      </c>
      <c r="L712" s="71" t="str">
        <f>IF(ISBLANK(Log[[#This Row],[Item]]),"",_xlfn.XLOOKUP(Log[[#This Row],[Item]],Calories[Name],Calories[Chol.])*Log[[#This Row],[Qty]])</f>
        <v/>
      </c>
      <c r="M712" s="75"/>
      <c r="N712" s="75"/>
      <c r="O712" s="75"/>
    </row>
    <row r="713" spans="1:15" s="66" customFormat="1" ht="25.15" customHeight="1">
      <c r="A713" s="75"/>
      <c r="B713" s="98"/>
      <c r="C713" s="78"/>
      <c r="D713" s="79"/>
      <c r="E713" s="76" t="str">
        <f>IF(ISBLANK(Log[[#This Row],[Item]]),"",_xlfn.XLOOKUP(Log[[#This Row],[Item]],Calories[Name],Calories[Unit]))</f>
        <v/>
      </c>
      <c r="F713" s="65" t="str">
        <f>IF(ISBLANK(Log[[#This Row],[Item]]),"",_xlfn.XLOOKUP(Log[[#This Row],[Item]],Calories[Name],Calories[Cals])*Log[[#This Row],[Qty]])</f>
        <v/>
      </c>
      <c r="G713" s="71" t="str">
        <f>IF(ISBLANK(Log[[#This Row],[Item]]),"",_xlfn.XLOOKUP(Log[[#This Row],[Item]],Calories[Name],Calories[Carbs])*Log[[#This Row],[Qty]])</f>
        <v/>
      </c>
      <c r="H713" s="71" t="str">
        <f>IF(ISBLANK(Log[[#This Row],[Item]]),"",_xlfn.XLOOKUP(Log[[#This Row],[Item]],Calories[Name],Calories[Fibre])*Log[[#This Row],[Qty]])</f>
        <v/>
      </c>
      <c r="I713" s="71" t="str">
        <f>IF(ISBLANK(Log[[#This Row],[Item]]),"",(Log[[#This Row],[Carbs]]-Log[[#This Row],[Fibre]]))</f>
        <v/>
      </c>
      <c r="J713" s="103" t="str">
        <f>IF(ISBLANK(Log[[#This Row],[Item]]),"",_xlfn.XLOOKUP(Log[[#This Row],[Item]],Calories[Name],Calories[Sodium])*Log[[#This Row],[Qty]])</f>
        <v/>
      </c>
      <c r="K713" s="71" t="str">
        <f>IF(ISBLANK(Log[[#This Row],[Item]]),"",_xlfn.XLOOKUP(Log[[#This Row],[Item]],Calories[Name],Calories[Protein])*Log[[#This Row],[Qty]])</f>
        <v/>
      </c>
      <c r="L713" s="71" t="str">
        <f>IF(ISBLANK(Log[[#This Row],[Item]]),"",_xlfn.XLOOKUP(Log[[#This Row],[Item]],Calories[Name],Calories[Chol.])*Log[[#This Row],[Qty]])</f>
        <v/>
      </c>
      <c r="M713" s="75"/>
      <c r="N713" s="75"/>
      <c r="O713" s="75"/>
    </row>
    <row r="714" spans="1:15" s="66" customFormat="1" ht="25.15" customHeight="1">
      <c r="A714" s="75"/>
      <c r="B714" s="98"/>
      <c r="C714" s="78"/>
      <c r="D714" s="79"/>
      <c r="E714" s="76" t="str">
        <f>IF(ISBLANK(Log[[#This Row],[Item]]),"",_xlfn.XLOOKUP(Log[[#This Row],[Item]],Calories[Name],Calories[Unit]))</f>
        <v/>
      </c>
      <c r="F714" s="65" t="str">
        <f>IF(ISBLANK(Log[[#This Row],[Item]]),"",_xlfn.XLOOKUP(Log[[#This Row],[Item]],Calories[Name],Calories[Cals])*Log[[#This Row],[Qty]])</f>
        <v/>
      </c>
      <c r="G714" s="71" t="str">
        <f>IF(ISBLANK(Log[[#This Row],[Item]]),"",_xlfn.XLOOKUP(Log[[#This Row],[Item]],Calories[Name],Calories[Carbs])*Log[[#This Row],[Qty]])</f>
        <v/>
      </c>
      <c r="H714" s="71" t="str">
        <f>IF(ISBLANK(Log[[#This Row],[Item]]),"",_xlfn.XLOOKUP(Log[[#This Row],[Item]],Calories[Name],Calories[Fibre])*Log[[#This Row],[Qty]])</f>
        <v/>
      </c>
      <c r="I714" s="71" t="str">
        <f>IF(ISBLANK(Log[[#This Row],[Item]]),"",(Log[[#This Row],[Carbs]]-Log[[#This Row],[Fibre]]))</f>
        <v/>
      </c>
      <c r="J714" s="103" t="str">
        <f>IF(ISBLANK(Log[[#This Row],[Item]]),"",_xlfn.XLOOKUP(Log[[#This Row],[Item]],Calories[Name],Calories[Sodium])*Log[[#This Row],[Qty]])</f>
        <v/>
      </c>
      <c r="K714" s="71" t="str">
        <f>IF(ISBLANK(Log[[#This Row],[Item]]),"",_xlfn.XLOOKUP(Log[[#This Row],[Item]],Calories[Name],Calories[Protein])*Log[[#This Row],[Qty]])</f>
        <v/>
      </c>
      <c r="L714" s="71" t="str">
        <f>IF(ISBLANK(Log[[#This Row],[Item]]),"",_xlfn.XLOOKUP(Log[[#This Row],[Item]],Calories[Name],Calories[Chol.])*Log[[#This Row],[Qty]])</f>
        <v/>
      </c>
      <c r="M714" s="75"/>
      <c r="N714" s="75"/>
      <c r="O714" s="75"/>
    </row>
    <row r="715" spans="1:15" s="66" customFormat="1" ht="25.15" customHeight="1">
      <c r="A715" s="75"/>
      <c r="B715" s="98"/>
      <c r="C715" s="78"/>
      <c r="D715" s="79"/>
      <c r="E715" s="76" t="str">
        <f>IF(ISBLANK(Log[[#This Row],[Item]]),"",_xlfn.XLOOKUP(Log[[#This Row],[Item]],Calories[Name],Calories[Unit]))</f>
        <v/>
      </c>
      <c r="F715" s="65" t="str">
        <f>IF(ISBLANK(Log[[#This Row],[Item]]),"",_xlfn.XLOOKUP(Log[[#This Row],[Item]],Calories[Name],Calories[Cals])*Log[[#This Row],[Qty]])</f>
        <v/>
      </c>
      <c r="G715" s="71" t="str">
        <f>IF(ISBLANK(Log[[#This Row],[Item]]),"",_xlfn.XLOOKUP(Log[[#This Row],[Item]],Calories[Name],Calories[Carbs])*Log[[#This Row],[Qty]])</f>
        <v/>
      </c>
      <c r="H715" s="71" t="str">
        <f>IF(ISBLANK(Log[[#This Row],[Item]]),"",_xlfn.XLOOKUP(Log[[#This Row],[Item]],Calories[Name],Calories[Fibre])*Log[[#This Row],[Qty]])</f>
        <v/>
      </c>
      <c r="I715" s="71" t="str">
        <f>IF(ISBLANK(Log[[#This Row],[Item]]),"",(Log[[#This Row],[Carbs]]-Log[[#This Row],[Fibre]]))</f>
        <v/>
      </c>
      <c r="J715" s="103" t="str">
        <f>IF(ISBLANK(Log[[#This Row],[Item]]),"",_xlfn.XLOOKUP(Log[[#This Row],[Item]],Calories[Name],Calories[Sodium])*Log[[#This Row],[Qty]])</f>
        <v/>
      </c>
      <c r="K715" s="71" t="str">
        <f>IF(ISBLANK(Log[[#This Row],[Item]]),"",_xlfn.XLOOKUP(Log[[#This Row],[Item]],Calories[Name],Calories[Protein])*Log[[#This Row],[Qty]])</f>
        <v/>
      </c>
      <c r="L715" s="71" t="str">
        <f>IF(ISBLANK(Log[[#This Row],[Item]]),"",_xlfn.XLOOKUP(Log[[#This Row],[Item]],Calories[Name],Calories[Chol.])*Log[[#This Row],[Qty]])</f>
        <v/>
      </c>
      <c r="M715" s="75"/>
      <c r="N715" s="75"/>
      <c r="O715" s="75"/>
    </row>
    <row r="716" spans="1:15" s="66" customFormat="1" ht="25.15" customHeight="1">
      <c r="A716" s="75"/>
      <c r="B716" s="98"/>
      <c r="C716" s="78"/>
      <c r="D716" s="79"/>
      <c r="E716" s="76" t="str">
        <f>IF(ISBLANK(Log[[#This Row],[Item]]),"",_xlfn.XLOOKUP(Log[[#This Row],[Item]],Calories[Name],Calories[Unit]))</f>
        <v/>
      </c>
      <c r="F716" s="65" t="str">
        <f>IF(ISBLANK(Log[[#This Row],[Item]]),"",_xlfn.XLOOKUP(Log[[#This Row],[Item]],Calories[Name],Calories[Cals])*Log[[#This Row],[Qty]])</f>
        <v/>
      </c>
      <c r="G716" s="71" t="str">
        <f>IF(ISBLANK(Log[[#This Row],[Item]]),"",_xlfn.XLOOKUP(Log[[#This Row],[Item]],Calories[Name],Calories[Carbs])*Log[[#This Row],[Qty]])</f>
        <v/>
      </c>
      <c r="H716" s="71" t="str">
        <f>IF(ISBLANK(Log[[#This Row],[Item]]),"",_xlfn.XLOOKUP(Log[[#This Row],[Item]],Calories[Name],Calories[Fibre])*Log[[#This Row],[Qty]])</f>
        <v/>
      </c>
      <c r="I716" s="71" t="str">
        <f>IF(ISBLANK(Log[[#This Row],[Item]]),"",(Log[[#This Row],[Carbs]]-Log[[#This Row],[Fibre]]))</f>
        <v/>
      </c>
      <c r="J716" s="103" t="str">
        <f>IF(ISBLANK(Log[[#This Row],[Item]]),"",_xlfn.XLOOKUP(Log[[#This Row],[Item]],Calories[Name],Calories[Sodium])*Log[[#This Row],[Qty]])</f>
        <v/>
      </c>
      <c r="K716" s="71" t="str">
        <f>IF(ISBLANK(Log[[#This Row],[Item]]),"",_xlfn.XLOOKUP(Log[[#This Row],[Item]],Calories[Name],Calories[Protein])*Log[[#This Row],[Qty]])</f>
        <v/>
      </c>
      <c r="L716" s="71" t="str">
        <f>IF(ISBLANK(Log[[#This Row],[Item]]),"",_xlfn.XLOOKUP(Log[[#This Row],[Item]],Calories[Name],Calories[Chol.])*Log[[#This Row],[Qty]])</f>
        <v/>
      </c>
      <c r="M716" s="75"/>
      <c r="N716" s="75"/>
      <c r="O716" s="75"/>
    </row>
    <row r="717" spans="1:15" s="66" customFormat="1" ht="25.15" customHeight="1">
      <c r="A717" s="75"/>
      <c r="B717" s="98"/>
      <c r="C717" s="78"/>
      <c r="D717" s="79"/>
      <c r="E717" s="76" t="str">
        <f>IF(ISBLANK(Log[[#This Row],[Item]]),"",_xlfn.XLOOKUP(Log[[#This Row],[Item]],Calories[Name],Calories[Unit]))</f>
        <v/>
      </c>
      <c r="F717" s="65" t="str">
        <f>IF(ISBLANK(Log[[#This Row],[Item]]),"",_xlfn.XLOOKUP(Log[[#This Row],[Item]],Calories[Name],Calories[Cals])*Log[[#This Row],[Qty]])</f>
        <v/>
      </c>
      <c r="G717" s="71" t="str">
        <f>IF(ISBLANK(Log[[#This Row],[Item]]),"",_xlfn.XLOOKUP(Log[[#This Row],[Item]],Calories[Name],Calories[Carbs])*Log[[#This Row],[Qty]])</f>
        <v/>
      </c>
      <c r="H717" s="71" t="str">
        <f>IF(ISBLANK(Log[[#This Row],[Item]]),"",_xlfn.XLOOKUP(Log[[#This Row],[Item]],Calories[Name],Calories[Fibre])*Log[[#This Row],[Qty]])</f>
        <v/>
      </c>
      <c r="I717" s="71" t="str">
        <f>IF(ISBLANK(Log[[#This Row],[Item]]),"",(Log[[#This Row],[Carbs]]-Log[[#This Row],[Fibre]]))</f>
        <v/>
      </c>
      <c r="J717" s="103" t="str">
        <f>IF(ISBLANK(Log[[#This Row],[Item]]),"",_xlfn.XLOOKUP(Log[[#This Row],[Item]],Calories[Name],Calories[Sodium])*Log[[#This Row],[Qty]])</f>
        <v/>
      </c>
      <c r="K717" s="71" t="str">
        <f>IF(ISBLANK(Log[[#This Row],[Item]]),"",_xlfn.XLOOKUP(Log[[#This Row],[Item]],Calories[Name],Calories[Protein])*Log[[#This Row],[Qty]])</f>
        <v/>
      </c>
      <c r="L717" s="71" t="str">
        <f>IF(ISBLANK(Log[[#This Row],[Item]]),"",_xlfn.XLOOKUP(Log[[#This Row],[Item]],Calories[Name],Calories[Chol.])*Log[[#This Row],[Qty]])</f>
        <v/>
      </c>
      <c r="M717" s="75"/>
      <c r="N717" s="75"/>
      <c r="O717" s="75"/>
    </row>
    <row r="718" spans="1:15" s="66" customFormat="1" ht="25.15" customHeight="1">
      <c r="A718" s="75"/>
      <c r="B718" s="98"/>
      <c r="C718" s="78"/>
      <c r="D718" s="79"/>
      <c r="E718" s="76" t="str">
        <f>IF(ISBLANK(Log[[#This Row],[Item]]),"",_xlfn.XLOOKUP(Log[[#This Row],[Item]],Calories[Name],Calories[Unit]))</f>
        <v/>
      </c>
      <c r="F718" s="65" t="str">
        <f>IF(ISBLANK(Log[[#This Row],[Item]]),"",_xlfn.XLOOKUP(Log[[#This Row],[Item]],Calories[Name],Calories[Cals])*Log[[#This Row],[Qty]])</f>
        <v/>
      </c>
      <c r="G718" s="71" t="str">
        <f>IF(ISBLANK(Log[[#This Row],[Item]]),"",_xlfn.XLOOKUP(Log[[#This Row],[Item]],Calories[Name],Calories[Carbs])*Log[[#This Row],[Qty]])</f>
        <v/>
      </c>
      <c r="H718" s="71" t="str">
        <f>IF(ISBLANK(Log[[#This Row],[Item]]),"",_xlfn.XLOOKUP(Log[[#This Row],[Item]],Calories[Name],Calories[Fibre])*Log[[#This Row],[Qty]])</f>
        <v/>
      </c>
      <c r="I718" s="71" t="str">
        <f>IF(ISBLANK(Log[[#This Row],[Item]]),"",(Log[[#This Row],[Carbs]]-Log[[#This Row],[Fibre]]))</f>
        <v/>
      </c>
      <c r="J718" s="103" t="str">
        <f>IF(ISBLANK(Log[[#This Row],[Item]]),"",_xlfn.XLOOKUP(Log[[#This Row],[Item]],Calories[Name],Calories[Sodium])*Log[[#This Row],[Qty]])</f>
        <v/>
      </c>
      <c r="K718" s="71" t="str">
        <f>IF(ISBLANK(Log[[#This Row],[Item]]),"",_xlfn.XLOOKUP(Log[[#This Row],[Item]],Calories[Name],Calories[Protein])*Log[[#This Row],[Qty]])</f>
        <v/>
      </c>
      <c r="L718" s="71" t="str">
        <f>IF(ISBLANK(Log[[#This Row],[Item]]),"",_xlfn.XLOOKUP(Log[[#This Row],[Item]],Calories[Name],Calories[Chol.])*Log[[#This Row],[Qty]])</f>
        <v/>
      </c>
      <c r="M718" s="75"/>
      <c r="N718" s="75"/>
      <c r="O718" s="75"/>
    </row>
    <row r="719" spans="1:15" s="66" customFormat="1" ht="25.15" customHeight="1">
      <c r="A719" s="75"/>
      <c r="B719" s="98"/>
      <c r="C719" s="78"/>
      <c r="D719" s="79"/>
      <c r="E719" s="76" t="str">
        <f>IF(ISBLANK(Log[[#This Row],[Item]]),"",_xlfn.XLOOKUP(Log[[#This Row],[Item]],Calories[Name],Calories[Unit]))</f>
        <v/>
      </c>
      <c r="F719" s="65" t="str">
        <f>IF(ISBLANK(Log[[#This Row],[Item]]),"",_xlfn.XLOOKUP(Log[[#This Row],[Item]],Calories[Name],Calories[Cals])*Log[[#This Row],[Qty]])</f>
        <v/>
      </c>
      <c r="G719" s="71" t="str">
        <f>IF(ISBLANK(Log[[#This Row],[Item]]),"",_xlfn.XLOOKUP(Log[[#This Row],[Item]],Calories[Name],Calories[Carbs])*Log[[#This Row],[Qty]])</f>
        <v/>
      </c>
      <c r="H719" s="71" t="str">
        <f>IF(ISBLANK(Log[[#This Row],[Item]]),"",_xlfn.XLOOKUP(Log[[#This Row],[Item]],Calories[Name],Calories[Fibre])*Log[[#This Row],[Qty]])</f>
        <v/>
      </c>
      <c r="I719" s="71" t="str">
        <f>IF(ISBLANK(Log[[#This Row],[Item]]),"",(Log[[#This Row],[Carbs]]-Log[[#This Row],[Fibre]]))</f>
        <v/>
      </c>
      <c r="J719" s="103" t="str">
        <f>IF(ISBLANK(Log[[#This Row],[Item]]),"",_xlfn.XLOOKUP(Log[[#This Row],[Item]],Calories[Name],Calories[Sodium])*Log[[#This Row],[Qty]])</f>
        <v/>
      </c>
      <c r="K719" s="71" t="str">
        <f>IF(ISBLANK(Log[[#This Row],[Item]]),"",_xlfn.XLOOKUP(Log[[#This Row],[Item]],Calories[Name],Calories[Protein])*Log[[#This Row],[Qty]])</f>
        <v/>
      </c>
      <c r="L719" s="71" t="str">
        <f>IF(ISBLANK(Log[[#This Row],[Item]]),"",_xlfn.XLOOKUP(Log[[#This Row],[Item]],Calories[Name],Calories[Chol.])*Log[[#This Row],[Qty]])</f>
        <v/>
      </c>
      <c r="M719" s="75"/>
      <c r="N719" s="75"/>
      <c r="O719" s="75"/>
    </row>
    <row r="720" spans="1:15" s="66" customFormat="1" ht="25.15" customHeight="1">
      <c r="A720" s="75"/>
      <c r="B720" s="98"/>
      <c r="C720" s="78"/>
      <c r="D720" s="79"/>
      <c r="E720" s="76" t="str">
        <f>IF(ISBLANK(Log[[#This Row],[Item]]),"",_xlfn.XLOOKUP(Log[[#This Row],[Item]],Calories[Name],Calories[Unit]))</f>
        <v/>
      </c>
      <c r="F720" s="65" t="str">
        <f>IF(ISBLANK(Log[[#This Row],[Item]]),"",_xlfn.XLOOKUP(Log[[#This Row],[Item]],Calories[Name],Calories[Cals])*Log[[#This Row],[Qty]])</f>
        <v/>
      </c>
      <c r="G720" s="71" t="str">
        <f>IF(ISBLANK(Log[[#This Row],[Item]]),"",_xlfn.XLOOKUP(Log[[#This Row],[Item]],Calories[Name],Calories[Carbs])*Log[[#This Row],[Qty]])</f>
        <v/>
      </c>
      <c r="H720" s="71" t="str">
        <f>IF(ISBLANK(Log[[#This Row],[Item]]),"",_xlfn.XLOOKUP(Log[[#This Row],[Item]],Calories[Name],Calories[Fibre])*Log[[#This Row],[Qty]])</f>
        <v/>
      </c>
      <c r="I720" s="71" t="str">
        <f>IF(ISBLANK(Log[[#This Row],[Item]]),"",(Log[[#This Row],[Carbs]]-Log[[#This Row],[Fibre]]))</f>
        <v/>
      </c>
      <c r="J720" s="103" t="str">
        <f>IF(ISBLANK(Log[[#This Row],[Item]]),"",_xlfn.XLOOKUP(Log[[#This Row],[Item]],Calories[Name],Calories[Sodium])*Log[[#This Row],[Qty]])</f>
        <v/>
      </c>
      <c r="K720" s="71" t="str">
        <f>IF(ISBLANK(Log[[#This Row],[Item]]),"",_xlfn.XLOOKUP(Log[[#This Row],[Item]],Calories[Name],Calories[Protein])*Log[[#This Row],[Qty]])</f>
        <v/>
      </c>
      <c r="L720" s="71" t="str">
        <f>IF(ISBLANK(Log[[#This Row],[Item]]),"",_xlfn.XLOOKUP(Log[[#This Row],[Item]],Calories[Name],Calories[Chol.])*Log[[#This Row],[Qty]])</f>
        <v/>
      </c>
      <c r="M720" s="75"/>
      <c r="N720" s="75"/>
      <c r="O720" s="75"/>
    </row>
    <row r="721" spans="1:15" s="66" customFormat="1" ht="25.15" customHeight="1">
      <c r="A721" s="75"/>
      <c r="B721" s="98"/>
      <c r="C721" s="78"/>
      <c r="D721" s="79"/>
      <c r="E721" s="76" t="str">
        <f>IF(ISBLANK(Log[[#This Row],[Item]]),"",_xlfn.XLOOKUP(Log[[#This Row],[Item]],Calories[Name],Calories[Unit]))</f>
        <v/>
      </c>
      <c r="F721" s="65" t="str">
        <f>IF(ISBLANK(Log[[#This Row],[Item]]),"",_xlfn.XLOOKUP(Log[[#This Row],[Item]],Calories[Name],Calories[Cals])*Log[[#This Row],[Qty]])</f>
        <v/>
      </c>
      <c r="G721" s="71" t="str">
        <f>IF(ISBLANK(Log[[#This Row],[Item]]),"",_xlfn.XLOOKUP(Log[[#This Row],[Item]],Calories[Name],Calories[Carbs])*Log[[#This Row],[Qty]])</f>
        <v/>
      </c>
      <c r="H721" s="71" t="str">
        <f>IF(ISBLANK(Log[[#This Row],[Item]]),"",_xlfn.XLOOKUP(Log[[#This Row],[Item]],Calories[Name],Calories[Fibre])*Log[[#This Row],[Qty]])</f>
        <v/>
      </c>
      <c r="I721" s="71" t="str">
        <f>IF(ISBLANK(Log[[#This Row],[Item]]),"",(Log[[#This Row],[Carbs]]-Log[[#This Row],[Fibre]]))</f>
        <v/>
      </c>
      <c r="J721" s="103" t="str">
        <f>IF(ISBLANK(Log[[#This Row],[Item]]),"",_xlfn.XLOOKUP(Log[[#This Row],[Item]],Calories[Name],Calories[Sodium])*Log[[#This Row],[Qty]])</f>
        <v/>
      </c>
      <c r="K721" s="71" t="str">
        <f>IF(ISBLANK(Log[[#This Row],[Item]]),"",_xlfn.XLOOKUP(Log[[#This Row],[Item]],Calories[Name],Calories[Protein])*Log[[#This Row],[Qty]])</f>
        <v/>
      </c>
      <c r="L721" s="71" t="str">
        <f>IF(ISBLANK(Log[[#This Row],[Item]]),"",_xlfn.XLOOKUP(Log[[#This Row],[Item]],Calories[Name],Calories[Chol.])*Log[[#This Row],[Qty]])</f>
        <v/>
      </c>
      <c r="M721" s="75"/>
      <c r="N721" s="75"/>
      <c r="O721" s="75"/>
    </row>
    <row r="722" spans="1:15" s="66" customFormat="1" ht="25.15" customHeight="1">
      <c r="A722" s="75"/>
      <c r="B722" s="98"/>
      <c r="C722" s="78"/>
      <c r="D722" s="79"/>
      <c r="E722" s="76" t="str">
        <f>IF(ISBLANK(Log[[#This Row],[Item]]),"",_xlfn.XLOOKUP(Log[[#This Row],[Item]],Calories[Name],Calories[Unit]))</f>
        <v/>
      </c>
      <c r="F722" s="65" t="str">
        <f>IF(ISBLANK(Log[[#This Row],[Item]]),"",_xlfn.XLOOKUP(Log[[#This Row],[Item]],Calories[Name],Calories[Cals])*Log[[#This Row],[Qty]])</f>
        <v/>
      </c>
      <c r="G722" s="71" t="str">
        <f>IF(ISBLANK(Log[[#This Row],[Item]]),"",_xlfn.XLOOKUP(Log[[#This Row],[Item]],Calories[Name],Calories[Carbs])*Log[[#This Row],[Qty]])</f>
        <v/>
      </c>
      <c r="H722" s="71" t="str">
        <f>IF(ISBLANK(Log[[#This Row],[Item]]),"",_xlfn.XLOOKUP(Log[[#This Row],[Item]],Calories[Name],Calories[Fibre])*Log[[#This Row],[Qty]])</f>
        <v/>
      </c>
      <c r="I722" s="71" t="str">
        <f>IF(ISBLANK(Log[[#This Row],[Item]]),"",(Log[[#This Row],[Carbs]]-Log[[#This Row],[Fibre]]))</f>
        <v/>
      </c>
      <c r="J722" s="103" t="str">
        <f>IF(ISBLANK(Log[[#This Row],[Item]]),"",_xlfn.XLOOKUP(Log[[#This Row],[Item]],Calories[Name],Calories[Sodium])*Log[[#This Row],[Qty]])</f>
        <v/>
      </c>
      <c r="K722" s="71" t="str">
        <f>IF(ISBLANK(Log[[#This Row],[Item]]),"",_xlfn.XLOOKUP(Log[[#This Row],[Item]],Calories[Name],Calories[Protein])*Log[[#This Row],[Qty]])</f>
        <v/>
      </c>
      <c r="L722" s="71" t="str">
        <f>IF(ISBLANK(Log[[#This Row],[Item]]),"",_xlfn.XLOOKUP(Log[[#This Row],[Item]],Calories[Name],Calories[Chol.])*Log[[#This Row],[Qty]])</f>
        <v/>
      </c>
      <c r="M722" s="75"/>
      <c r="N722" s="75"/>
      <c r="O722" s="75"/>
    </row>
    <row r="723" spans="1:15" s="66" customFormat="1" ht="25.15" customHeight="1">
      <c r="A723" s="75"/>
      <c r="B723" s="98"/>
      <c r="C723" s="78"/>
      <c r="D723" s="79"/>
      <c r="E723" s="76" t="str">
        <f>IF(ISBLANK(Log[[#This Row],[Item]]),"",_xlfn.XLOOKUP(Log[[#This Row],[Item]],Calories[Name],Calories[Unit]))</f>
        <v/>
      </c>
      <c r="F723" s="65" t="str">
        <f>IF(ISBLANK(Log[[#This Row],[Item]]),"",_xlfn.XLOOKUP(Log[[#This Row],[Item]],Calories[Name],Calories[Cals])*Log[[#This Row],[Qty]])</f>
        <v/>
      </c>
      <c r="G723" s="71" t="str">
        <f>IF(ISBLANK(Log[[#This Row],[Item]]),"",_xlfn.XLOOKUP(Log[[#This Row],[Item]],Calories[Name],Calories[Carbs])*Log[[#This Row],[Qty]])</f>
        <v/>
      </c>
      <c r="H723" s="71" t="str">
        <f>IF(ISBLANK(Log[[#This Row],[Item]]),"",_xlfn.XLOOKUP(Log[[#This Row],[Item]],Calories[Name],Calories[Fibre])*Log[[#This Row],[Qty]])</f>
        <v/>
      </c>
      <c r="I723" s="71" t="str">
        <f>IF(ISBLANK(Log[[#This Row],[Item]]),"",(Log[[#This Row],[Carbs]]-Log[[#This Row],[Fibre]]))</f>
        <v/>
      </c>
      <c r="J723" s="103" t="str">
        <f>IF(ISBLANK(Log[[#This Row],[Item]]),"",_xlfn.XLOOKUP(Log[[#This Row],[Item]],Calories[Name],Calories[Sodium])*Log[[#This Row],[Qty]])</f>
        <v/>
      </c>
      <c r="K723" s="71" t="str">
        <f>IF(ISBLANK(Log[[#This Row],[Item]]),"",_xlfn.XLOOKUP(Log[[#This Row],[Item]],Calories[Name],Calories[Protein])*Log[[#This Row],[Qty]])</f>
        <v/>
      </c>
      <c r="L723" s="71" t="str">
        <f>IF(ISBLANK(Log[[#This Row],[Item]]),"",_xlfn.XLOOKUP(Log[[#This Row],[Item]],Calories[Name],Calories[Chol.])*Log[[#This Row],[Qty]])</f>
        <v/>
      </c>
      <c r="M723" s="75"/>
      <c r="N723" s="75"/>
      <c r="O723" s="75"/>
    </row>
    <row r="724" spans="1:15" s="66" customFormat="1" ht="25.15" customHeight="1">
      <c r="A724" s="75"/>
      <c r="B724" s="98"/>
      <c r="C724" s="78"/>
      <c r="D724" s="79"/>
      <c r="E724" s="76" t="str">
        <f>IF(ISBLANK(Log[[#This Row],[Item]]),"",_xlfn.XLOOKUP(Log[[#This Row],[Item]],Calories[Name],Calories[Unit]))</f>
        <v/>
      </c>
      <c r="F724" s="65" t="str">
        <f>IF(ISBLANK(Log[[#This Row],[Item]]),"",_xlfn.XLOOKUP(Log[[#This Row],[Item]],Calories[Name],Calories[Cals])*Log[[#This Row],[Qty]])</f>
        <v/>
      </c>
      <c r="G724" s="71" t="str">
        <f>IF(ISBLANK(Log[[#This Row],[Item]]),"",_xlfn.XLOOKUP(Log[[#This Row],[Item]],Calories[Name],Calories[Carbs])*Log[[#This Row],[Qty]])</f>
        <v/>
      </c>
      <c r="H724" s="71" t="str">
        <f>IF(ISBLANK(Log[[#This Row],[Item]]),"",_xlfn.XLOOKUP(Log[[#This Row],[Item]],Calories[Name],Calories[Fibre])*Log[[#This Row],[Qty]])</f>
        <v/>
      </c>
      <c r="I724" s="71" t="str">
        <f>IF(ISBLANK(Log[[#This Row],[Item]]),"",(Log[[#This Row],[Carbs]]-Log[[#This Row],[Fibre]]))</f>
        <v/>
      </c>
      <c r="J724" s="103" t="str">
        <f>IF(ISBLANK(Log[[#This Row],[Item]]),"",_xlfn.XLOOKUP(Log[[#This Row],[Item]],Calories[Name],Calories[Sodium])*Log[[#This Row],[Qty]])</f>
        <v/>
      </c>
      <c r="K724" s="71" t="str">
        <f>IF(ISBLANK(Log[[#This Row],[Item]]),"",_xlfn.XLOOKUP(Log[[#This Row],[Item]],Calories[Name],Calories[Protein])*Log[[#This Row],[Qty]])</f>
        <v/>
      </c>
      <c r="L724" s="71" t="str">
        <f>IF(ISBLANK(Log[[#This Row],[Item]]),"",_xlfn.XLOOKUP(Log[[#This Row],[Item]],Calories[Name],Calories[Chol.])*Log[[#This Row],[Qty]])</f>
        <v/>
      </c>
      <c r="M724" s="75"/>
      <c r="N724" s="75"/>
      <c r="O724" s="75"/>
    </row>
    <row r="725" spans="1:15" s="66" customFormat="1" ht="25.15" customHeight="1">
      <c r="A725" s="75"/>
      <c r="B725" s="98"/>
      <c r="C725" s="78"/>
      <c r="D725" s="79"/>
      <c r="E725" s="76" t="str">
        <f>IF(ISBLANK(Log[[#This Row],[Item]]),"",_xlfn.XLOOKUP(Log[[#This Row],[Item]],Calories[Name],Calories[Unit]))</f>
        <v/>
      </c>
      <c r="F725" s="65" t="str">
        <f>IF(ISBLANK(Log[[#This Row],[Item]]),"",_xlfn.XLOOKUP(Log[[#This Row],[Item]],Calories[Name],Calories[Cals])*Log[[#This Row],[Qty]])</f>
        <v/>
      </c>
      <c r="G725" s="71" t="str">
        <f>IF(ISBLANK(Log[[#This Row],[Item]]),"",_xlfn.XLOOKUP(Log[[#This Row],[Item]],Calories[Name],Calories[Carbs])*Log[[#This Row],[Qty]])</f>
        <v/>
      </c>
      <c r="H725" s="71" t="str">
        <f>IF(ISBLANK(Log[[#This Row],[Item]]),"",_xlfn.XLOOKUP(Log[[#This Row],[Item]],Calories[Name],Calories[Fibre])*Log[[#This Row],[Qty]])</f>
        <v/>
      </c>
      <c r="I725" s="71" t="str">
        <f>IF(ISBLANK(Log[[#This Row],[Item]]),"",(Log[[#This Row],[Carbs]]-Log[[#This Row],[Fibre]]))</f>
        <v/>
      </c>
      <c r="J725" s="103" t="str">
        <f>IF(ISBLANK(Log[[#This Row],[Item]]),"",_xlfn.XLOOKUP(Log[[#This Row],[Item]],Calories[Name],Calories[Sodium])*Log[[#This Row],[Qty]])</f>
        <v/>
      </c>
      <c r="K725" s="71" t="str">
        <f>IF(ISBLANK(Log[[#This Row],[Item]]),"",_xlfn.XLOOKUP(Log[[#This Row],[Item]],Calories[Name],Calories[Protein])*Log[[#This Row],[Qty]])</f>
        <v/>
      </c>
      <c r="L725" s="71" t="str">
        <f>IF(ISBLANK(Log[[#This Row],[Item]]),"",_xlfn.XLOOKUP(Log[[#This Row],[Item]],Calories[Name],Calories[Chol.])*Log[[#This Row],[Qty]])</f>
        <v/>
      </c>
      <c r="M725" s="75"/>
      <c r="N725" s="75"/>
      <c r="O725" s="75"/>
    </row>
    <row r="726" spans="1:15" s="66" customFormat="1" ht="25.15" customHeight="1">
      <c r="A726" s="75"/>
      <c r="B726" s="98"/>
      <c r="C726" s="78"/>
      <c r="D726" s="79"/>
      <c r="E726" s="76" t="str">
        <f>IF(ISBLANK(Log[[#This Row],[Item]]),"",_xlfn.XLOOKUP(Log[[#This Row],[Item]],Calories[Name],Calories[Unit]))</f>
        <v/>
      </c>
      <c r="F726" s="65" t="str">
        <f>IF(ISBLANK(Log[[#This Row],[Item]]),"",_xlfn.XLOOKUP(Log[[#This Row],[Item]],Calories[Name],Calories[Cals])*Log[[#This Row],[Qty]])</f>
        <v/>
      </c>
      <c r="G726" s="71" t="str">
        <f>IF(ISBLANK(Log[[#This Row],[Item]]),"",_xlfn.XLOOKUP(Log[[#This Row],[Item]],Calories[Name],Calories[Carbs])*Log[[#This Row],[Qty]])</f>
        <v/>
      </c>
      <c r="H726" s="71" t="str">
        <f>IF(ISBLANK(Log[[#This Row],[Item]]),"",_xlfn.XLOOKUP(Log[[#This Row],[Item]],Calories[Name],Calories[Fibre])*Log[[#This Row],[Qty]])</f>
        <v/>
      </c>
      <c r="I726" s="71" t="str">
        <f>IF(ISBLANK(Log[[#This Row],[Item]]),"",(Log[[#This Row],[Carbs]]-Log[[#This Row],[Fibre]]))</f>
        <v/>
      </c>
      <c r="J726" s="103" t="str">
        <f>IF(ISBLANK(Log[[#This Row],[Item]]),"",_xlfn.XLOOKUP(Log[[#This Row],[Item]],Calories[Name],Calories[Sodium])*Log[[#This Row],[Qty]])</f>
        <v/>
      </c>
      <c r="K726" s="71" t="str">
        <f>IF(ISBLANK(Log[[#This Row],[Item]]),"",_xlfn.XLOOKUP(Log[[#This Row],[Item]],Calories[Name],Calories[Protein])*Log[[#This Row],[Qty]])</f>
        <v/>
      </c>
      <c r="L726" s="71" t="str">
        <f>IF(ISBLANK(Log[[#This Row],[Item]]),"",_xlfn.XLOOKUP(Log[[#This Row],[Item]],Calories[Name],Calories[Chol.])*Log[[#This Row],[Qty]])</f>
        <v/>
      </c>
      <c r="M726" s="75"/>
      <c r="N726" s="75"/>
      <c r="O726" s="75"/>
    </row>
    <row r="727" spans="1:15" s="66" customFormat="1" ht="25.15" customHeight="1">
      <c r="A727" s="75"/>
      <c r="B727" s="98"/>
      <c r="C727" s="78"/>
      <c r="D727" s="79"/>
      <c r="E727" s="76" t="str">
        <f>IF(ISBLANK(Log[[#This Row],[Item]]),"",_xlfn.XLOOKUP(Log[[#This Row],[Item]],Calories[Name],Calories[Unit]))</f>
        <v/>
      </c>
      <c r="F727" s="65" t="str">
        <f>IF(ISBLANK(Log[[#This Row],[Item]]),"",_xlfn.XLOOKUP(Log[[#This Row],[Item]],Calories[Name],Calories[Cals])*Log[[#This Row],[Qty]])</f>
        <v/>
      </c>
      <c r="G727" s="71" t="str">
        <f>IF(ISBLANK(Log[[#This Row],[Item]]),"",_xlfn.XLOOKUP(Log[[#This Row],[Item]],Calories[Name],Calories[Carbs])*Log[[#This Row],[Qty]])</f>
        <v/>
      </c>
      <c r="H727" s="71" t="str">
        <f>IF(ISBLANK(Log[[#This Row],[Item]]),"",_xlfn.XLOOKUP(Log[[#This Row],[Item]],Calories[Name],Calories[Fibre])*Log[[#This Row],[Qty]])</f>
        <v/>
      </c>
      <c r="I727" s="71" t="str">
        <f>IF(ISBLANK(Log[[#This Row],[Item]]),"",(Log[[#This Row],[Carbs]]-Log[[#This Row],[Fibre]]))</f>
        <v/>
      </c>
      <c r="J727" s="103" t="str">
        <f>IF(ISBLANK(Log[[#This Row],[Item]]),"",_xlfn.XLOOKUP(Log[[#This Row],[Item]],Calories[Name],Calories[Sodium])*Log[[#This Row],[Qty]])</f>
        <v/>
      </c>
      <c r="K727" s="71" t="str">
        <f>IF(ISBLANK(Log[[#This Row],[Item]]),"",_xlfn.XLOOKUP(Log[[#This Row],[Item]],Calories[Name],Calories[Protein])*Log[[#This Row],[Qty]])</f>
        <v/>
      </c>
      <c r="L727" s="71" t="str">
        <f>IF(ISBLANK(Log[[#This Row],[Item]]),"",_xlfn.XLOOKUP(Log[[#This Row],[Item]],Calories[Name],Calories[Chol.])*Log[[#This Row],[Qty]])</f>
        <v/>
      </c>
      <c r="M727" s="75"/>
      <c r="N727" s="75"/>
      <c r="O727" s="75"/>
    </row>
    <row r="728" spans="1:15" s="66" customFormat="1" ht="25.15" customHeight="1">
      <c r="A728" s="75"/>
      <c r="B728" s="98"/>
      <c r="C728" s="78"/>
      <c r="D728" s="79"/>
      <c r="E728" s="76" t="str">
        <f>IF(ISBLANK(Log[[#This Row],[Item]]),"",_xlfn.XLOOKUP(Log[[#This Row],[Item]],Calories[Name],Calories[Unit]))</f>
        <v/>
      </c>
      <c r="F728" s="65" t="str">
        <f>IF(ISBLANK(Log[[#This Row],[Item]]),"",_xlfn.XLOOKUP(Log[[#This Row],[Item]],Calories[Name],Calories[Cals])*Log[[#This Row],[Qty]])</f>
        <v/>
      </c>
      <c r="G728" s="71" t="str">
        <f>IF(ISBLANK(Log[[#This Row],[Item]]),"",_xlfn.XLOOKUP(Log[[#This Row],[Item]],Calories[Name],Calories[Carbs])*Log[[#This Row],[Qty]])</f>
        <v/>
      </c>
      <c r="H728" s="71" t="str">
        <f>IF(ISBLANK(Log[[#This Row],[Item]]),"",_xlfn.XLOOKUP(Log[[#This Row],[Item]],Calories[Name],Calories[Fibre])*Log[[#This Row],[Qty]])</f>
        <v/>
      </c>
      <c r="I728" s="71" t="str">
        <f>IF(ISBLANK(Log[[#This Row],[Item]]),"",(Log[[#This Row],[Carbs]]-Log[[#This Row],[Fibre]]))</f>
        <v/>
      </c>
      <c r="J728" s="103" t="str">
        <f>IF(ISBLANK(Log[[#This Row],[Item]]),"",_xlfn.XLOOKUP(Log[[#This Row],[Item]],Calories[Name],Calories[Sodium])*Log[[#This Row],[Qty]])</f>
        <v/>
      </c>
      <c r="K728" s="71" t="str">
        <f>IF(ISBLANK(Log[[#This Row],[Item]]),"",_xlfn.XLOOKUP(Log[[#This Row],[Item]],Calories[Name],Calories[Protein])*Log[[#This Row],[Qty]])</f>
        <v/>
      </c>
      <c r="L728" s="71" t="str">
        <f>IF(ISBLANK(Log[[#This Row],[Item]]),"",_xlfn.XLOOKUP(Log[[#This Row],[Item]],Calories[Name],Calories[Chol.])*Log[[#This Row],[Qty]])</f>
        <v/>
      </c>
      <c r="M728" s="75"/>
      <c r="N728" s="75"/>
      <c r="O728" s="75"/>
    </row>
    <row r="729" spans="1:15" s="66" customFormat="1" ht="25.15" customHeight="1">
      <c r="A729" s="75"/>
      <c r="B729" s="98"/>
      <c r="C729" s="78"/>
      <c r="D729" s="79"/>
      <c r="E729" s="76" t="str">
        <f>IF(ISBLANK(Log[[#This Row],[Item]]),"",_xlfn.XLOOKUP(Log[[#This Row],[Item]],Calories[Name],Calories[Unit]))</f>
        <v/>
      </c>
      <c r="F729" s="65" t="str">
        <f>IF(ISBLANK(Log[[#This Row],[Item]]),"",_xlfn.XLOOKUP(Log[[#This Row],[Item]],Calories[Name],Calories[Cals])*Log[[#This Row],[Qty]])</f>
        <v/>
      </c>
      <c r="G729" s="71" t="str">
        <f>IF(ISBLANK(Log[[#This Row],[Item]]),"",_xlfn.XLOOKUP(Log[[#This Row],[Item]],Calories[Name],Calories[Carbs])*Log[[#This Row],[Qty]])</f>
        <v/>
      </c>
      <c r="H729" s="71" t="str">
        <f>IF(ISBLANK(Log[[#This Row],[Item]]),"",_xlfn.XLOOKUP(Log[[#This Row],[Item]],Calories[Name],Calories[Fibre])*Log[[#This Row],[Qty]])</f>
        <v/>
      </c>
      <c r="I729" s="71" t="str">
        <f>IF(ISBLANK(Log[[#This Row],[Item]]),"",(Log[[#This Row],[Carbs]]-Log[[#This Row],[Fibre]]))</f>
        <v/>
      </c>
      <c r="J729" s="103" t="str">
        <f>IF(ISBLANK(Log[[#This Row],[Item]]),"",_xlfn.XLOOKUP(Log[[#This Row],[Item]],Calories[Name],Calories[Sodium])*Log[[#This Row],[Qty]])</f>
        <v/>
      </c>
      <c r="K729" s="71" t="str">
        <f>IF(ISBLANK(Log[[#This Row],[Item]]),"",_xlfn.XLOOKUP(Log[[#This Row],[Item]],Calories[Name],Calories[Protein])*Log[[#This Row],[Qty]])</f>
        <v/>
      </c>
      <c r="L729" s="71" t="str">
        <f>IF(ISBLANK(Log[[#This Row],[Item]]),"",_xlfn.XLOOKUP(Log[[#This Row],[Item]],Calories[Name],Calories[Chol.])*Log[[#This Row],[Qty]])</f>
        <v/>
      </c>
      <c r="M729" s="75"/>
      <c r="N729" s="75"/>
      <c r="O729" s="75"/>
    </row>
    <row r="730" spans="1:15" s="66" customFormat="1" ht="25.15" customHeight="1">
      <c r="A730" s="75"/>
      <c r="B730" s="98"/>
      <c r="C730" s="78"/>
      <c r="D730" s="79"/>
      <c r="E730" s="76" t="str">
        <f>IF(ISBLANK(Log[[#This Row],[Item]]),"",_xlfn.XLOOKUP(Log[[#This Row],[Item]],Calories[Name],Calories[Unit]))</f>
        <v/>
      </c>
      <c r="F730" s="65" t="str">
        <f>IF(ISBLANK(Log[[#This Row],[Item]]),"",_xlfn.XLOOKUP(Log[[#This Row],[Item]],Calories[Name],Calories[Cals])*Log[[#This Row],[Qty]])</f>
        <v/>
      </c>
      <c r="G730" s="71" t="str">
        <f>IF(ISBLANK(Log[[#This Row],[Item]]),"",_xlfn.XLOOKUP(Log[[#This Row],[Item]],Calories[Name],Calories[Carbs])*Log[[#This Row],[Qty]])</f>
        <v/>
      </c>
      <c r="H730" s="71" t="str">
        <f>IF(ISBLANK(Log[[#This Row],[Item]]),"",_xlfn.XLOOKUP(Log[[#This Row],[Item]],Calories[Name],Calories[Fibre])*Log[[#This Row],[Qty]])</f>
        <v/>
      </c>
      <c r="I730" s="71" t="str">
        <f>IF(ISBLANK(Log[[#This Row],[Item]]),"",(Log[[#This Row],[Carbs]]-Log[[#This Row],[Fibre]]))</f>
        <v/>
      </c>
      <c r="J730" s="103" t="str">
        <f>IF(ISBLANK(Log[[#This Row],[Item]]),"",_xlfn.XLOOKUP(Log[[#This Row],[Item]],Calories[Name],Calories[Sodium])*Log[[#This Row],[Qty]])</f>
        <v/>
      </c>
      <c r="K730" s="71" t="str">
        <f>IF(ISBLANK(Log[[#This Row],[Item]]),"",_xlfn.XLOOKUP(Log[[#This Row],[Item]],Calories[Name],Calories[Protein])*Log[[#This Row],[Qty]])</f>
        <v/>
      </c>
      <c r="L730" s="71" t="str">
        <f>IF(ISBLANK(Log[[#This Row],[Item]]),"",_xlfn.XLOOKUP(Log[[#This Row],[Item]],Calories[Name],Calories[Chol.])*Log[[#This Row],[Qty]])</f>
        <v/>
      </c>
      <c r="M730" s="75"/>
      <c r="N730" s="75"/>
      <c r="O730" s="75"/>
    </row>
    <row r="731" spans="1:15" s="66" customFormat="1" ht="25.15" customHeight="1">
      <c r="A731" s="75"/>
      <c r="B731" s="98"/>
      <c r="C731" s="78"/>
      <c r="D731" s="79"/>
      <c r="E731" s="76" t="str">
        <f>IF(ISBLANK(Log[[#This Row],[Item]]),"",_xlfn.XLOOKUP(Log[[#This Row],[Item]],Calories[Name],Calories[Unit]))</f>
        <v/>
      </c>
      <c r="F731" s="65" t="str">
        <f>IF(ISBLANK(Log[[#This Row],[Item]]),"",_xlfn.XLOOKUP(Log[[#This Row],[Item]],Calories[Name],Calories[Cals])*Log[[#This Row],[Qty]])</f>
        <v/>
      </c>
      <c r="G731" s="71" t="str">
        <f>IF(ISBLANK(Log[[#This Row],[Item]]),"",_xlfn.XLOOKUP(Log[[#This Row],[Item]],Calories[Name],Calories[Carbs])*Log[[#This Row],[Qty]])</f>
        <v/>
      </c>
      <c r="H731" s="71" t="str">
        <f>IF(ISBLANK(Log[[#This Row],[Item]]),"",_xlfn.XLOOKUP(Log[[#This Row],[Item]],Calories[Name],Calories[Fibre])*Log[[#This Row],[Qty]])</f>
        <v/>
      </c>
      <c r="I731" s="71" t="str">
        <f>IF(ISBLANK(Log[[#This Row],[Item]]),"",(Log[[#This Row],[Carbs]]-Log[[#This Row],[Fibre]]))</f>
        <v/>
      </c>
      <c r="J731" s="103" t="str">
        <f>IF(ISBLANK(Log[[#This Row],[Item]]),"",_xlfn.XLOOKUP(Log[[#This Row],[Item]],Calories[Name],Calories[Sodium])*Log[[#This Row],[Qty]])</f>
        <v/>
      </c>
      <c r="K731" s="71" t="str">
        <f>IF(ISBLANK(Log[[#This Row],[Item]]),"",_xlfn.XLOOKUP(Log[[#This Row],[Item]],Calories[Name],Calories[Protein])*Log[[#This Row],[Qty]])</f>
        <v/>
      </c>
      <c r="L731" s="71" t="str">
        <f>IF(ISBLANK(Log[[#This Row],[Item]]),"",_xlfn.XLOOKUP(Log[[#This Row],[Item]],Calories[Name],Calories[Chol.])*Log[[#This Row],[Qty]])</f>
        <v/>
      </c>
      <c r="M731" s="75"/>
      <c r="N731" s="75"/>
      <c r="O731" s="75"/>
    </row>
    <row r="732" spans="1:15" s="66" customFormat="1" ht="25.15" customHeight="1">
      <c r="A732" s="75"/>
      <c r="B732" s="98"/>
      <c r="C732" s="78"/>
      <c r="D732" s="79"/>
      <c r="E732" s="76" t="str">
        <f>IF(ISBLANK(Log[[#This Row],[Item]]),"",_xlfn.XLOOKUP(Log[[#This Row],[Item]],Calories[Name],Calories[Unit]))</f>
        <v/>
      </c>
      <c r="F732" s="65" t="str">
        <f>IF(ISBLANK(Log[[#This Row],[Item]]),"",_xlfn.XLOOKUP(Log[[#This Row],[Item]],Calories[Name],Calories[Cals])*Log[[#This Row],[Qty]])</f>
        <v/>
      </c>
      <c r="G732" s="71" t="str">
        <f>IF(ISBLANK(Log[[#This Row],[Item]]),"",_xlfn.XLOOKUP(Log[[#This Row],[Item]],Calories[Name],Calories[Carbs])*Log[[#This Row],[Qty]])</f>
        <v/>
      </c>
      <c r="H732" s="71" t="str">
        <f>IF(ISBLANK(Log[[#This Row],[Item]]),"",_xlfn.XLOOKUP(Log[[#This Row],[Item]],Calories[Name],Calories[Fibre])*Log[[#This Row],[Qty]])</f>
        <v/>
      </c>
      <c r="I732" s="71" t="str">
        <f>IF(ISBLANK(Log[[#This Row],[Item]]),"",(Log[[#This Row],[Carbs]]-Log[[#This Row],[Fibre]]))</f>
        <v/>
      </c>
      <c r="J732" s="103" t="str">
        <f>IF(ISBLANK(Log[[#This Row],[Item]]),"",_xlfn.XLOOKUP(Log[[#This Row],[Item]],Calories[Name],Calories[Sodium])*Log[[#This Row],[Qty]])</f>
        <v/>
      </c>
      <c r="K732" s="71" t="str">
        <f>IF(ISBLANK(Log[[#This Row],[Item]]),"",_xlfn.XLOOKUP(Log[[#This Row],[Item]],Calories[Name],Calories[Protein])*Log[[#This Row],[Qty]])</f>
        <v/>
      </c>
      <c r="L732" s="71" t="str">
        <f>IF(ISBLANK(Log[[#This Row],[Item]]),"",_xlfn.XLOOKUP(Log[[#This Row],[Item]],Calories[Name],Calories[Chol.])*Log[[#This Row],[Qty]])</f>
        <v/>
      </c>
      <c r="M732" s="75"/>
      <c r="N732" s="75"/>
      <c r="O732" s="75"/>
    </row>
    <row r="733" spans="1:15" s="66" customFormat="1" ht="25.15" customHeight="1">
      <c r="A733" s="75"/>
      <c r="B733" s="98"/>
      <c r="C733" s="78"/>
      <c r="D733" s="79"/>
      <c r="E733" s="76" t="str">
        <f>IF(ISBLANK(Log[[#This Row],[Item]]),"",_xlfn.XLOOKUP(Log[[#This Row],[Item]],Calories[Name],Calories[Unit]))</f>
        <v/>
      </c>
      <c r="F733" s="65" t="str">
        <f>IF(ISBLANK(Log[[#This Row],[Item]]),"",_xlfn.XLOOKUP(Log[[#This Row],[Item]],Calories[Name],Calories[Cals])*Log[[#This Row],[Qty]])</f>
        <v/>
      </c>
      <c r="G733" s="71" t="str">
        <f>IF(ISBLANK(Log[[#This Row],[Item]]),"",_xlfn.XLOOKUP(Log[[#This Row],[Item]],Calories[Name],Calories[Carbs])*Log[[#This Row],[Qty]])</f>
        <v/>
      </c>
      <c r="H733" s="71" t="str">
        <f>IF(ISBLANK(Log[[#This Row],[Item]]),"",_xlfn.XLOOKUP(Log[[#This Row],[Item]],Calories[Name],Calories[Fibre])*Log[[#This Row],[Qty]])</f>
        <v/>
      </c>
      <c r="I733" s="71" t="str">
        <f>IF(ISBLANK(Log[[#This Row],[Item]]),"",(Log[[#This Row],[Carbs]]-Log[[#This Row],[Fibre]]))</f>
        <v/>
      </c>
      <c r="J733" s="103" t="str">
        <f>IF(ISBLANK(Log[[#This Row],[Item]]),"",_xlfn.XLOOKUP(Log[[#This Row],[Item]],Calories[Name],Calories[Sodium])*Log[[#This Row],[Qty]])</f>
        <v/>
      </c>
      <c r="K733" s="71" t="str">
        <f>IF(ISBLANK(Log[[#This Row],[Item]]),"",_xlfn.XLOOKUP(Log[[#This Row],[Item]],Calories[Name],Calories[Protein])*Log[[#This Row],[Qty]])</f>
        <v/>
      </c>
      <c r="L733" s="71" t="str">
        <f>IF(ISBLANK(Log[[#This Row],[Item]]),"",_xlfn.XLOOKUP(Log[[#This Row],[Item]],Calories[Name],Calories[Chol.])*Log[[#This Row],[Qty]])</f>
        <v/>
      </c>
      <c r="M733" s="75"/>
      <c r="N733" s="75"/>
      <c r="O733" s="75"/>
    </row>
    <row r="734" spans="1:15" s="66" customFormat="1" ht="25.15" customHeight="1">
      <c r="A734" s="75"/>
      <c r="B734" s="98"/>
      <c r="C734" s="78"/>
      <c r="D734" s="79"/>
      <c r="E734" s="76" t="str">
        <f>IF(ISBLANK(Log[[#This Row],[Item]]),"",_xlfn.XLOOKUP(Log[[#This Row],[Item]],Calories[Name],Calories[Unit]))</f>
        <v/>
      </c>
      <c r="F734" s="65" t="str">
        <f>IF(ISBLANK(Log[[#This Row],[Item]]),"",_xlfn.XLOOKUP(Log[[#This Row],[Item]],Calories[Name],Calories[Cals])*Log[[#This Row],[Qty]])</f>
        <v/>
      </c>
      <c r="G734" s="71" t="str">
        <f>IF(ISBLANK(Log[[#This Row],[Item]]),"",_xlfn.XLOOKUP(Log[[#This Row],[Item]],Calories[Name],Calories[Carbs])*Log[[#This Row],[Qty]])</f>
        <v/>
      </c>
      <c r="H734" s="71" t="str">
        <f>IF(ISBLANK(Log[[#This Row],[Item]]),"",_xlfn.XLOOKUP(Log[[#This Row],[Item]],Calories[Name],Calories[Fibre])*Log[[#This Row],[Qty]])</f>
        <v/>
      </c>
      <c r="I734" s="71" t="str">
        <f>IF(ISBLANK(Log[[#This Row],[Item]]),"",(Log[[#This Row],[Carbs]]-Log[[#This Row],[Fibre]]))</f>
        <v/>
      </c>
      <c r="J734" s="103" t="str">
        <f>IF(ISBLANK(Log[[#This Row],[Item]]),"",_xlfn.XLOOKUP(Log[[#This Row],[Item]],Calories[Name],Calories[Sodium])*Log[[#This Row],[Qty]])</f>
        <v/>
      </c>
      <c r="K734" s="71" t="str">
        <f>IF(ISBLANK(Log[[#This Row],[Item]]),"",_xlfn.XLOOKUP(Log[[#This Row],[Item]],Calories[Name],Calories[Protein])*Log[[#This Row],[Qty]])</f>
        <v/>
      </c>
      <c r="L734" s="71" t="str">
        <f>IF(ISBLANK(Log[[#This Row],[Item]]),"",_xlfn.XLOOKUP(Log[[#This Row],[Item]],Calories[Name],Calories[Chol.])*Log[[#This Row],[Qty]])</f>
        <v/>
      </c>
      <c r="M734" s="75"/>
      <c r="N734" s="75"/>
      <c r="O734" s="75"/>
    </row>
    <row r="735" spans="1:15" s="66" customFormat="1" ht="25.15" customHeight="1">
      <c r="A735" s="75"/>
      <c r="B735" s="98"/>
      <c r="C735" s="78"/>
      <c r="D735" s="79"/>
      <c r="E735" s="76" t="str">
        <f>IF(ISBLANK(Log[[#This Row],[Item]]),"",_xlfn.XLOOKUP(Log[[#This Row],[Item]],Calories[Name],Calories[Unit]))</f>
        <v/>
      </c>
      <c r="F735" s="65" t="str">
        <f>IF(ISBLANK(Log[[#This Row],[Item]]),"",_xlfn.XLOOKUP(Log[[#This Row],[Item]],Calories[Name],Calories[Cals])*Log[[#This Row],[Qty]])</f>
        <v/>
      </c>
      <c r="G735" s="71" t="str">
        <f>IF(ISBLANK(Log[[#This Row],[Item]]),"",_xlfn.XLOOKUP(Log[[#This Row],[Item]],Calories[Name],Calories[Carbs])*Log[[#This Row],[Qty]])</f>
        <v/>
      </c>
      <c r="H735" s="71" t="str">
        <f>IF(ISBLANK(Log[[#This Row],[Item]]),"",_xlfn.XLOOKUP(Log[[#This Row],[Item]],Calories[Name],Calories[Fibre])*Log[[#This Row],[Qty]])</f>
        <v/>
      </c>
      <c r="I735" s="71" t="str">
        <f>IF(ISBLANK(Log[[#This Row],[Item]]),"",(Log[[#This Row],[Carbs]]-Log[[#This Row],[Fibre]]))</f>
        <v/>
      </c>
      <c r="J735" s="103" t="str">
        <f>IF(ISBLANK(Log[[#This Row],[Item]]),"",_xlfn.XLOOKUP(Log[[#This Row],[Item]],Calories[Name],Calories[Sodium])*Log[[#This Row],[Qty]])</f>
        <v/>
      </c>
      <c r="K735" s="71" t="str">
        <f>IF(ISBLANK(Log[[#This Row],[Item]]),"",_xlfn.XLOOKUP(Log[[#This Row],[Item]],Calories[Name],Calories[Protein])*Log[[#This Row],[Qty]])</f>
        <v/>
      </c>
      <c r="L735" s="71" t="str">
        <f>IF(ISBLANK(Log[[#This Row],[Item]]),"",_xlfn.XLOOKUP(Log[[#This Row],[Item]],Calories[Name],Calories[Chol.])*Log[[#This Row],[Qty]])</f>
        <v/>
      </c>
      <c r="M735" s="75"/>
      <c r="N735" s="75"/>
      <c r="O735" s="75"/>
    </row>
    <row r="736" spans="1:15" s="66" customFormat="1" ht="25.15" customHeight="1">
      <c r="A736" s="75"/>
      <c r="B736" s="98"/>
      <c r="C736" s="78"/>
      <c r="D736" s="79"/>
      <c r="E736" s="76" t="str">
        <f>IF(ISBLANK(Log[[#This Row],[Item]]),"",_xlfn.XLOOKUP(Log[[#This Row],[Item]],Calories[Name],Calories[Unit]))</f>
        <v/>
      </c>
      <c r="F736" s="65" t="str">
        <f>IF(ISBLANK(Log[[#This Row],[Item]]),"",_xlfn.XLOOKUP(Log[[#This Row],[Item]],Calories[Name],Calories[Cals])*Log[[#This Row],[Qty]])</f>
        <v/>
      </c>
      <c r="G736" s="71" t="str">
        <f>IF(ISBLANK(Log[[#This Row],[Item]]),"",_xlfn.XLOOKUP(Log[[#This Row],[Item]],Calories[Name],Calories[Carbs])*Log[[#This Row],[Qty]])</f>
        <v/>
      </c>
      <c r="H736" s="71" t="str">
        <f>IF(ISBLANK(Log[[#This Row],[Item]]),"",_xlfn.XLOOKUP(Log[[#This Row],[Item]],Calories[Name],Calories[Fibre])*Log[[#This Row],[Qty]])</f>
        <v/>
      </c>
      <c r="I736" s="71" t="str">
        <f>IF(ISBLANK(Log[[#This Row],[Item]]),"",(Log[[#This Row],[Carbs]]-Log[[#This Row],[Fibre]]))</f>
        <v/>
      </c>
      <c r="J736" s="103" t="str">
        <f>IF(ISBLANK(Log[[#This Row],[Item]]),"",_xlfn.XLOOKUP(Log[[#This Row],[Item]],Calories[Name],Calories[Sodium])*Log[[#This Row],[Qty]])</f>
        <v/>
      </c>
      <c r="K736" s="71" t="str">
        <f>IF(ISBLANK(Log[[#This Row],[Item]]),"",_xlfn.XLOOKUP(Log[[#This Row],[Item]],Calories[Name],Calories[Protein])*Log[[#This Row],[Qty]])</f>
        <v/>
      </c>
      <c r="L736" s="71" t="str">
        <f>IF(ISBLANK(Log[[#This Row],[Item]]),"",_xlfn.XLOOKUP(Log[[#This Row],[Item]],Calories[Name],Calories[Chol.])*Log[[#This Row],[Qty]])</f>
        <v/>
      </c>
      <c r="M736" s="75"/>
      <c r="N736" s="75"/>
      <c r="O736" s="75"/>
    </row>
    <row r="737" spans="1:15" s="66" customFormat="1" ht="25.15" customHeight="1">
      <c r="A737" s="75"/>
      <c r="B737" s="98"/>
      <c r="C737" s="78"/>
      <c r="D737" s="79"/>
      <c r="E737" s="76" t="str">
        <f>IF(ISBLANK(Log[[#This Row],[Item]]),"",_xlfn.XLOOKUP(Log[[#This Row],[Item]],Calories[Name],Calories[Unit]))</f>
        <v/>
      </c>
      <c r="F737" s="65" t="str">
        <f>IF(ISBLANK(Log[[#This Row],[Item]]),"",_xlfn.XLOOKUP(Log[[#This Row],[Item]],Calories[Name],Calories[Cals])*Log[[#This Row],[Qty]])</f>
        <v/>
      </c>
      <c r="G737" s="71" t="str">
        <f>IF(ISBLANK(Log[[#This Row],[Item]]),"",_xlfn.XLOOKUP(Log[[#This Row],[Item]],Calories[Name],Calories[Carbs])*Log[[#This Row],[Qty]])</f>
        <v/>
      </c>
      <c r="H737" s="71" t="str">
        <f>IF(ISBLANK(Log[[#This Row],[Item]]),"",_xlfn.XLOOKUP(Log[[#This Row],[Item]],Calories[Name],Calories[Fibre])*Log[[#This Row],[Qty]])</f>
        <v/>
      </c>
      <c r="I737" s="71" t="str">
        <f>IF(ISBLANK(Log[[#This Row],[Item]]),"",(Log[[#This Row],[Carbs]]-Log[[#This Row],[Fibre]]))</f>
        <v/>
      </c>
      <c r="J737" s="103" t="str">
        <f>IF(ISBLANK(Log[[#This Row],[Item]]),"",_xlfn.XLOOKUP(Log[[#This Row],[Item]],Calories[Name],Calories[Sodium])*Log[[#This Row],[Qty]])</f>
        <v/>
      </c>
      <c r="K737" s="71" t="str">
        <f>IF(ISBLANK(Log[[#This Row],[Item]]),"",_xlfn.XLOOKUP(Log[[#This Row],[Item]],Calories[Name],Calories[Protein])*Log[[#This Row],[Qty]])</f>
        <v/>
      </c>
      <c r="L737" s="71" t="str">
        <f>IF(ISBLANK(Log[[#This Row],[Item]]),"",_xlfn.XLOOKUP(Log[[#This Row],[Item]],Calories[Name],Calories[Chol.])*Log[[#This Row],[Qty]])</f>
        <v/>
      </c>
      <c r="M737" s="75"/>
      <c r="N737" s="75"/>
      <c r="O737" s="75"/>
    </row>
    <row r="738" spans="1:15" s="66" customFormat="1" ht="25.15" customHeight="1">
      <c r="A738" s="75"/>
      <c r="B738" s="98"/>
      <c r="C738" s="78"/>
      <c r="D738" s="79"/>
      <c r="E738" s="76" t="str">
        <f>IF(ISBLANK(Log[[#This Row],[Item]]),"",_xlfn.XLOOKUP(Log[[#This Row],[Item]],Calories[Name],Calories[Unit]))</f>
        <v/>
      </c>
      <c r="F738" s="65" t="str">
        <f>IF(ISBLANK(Log[[#This Row],[Item]]),"",_xlfn.XLOOKUP(Log[[#This Row],[Item]],Calories[Name],Calories[Cals])*Log[[#This Row],[Qty]])</f>
        <v/>
      </c>
      <c r="G738" s="71" t="str">
        <f>IF(ISBLANK(Log[[#This Row],[Item]]),"",_xlfn.XLOOKUP(Log[[#This Row],[Item]],Calories[Name],Calories[Carbs])*Log[[#This Row],[Qty]])</f>
        <v/>
      </c>
      <c r="H738" s="71" t="str">
        <f>IF(ISBLANK(Log[[#This Row],[Item]]),"",_xlfn.XLOOKUP(Log[[#This Row],[Item]],Calories[Name],Calories[Fibre])*Log[[#This Row],[Qty]])</f>
        <v/>
      </c>
      <c r="I738" s="71" t="str">
        <f>IF(ISBLANK(Log[[#This Row],[Item]]),"",(Log[[#This Row],[Carbs]]-Log[[#This Row],[Fibre]]))</f>
        <v/>
      </c>
      <c r="J738" s="103" t="str">
        <f>IF(ISBLANK(Log[[#This Row],[Item]]),"",_xlfn.XLOOKUP(Log[[#This Row],[Item]],Calories[Name],Calories[Sodium])*Log[[#This Row],[Qty]])</f>
        <v/>
      </c>
      <c r="K738" s="71" t="str">
        <f>IF(ISBLANK(Log[[#This Row],[Item]]),"",_xlfn.XLOOKUP(Log[[#This Row],[Item]],Calories[Name],Calories[Protein])*Log[[#This Row],[Qty]])</f>
        <v/>
      </c>
      <c r="L738" s="71" t="str">
        <f>IF(ISBLANK(Log[[#This Row],[Item]]),"",_xlfn.XLOOKUP(Log[[#This Row],[Item]],Calories[Name],Calories[Chol.])*Log[[#This Row],[Qty]])</f>
        <v/>
      </c>
      <c r="M738" s="75"/>
      <c r="N738" s="75"/>
      <c r="O738" s="75"/>
    </row>
    <row r="739" spans="1:15" s="66" customFormat="1" ht="25.15" customHeight="1">
      <c r="A739" s="75"/>
      <c r="B739" s="98"/>
      <c r="C739" s="78"/>
      <c r="D739" s="79"/>
      <c r="E739" s="76" t="str">
        <f>IF(ISBLANK(Log[[#This Row],[Item]]),"",_xlfn.XLOOKUP(Log[[#This Row],[Item]],Calories[Name],Calories[Unit]))</f>
        <v/>
      </c>
      <c r="F739" s="65" t="str">
        <f>IF(ISBLANK(Log[[#This Row],[Item]]),"",_xlfn.XLOOKUP(Log[[#This Row],[Item]],Calories[Name],Calories[Cals])*Log[[#This Row],[Qty]])</f>
        <v/>
      </c>
      <c r="G739" s="71" t="str">
        <f>IF(ISBLANK(Log[[#This Row],[Item]]),"",_xlfn.XLOOKUP(Log[[#This Row],[Item]],Calories[Name],Calories[Carbs])*Log[[#This Row],[Qty]])</f>
        <v/>
      </c>
      <c r="H739" s="71" t="str">
        <f>IF(ISBLANK(Log[[#This Row],[Item]]),"",_xlfn.XLOOKUP(Log[[#This Row],[Item]],Calories[Name],Calories[Fibre])*Log[[#This Row],[Qty]])</f>
        <v/>
      </c>
      <c r="I739" s="71" t="str">
        <f>IF(ISBLANK(Log[[#This Row],[Item]]),"",(Log[[#This Row],[Carbs]]-Log[[#This Row],[Fibre]]))</f>
        <v/>
      </c>
      <c r="J739" s="103" t="str">
        <f>IF(ISBLANK(Log[[#This Row],[Item]]),"",_xlfn.XLOOKUP(Log[[#This Row],[Item]],Calories[Name],Calories[Sodium])*Log[[#This Row],[Qty]])</f>
        <v/>
      </c>
      <c r="K739" s="71" t="str">
        <f>IF(ISBLANK(Log[[#This Row],[Item]]),"",_xlfn.XLOOKUP(Log[[#This Row],[Item]],Calories[Name],Calories[Protein])*Log[[#This Row],[Qty]])</f>
        <v/>
      </c>
      <c r="L739" s="71" t="str">
        <f>IF(ISBLANK(Log[[#This Row],[Item]]),"",_xlfn.XLOOKUP(Log[[#This Row],[Item]],Calories[Name],Calories[Chol.])*Log[[#This Row],[Qty]])</f>
        <v/>
      </c>
      <c r="M739" s="75"/>
      <c r="N739" s="75"/>
      <c r="O739" s="75"/>
    </row>
    <row r="740" spans="1:15" s="66" customFormat="1" ht="25.15" customHeight="1">
      <c r="A740" s="75"/>
      <c r="B740" s="98"/>
      <c r="C740" s="78"/>
      <c r="D740" s="79"/>
      <c r="E740" s="76" t="str">
        <f>IF(ISBLANK(Log[[#This Row],[Item]]),"",_xlfn.XLOOKUP(Log[[#This Row],[Item]],Calories[Name],Calories[Unit]))</f>
        <v/>
      </c>
      <c r="F740" s="65" t="str">
        <f>IF(ISBLANK(Log[[#This Row],[Item]]),"",_xlfn.XLOOKUP(Log[[#This Row],[Item]],Calories[Name],Calories[Cals])*Log[[#This Row],[Qty]])</f>
        <v/>
      </c>
      <c r="G740" s="71" t="str">
        <f>IF(ISBLANK(Log[[#This Row],[Item]]),"",_xlfn.XLOOKUP(Log[[#This Row],[Item]],Calories[Name],Calories[Carbs])*Log[[#This Row],[Qty]])</f>
        <v/>
      </c>
      <c r="H740" s="71" t="str">
        <f>IF(ISBLANK(Log[[#This Row],[Item]]),"",_xlfn.XLOOKUP(Log[[#This Row],[Item]],Calories[Name],Calories[Fibre])*Log[[#This Row],[Qty]])</f>
        <v/>
      </c>
      <c r="I740" s="71" t="str">
        <f>IF(ISBLANK(Log[[#This Row],[Item]]),"",(Log[[#This Row],[Carbs]]-Log[[#This Row],[Fibre]]))</f>
        <v/>
      </c>
      <c r="J740" s="103" t="str">
        <f>IF(ISBLANK(Log[[#This Row],[Item]]),"",_xlfn.XLOOKUP(Log[[#This Row],[Item]],Calories[Name],Calories[Sodium])*Log[[#This Row],[Qty]])</f>
        <v/>
      </c>
      <c r="K740" s="71" t="str">
        <f>IF(ISBLANK(Log[[#This Row],[Item]]),"",_xlfn.XLOOKUP(Log[[#This Row],[Item]],Calories[Name],Calories[Protein])*Log[[#This Row],[Qty]])</f>
        <v/>
      </c>
      <c r="L740" s="71" t="str">
        <f>IF(ISBLANK(Log[[#This Row],[Item]]),"",_xlfn.XLOOKUP(Log[[#This Row],[Item]],Calories[Name],Calories[Chol.])*Log[[#This Row],[Qty]])</f>
        <v/>
      </c>
      <c r="M740" s="75"/>
      <c r="N740" s="75"/>
      <c r="O740" s="75"/>
    </row>
    <row r="741" spans="1:15" s="66" customFormat="1" ht="25.15" customHeight="1">
      <c r="A741" s="75"/>
      <c r="B741" s="98"/>
      <c r="C741" s="78"/>
      <c r="D741" s="79"/>
      <c r="E741" s="76" t="str">
        <f>IF(ISBLANK(Log[[#This Row],[Item]]),"",_xlfn.XLOOKUP(Log[[#This Row],[Item]],Calories[Name],Calories[Unit]))</f>
        <v/>
      </c>
      <c r="F741" s="65" t="str">
        <f>IF(ISBLANK(Log[[#This Row],[Item]]),"",_xlfn.XLOOKUP(Log[[#This Row],[Item]],Calories[Name],Calories[Cals])*Log[[#This Row],[Qty]])</f>
        <v/>
      </c>
      <c r="G741" s="71" t="str">
        <f>IF(ISBLANK(Log[[#This Row],[Item]]),"",_xlfn.XLOOKUP(Log[[#This Row],[Item]],Calories[Name],Calories[Carbs])*Log[[#This Row],[Qty]])</f>
        <v/>
      </c>
      <c r="H741" s="71" t="str">
        <f>IF(ISBLANK(Log[[#This Row],[Item]]),"",_xlfn.XLOOKUP(Log[[#This Row],[Item]],Calories[Name],Calories[Fibre])*Log[[#This Row],[Qty]])</f>
        <v/>
      </c>
      <c r="I741" s="71" t="str">
        <f>IF(ISBLANK(Log[[#This Row],[Item]]),"",(Log[[#This Row],[Carbs]]-Log[[#This Row],[Fibre]]))</f>
        <v/>
      </c>
      <c r="J741" s="103" t="str">
        <f>IF(ISBLANK(Log[[#This Row],[Item]]),"",_xlfn.XLOOKUP(Log[[#This Row],[Item]],Calories[Name],Calories[Sodium])*Log[[#This Row],[Qty]])</f>
        <v/>
      </c>
      <c r="K741" s="71" t="str">
        <f>IF(ISBLANK(Log[[#This Row],[Item]]),"",_xlfn.XLOOKUP(Log[[#This Row],[Item]],Calories[Name],Calories[Protein])*Log[[#This Row],[Qty]])</f>
        <v/>
      </c>
      <c r="L741" s="71" t="str">
        <f>IF(ISBLANK(Log[[#This Row],[Item]]),"",_xlfn.XLOOKUP(Log[[#This Row],[Item]],Calories[Name],Calories[Chol.])*Log[[#This Row],[Qty]])</f>
        <v/>
      </c>
      <c r="M741" s="75"/>
      <c r="N741" s="75"/>
      <c r="O741" s="75"/>
    </row>
    <row r="742" spans="1:15" s="66" customFormat="1" ht="25.15" customHeight="1">
      <c r="A742" s="75"/>
      <c r="B742" s="98"/>
      <c r="C742" s="78"/>
      <c r="D742" s="79"/>
      <c r="E742" s="76" t="str">
        <f>IF(ISBLANK(Log[[#This Row],[Item]]),"",_xlfn.XLOOKUP(Log[[#This Row],[Item]],Calories[Name],Calories[Unit]))</f>
        <v/>
      </c>
      <c r="F742" s="65" t="str">
        <f>IF(ISBLANK(Log[[#This Row],[Item]]),"",_xlfn.XLOOKUP(Log[[#This Row],[Item]],Calories[Name],Calories[Cals])*Log[[#This Row],[Qty]])</f>
        <v/>
      </c>
      <c r="G742" s="71" t="str">
        <f>IF(ISBLANK(Log[[#This Row],[Item]]),"",_xlfn.XLOOKUP(Log[[#This Row],[Item]],Calories[Name],Calories[Carbs])*Log[[#This Row],[Qty]])</f>
        <v/>
      </c>
      <c r="H742" s="71" t="str">
        <f>IF(ISBLANK(Log[[#This Row],[Item]]),"",_xlfn.XLOOKUP(Log[[#This Row],[Item]],Calories[Name],Calories[Fibre])*Log[[#This Row],[Qty]])</f>
        <v/>
      </c>
      <c r="I742" s="71" t="str">
        <f>IF(ISBLANK(Log[[#This Row],[Item]]),"",(Log[[#This Row],[Carbs]]-Log[[#This Row],[Fibre]]))</f>
        <v/>
      </c>
      <c r="J742" s="103" t="str">
        <f>IF(ISBLANK(Log[[#This Row],[Item]]),"",_xlfn.XLOOKUP(Log[[#This Row],[Item]],Calories[Name],Calories[Sodium])*Log[[#This Row],[Qty]])</f>
        <v/>
      </c>
      <c r="K742" s="71" t="str">
        <f>IF(ISBLANK(Log[[#This Row],[Item]]),"",_xlfn.XLOOKUP(Log[[#This Row],[Item]],Calories[Name],Calories[Protein])*Log[[#This Row],[Qty]])</f>
        <v/>
      </c>
      <c r="L742" s="71" t="str">
        <f>IF(ISBLANK(Log[[#This Row],[Item]]),"",_xlfn.XLOOKUP(Log[[#This Row],[Item]],Calories[Name],Calories[Chol.])*Log[[#This Row],[Qty]])</f>
        <v/>
      </c>
      <c r="M742" s="75"/>
      <c r="N742" s="75"/>
      <c r="O742" s="75"/>
    </row>
    <row r="743" spans="1:15" s="66" customFormat="1" ht="25.15" customHeight="1">
      <c r="A743" s="75"/>
      <c r="B743" s="98"/>
      <c r="C743" s="78"/>
      <c r="D743" s="79"/>
      <c r="E743" s="76" t="str">
        <f>IF(ISBLANK(Log[[#This Row],[Item]]),"",_xlfn.XLOOKUP(Log[[#This Row],[Item]],Calories[Name],Calories[Unit]))</f>
        <v/>
      </c>
      <c r="F743" s="65" t="str">
        <f>IF(ISBLANK(Log[[#This Row],[Item]]),"",_xlfn.XLOOKUP(Log[[#This Row],[Item]],Calories[Name],Calories[Cals])*Log[[#This Row],[Qty]])</f>
        <v/>
      </c>
      <c r="G743" s="71" t="str">
        <f>IF(ISBLANK(Log[[#This Row],[Item]]),"",_xlfn.XLOOKUP(Log[[#This Row],[Item]],Calories[Name],Calories[Carbs])*Log[[#This Row],[Qty]])</f>
        <v/>
      </c>
      <c r="H743" s="71" t="str">
        <f>IF(ISBLANK(Log[[#This Row],[Item]]),"",_xlfn.XLOOKUP(Log[[#This Row],[Item]],Calories[Name],Calories[Fibre])*Log[[#This Row],[Qty]])</f>
        <v/>
      </c>
      <c r="I743" s="71" t="str">
        <f>IF(ISBLANK(Log[[#This Row],[Item]]),"",(Log[[#This Row],[Carbs]]-Log[[#This Row],[Fibre]]))</f>
        <v/>
      </c>
      <c r="J743" s="103" t="str">
        <f>IF(ISBLANK(Log[[#This Row],[Item]]),"",_xlfn.XLOOKUP(Log[[#This Row],[Item]],Calories[Name],Calories[Sodium])*Log[[#This Row],[Qty]])</f>
        <v/>
      </c>
      <c r="K743" s="71" t="str">
        <f>IF(ISBLANK(Log[[#This Row],[Item]]),"",_xlfn.XLOOKUP(Log[[#This Row],[Item]],Calories[Name],Calories[Protein])*Log[[#This Row],[Qty]])</f>
        <v/>
      </c>
      <c r="L743" s="71" t="str">
        <f>IF(ISBLANK(Log[[#This Row],[Item]]),"",_xlfn.XLOOKUP(Log[[#This Row],[Item]],Calories[Name],Calories[Chol.])*Log[[#This Row],[Qty]])</f>
        <v/>
      </c>
      <c r="M743" s="75"/>
      <c r="N743" s="75"/>
      <c r="O743" s="75"/>
    </row>
    <row r="744" spans="1:15" s="66" customFormat="1" ht="25.15" customHeight="1">
      <c r="A744" s="75"/>
      <c r="B744" s="98"/>
      <c r="C744" s="78"/>
      <c r="D744" s="79"/>
      <c r="E744" s="76" t="str">
        <f>IF(ISBLANK(Log[[#This Row],[Item]]),"",_xlfn.XLOOKUP(Log[[#This Row],[Item]],Calories[Name],Calories[Unit]))</f>
        <v/>
      </c>
      <c r="F744" s="65" t="str">
        <f>IF(ISBLANK(Log[[#This Row],[Item]]),"",_xlfn.XLOOKUP(Log[[#This Row],[Item]],Calories[Name],Calories[Cals])*Log[[#This Row],[Qty]])</f>
        <v/>
      </c>
      <c r="G744" s="71" t="str">
        <f>IF(ISBLANK(Log[[#This Row],[Item]]),"",_xlfn.XLOOKUP(Log[[#This Row],[Item]],Calories[Name],Calories[Carbs])*Log[[#This Row],[Qty]])</f>
        <v/>
      </c>
      <c r="H744" s="71" t="str">
        <f>IF(ISBLANK(Log[[#This Row],[Item]]),"",_xlfn.XLOOKUP(Log[[#This Row],[Item]],Calories[Name],Calories[Fibre])*Log[[#This Row],[Qty]])</f>
        <v/>
      </c>
      <c r="I744" s="71" t="str">
        <f>IF(ISBLANK(Log[[#This Row],[Item]]),"",(Log[[#This Row],[Carbs]]-Log[[#This Row],[Fibre]]))</f>
        <v/>
      </c>
      <c r="J744" s="103" t="str">
        <f>IF(ISBLANK(Log[[#This Row],[Item]]),"",_xlfn.XLOOKUP(Log[[#This Row],[Item]],Calories[Name],Calories[Sodium])*Log[[#This Row],[Qty]])</f>
        <v/>
      </c>
      <c r="K744" s="71" t="str">
        <f>IF(ISBLANK(Log[[#This Row],[Item]]),"",_xlfn.XLOOKUP(Log[[#This Row],[Item]],Calories[Name],Calories[Protein])*Log[[#This Row],[Qty]])</f>
        <v/>
      </c>
      <c r="L744" s="71" t="str">
        <f>IF(ISBLANK(Log[[#This Row],[Item]]),"",_xlfn.XLOOKUP(Log[[#This Row],[Item]],Calories[Name],Calories[Chol.])*Log[[#This Row],[Qty]])</f>
        <v/>
      </c>
      <c r="M744" s="75"/>
      <c r="N744" s="75"/>
      <c r="O744" s="75"/>
    </row>
    <row r="745" spans="1:15" s="66" customFormat="1" ht="25.15" customHeight="1">
      <c r="A745" s="75"/>
      <c r="B745" s="98"/>
      <c r="C745" s="78"/>
      <c r="D745" s="79"/>
      <c r="E745" s="76" t="str">
        <f>IF(ISBLANK(Log[[#This Row],[Item]]),"",_xlfn.XLOOKUP(Log[[#This Row],[Item]],Calories[Name],Calories[Unit]))</f>
        <v/>
      </c>
      <c r="F745" s="65" t="str">
        <f>IF(ISBLANK(Log[[#This Row],[Item]]),"",_xlfn.XLOOKUP(Log[[#This Row],[Item]],Calories[Name],Calories[Cals])*Log[[#This Row],[Qty]])</f>
        <v/>
      </c>
      <c r="G745" s="71" t="str">
        <f>IF(ISBLANK(Log[[#This Row],[Item]]),"",_xlfn.XLOOKUP(Log[[#This Row],[Item]],Calories[Name],Calories[Carbs])*Log[[#This Row],[Qty]])</f>
        <v/>
      </c>
      <c r="H745" s="71" t="str">
        <f>IF(ISBLANK(Log[[#This Row],[Item]]),"",_xlfn.XLOOKUP(Log[[#This Row],[Item]],Calories[Name],Calories[Fibre])*Log[[#This Row],[Qty]])</f>
        <v/>
      </c>
      <c r="I745" s="71" t="str">
        <f>IF(ISBLANK(Log[[#This Row],[Item]]),"",(Log[[#This Row],[Carbs]]-Log[[#This Row],[Fibre]]))</f>
        <v/>
      </c>
      <c r="J745" s="103" t="str">
        <f>IF(ISBLANK(Log[[#This Row],[Item]]),"",_xlfn.XLOOKUP(Log[[#This Row],[Item]],Calories[Name],Calories[Sodium])*Log[[#This Row],[Qty]])</f>
        <v/>
      </c>
      <c r="K745" s="71" t="str">
        <f>IF(ISBLANK(Log[[#This Row],[Item]]),"",_xlfn.XLOOKUP(Log[[#This Row],[Item]],Calories[Name],Calories[Protein])*Log[[#This Row],[Qty]])</f>
        <v/>
      </c>
      <c r="L745" s="71" t="str">
        <f>IF(ISBLANK(Log[[#This Row],[Item]]),"",_xlfn.XLOOKUP(Log[[#This Row],[Item]],Calories[Name],Calories[Chol.])*Log[[#This Row],[Qty]])</f>
        <v/>
      </c>
      <c r="M745" s="75"/>
      <c r="N745" s="75"/>
      <c r="O745" s="75"/>
    </row>
    <row r="746" spans="1:15" s="66" customFormat="1" ht="25.15" customHeight="1">
      <c r="A746" s="75"/>
      <c r="B746" s="98"/>
      <c r="C746" s="78"/>
      <c r="D746" s="79"/>
      <c r="E746" s="76" t="str">
        <f>IF(ISBLANK(Log[[#This Row],[Item]]),"",_xlfn.XLOOKUP(Log[[#This Row],[Item]],Calories[Name],Calories[Unit]))</f>
        <v/>
      </c>
      <c r="F746" s="65" t="str">
        <f>IF(ISBLANK(Log[[#This Row],[Item]]),"",_xlfn.XLOOKUP(Log[[#This Row],[Item]],Calories[Name],Calories[Cals])*Log[[#This Row],[Qty]])</f>
        <v/>
      </c>
      <c r="G746" s="71" t="str">
        <f>IF(ISBLANK(Log[[#This Row],[Item]]),"",_xlfn.XLOOKUP(Log[[#This Row],[Item]],Calories[Name],Calories[Carbs])*Log[[#This Row],[Qty]])</f>
        <v/>
      </c>
      <c r="H746" s="71" t="str">
        <f>IF(ISBLANK(Log[[#This Row],[Item]]),"",_xlfn.XLOOKUP(Log[[#This Row],[Item]],Calories[Name],Calories[Fibre])*Log[[#This Row],[Qty]])</f>
        <v/>
      </c>
      <c r="I746" s="71" t="str">
        <f>IF(ISBLANK(Log[[#This Row],[Item]]),"",(Log[[#This Row],[Carbs]]-Log[[#This Row],[Fibre]]))</f>
        <v/>
      </c>
      <c r="J746" s="103" t="str">
        <f>IF(ISBLANK(Log[[#This Row],[Item]]),"",_xlfn.XLOOKUP(Log[[#This Row],[Item]],Calories[Name],Calories[Sodium])*Log[[#This Row],[Qty]])</f>
        <v/>
      </c>
      <c r="K746" s="71" t="str">
        <f>IF(ISBLANK(Log[[#This Row],[Item]]),"",_xlfn.XLOOKUP(Log[[#This Row],[Item]],Calories[Name],Calories[Protein])*Log[[#This Row],[Qty]])</f>
        <v/>
      </c>
      <c r="L746" s="71" t="str">
        <f>IF(ISBLANK(Log[[#This Row],[Item]]),"",_xlfn.XLOOKUP(Log[[#This Row],[Item]],Calories[Name],Calories[Chol.])*Log[[#This Row],[Qty]])</f>
        <v/>
      </c>
      <c r="M746" s="75"/>
      <c r="N746" s="75"/>
      <c r="O746" s="75"/>
    </row>
    <row r="747" spans="1:15" s="66" customFormat="1" ht="25.15" customHeight="1">
      <c r="A747" s="75"/>
      <c r="B747" s="98"/>
      <c r="C747" s="78"/>
      <c r="D747" s="79"/>
      <c r="E747" s="76" t="str">
        <f>IF(ISBLANK(Log[[#This Row],[Item]]),"",_xlfn.XLOOKUP(Log[[#This Row],[Item]],Calories[Name],Calories[Unit]))</f>
        <v/>
      </c>
      <c r="F747" s="65" t="str">
        <f>IF(ISBLANK(Log[[#This Row],[Item]]),"",_xlfn.XLOOKUP(Log[[#This Row],[Item]],Calories[Name],Calories[Cals])*Log[[#This Row],[Qty]])</f>
        <v/>
      </c>
      <c r="G747" s="71" t="str">
        <f>IF(ISBLANK(Log[[#This Row],[Item]]),"",_xlfn.XLOOKUP(Log[[#This Row],[Item]],Calories[Name],Calories[Carbs])*Log[[#This Row],[Qty]])</f>
        <v/>
      </c>
      <c r="H747" s="71" t="str">
        <f>IF(ISBLANK(Log[[#This Row],[Item]]),"",_xlfn.XLOOKUP(Log[[#This Row],[Item]],Calories[Name],Calories[Fibre])*Log[[#This Row],[Qty]])</f>
        <v/>
      </c>
      <c r="I747" s="71" t="str">
        <f>IF(ISBLANK(Log[[#This Row],[Item]]),"",(Log[[#This Row],[Carbs]]-Log[[#This Row],[Fibre]]))</f>
        <v/>
      </c>
      <c r="J747" s="103" t="str">
        <f>IF(ISBLANK(Log[[#This Row],[Item]]),"",_xlfn.XLOOKUP(Log[[#This Row],[Item]],Calories[Name],Calories[Sodium])*Log[[#This Row],[Qty]])</f>
        <v/>
      </c>
      <c r="K747" s="71" t="str">
        <f>IF(ISBLANK(Log[[#This Row],[Item]]),"",_xlfn.XLOOKUP(Log[[#This Row],[Item]],Calories[Name],Calories[Protein])*Log[[#This Row],[Qty]])</f>
        <v/>
      </c>
      <c r="L747" s="71" t="str">
        <f>IF(ISBLANK(Log[[#This Row],[Item]]),"",_xlfn.XLOOKUP(Log[[#This Row],[Item]],Calories[Name],Calories[Chol.])*Log[[#This Row],[Qty]])</f>
        <v/>
      </c>
      <c r="M747" s="75"/>
      <c r="N747" s="75"/>
      <c r="O747" s="75"/>
    </row>
    <row r="748" spans="1:15" s="66" customFormat="1" ht="25.15" customHeight="1">
      <c r="A748" s="75"/>
      <c r="B748" s="98"/>
      <c r="C748" s="78"/>
      <c r="D748" s="79"/>
      <c r="E748" s="76" t="str">
        <f>IF(ISBLANK(Log[[#This Row],[Item]]),"",_xlfn.XLOOKUP(Log[[#This Row],[Item]],Calories[Name],Calories[Unit]))</f>
        <v/>
      </c>
      <c r="F748" s="65" t="str">
        <f>IF(ISBLANK(Log[[#This Row],[Item]]),"",_xlfn.XLOOKUP(Log[[#This Row],[Item]],Calories[Name],Calories[Cals])*Log[[#This Row],[Qty]])</f>
        <v/>
      </c>
      <c r="G748" s="71" t="str">
        <f>IF(ISBLANK(Log[[#This Row],[Item]]),"",_xlfn.XLOOKUP(Log[[#This Row],[Item]],Calories[Name],Calories[Carbs])*Log[[#This Row],[Qty]])</f>
        <v/>
      </c>
      <c r="H748" s="71" t="str">
        <f>IF(ISBLANK(Log[[#This Row],[Item]]),"",_xlfn.XLOOKUP(Log[[#This Row],[Item]],Calories[Name],Calories[Fibre])*Log[[#This Row],[Qty]])</f>
        <v/>
      </c>
      <c r="I748" s="71" t="str">
        <f>IF(ISBLANK(Log[[#This Row],[Item]]),"",(Log[[#This Row],[Carbs]]-Log[[#This Row],[Fibre]]))</f>
        <v/>
      </c>
      <c r="J748" s="103" t="str">
        <f>IF(ISBLANK(Log[[#This Row],[Item]]),"",_xlfn.XLOOKUP(Log[[#This Row],[Item]],Calories[Name],Calories[Sodium])*Log[[#This Row],[Qty]])</f>
        <v/>
      </c>
      <c r="K748" s="71" t="str">
        <f>IF(ISBLANK(Log[[#This Row],[Item]]),"",_xlfn.XLOOKUP(Log[[#This Row],[Item]],Calories[Name],Calories[Protein])*Log[[#This Row],[Qty]])</f>
        <v/>
      </c>
      <c r="L748" s="71" t="str">
        <f>IF(ISBLANK(Log[[#This Row],[Item]]),"",_xlfn.XLOOKUP(Log[[#This Row],[Item]],Calories[Name],Calories[Chol.])*Log[[#This Row],[Qty]])</f>
        <v/>
      </c>
      <c r="M748" s="75"/>
      <c r="N748" s="75"/>
      <c r="O748" s="75"/>
    </row>
    <row r="749" spans="1:15" s="66" customFormat="1" ht="25.15" customHeight="1">
      <c r="A749" s="75"/>
      <c r="B749" s="98"/>
      <c r="C749" s="78"/>
      <c r="D749" s="79"/>
      <c r="E749" s="76" t="str">
        <f>IF(ISBLANK(Log[[#This Row],[Item]]),"",_xlfn.XLOOKUP(Log[[#This Row],[Item]],Calories[Name],Calories[Unit]))</f>
        <v/>
      </c>
      <c r="F749" s="65" t="str">
        <f>IF(ISBLANK(Log[[#This Row],[Item]]),"",_xlfn.XLOOKUP(Log[[#This Row],[Item]],Calories[Name],Calories[Cals])*Log[[#This Row],[Qty]])</f>
        <v/>
      </c>
      <c r="G749" s="71" t="str">
        <f>IF(ISBLANK(Log[[#This Row],[Item]]),"",_xlfn.XLOOKUP(Log[[#This Row],[Item]],Calories[Name],Calories[Carbs])*Log[[#This Row],[Qty]])</f>
        <v/>
      </c>
      <c r="H749" s="71" t="str">
        <f>IF(ISBLANK(Log[[#This Row],[Item]]),"",_xlfn.XLOOKUP(Log[[#This Row],[Item]],Calories[Name],Calories[Fibre])*Log[[#This Row],[Qty]])</f>
        <v/>
      </c>
      <c r="I749" s="71" t="str">
        <f>IF(ISBLANK(Log[[#This Row],[Item]]),"",(Log[[#This Row],[Carbs]]-Log[[#This Row],[Fibre]]))</f>
        <v/>
      </c>
      <c r="J749" s="103" t="str">
        <f>IF(ISBLANK(Log[[#This Row],[Item]]),"",_xlfn.XLOOKUP(Log[[#This Row],[Item]],Calories[Name],Calories[Sodium])*Log[[#This Row],[Qty]])</f>
        <v/>
      </c>
      <c r="K749" s="71" t="str">
        <f>IF(ISBLANK(Log[[#This Row],[Item]]),"",_xlfn.XLOOKUP(Log[[#This Row],[Item]],Calories[Name],Calories[Protein])*Log[[#This Row],[Qty]])</f>
        <v/>
      </c>
      <c r="L749" s="71" t="str">
        <f>IF(ISBLANK(Log[[#This Row],[Item]]),"",_xlfn.XLOOKUP(Log[[#This Row],[Item]],Calories[Name],Calories[Chol.])*Log[[#This Row],[Qty]])</f>
        <v/>
      </c>
      <c r="M749" s="75"/>
      <c r="N749" s="75"/>
      <c r="O749" s="75"/>
    </row>
    <row r="750" spans="1:15" s="66" customFormat="1" ht="25.15" customHeight="1">
      <c r="A750" s="75"/>
      <c r="B750" s="98"/>
      <c r="C750" s="78"/>
      <c r="D750" s="79"/>
      <c r="E750" s="76" t="str">
        <f>IF(ISBLANK(Log[[#This Row],[Item]]),"",_xlfn.XLOOKUP(Log[[#This Row],[Item]],Calories[Name],Calories[Unit]))</f>
        <v/>
      </c>
      <c r="F750" s="65" t="str">
        <f>IF(ISBLANK(Log[[#This Row],[Item]]),"",_xlfn.XLOOKUP(Log[[#This Row],[Item]],Calories[Name],Calories[Cals])*Log[[#This Row],[Qty]])</f>
        <v/>
      </c>
      <c r="G750" s="71" t="str">
        <f>IF(ISBLANK(Log[[#This Row],[Item]]),"",_xlfn.XLOOKUP(Log[[#This Row],[Item]],Calories[Name],Calories[Carbs])*Log[[#This Row],[Qty]])</f>
        <v/>
      </c>
      <c r="H750" s="71" t="str">
        <f>IF(ISBLANK(Log[[#This Row],[Item]]),"",_xlfn.XLOOKUP(Log[[#This Row],[Item]],Calories[Name],Calories[Fibre])*Log[[#This Row],[Qty]])</f>
        <v/>
      </c>
      <c r="I750" s="71" t="str">
        <f>IF(ISBLANK(Log[[#This Row],[Item]]),"",(Log[[#This Row],[Carbs]]-Log[[#This Row],[Fibre]]))</f>
        <v/>
      </c>
      <c r="J750" s="103" t="str">
        <f>IF(ISBLANK(Log[[#This Row],[Item]]),"",_xlfn.XLOOKUP(Log[[#This Row],[Item]],Calories[Name],Calories[Sodium])*Log[[#This Row],[Qty]])</f>
        <v/>
      </c>
      <c r="K750" s="71" t="str">
        <f>IF(ISBLANK(Log[[#This Row],[Item]]),"",_xlfn.XLOOKUP(Log[[#This Row],[Item]],Calories[Name],Calories[Protein])*Log[[#This Row],[Qty]])</f>
        <v/>
      </c>
      <c r="L750" s="71" t="str">
        <f>IF(ISBLANK(Log[[#This Row],[Item]]),"",_xlfn.XLOOKUP(Log[[#This Row],[Item]],Calories[Name],Calories[Chol.])*Log[[#This Row],[Qty]])</f>
        <v/>
      </c>
      <c r="M750" s="75"/>
      <c r="N750" s="75"/>
      <c r="O750" s="75"/>
    </row>
    <row r="751" spans="1:15" s="66" customFormat="1" ht="25.15" customHeight="1">
      <c r="A751" s="75"/>
      <c r="B751" s="98"/>
      <c r="C751" s="78"/>
      <c r="D751" s="79"/>
      <c r="E751" s="76" t="str">
        <f>IF(ISBLANK(Log[[#This Row],[Item]]),"",_xlfn.XLOOKUP(Log[[#This Row],[Item]],Calories[Name],Calories[Unit]))</f>
        <v/>
      </c>
      <c r="F751" s="65" t="str">
        <f>IF(ISBLANK(Log[[#This Row],[Item]]),"",_xlfn.XLOOKUP(Log[[#This Row],[Item]],Calories[Name],Calories[Cals])*Log[[#This Row],[Qty]])</f>
        <v/>
      </c>
      <c r="G751" s="71" t="str">
        <f>IF(ISBLANK(Log[[#This Row],[Item]]),"",_xlfn.XLOOKUP(Log[[#This Row],[Item]],Calories[Name],Calories[Carbs])*Log[[#This Row],[Qty]])</f>
        <v/>
      </c>
      <c r="H751" s="71" t="str">
        <f>IF(ISBLANK(Log[[#This Row],[Item]]),"",_xlfn.XLOOKUP(Log[[#This Row],[Item]],Calories[Name],Calories[Fibre])*Log[[#This Row],[Qty]])</f>
        <v/>
      </c>
      <c r="I751" s="71" t="str">
        <f>IF(ISBLANK(Log[[#This Row],[Item]]),"",(Log[[#This Row],[Carbs]]-Log[[#This Row],[Fibre]]))</f>
        <v/>
      </c>
      <c r="J751" s="103" t="str">
        <f>IF(ISBLANK(Log[[#This Row],[Item]]),"",_xlfn.XLOOKUP(Log[[#This Row],[Item]],Calories[Name],Calories[Sodium])*Log[[#This Row],[Qty]])</f>
        <v/>
      </c>
      <c r="K751" s="71" t="str">
        <f>IF(ISBLANK(Log[[#This Row],[Item]]),"",_xlfn.XLOOKUP(Log[[#This Row],[Item]],Calories[Name],Calories[Protein])*Log[[#This Row],[Qty]])</f>
        <v/>
      </c>
      <c r="L751" s="71" t="str">
        <f>IF(ISBLANK(Log[[#This Row],[Item]]),"",_xlfn.XLOOKUP(Log[[#This Row],[Item]],Calories[Name],Calories[Chol.])*Log[[#This Row],[Qty]])</f>
        <v/>
      </c>
      <c r="M751" s="75"/>
      <c r="N751" s="75"/>
      <c r="O751" s="75"/>
    </row>
    <row r="752" spans="1:15" s="66" customFormat="1" ht="25.15" customHeight="1">
      <c r="A752" s="75"/>
      <c r="B752" s="98"/>
      <c r="C752" s="78"/>
      <c r="D752" s="79"/>
      <c r="E752" s="76" t="str">
        <f>IF(ISBLANK(Log[[#This Row],[Item]]),"",_xlfn.XLOOKUP(Log[[#This Row],[Item]],Calories[Name],Calories[Unit]))</f>
        <v/>
      </c>
      <c r="F752" s="65" t="str">
        <f>IF(ISBLANK(Log[[#This Row],[Item]]),"",_xlfn.XLOOKUP(Log[[#This Row],[Item]],Calories[Name],Calories[Cals])*Log[[#This Row],[Qty]])</f>
        <v/>
      </c>
      <c r="G752" s="71" t="str">
        <f>IF(ISBLANK(Log[[#This Row],[Item]]),"",_xlfn.XLOOKUP(Log[[#This Row],[Item]],Calories[Name],Calories[Carbs])*Log[[#This Row],[Qty]])</f>
        <v/>
      </c>
      <c r="H752" s="71" t="str">
        <f>IF(ISBLANK(Log[[#This Row],[Item]]),"",_xlfn.XLOOKUP(Log[[#This Row],[Item]],Calories[Name],Calories[Fibre])*Log[[#This Row],[Qty]])</f>
        <v/>
      </c>
      <c r="I752" s="71" t="str">
        <f>IF(ISBLANK(Log[[#This Row],[Item]]),"",(Log[[#This Row],[Carbs]]-Log[[#This Row],[Fibre]]))</f>
        <v/>
      </c>
      <c r="J752" s="103" t="str">
        <f>IF(ISBLANK(Log[[#This Row],[Item]]),"",_xlfn.XLOOKUP(Log[[#This Row],[Item]],Calories[Name],Calories[Sodium])*Log[[#This Row],[Qty]])</f>
        <v/>
      </c>
      <c r="K752" s="71" t="str">
        <f>IF(ISBLANK(Log[[#This Row],[Item]]),"",_xlfn.XLOOKUP(Log[[#This Row],[Item]],Calories[Name],Calories[Protein])*Log[[#This Row],[Qty]])</f>
        <v/>
      </c>
      <c r="L752" s="71" t="str">
        <f>IF(ISBLANK(Log[[#This Row],[Item]]),"",_xlfn.XLOOKUP(Log[[#This Row],[Item]],Calories[Name],Calories[Chol.])*Log[[#This Row],[Qty]])</f>
        <v/>
      </c>
      <c r="M752" s="75"/>
      <c r="N752" s="75"/>
      <c r="O752" s="75"/>
    </row>
    <row r="753" spans="1:15" s="66" customFormat="1" ht="25.15" customHeight="1">
      <c r="A753" s="75"/>
      <c r="B753" s="98"/>
      <c r="C753" s="78"/>
      <c r="D753" s="79"/>
      <c r="E753" s="76" t="str">
        <f>IF(ISBLANK(Log[[#This Row],[Item]]),"",_xlfn.XLOOKUP(Log[[#This Row],[Item]],Calories[Name],Calories[Unit]))</f>
        <v/>
      </c>
      <c r="F753" s="65" t="str">
        <f>IF(ISBLANK(Log[[#This Row],[Item]]),"",_xlfn.XLOOKUP(Log[[#This Row],[Item]],Calories[Name],Calories[Cals])*Log[[#This Row],[Qty]])</f>
        <v/>
      </c>
      <c r="G753" s="71" t="str">
        <f>IF(ISBLANK(Log[[#This Row],[Item]]),"",_xlfn.XLOOKUP(Log[[#This Row],[Item]],Calories[Name],Calories[Carbs])*Log[[#This Row],[Qty]])</f>
        <v/>
      </c>
      <c r="H753" s="71" t="str">
        <f>IF(ISBLANK(Log[[#This Row],[Item]]),"",_xlfn.XLOOKUP(Log[[#This Row],[Item]],Calories[Name],Calories[Fibre])*Log[[#This Row],[Qty]])</f>
        <v/>
      </c>
      <c r="I753" s="71" t="str">
        <f>IF(ISBLANK(Log[[#This Row],[Item]]),"",(Log[[#This Row],[Carbs]]-Log[[#This Row],[Fibre]]))</f>
        <v/>
      </c>
      <c r="J753" s="103" t="str">
        <f>IF(ISBLANK(Log[[#This Row],[Item]]),"",_xlfn.XLOOKUP(Log[[#This Row],[Item]],Calories[Name],Calories[Sodium])*Log[[#This Row],[Qty]])</f>
        <v/>
      </c>
      <c r="K753" s="71" t="str">
        <f>IF(ISBLANK(Log[[#This Row],[Item]]),"",_xlfn.XLOOKUP(Log[[#This Row],[Item]],Calories[Name],Calories[Protein])*Log[[#This Row],[Qty]])</f>
        <v/>
      </c>
      <c r="L753" s="71" t="str">
        <f>IF(ISBLANK(Log[[#This Row],[Item]]),"",_xlfn.XLOOKUP(Log[[#This Row],[Item]],Calories[Name],Calories[Chol.])*Log[[#This Row],[Qty]])</f>
        <v/>
      </c>
      <c r="M753" s="75"/>
      <c r="N753" s="75"/>
      <c r="O753" s="75"/>
    </row>
    <row r="754" spans="1:15" s="66" customFormat="1" ht="25.15" customHeight="1">
      <c r="A754" s="75"/>
      <c r="B754" s="98"/>
      <c r="C754" s="78"/>
      <c r="D754" s="79"/>
      <c r="E754" s="76" t="str">
        <f>IF(ISBLANK(Log[[#This Row],[Item]]),"",_xlfn.XLOOKUP(Log[[#This Row],[Item]],Calories[Name],Calories[Unit]))</f>
        <v/>
      </c>
      <c r="F754" s="65" t="str">
        <f>IF(ISBLANK(Log[[#This Row],[Item]]),"",_xlfn.XLOOKUP(Log[[#This Row],[Item]],Calories[Name],Calories[Cals])*Log[[#This Row],[Qty]])</f>
        <v/>
      </c>
      <c r="G754" s="71" t="str">
        <f>IF(ISBLANK(Log[[#This Row],[Item]]),"",_xlfn.XLOOKUP(Log[[#This Row],[Item]],Calories[Name],Calories[Carbs])*Log[[#This Row],[Qty]])</f>
        <v/>
      </c>
      <c r="H754" s="71" t="str">
        <f>IF(ISBLANK(Log[[#This Row],[Item]]),"",_xlfn.XLOOKUP(Log[[#This Row],[Item]],Calories[Name],Calories[Fibre])*Log[[#This Row],[Qty]])</f>
        <v/>
      </c>
      <c r="I754" s="71" t="str">
        <f>IF(ISBLANK(Log[[#This Row],[Item]]),"",(Log[[#This Row],[Carbs]]-Log[[#This Row],[Fibre]]))</f>
        <v/>
      </c>
      <c r="J754" s="103" t="str">
        <f>IF(ISBLANK(Log[[#This Row],[Item]]),"",_xlfn.XLOOKUP(Log[[#This Row],[Item]],Calories[Name],Calories[Sodium])*Log[[#This Row],[Qty]])</f>
        <v/>
      </c>
      <c r="K754" s="71" t="str">
        <f>IF(ISBLANK(Log[[#This Row],[Item]]),"",_xlfn.XLOOKUP(Log[[#This Row],[Item]],Calories[Name],Calories[Protein])*Log[[#This Row],[Qty]])</f>
        <v/>
      </c>
      <c r="L754" s="71" t="str">
        <f>IF(ISBLANK(Log[[#This Row],[Item]]),"",_xlfn.XLOOKUP(Log[[#This Row],[Item]],Calories[Name],Calories[Chol.])*Log[[#This Row],[Qty]])</f>
        <v/>
      </c>
      <c r="M754" s="75"/>
      <c r="N754" s="75"/>
      <c r="O754" s="75"/>
    </row>
    <row r="755" spans="1:15" s="66" customFormat="1" ht="25.15" customHeight="1">
      <c r="A755" s="75"/>
      <c r="B755" s="98"/>
      <c r="C755" s="78"/>
      <c r="D755" s="79"/>
      <c r="E755" s="76" t="str">
        <f>IF(ISBLANK(Log[[#This Row],[Item]]),"",_xlfn.XLOOKUP(Log[[#This Row],[Item]],Calories[Name],Calories[Unit]))</f>
        <v/>
      </c>
      <c r="F755" s="65" t="str">
        <f>IF(ISBLANK(Log[[#This Row],[Item]]),"",_xlfn.XLOOKUP(Log[[#This Row],[Item]],Calories[Name],Calories[Cals])*Log[[#This Row],[Qty]])</f>
        <v/>
      </c>
      <c r="G755" s="71" t="str">
        <f>IF(ISBLANK(Log[[#This Row],[Item]]),"",_xlfn.XLOOKUP(Log[[#This Row],[Item]],Calories[Name],Calories[Carbs])*Log[[#This Row],[Qty]])</f>
        <v/>
      </c>
      <c r="H755" s="71" t="str">
        <f>IF(ISBLANK(Log[[#This Row],[Item]]),"",_xlfn.XLOOKUP(Log[[#This Row],[Item]],Calories[Name],Calories[Fibre])*Log[[#This Row],[Qty]])</f>
        <v/>
      </c>
      <c r="I755" s="71" t="str">
        <f>IF(ISBLANK(Log[[#This Row],[Item]]),"",(Log[[#This Row],[Carbs]]-Log[[#This Row],[Fibre]]))</f>
        <v/>
      </c>
      <c r="J755" s="103" t="str">
        <f>IF(ISBLANK(Log[[#This Row],[Item]]),"",_xlfn.XLOOKUP(Log[[#This Row],[Item]],Calories[Name],Calories[Sodium])*Log[[#This Row],[Qty]])</f>
        <v/>
      </c>
      <c r="K755" s="71" t="str">
        <f>IF(ISBLANK(Log[[#This Row],[Item]]),"",_xlfn.XLOOKUP(Log[[#This Row],[Item]],Calories[Name],Calories[Protein])*Log[[#This Row],[Qty]])</f>
        <v/>
      </c>
      <c r="L755" s="71" t="str">
        <f>IF(ISBLANK(Log[[#This Row],[Item]]),"",_xlfn.XLOOKUP(Log[[#This Row],[Item]],Calories[Name],Calories[Chol.])*Log[[#This Row],[Qty]])</f>
        <v/>
      </c>
      <c r="M755" s="75"/>
      <c r="N755" s="75"/>
      <c r="O755" s="75"/>
    </row>
    <row r="756" spans="1:15" s="66" customFormat="1" ht="25.15" customHeight="1">
      <c r="A756" s="75"/>
      <c r="B756" s="98"/>
      <c r="C756" s="78"/>
      <c r="D756" s="79"/>
      <c r="E756" s="76" t="str">
        <f>IF(ISBLANK(Log[[#This Row],[Item]]),"",_xlfn.XLOOKUP(Log[[#This Row],[Item]],Calories[Name],Calories[Unit]))</f>
        <v/>
      </c>
      <c r="F756" s="65" t="str">
        <f>IF(ISBLANK(Log[[#This Row],[Item]]),"",_xlfn.XLOOKUP(Log[[#This Row],[Item]],Calories[Name],Calories[Cals])*Log[[#This Row],[Qty]])</f>
        <v/>
      </c>
      <c r="G756" s="71" t="str">
        <f>IF(ISBLANK(Log[[#This Row],[Item]]),"",_xlfn.XLOOKUP(Log[[#This Row],[Item]],Calories[Name],Calories[Carbs])*Log[[#This Row],[Qty]])</f>
        <v/>
      </c>
      <c r="H756" s="71" t="str">
        <f>IF(ISBLANK(Log[[#This Row],[Item]]),"",_xlfn.XLOOKUP(Log[[#This Row],[Item]],Calories[Name],Calories[Fibre])*Log[[#This Row],[Qty]])</f>
        <v/>
      </c>
      <c r="I756" s="71" t="str">
        <f>IF(ISBLANK(Log[[#This Row],[Item]]),"",(Log[[#This Row],[Carbs]]-Log[[#This Row],[Fibre]]))</f>
        <v/>
      </c>
      <c r="J756" s="103" t="str">
        <f>IF(ISBLANK(Log[[#This Row],[Item]]),"",_xlfn.XLOOKUP(Log[[#This Row],[Item]],Calories[Name],Calories[Sodium])*Log[[#This Row],[Qty]])</f>
        <v/>
      </c>
      <c r="K756" s="71" t="str">
        <f>IF(ISBLANK(Log[[#This Row],[Item]]),"",_xlfn.XLOOKUP(Log[[#This Row],[Item]],Calories[Name],Calories[Protein])*Log[[#This Row],[Qty]])</f>
        <v/>
      </c>
      <c r="L756" s="71" t="str">
        <f>IF(ISBLANK(Log[[#This Row],[Item]]),"",_xlfn.XLOOKUP(Log[[#This Row],[Item]],Calories[Name],Calories[Chol.])*Log[[#This Row],[Qty]])</f>
        <v/>
      </c>
      <c r="M756" s="75"/>
      <c r="N756" s="75"/>
      <c r="O756" s="75"/>
    </row>
    <row r="757" spans="1:15" s="66" customFormat="1" ht="25.15" customHeight="1">
      <c r="A757" s="75"/>
      <c r="B757" s="98"/>
      <c r="C757" s="78"/>
      <c r="D757" s="79"/>
      <c r="E757" s="76" t="str">
        <f>IF(ISBLANK(Log[[#This Row],[Item]]),"",_xlfn.XLOOKUP(Log[[#This Row],[Item]],Calories[Name],Calories[Unit]))</f>
        <v/>
      </c>
      <c r="F757" s="65" t="str">
        <f>IF(ISBLANK(Log[[#This Row],[Item]]),"",_xlfn.XLOOKUP(Log[[#This Row],[Item]],Calories[Name],Calories[Cals])*Log[[#This Row],[Qty]])</f>
        <v/>
      </c>
      <c r="G757" s="71" t="str">
        <f>IF(ISBLANK(Log[[#This Row],[Item]]),"",_xlfn.XLOOKUP(Log[[#This Row],[Item]],Calories[Name],Calories[Carbs])*Log[[#This Row],[Qty]])</f>
        <v/>
      </c>
      <c r="H757" s="71" t="str">
        <f>IF(ISBLANK(Log[[#This Row],[Item]]),"",_xlfn.XLOOKUP(Log[[#This Row],[Item]],Calories[Name],Calories[Fibre])*Log[[#This Row],[Qty]])</f>
        <v/>
      </c>
      <c r="I757" s="71" t="str">
        <f>IF(ISBLANK(Log[[#This Row],[Item]]),"",(Log[[#This Row],[Carbs]]-Log[[#This Row],[Fibre]]))</f>
        <v/>
      </c>
      <c r="J757" s="103" t="str">
        <f>IF(ISBLANK(Log[[#This Row],[Item]]),"",_xlfn.XLOOKUP(Log[[#This Row],[Item]],Calories[Name],Calories[Sodium])*Log[[#This Row],[Qty]])</f>
        <v/>
      </c>
      <c r="K757" s="71" t="str">
        <f>IF(ISBLANK(Log[[#This Row],[Item]]),"",_xlfn.XLOOKUP(Log[[#This Row],[Item]],Calories[Name],Calories[Protein])*Log[[#This Row],[Qty]])</f>
        <v/>
      </c>
      <c r="L757" s="71" t="str">
        <f>IF(ISBLANK(Log[[#This Row],[Item]]),"",_xlfn.XLOOKUP(Log[[#This Row],[Item]],Calories[Name],Calories[Chol.])*Log[[#This Row],[Qty]])</f>
        <v/>
      </c>
      <c r="M757" s="75"/>
      <c r="N757" s="75"/>
      <c r="O757" s="75"/>
    </row>
    <row r="758" spans="1:15" s="66" customFormat="1" ht="25.15" customHeight="1">
      <c r="A758" s="75"/>
      <c r="B758" s="98"/>
      <c r="C758" s="78"/>
      <c r="D758" s="79"/>
      <c r="E758" s="76" t="str">
        <f>IF(ISBLANK(Log[[#This Row],[Item]]),"",_xlfn.XLOOKUP(Log[[#This Row],[Item]],Calories[Name],Calories[Unit]))</f>
        <v/>
      </c>
      <c r="F758" s="65" t="str">
        <f>IF(ISBLANK(Log[[#This Row],[Item]]),"",_xlfn.XLOOKUP(Log[[#This Row],[Item]],Calories[Name],Calories[Cals])*Log[[#This Row],[Qty]])</f>
        <v/>
      </c>
      <c r="G758" s="71" t="str">
        <f>IF(ISBLANK(Log[[#This Row],[Item]]),"",_xlfn.XLOOKUP(Log[[#This Row],[Item]],Calories[Name],Calories[Carbs])*Log[[#This Row],[Qty]])</f>
        <v/>
      </c>
      <c r="H758" s="71" t="str">
        <f>IF(ISBLANK(Log[[#This Row],[Item]]),"",_xlfn.XLOOKUP(Log[[#This Row],[Item]],Calories[Name],Calories[Fibre])*Log[[#This Row],[Qty]])</f>
        <v/>
      </c>
      <c r="I758" s="71" t="str">
        <f>IF(ISBLANK(Log[[#This Row],[Item]]),"",(Log[[#This Row],[Carbs]]-Log[[#This Row],[Fibre]]))</f>
        <v/>
      </c>
      <c r="J758" s="103" t="str">
        <f>IF(ISBLANK(Log[[#This Row],[Item]]),"",_xlfn.XLOOKUP(Log[[#This Row],[Item]],Calories[Name],Calories[Sodium])*Log[[#This Row],[Qty]])</f>
        <v/>
      </c>
      <c r="K758" s="71" t="str">
        <f>IF(ISBLANK(Log[[#This Row],[Item]]),"",_xlfn.XLOOKUP(Log[[#This Row],[Item]],Calories[Name],Calories[Protein])*Log[[#This Row],[Qty]])</f>
        <v/>
      </c>
      <c r="L758" s="71" t="str">
        <f>IF(ISBLANK(Log[[#This Row],[Item]]),"",_xlfn.XLOOKUP(Log[[#This Row],[Item]],Calories[Name],Calories[Chol.])*Log[[#This Row],[Qty]])</f>
        <v/>
      </c>
      <c r="M758" s="75"/>
      <c r="N758" s="75"/>
      <c r="O758" s="75"/>
    </row>
    <row r="759" spans="1:15" s="66" customFormat="1" ht="25.15" customHeight="1">
      <c r="A759" s="75"/>
      <c r="B759" s="98"/>
      <c r="C759" s="78"/>
      <c r="D759" s="79"/>
      <c r="E759" s="76" t="str">
        <f>IF(ISBLANK(Log[[#This Row],[Item]]),"",_xlfn.XLOOKUP(Log[[#This Row],[Item]],Calories[Name],Calories[Unit]))</f>
        <v/>
      </c>
      <c r="F759" s="65" t="str">
        <f>IF(ISBLANK(Log[[#This Row],[Item]]),"",_xlfn.XLOOKUP(Log[[#This Row],[Item]],Calories[Name],Calories[Cals])*Log[[#This Row],[Qty]])</f>
        <v/>
      </c>
      <c r="G759" s="71" t="str">
        <f>IF(ISBLANK(Log[[#This Row],[Item]]),"",_xlfn.XLOOKUP(Log[[#This Row],[Item]],Calories[Name],Calories[Carbs])*Log[[#This Row],[Qty]])</f>
        <v/>
      </c>
      <c r="H759" s="71" t="str">
        <f>IF(ISBLANK(Log[[#This Row],[Item]]),"",_xlfn.XLOOKUP(Log[[#This Row],[Item]],Calories[Name],Calories[Fibre])*Log[[#This Row],[Qty]])</f>
        <v/>
      </c>
      <c r="I759" s="71" t="str">
        <f>IF(ISBLANK(Log[[#This Row],[Item]]),"",(Log[[#This Row],[Carbs]]-Log[[#This Row],[Fibre]]))</f>
        <v/>
      </c>
      <c r="J759" s="103" t="str">
        <f>IF(ISBLANK(Log[[#This Row],[Item]]),"",_xlfn.XLOOKUP(Log[[#This Row],[Item]],Calories[Name],Calories[Sodium])*Log[[#This Row],[Qty]])</f>
        <v/>
      </c>
      <c r="K759" s="71" t="str">
        <f>IF(ISBLANK(Log[[#This Row],[Item]]),"",_xlfn.XLOOKUP(Log[[#This Row],[Item]],Calories[Name],Calories[Protein])*Log[[#This Row],[Qty]])</f>
        <v/>
      </c>
      <c r="L759" s="71" t="str">
        <f>IF(ISBLANK(Log[[#This Row],[Item]]),"",_xlfn.XLOOKUP(Log[[#This Row],[Item]],Calories[Name],Calories[Chol.])*Log[[#This Row],[Qty]])</f>
        <v/>
      </c>
      <c r="M759" s="75"/>
      <c r="N759" s="75"/>
      <c r="O759" s="75"/>
    </row>
    <row r="760" spans="1:15" s="66" customFormat="1" ht="25.15" customHeight="1">
      <c r="A760" s="75"/>
      <c r="B760" s="98"/>
      <c r="C760" s="78"/>
      <c r="D760" s="79"/>
      <c r="E760" s="76" t="str">
        <f>IF(ISBLANK(Log[[#This Row],[Item]]),"",_xlfn.XLOOKUP(Log[[#This Row],[Item]],Calories[Name],Calories[Unit]))</f>
        <v/>
      </c>
      <c r="F760" s="65" t="str">
        <f>IF(ISBLANK(Log[[#This Row],[Item]]),"",_xlfn.XLOOKUP(Log[[#This Row],[Item]],Calories[Name],Calories[Cals])*Log[[#This Row],[Qty]])</f>
        <v/>
      </c>
      <c r="G760" s="71" t="str">
        <f>IF(ISBLANK(Log[[#This Row],[Item]]),"",_xlfn.XLOOKUP(Log[[#This Row],[Item]],Calories[Name],Calories[Carbs])*Log[[#This Row],[Qty]])</f>
        <v/>
      </c>
      <c r="H760" s="71" t="str">
        <f>IF(ISBLANK(Log[[#This Row],[Item]]),"",_xlfn.XLOOKUP(Log[[#This Row],[Item]],Calories[Name],Calories[Fibre])*Log[[#This Row],[Qty]])</f>
        <v/>
      </c>
      <c r="I760" s="71" t="str">
        <f>IF(ISBLANK(Log[[#This Row],[Item]]),"",(Log[[#This Row],[Carbs]]-Log[[#This Row],[Fibre]]))</f>
        <v/>
      </c>
      <c r="J760" s="103" t="str">
        <f>IF(ISBLANK(Log[[#This Row],[Item]]),"",_xlfn.XLOOKUP(Log[[#This Row],[Item]],Calories[Name],Calories[Sodium])*Log[[#This Row],[Qty]])</f>
        <v/>
      </c>
      <c r="K760" s="71" t="str">
        <f>IF(ISBLANK(Log[[#This Row],[Item]]),"",_xlfn.XLOOKUP(Log[[#This Row],[Item]],Calories[Name],Calories[Protein])*Log[[#This Row],[Qty]])</f>
        <v/>
      </c>
      <c r="L760" s="71" t="str">
        <f>IF(ISBLANK(Log[[#This Row],[Item]]),"",_xlfn.XLOOKUP(Log[[#This Row],[Item]],Calories[Name],Calories[Chol.])*Log[[#This Row],[Qty]])</f>
        <v/>
      </c>
      <c r="M760" s="75"/>
      <c r="N760" s="75"/>
      <c r="O760" s="75"/>
    </row>
    <row r="761" spans="1:15" s="66" customFormat="1" ht="25.15" customHeight="1">
      <c r="A761" s="75"/>
      <c r="B761" s="98"/>
      <c r="C761" s="78"/>
      <c r="D761" s="79"/>
      <c r="E761" s="76" t="str">
        <f>IF(ISBLANK(Log[[#This Row],[Item]]),"",_xlfn.XLOOKUP(Log[[#This Row],[Item]],Calories[Name],Calories[Unit]))</f>
        <v/>
      </c>
      <c r="F761" s="65" t="str">
        <f>IF(ISBLANK(Log[[#This Row],[Item]]),"",_xlfn.XLOOKUP(Log[[#This Row],[Item]],Calories[Name],Calories[Cals])*Log[[#This Row],[Qty]])</f>
        <v/>
      </c>
      <c r="G761" s="71" t="str">
        <f>IF(ISBLANK(Log[[#This Row],[Item]]),"",_xlfn.XLOOKUP(Log[[#This Row],[Item]],Calories[Name],Calories[Carbs])*Log[[#This Row],[Qty]])</f>
        <v/>
      </c>
      <c r="H761" s="71" t="str">
        <f>IF(ISBLANK(Log[[#This Row],[Item]]),"",_xlfn.XLOOKUP(Log[[#This Row],[Item]],Calories[Name],Calories[Fibre])*Log[[#This Row],[Qty]])</f>
        <v/>
      </c>
      <c r="I761" s="71" t="str">
        <f>IF(ISBLANK(Log[[#This Row],[Item]]),"",(Log[[#This Row],[Carbs]]-Log[[#This Row],[Fibre]]))</f>
        <v/>
      </c>
      <c r="J761" s="103" t="str">
        <f>IF(ISBLANK(Log[[#This Row],[Item]]),"",_xlfn.XLOOKUP(Log[[#This Row],[Item]],Calories[Name],Calories[Sodium])*Log[[#This Row],[Qty]])</f>
        <v/>
      </c>
      <c r="K761" s="71" t="str">
        <f>IF(ISBLANK(Log[[#This Row],[Item]]),"",_xlfn.XLOOKUP(Log[[#This Row],[Item]],Calories[Name],Calories[Protein])*Log[[#This Row],[Qty]])</f>
        <v/>
      </c>
      <c r="L761" s="71" t="str">
        <f>IF(ISBLANK(Log[[#This Row],[Item]]),"",_xlfn.XLOOKUP(Log[[#This Row],[Item]],Calories[Name],Calories[Chol.])*Log[[#This Row],[Qty]])</f>
        <v/>
      </c>
      <c r="M761" s="75"/>
      <c r="N761" s="75"/>
      <c r="O761" s="75"/>
    </row>
    <row r="762" spans="1:15" s="66" customFormat="1" ht="25.15" customHeight="1">
      <c r="A762" s="75"/>
      <c r="B762" s="98"/>
      <c r="C762" s="78"/>
      <c r="D762" s="79"/>
      <c r="E762" s="76" t="str">
        <f>IF(ISBLANK(Log[[#This Row],[Item]]),"",_xlfn.XLOOKUP(Log[[#This Row],[Item]],Calories[Name],Calories[Unit]))</f>
        <v/>
      </c>
      <c r="F762" s="65" t="str">
        <f>IF(ISBLANK(Log[[#This Row],[Item]]),"",_xlfn.XLOOKUP(Log[[#This Row],[Item]],Calories[Name],Calories[Cals])*Log[[#This Row],[Qty]])</f>
        <v/>
      </c>
      <c r="G762" s="71" t="str">
        <f>IF(ISBLANK(Log[[#This Row],[Item]]),"",_xlfn.XLOOKUP(Log[[#This Row],[Item]],Calories[Name],Calories[Carbs])*Log[[#This Row],[Qty]])</f>
        <v/>
      </c>
      <c r="H762" s="71" t="str">
        <f>IF(ISBLANK(Log[[#This Row],[Item]]),"",_xlfn.XLOOKUP(Log[[#This Row],[Item]],Calories[Name],Calories[Fibre])*Log[[#This Row],[Qty]])</f>
        <v/>
      </c>
      <c r="I762" s="71" t="str">
        <f>IF(ISBLANK(Log[[#This Row],[Item]]),"",(Log[[#This Row],[Carbs]]-Log[[#This Row],[Fibre]]))</f>
        <v/>
      </c>
      <c r="J762" s="103" t="str">
        <f>IF(ISBLANK(Log[[#This Row],[Item]]),"",_xlfn.XLOOKUP(Log[[#This Row],[Item]],Calories[Name],Calories[Sodium])*Log[[#This Row],[Qty]])</f>
        <v/>
      </c>
      <c r="K762" s="71" t="str">
        <f>IF(ISBLANK(Log[[#This Row],[Item]]),"",_xlfn.XLOOKUP(Log[[#This Row],[Item]],Calories[Name],Calories[Protein])*Log[[#This Row],[Qty]])</f>
        <v/>
      </c>
      <c r="L762" s="71" t="str">
        <f>IF(ISBLANK(Log[[#This Row],[Item]]),"",_xlfn.XLOOKUP(Log[[#This Row],[Item]],Calories[Name],Calories[Chol.])*Log[[#This Row],[Qty]])</f>
        <v/>
      </c>
      <c r="M762" s="75"/>
      <c r="N762" s="75"/>
      <c r="O762" s="75"/>
    </row>
    <row r="763" spans="1:15" s="66" customFormat="1" ht="25.15" customHeight="1">
      <c r="A763" s="75"/>
      <c r="B763" s="98"/>
      <c r="C763" s="78"/>
      <c r="D763" s="79"/>
      <c r="E763" s="76" t="str">
        <f>IF(ISBLANK(Log[[#This Row],[Item]]),"",_xlfn.XLOOKUP(Log[[#This Row],[Item]],Calories[Name],Calories[Unit]))</f>
        <v/>
      </c>
      <c r="F763" s="65" t="str">
        <f>IF(ISBLANK(Log[[#This Row],[Item]]),"",_xlfn.XLOOKUP(Log[[#This Row],[Item]],Calories[Name],Calories[Cals])*Log[[#This Row],[Qty]])</f>
        <v/>
      </c>
      <c r="G763" s="71" t="str">
        <f>IF(ISBLANK(Log[[#This Row],[Item]]),"",_xlfn.XLOOKUP(Log[[#This Row],[Item]],Calories[Name],Calories[Carbs])*Log[[#This Row],[Qty]])</f>
        <v/>
      </c>
      <c r="H763" s="71" t="str">
        <f>IF(ISBLANK(Log[[#This Row],[Item]]),"",_xlfn.XLOOKUP(Log[[#This Row],[Item]],Calories[Name],Calories[Fibre])*Log[[#This Row],[Qty]])</f>
        <v/>
      </c>
      <c r="I763" s="71" t="str">
        <f>IF(ISBLANK(Log[[#This Row],[Item]]),"",(Log[[#This Row],[Carbs]]-Log[[#This Row],[Fibre]]))</f>
        <v/>
      </c>
      <c r="J763" s="103" t="str">
        <f>IF(ISBLANK(Log[[#This Row],[Item]]),"",_xlfn.XLOOKUP(Log[[#This Row],[Item]],Calories[Name],Calories[Sodium])*Log[[#This Row],[Qty]])</f>
        <v/>
      </c>
      <c r="K763" s="71" t="str">
        <f>IF(ISBLANK(Log[[#This Row],[Item]]),"",_xlfn.XLOOKUP(Log[[#This Row],[Item]],Calories[Name],Calories[Protein])*Log[[#This Row],[Qty]])</f>
        <v/>
      </c>
      <c r="L763" s="71" t="str">
        <f>IF(ISBLANK(Log[[#This Row],[Item]]),"",_xlfn.XLOOKUP(Log[[#This Row],[Item]],Calories[Name],Calories[Chol.])*Log[[#This Row],[Qty]])</f>
        <v/>
      </c>
      <c r="M763" s="75"/>
      <c r="N763" s="75"/>
      <c r="O763" s="75"/>
    </row>
    <row r="764" spans="1:15" s="66" customFormat="1" ht="25.15" customHeight="1">
      <c r="A764" s="75"/>
      <c r="B764" s="98"/>
      <c r="C764" s="78"/>
      <c r="D764" s="79"/>
      <c r="E764" s="76" t="str">
        <f>IF(ISBLANK(Log[[#This Row],[Item]]),"",_xlfn.XLOOKUP(Log[[#This Row],[Item]],Calories[Name],Calories[Unit]))</f>
        <v/>
      </c>
      <c r="F764" s="65" t="str">
        <f>IF(ISBLANK(Log[[#This Row],[Item]]),"",_xlfn.XLOOKUP(Log[[#This Row],[Item]],Calories[Name],Calories[Cals])*Log[[#This Row],[Qty]])</f>
        <v/>
      </c>
      <c r="G764" s="71" t="str">
        <f>IF(ISBLANK(Log[[#This Row],[Item]]),"",_xlfn.XLOOKUP(Log[[#This Row],[Item]],Calories[Name],Calories[Carbs])*Log[[#This Row],[Qty]])</f>
        <v/>
      </c>
      <c r="H764" s="71" t="str">
        <f>IF(ISBLANK(Log[[#This Row],[Item]]),"",_xlfn.XLOOKUP(Log[[#This Row],[Item]],Calories[Name],Calories[Fibre])*Log[[#This Row],[Qty]])</f>
        <v/>
      </c>
      <c r="I764" s="71" t="str">
        <f>IF(ISBLANK(Log[[#This Row],[Item]]),"",(Log[[#This Row],[Carbs]]-Log[[#This Row],[Fibre]]))</f>
        <v/>
      </c>
      <c r="J764" s="103" t="str">
        <f>IF(ISBLANK(Log[[#This Row],[Item]]),"",_xlfn.XLOOKUP(Log[[#This Row],[Item]],Calories[Name],Calories[Sodium])*Log[[#This Row],[Qty]])</f>
        <v/>
      </c>
      <c r="K764" s="71" t="str">
        <f>IF(ISBLANK(Log[[#This Row],[Item]]),"",_xlfn.XLOOKUP(Log[[#This Row],[Item]],Calories[Name],Calories[Protein])*Log[[#This Row],[Qty]])</f>
        <v/>
      </c>
      <c r="L764" s="71" t="str">
        <f>IF(ISBLANK(Log[[#This Row],[Item]]),"",_xlfn.XLOOKUP(Log[[#This Row],[Item]],Calories[Name],Calories[Chol.])*Log[[#This Row],[Qty]])</f>
        <v/>
      </c>
      <c r="M764" s="75"/>
      <c r="N764" s="75"/>
      <c r="O764" s="75"/>
    </row>
    <row r="765" spans="1:15" s="66" customFormat="1" ht="25.15" customHeight="1">
      <c r="A765" s="75"/>
      <c r="B765" s="98"/>
      <c r="C765" s="78"/>
      <c r="D765" s="79"/>
      <c r="E765" s="76" t="str">
        <f>IF(ISBLANK(Log[[#This Row],[Item]]),"",_xlfn.XLOOKUP(Log[[#This Row],[Item]],Calories[Name],Calories[Unit]))</f>
        <v/>
      </c>
      <c r="F765" s="65" t="str">
        <f>IF(ISBLANK(Log[[#This Row],[Item]]),"",_xlfn.XLOOKUP(Log[[#This Row],[Item]],Calories[Name],Calories[Cals])*Log[[#This Row],[Qty]])</f>
        <v/>
      </c>
      <c r="G765" s="71" t="str">
        <f>IF(ISBLANK(Log[[#This Row],[Item]]),"",_xlfn.XLOOKUP(Log[[#This Row],[Item]],Calories[Name],Calories[Carbs])*Log[[#This Row],[Qty]])</f>
        <v/>
      </c>
      <c r="H765" s="71" t="str">
        <f>IF(ISBLANK(Log[[#This Row],[Item]]),"",_xlfn.XLOOKUP(Log[[#This Row],[Item]],Calories[Name],Calories[Fibre])*Log[[#This Row],[Qty]])</f>
        <v/>
      </c>
      <c r="I765" s="71" t="str">
        <f>IF(ISBLANK(Log[[#This Row],[Item]]),"",(Log[[#This Row],[Carbs]]-Log[[#This Row],[Fibre]]))</f>
        <v/>
      </c>
      <c r="J765" s="103" t="str">
        <f>IF(ISBLANK(Log[[#This Row],[Item]]),"",_xlfn.XLOOKUP(Log[[#This Row],[Item]],Calories[Name],Calories[Sodium])*Log[[#This Row],[Qty]])</f>
        <v/>
      </c>
      <c r="K765" s="71" t="str">
        <f>IF(ISBLANK(Log[[#This Row],[Item]]),"",_xlfn.XLOOKUP(Log[[#This Row],[Item]],Calories[Name],Calories[Protein])*Log[[#This Row],[Qty]])</f>
        <v/>
      </c>
      <c r="L765" s="71" t="str">
        <f>IF(ISBLANK(Log[[#This Row],[Item]]),"",_xlfn.XLOOKUP(Log[[#This Row],[Item]],Calories[Name],Calories[Chol.])*Log[[#This Row],[Qty]])</f>
        <v/>
      </c>
      <c r="M765" s="75"/>
      <c r="N765" s="75"/>
      <c r="O765" s="75"/>
    </row>
    <row r="766" spans="1:15" s="66" customFormat="1" ht="25.15" customHeight="1">
      <c r="A766" s="75"/>
      <c r="B766" s="98"/>
      <c r="C766" s="78"/>
      <c r="D766" s="79"/>
      <c r="E766" s="76" t="str">
        <f>IF(ISBLANK(Log[[#This Row],[Item]]),"",_xlfn.XLOOKUP(Log[[#This Row],[Item]],Calories[Name],Calories[Unit]))</f>
        <v/>
      </c>
      <c r="F766" s="65" t="str">
        <f>IF(ISBLANK(Log[[#This Row],[Item]]),"",_xlfn.XLOOKUP(Log[[#This Row],[Item]],Calories[Name],Calories[Cals])*Log[[#This Row],[Qty]])</f>
        <v/>
      </c>
      <c r="G766" s="71" t="str">
        <f>IF(ISBLANK(Log[[#This Row],[Item]]),"",_xlfn.XLOOKUP(Log[[#This Row],[Item]],Calories[Name],Calories[Carbs])*Log[[#This Row],[Qty]])</f>
        <v/>
      </c>
      <c r="H766" s="71" t="str">
        <f>IF(ISBLANK(Log[[#This Row],[Item]]),"",_xlfn.XLOOKUP(Log[[#This Row],[Item]],Calories[Name],Calories[Fibre])*Log[[#This Row],[Qty]])</f>
        <v/>
      </c>
      <c r="I766" s="71" t="str">
        <f>IF(ISBLANK(Log[[#This Row],[Item]]),"",(Log[[#This Row],[Carbs]]-Log[[#This Row],[Fibre]]))</f>
        <v/>
      </c>
      <c r="J766" s="103" t="str">
        <f>IF(ISBLANK(Log[[#This Row],[Item]]),"",_xlfn.XLOOKUP(Log[[#This Row],[Item]],Calories[Name],Calories[Sodium])*Log[[#This Row],[Qty]])</f>
        <v/>
      </c>
      <c r="K766" s="71" t="str">
        <f>IF(ISBLANK(Log[[#This Row],[Item]]),"",_xlfn.XLOOKUP(Log[[#This Row],[Item]],Calories[Name],Calories[Protein])*Log[[#This Row],[Qty]])</f>
        <v/>
      </c>
      <c r="L766" s="71" t="str">
        <f>IF(ISBLANK(Log[[#This Row],[Item]]),"",_xlfn.XLOOKUP(Log[[#This Row],[Item]],Calories[Name],Calories[Chol.])*Log[[#This Row],[Qty]])</f>
        <v/>
      </c>
      <c r="M766" s="75"/>
      <c r="N766" s="75"/>
      <c r="O766" s="75"/>
    </row>
    <row r="767" spans="1:15" s="66" customFormat="1" ht="25.15" customHeight="1">
      <c r="A767" s="75"/>
      <c r="B767" s="98"/>
      <c r="C767" s="78"/>
      <c r="D767" s="79"/>
      <c r="E767" s="76" t="str">
        <f>IF(ISBLANK(Log[[#This Row],[Item]]),"",_xlfn.XLOOKUP(Log[[#This Row],[Item]],Calories[Name],Calories[Unit]))</f>
        <v/>
      </c>
      <c r="F767" s="65" t="str">
        <f>IF(ISBLANK(Log[[#This Row],[Item]]),"",_xlfn.XLOOKUP(Log[[#This Row],[Item]],Calories[Name],Calories[Cals])*Log[[#This Row],[Qty]])</f>
        <v/>
      </c>
      <c r="G767" s="71" t="str">
        <f>IF(ISBLANK(Log[[#This Row],[Item]]),"",_xlfn.XLOOKUP(Log[[#This Row],[Item]],Calories[Name],Calories[Carbs])*Log[[#This Row],[Qty]])</f>
        <v/>
      </c>
      <c r="H767" s="71" t="str">
        <f>IF(ISBLANK(Log[[#This Row],[Item]]),"",_xlfn.XLOOKUP(Log[[#This Row],[Item]],Calories[Name],Calories[Fibre])*Log[[#This Row],[Qty]])</f>
        <v/>
      </c>
      <c r="I767" s="71" t="str">
        <f>IF(ISBLANK(Log[[#This Row],[Item]]),"",(Log[[#This Row],[Carbs]]-Log[[#This Row],[Fibre]]))</f>
        <v/>
      </c>
      <c r="J767" s="103" t="str">
        <f>IF(ISBLANK(Log[[#This Row],[Item]]),"",_xlfn.XLOOKUP(Log[[#This Row],[Item]],Calories[Name],Calories[Sodium])*Log[[#This Row],[Qty]])</f>
        <v/>
      </c>
      <c r="K767" s="71" t="str">
        <f>IF(ISBLANK(Log[[#This Row],[Item]]),"",_xlfn.XLOOKUP(Log[[#This Row],[Item]],Calories[Name],Calories[Protein])*Log[[#This Row],[Qty]])</f>
        <v/>
      </c>
      <c r="L767" s="71" t="str">
        <f>IF(ISBLANK(Log[[#This Row],[Item]]),"",_xlfn.XLOOKUP(Log[[#This Row],[Item]],Calories[Name],Calories[Chol.])*Log[[#This Row],[Qty]])</f>
        <v/>
      </c>
      <c r="M767" s="75"/>
      <c r="N767" s="75"/>
      <c r="O767" s="75"/>
    </row>
    <row r="768" spans="1:15" s="66" customFormat="1" ht="25.15" customHeight="1">
      <c r="A768" s="75"/>
      <c r="B768" s="98"/>
      <c r="C768" s="78"/>
      <c r="D768" s="79"/>
      <c r="E768" s="76" t="str">
        <f>IF(ISBLANK(Log[[#This Row],[Item]]),"",_xlfn.XLOOKUP(Log[[#This Row],[Item]],Calories[Name],Calories[Unit]))</f>
        <v/>
      </c>
      <c r="F768" s="65" t="str">
        <f>IF(ISBLANK(Log[[#This Row],[Item]]),"",_xlfn.XLOOKUP(Log[[#This Row],[Item]],Calories[Name],Calories[Cals])*Log[[#This Row],[Qty]])</f>
        <v/>
      </c>
      <c r="G768" s="71" t="str">
        <f>IF(ISBLANK(Log[[#This Row],[Item]]),"",_xlfn.XLOOKUP(Log[[#This Row],[Item]],Calories[Name],Calories[Carbs])*Log[[#This Row],[Qty]])</f>
        <v/>
      </c>
      <c r="H768" s="71" t="str">
        <f>IF(ISBLANK(Log[[#This Row],[Item]]),"",_xlfn.XLOOKUP(Log[[#This Row],[Item]],Calories[Name],Calories[Fibre])*Log[[#This Row],[Qty]])</f>
        <v/>
      </c>
      <c r="I768" s="71" t="str">
        <f>IF(ISBLANK(Log[[#This Row],[Item]]),"",(Log[[#This Row],[Carbs]]-Log[[#This Row],[Fibre]]))</f>
        <v/>
      </c>
      <c r="J768" s="103" t="str">
        <f>IF(ISBLANK(Log[[#This Row],[Item]]),"",_xlfn.XLOOKUP(Log[[#This Row],[Item]],Calories[Name],Calories[Sodium])*Log[[#This Row],[Qty]])</f>
        <v/>
      </c>
      <c r="K768" s="71" t="str">
        <f>IF(ISBLANK(Log[[#This Row],[Item]]),"",_xlfn.XLOOKUP(Log[[#This Row],[Item]],Calories[Name],Calories[Protein])*Log[[#This Row],[Qty]])</f>
        <v/>
      </c>
      <c r="L768" s="71" t="str">
        <f>IF(ISBLANK(Log[[#This Row],[Item]]),"",_xlfn.XLOOKUP(Log[[#This Row],[Item]],Calories[Name],Calories[Chol.])*Log[[#This Row],[Qty]])</f>
        <v/>
      </c>
      <c r="M768" s="75"/>
      <c r="N768" s="75"/>
      <c r="O768" s="75"/>
    </row>
    <row r="769" spans="1:15" s="66" customFormat="1" ht="25.15" customHeight="1">
      <c r="A769" s="75"/>
      <c r="B769" s="98"/>
      <c r="C769" s="78"/>
      <c r="D769" s="79"/>
      <c r="E769" s="76" t="str">
        <f>IF(ISBLANK(Log[[#This Row],[Item]]),"",_xlfn.XLOOKUP(Log[[#This Row],[Item]],Calories[Name],Calories[Unit]))</f>
        <v/>
      </c>
      <c r="F769" s="65" t="str">
        <f>IF(ISBLANK(Log[[#This Row],[Item]]),"",_xlfn.XLOOKUP(Log[[#This Row],[Item]],Calories[Name],Calories[Cals])*Log[[#This Row],[Qty]])</f>
        <v/>
      </c>
      <c r="G769" s="71" t="str">
        <f>IF(ISBLANK(Log[[#This Row],[Item]]),"",_xlfn.XLOOKUP(Log[[#This Row],[Item]],Calories[Name],Calories[Carbs])*Log[[#This Row],[Qty]])</f>
        <v/>
      </c>
      <c r="H769" s="71" t="str">
        <f>IF(ISBLANK(Log[[#This Row],[Item]]),"",_xlfn.XLOOKUP(Log[[#This Row],[Item]],Calories[Name],Calories[Fibre])*Log[[#This Row],[Qty]])</f>
        <v/>
      </c>
      <c r="I769" s="71" t="str">
        <f>IF(ISBLANK(Log[[#This Row],[Item]]),"",(Log[[#This Row],[Carbs]]-Log[[#This Row],[Fibre]]))</f>
        <v/>
      </c>
      <c r="J769" s="103" t="str">
        <f>IF(ISBLANK(Log[[#This Row],[Item]]),"",_xlfn.XLOOKUP(Log[[#This Row],[Item]],Calories[Name],Calories[Sodium])*Log[[#This Row],[Qty]])</f>
        <v/>
      </c>
      <c r="K769" s="71" t="str">
        <f>IF(ISBLANK(Log[[#This Row],[Item]]),"",_xlfn.XLOOKUP(Log[[#This Row],[Item]],Calories[Name],Calories[Protein])*Log[[#This Row],[Qty]])</f>
        <v/>
      </c>
      <c r="L769" s="71" t="str">
        <f>IF(ISBLANK(Log[[#This Row],[Item]]),"",_xlfn.XLOOKUP(Log[[#This Row],[Item]],Calories[Name],Calories[Chol.])*Log[[#This Row],[Qty]])</f>
        <v/>
      </c>
      <c r="M769" s="75"/>
      <c r="N769" s="75"/>
      <c r="O769" s="75"/>
    </row>
    <row r="770" spans="1:15" s="66" customFormat="1" ht="25.15" customHeight="1">
      <c r="A770" s="75"/>
      <c r="B770" s="98"/>
      <c r="C770" s="78"/>
      <c r="D770" s="79"/>
      <c r="E770" s="76" t="str">
        <f>IF(ISBLANK(Log[[#This Row],[Item]]),"",_xlfn.XLOOKUP(Log[[#This Row],[Item]],Calories[Name],Calories[Unit]))</f>
        <v/>
      </c>
      <c r="F770" s="65" t="str">
        <f>IF(ISBLANK(Log[[#This Row],[Item]]),"",_xlfn.XLOOKUP(Log[[#This Row],[Item]],Calories[Name],Calories[Cals])*Log[[#This Row],[Qty]])</f>
        <v/>
      </c>
      <c r="G770" s="71" t="str">
        <f>IF(ISBLANK(Log[[#This Row],[Item]]),"",_xlfn.XLOOKUP(Log[[#This Row],[Item]],Calories[Name],Calories[Carbs])*Log[[#This Row],[Qty]])</f>
        <v/>
      </c>
      <c r="H770" s="71" t="str">
        <f>IF(ISBLANK(Log[[#This Row],[Item]]),"",_xlfn.XLOOKUP(Log[[#This Row],[Item]],Calories[Name],Calories[Fibre])*Log[[#This Row],[Qty]])</f>
        <v/>
      </c>
      <c r="I770" s="71" t="str">
        <f>IF(ISBLANK(Log[[#This Row],[Item]]),"",(Log[[#This Row],[Carbs]]-Log[[#This Row],[Fibre]]))</f>
        <v/>
      </c>
      <c r="J770" s="103" t="str">
        <f>IF(ISBLANK(Log[[#This Row],[Item]]),"",_xlfn.XLOOKUP(Log[[#This Row],[Item]],Calories[Name],Calories[Sodium])*Log[[#This Row],[Qty]])</f>
        <v/>
      </c>
      <c r="K770" s="71" t="str">
        <f>IF(ISBLANK(Log[[#This Row],[Item]]),"",_xlfn.XLOOKUP(Log[[#This Row],[Item]],Calories[Name],Calories[Protein])*Log[[#This Row],[Qty]])</f>
        <v/>
      </c>
      <c r="L770" s="71" t="str">
        <f>IF(ISBLANK(Log[[#This Row],[Item]]),"",_xlfn.XLOOKUP(Log[[#This Row],[Item]],Calories[Name],Calories[Chol.])*Log[[#This Row],[Qty]])</f>
        <v/>
      </c>
      <c r="M770" s="75"/>
      <c r="N770" s="75"/>
      <c r="O770" s="75"/>
    </row>
    <row r="771" spans="1:15" s="66" customFormat="1" ht="25.15" customHeight="1">
      <c r="A771" s="75"/>
      <c r="B771" s="98"/>
      <c r="C771" s="78"/>
      <c r="D771" s="79"/>
      <c r="E771" s="76" t="str">
        <f>IF(ISBLANK(Log[[#This Row],[Item]]),"",_xlfn.XLOOKUP(Log[[#This Row],[Item]],Calories[Name],Calories[Unit]))</f>
        <v/>
      </c>
      <c r="F771" s="65" t="str">
        <f>IF(ISBLANK(Log[[#This Row],[Item]]),"",_xlfn.XLOOKUP(Log[[#This Row],[Item]],Calories[Name],Calories[Cals])*Log[[#This Row],[Qty]])</f>
        <v/>
      </c>
      <c r="G771" s="71" t="str">
        <f>IF(ISBLANK(Log[[#This Row],[Item]]),"",_xlfn.XLOOKUP(Log[[#This Row],[Item]],Calories[Name],Calories[Carbs])*Log[[#This Row],[Qty]])</f>
        <v/>
      </c>
      <c r="H771" s="71" t="str">
        <f>IF(ISBLANK(Log[[#This Row],[Item]]),"",_xlfn.XLOOKUP(Log[[#This Row],[Item]],Calories[Name],Calories[Fibre])*Log[[#This Row],[Qty]])</f>
        <v/>
      </c>
      <c r="I771" s="71" t="str">
        <f>IF(ISBLANK(Log[[#This Row],[Item]]),"",(Log[[#This Row],[Carbs]]-Log[[#This Row],[Fibre]]))</f>
        <v/>
      </c>
      <c r="J771" s="103" t="str">
        <f>IF(ISBLANK(Log[[#This Row],[Item]]),"",_xlfn.XLOOKUP(Log[[#This Row],[Item]],Calories[Name],Calories[Sodium])*Log[[#This Row],[Qty]])</f>
        <v/>
      </c>
      <c r="K771" s="71" t="str">
        <f>IF(ISBLANK(Log[[#This Row],[Item]]),"",_xlfn.XLOOKUP(Log[[#This Row],[Item]],Calories[Name],Calories[Protein])*Log[[#This Row],[Qty]])</f>
        <v/>
      </c>
      <c r="L771" s="71" t="str">
        <f>IF(ISBLANK(Log[[#This Row],[Item]]),"",_xlfn.XLOOKUP(Log[[#This Row],[Item]],Calories[Name],Calories[Chol.])*Log[[#This Row],[Qty]])</f>
        <v/>
      </c>
      <c r="M771" s="75"/>
      <c r="N771" s="75"/>
      <c r="O771" s="75"/>
    </row>
    <row r="772" spans="1:15" s="66" customFormat="1" ht="25.15" customHeight="1">
      <c r="A772" s="75"/>
      <c r="B772" s="98"/>
      <c r="C772" s="78"/>
      <c r="D772" s="79"/>
      <c r="E772" s="76" t="str">
        <f>IF(ISBLANK(Log[[#This Row],[Item]]),"",_xlfn.XLOOKUP(Log[[#This Row],[Item]],Calories[Name],Calories[Unit]))</f>
        <v/>
      </c>
      <c r="F772" s="65" t="str">
        <f>IF(ISBLANK(Log[[#This Row],[Item]]),"",_xlfn.XLOOKUP(Log[[#This Row],[Item]],Calories[Name],Calories[Cals])*Log[[#This Row],[Qty]])</f>
        <v/>
      </c>
      <c r="G772" s="71" t="str">
        <f>IF(ISBLANK(Log[[#This Row],[Item]]),"",_xlfn.XLOOKUP(Log[[#This Row],[Item]],Calories[Name],Calories[Carbs])*Log[[#This Row],[Qty]])</f>
        <v/>
      </c>
      <c r="H772" s="71" t="str">
        <f>IF(ISBLANK(Log[[#This Row],[Item]]),"",_xlfn.XLOOKUP(Log[[#This Row],[Item]],Calories[Name],Calories[Fibre])*Log[[#This Row],[Qty]])</f>
        <v/>
      </c>
      <c r="I772" s="71" t="str">
        <f>IF(ISBLANK(Log[[#This Row],[Item]]),"",(Log[[#This Row],[Carbs]]-Log[[#This Row],[Fibre]]))</f>
        <v/>
      </c>
      <c r="J772" s="103" t="str">
        <f>IF(ISBLANK(Log[[#This Row],[Item]]),"",_xlfn.XLOOKUP(Log[[#This Row],[Item]],Calories[Name],Calories[Sodium])*Log[[#This Row],[Qty]])</f>
        <v/>
      </c>
      <c r="K772" s="71" t="str">
        <f>IF(ISBLANK(Log[[#This Row],[Item]]),"",_xlfn.XLOOKUP(Log[[#This Row],[Item]],Calories[Name],Calories[Protein])*Log[[#This Row],[Qty]])</f>
        <v/>
      </c>
      <c r="L772" s="71" t="str">
        <f>IF(ISBLANK(Log[[#This Row],[Item]]),"",_xlfn.XLOOKUP(Log[[#This Row],[Item]],Calories[Name],Calories[Chol.])*Log[[#This Row],[Qty]])</f>
        <v/>
      </c>
      <c r="M772" s="75"/>
      <c r="N772" s="75"/>
      <c r="O772" s="75"/>
    </row>
    <row r="773" spans="1:15" s="66" customFormat="1" ht="25.15" customHeight="1">
      <c r="A773" s="75"/>
      <c r="B773" s="98"/>
      <c r="C773" s="78"/>
      <c r="D773" s="79"/>
      <c r="E773" s="76" t="str">
        <f>IF(ISBLANK(Log[[#This Row],[Item]]),"",_xlfn.XLOOKUP(Log[[#This Row],[Item]],Calories[Name],Calories[Unit]))</f>
        <v/>
      </c>
      <c r="F773" s="65" t="str">
        <f>IF(ISBLANK(Log[[#This Row],[Item]]),"",_xlfn.XLOOKUP(Log[[#This Row],[Item]],Calories[Name],Calories[Cals])*Log[[#This Row],[Qty]])</f>
        <v/>
      </c>
      <c r="G773" s="71" t="str">
        <f>IF(ISBLANK(Log[[#This Row],[Item]]),"",_xlfn.XLOOKUP(Log[[#This Row],[Item]],Calories[Name],Calories[Carbs])*Log[[#This Row],[Qty]])</f>
        <v/>
      </c>
      <c r="H773" s="71" t="str">
        <f>IF(ISBLANK(Log[[#This Row],[Item]]),"",_xlfn.XLOOKUP(Log[[#This Row],[Item]],Calories[Name],Calories[Fibre])*Log[[#This Row],[Qty]])</f>
        <v/>
      </c>
      <c r="I773" s="71" t="str">
        <f>IF(ISBLANK(Log[[#This Row],[Item]]),"",(Log[[#This Row],[Carbs]]-Log[[#This Row],[Fibre]]))</f>
        <v/>
      </c>
      <c r="J773" s="103" t="str">
        <f>IF(ISBLANK(Log[[#This Row],[Item]]),"",_xlfn.XLOOKUP(Log[[#This Row],[Item]],Calories[Name],Calories[Sodium])*Log[[#This Row],[Qty]])</f>
        <v/>
      </c>
      <c r="K773" s="71" t="str">
        <f>IF(ISBLANK(Log[[#This Row],[Item]]),"",_xlfn.XLOOKUP(Log[[#This Row],[Item]],Calories[Name],Calories[Protein])*Log[[#This Row],[Qty]])</f>
        <v/>
      </c>
      <c r="L773" s="71" t="str">
        <f>IF(ISBLANK(Log[[#This Row],[Item]]),"",_xlfn.XLOOKUP(Log[[#This Row],[Item]],Calories[Name],Calories[Chol.])*Log[[#This Row],[Qty]])</f>
        <v/>
      </c>
      <c r="M773" s="75"/>
      <c r="N773" s="75"/>
      <c r="O773" s="75"/>
    </row>
    <row r="774" spans="1:15" s="66" customFormat="1" ht="25.15" customHeight="1">
      <c r="A774" s="75"/>
      <c r="B774" s="98"/>
      <c r="C774" s="78"/>
      <c r="D774" s="79"/>
      <c r="E774" s="76" t="str">
        <f>IF(ISBLANK(Log[[#This Row],[Item]]),"",_xlfn.XLOOKUP(Log[[#This Row],[Item]],Calories[Name],Calories[Unit]))</f>
        <v/>
      </c>
      <c r="F774" s="65" t="str">
        <f>IF(ISBLANK(Log[[#This Row],[Item]]),"",_xlfn.XLOOKUP(Log[[#This Row],[Item]],Calories[Name],Calories[Cals])*Log[[#This Row],[Qty]])</f>
        <v/>
      </c>
      <c r="G774" s="71" t="str">
        <f>IF(ISBLANK(Log[[#This Row],[Item]]),"",_xlfn.XLOOKUP(Log[[#This Row],[Item]],Calories[Name],Calories[Carbs])*Log[[#This Row],[Qty]])</f>
        <v/>
      </c>
      <c r="H774" s="71" t="str">
        <f>IF(ISBLANK(Log[[#This Row],[Item]]),"",_xlfn.XLOOKUP(Log[[#This Row],[Item]],Calories[Name],Calories[Fibre])*Log[[#This Row],[Qty]])</f>
        <v/>
      </c>
      <c r="I774" s="71" t="str">
        <f>IF(ISBLANK(Log[[#This Row],[Item]]),"",(Log[[#This Row],[Carbs]]-Log[[#This Row],[Fibre]]))</f>
        <v/>
      </c>
      <c r="J774" s="103" t="str">
        <f>IF(ISBLANK(Log[[#This Row],[Item]]),"",_xlfn.XLOOKUP(Log[[#This Row],[Item]],Calories[Name],Calories[Sodium])*Log[[#This Row],[Qty]])</f>
        <v/>
      </c>
      <c r="K774" s="71" t="str">
        <f>IF(ISBLANK(Log[[#This Row],[Item]]),"",_xlfn.XLOOKUP(Log[[#This Row],[Item]],Calories[Name],Calories[Protein])*Log[[#This Row],[Qty]])</f>
        <v/>
      </c>
      <c r="L774" s="71" t="str">
        <f>IF(ISBLANK(Log[[#This Row],[Item]]),"",_xlfn.XLOOKUP(Log[[#This Row],[Item]],Calories[Name],Calories[Chol.])*Log[[#This Row],[Qty]])</f>
        <v/>
      </c>
      <c r="M774" s="75"/>
      <c r="N774" s="75"/>
      <c r="O774" s="75"/>
    </row>
    <row r="775" spans="1:15" s="66" customFormat="1" ht="25.15" customHeight="1">
      <c r="A775" s="75"/>
      <c r="B775" s="98"/>
      <c r="C775" s="78"/>
      <c r="D775" s="79"/>
      <c r="E775" s="76" t="str">
        <f>IF(ISBLANK(Log[[#This Row],[Item]]),"",_xlfn.XLOOKUP(Log[[#This Row],[Item]],Calories[Name],Calories[Unit]))</f>
        <v/>
      </c>
      <c r="F775" s="65" t="str">
        <f>IF(ISBLANK(Log[[#This Row],[Item]]),"",_xlfn.XLOOKUP(Log[[#This Row],[Item]],Calories[Name],Calories[Cals])*Log[[#This Row],[Qty]])</f>
        <v/>
      </c>
      <c r="G775" s="71" t="str">
        <f>IF(ISBLANK(Log[[#This Row],[Item]]),"",_xlfn.XLOOKUP(Log[[#This Row],[Item]],Calories[Name],Calories[Carbs])*Log[[#This Row],[Qty]])</f>
        <v/>
      </c>
      <c r="H775" s="71" t="str">
        <f>IF(ISBLANK(Log[[#This Row],[Item]]),"",_xlfn.XLOOKUP(Log[[#This Row],[Item]],Calories[Name],Calories[Fibre])*Log[[#This Row],[Qty]])</f>
        <v/>
      </c>
      <c r="I775" s="71" t="str">
        <f>IF(ISBLANK(Log[[#This Row],[Item]]),"",(Log[[#This Row],[Carbs]]-Log[[#This Row],[Fibre]]))</f>
        <v/>
      </c>
      <c r="J775" s="103" t="str">
        <f>IF(ISBLANK(Log[[#This Row],[Item]]),"",_xlfn.XLOOKUP(Log[[#This Row],[Item]],Calories[Name],Calories[Sodium])*Log[[#This Row],[Qty]])</f>
        <v/>
      </c>
      <c r="K775" s="71" t="str">
        <f>IF(ISBLANK(Log[[#This Row],[Item]]),"",_xlfn.XLOOKUP(Log[[#This Row],[Item]],Calories[Name],Calories[Protein])*Log[[#This Row],[Qty]])</f>
        <v/>
      </c>
      <c r="L775" s="71" t="str">
        <f>IF(ISBLANK(Log[[#This Row],[Item]]),"",_xlfn.XLOOKUP(Log[[#This Row],[Item]],Calories[Name],Calories[Chol.])*Log[[#This Row],[Qty]])</f>
        <v/>
      </c>
      <c r="M775" s="75"/>
      <c r="N775" s="75"/>
      <c r="O775" s="75"/>
    </row>
    <row r="776" spans="1:15" s="66" customFormat="1" ht="25.15" customHeight="1">
      <c r="A776" s="75"/>
      <c r="B776" s="98"/>
      <c r="C776" s="78"/>
      <c r="D776" s="79"/>
      <c r="E776" s="76" t="str">
        <f>IF(ISBLANK(Log[[#This Row],[Item]]),"",_xlfn.XLOOKUP(Log[[#This Row],[Item]],Calories[Name],Calories[Unit]))</f>
        <v/>
      </c>
      <c r="F776" s="65" t="str">
        <f>IF(ISBLANK(Log[[#This Row],[Item]]),"",_xlfn.XLOOKUP(Log[[#This Row],[Item]],Calories[Name],Calories[Cals])*Log[[#This Row],[Qty]])</f>
        <v/>
      </c>
      <c r="G776" s="71" t="str">
        <f>IF(ISBLANK(Log[[#This Row],[Item]]),"",_xlfn.XLOOKUP(Log[[#This Row],[Item]],Calories[Name],Calories[Carbs])*Log[[#This Row],[Qty]])</f>
        <v/>
      </c>
      <c r="H776" s="71" t="str">
        <f>IF(ISBLANK(Log[[#This Row],[Item]]),"",_xlfn.XLOOKUP(Log[[#This Row],[Item]],Calories[Name],Calories[Fibre])*Log[[#This Row],[Qty]])</f>
        <v/>
      </c>
      <c r="I776" s="71" t="str">
        <f>IF(ISBLANK(Log[[#This Row],[Item]]),"",(Log[[#This Row],[Carbs]]-Log[[#This Row],[Fibre]]))</f>
        <v/>
      </c>
      <c r="J776" s="103" t="str">
        <f>IF(ISBLANK(Log[[#This Row],[Item]]),"",_xlfn.XLOOKUP(Log[[#This Row],[Item]],Calories[Name],Calories[Sodium])*Log[[#This Row],[Qty]])</f>
        <v/>
      </c>
      <c r="K776" s="71" t="str">
        <f>IF(ISBLANK(Log[[#This Row],[Item]]),"",_xlfn.XLOOKUP(Log[[#This Row],[Item]],Calories[Name],Calories[Protein])*Log[[#This Row],[Qty]])</f>
        <v/>
      </c>
      <c r="L776" s="71" t="str">
        <f>IF(ISBLANK(Log[[#This Row],[Item]]),"",_xlfn.XLOOKUP(Log[[#This Row],[Item]],Calories[Name],Calories[Chol.])*Log[[#This Row],[Qty]])</f>
        <v/>
      </c>
      <c r="M776" s="75"/>
      <c r="N776" s="75"/>
      <c r="O776" s="75"/>
    </row>
    <row r="777" spans="1:15" s="66" customFormat="1" ht="25.15" customHeight="1">
      <c r="A777" s="75"/>
      <c r="B777" s="98"/>
      <c r="C777" s="78"/>
      <c r="D777" s="79"/>
      <c r="E777" s="76" t="str">
        <f>IF(ISBLANK(Log[[#This Row],[Item]]),"",_xlfn.XLOOKUP(Log[[#This Row],[Item]],Calories[Name],Calories[Unit]))</f>
        <v/>
      </c>
      <c r="F777" s="65" t="str">
        <f>IF(ISBLANK(Log[[#This Row],[Item]]),"",_xlfn.XLOOKUP(Log[[#This Row],[Item]],Calories[Name],Calories[Cals])*Log[[#This Row],[Qty]])</f>
        <v/>
      </c>
      <c r="G777" s="71" t="str">
        <f>IF(ISBLANK(Log[[#This Row],[Item]]),"",_xlfn.XLOOKUP(Log[[#This Row],[Item]],Calories[Name],Calories[Carbs])*Log[[#This Row],[Qty]])</f>
        <v/>
      </c>
      <c r="H777" s="71" t="str">
        <f>IF(ISBLANK(Log[[#This Row],[Item]]),"",_xlfn.XLOOKUP(Log[[#This Row],[Item]],Calories[Name],Calories[Fibre])*Log[[#This Row],[Qty]])</f>
        <v/>
      </c>
      <c r="I777" s="71" t="str">
        <f>IF(ISBLANK(Log[[#This Row],[Item]]),"",(Log[[#This Row],[Carbs]]-Log[[#This Row],[Fibre]]))</f>
        <v/>
      </c>
      <c r="J777" s="103" t="str">
        <f>IF(ISBLANK(Log[[#This Row],[Item]]),"",_xlfn.XLOOKUP(Log[[#This Row],[Item]],Calories[Name],Calories[Sodium])*Log[[#This Row],[Qty]])</f>
        <v/>
      </c>
      <c r="K777" s="71" t="str">
        <f>IF(ISBLANK(Log[[#This Row],[Item]]),"",_xlfn.XLOOKUP(Log[[#This Row],[Item]],Calories[Name],Calories[Protein])*Log[[#This Row],[Qty]])</f>
        <v/>
      </c>
      <c r="L777" s="71" t="str">
        <f>IF(ISBLANK(Log[[#This Row],[Item]]),"",_xlfn.XLOOKUP(Log[[#This Row],[Item]],Calories[Name],Calories[Chol.])*Log[[#This Row],[Qty]])</f>
        <v/>
      </c>
      <c r="M777" s="75"/>
      <c r="N777" s="75"/>
      <c r="O777" s="75"/>
    </row>
    <row r="778" spans="1:15" s="66" customFormat="1" ht="25.15" customHeight="1">
      <c r="A778" s="75"/>
      <c r="B778" s="98"/>
      <c r="C778" s="78"/>
      <c r="D778" s="79"/>
      <c r="E778" s="76" t="str">
        <f>IF(ISBLANK(Log[[#This Row],[Item]]),"",_xlfn.XLOOKUP(Log[[#This Row],[Item]],Calories[Name],Calories[Unit]))</f>
        <v/>
      </c>
      <c r="F778" s="65" t="str">
        <f>IF(ISBLANK(Log[[#This Row],[Item]]),"",_xlfn.XLOOKUP(Log[[#This Row],[Item]],Calories[Name],Calories[Cals])*Log[[#This Row],[Qty]])</f>
        <v/>
      </c>
      <c r="G778" s="71" t="str">
        <f>IF(ISBLANK(Log[[#This Row],[Item]]),"",_xlfn.XLOOKUP(Log[[#This Row],[Item]],Calories[Name],Calories[Carbs])*Log[[#This Row],[Qty]])</f>
        <v/>
      </c>
      <c r="H778" s="71" t="str">
        <f>IF(ISBLANK(Log[[#This Row],[Item]]),"",_xlfn.XLOOKUP(Log[[#This Row],[Item]],Calories[Name],Calories[Fibre])*Log[[#This Row],[Qty]])</f>
        <v/>
      </c>
      <c r="I778" s="71" t="str">
        <f>IF(ISBLANK(Log[[#This Row],[Item]]),"",(Log[[#This Row],[Carbs]]-Log[[#This Row],[Fibre]]))</f>
        <v/>
      </c>
      <c r="J778" s="103" t="str">
        <f>IF(ISBLANK(Log[[#This Row],[Item]]),"",_xlfn.XLOOKUP(Log[[#This Row],[Item]],Calories[Name],Calories[Sodium])*Log[[#This Row],[Qty]])</f>
        <v/>
      </c>
      <c r="K778" s="71" t="str">
        <f>IF(ISBLANK(Log[[#This Row],[Item]]),"",_xlfn.XLOOKUP(Log[[#This Row],[Item]],Calories[Name],Calories[Protein])*Log[[#This Row],[Qty]])</f>
        <v/>
      </c>
      <c r="L778" s="71" t="str">
        <f>IF(ISBLANK(Log[[#This Row],[Item]]),"",_xlfn.XLOOKUP(Log[[#This Row],[Item]],Calories[Name],Calories[Chol.])*Log[[#This Row],[Qty]])</f>
        <v/>
      </c>
      <c r="M778" s="75"/>
      <c r="N778" s="75"/>
      <c r="O778" s="75"/>
    </row>
    <row r="779" spans="1:15" s="66" customFormat="1" ht="25.15" customHeight="1">
      <c r="A779" s="75"/>
      <c r="B779" s="98"/>
      <c r="C779" s="78"/>
      <c r="D779" s="79"/>
      <c r="E779" s="76" t="str">
        <f>IF(ISBLANK(Log[[#This Row],[Item]]),"",_xlfn.XLOOKUP(Log[[#This Row],[Item]],Calories[Name],Calories[Unit]))</f>
        <v/>
      </c>
      <c r="F779" s="65" t="str">
        <f>IF(ISBLANK(Log[[#This Row],[Item]]),"",_xlfn.XLOOKUP(Log[[#This Row],[Item]],Calories[Name],Calories[Cals])*Log[[#This Row],[Qty]])</f>
        <v/>
      </c>
      <c r="G779" s="71" t="str">
        <f>IF(ISBLANK(Log[[#This Row],[Item]]),"",_xlfn.XLOOKUP(Log[[#This Row],[Item]],Calories[Name],Calories[Carbs])*Log[[#This Row],[Qty]])</f>
        <v/>
      </c>
      <c r="H779" s="71" t="str">
        <f>IF(ISBLANK(Log[[#This Row],[Item]]),"",_xlfn.XLOOKUP(Log[[#This Row],[Item]],Calories[Name],Calories[Fibre])*Log[[#This Row],[Qty]])</f>
        <v/>
      </c>
      <c r="I779" s="71" t="str">
        <f>IF(ISBLANK(Log[[#This Row],[Item]]),"",(Log[[#This Row],[Carbs]]-Log[[#This Row],[Fibre]]))</f>
        <v/>
      </c>
      <c r="J779" s="103" t="str">
        <f>IF(ISBLANK(Log[[#This Row],[Item]]),"",_xlfn.XLOOKUP(Log[[#This Row],[Item]],Calories[Name],Calories[Sodium])*Log[[#This Row],[Qty]])</f>
        <v/>
      </c>
      <c r="K779" s="71" t="str">
        <f>IF(ISBLANK(Log[[#This Row],[Item]]),"",_xlfn.XLOOKUP(Log[[#This Row],[Item]],Calories[Name],Calories[Protein])*Log[[#This Row],[Qty]])</f>
        <v/>
      </c>
      <c r="L779" s="71" t="str">
        <f>IF(ISBLANK(Log[[#This Row],[Item]]),"",_xlfn.XLOOKUP(Log[[#This Row],[Item]],Calories[Name],Calories[Chol.])*Log[[#This Row],[Qty]])</f>
        <v/>
      </c>
      <c r="M779" s="75"/>
      <c r="N779" s="75"/>
      <c r="O779" s="75"/>
    </row>
    <row r="780" spans="1:15" s="66" customFormat="1" ht="25.15" customHeight="1">
      <c r="A780" s="75"/>
      <c r="B780" s="98"/>
      <c r="C780" s="78"/>
      <c r="D780" s="79"/>
      <c r="E780" s="76" t="str">
        <f>IF(ISBLANK(Log[[#This Row],[Item]]),"",_xlfn.XLOOKUP(Log[[#This Row],[Item]],Calories[Name],Calories[Unit]))</f>
        <v/>
      </c>
      <c r="F780" s="65" t="str">
        <f>IF(ISBLANK(Log[[#This Row],[Item]]),"",_xlfn.XLOOKUP(Log[[#This Row],[Item]],Calories[Name],Calories[Cals])*Log[[#This Row],[Qty]])</f>
        <v/>
      </c>
      <c r="G780" s="71" t="str">
        <f>IF(ISBLANK(Log[[#This Row],[Item]]),"",_xlfn.XLOOKUP(Log[[#This Row],[Item]],Calories[Name],Calories[Carbs])*Log[[#This Row],[Qty]])</f>
        <v/>
      </c>
      <c r="H780" s="71" t="str">
        <f>IF(ISBLANK(Log[[#This Row],[Item]]),"",_xlfn.XLOOKUP(Log[[#This Row],[Item]],Calories[Name],Calories[Fibre])*Log[[#This Row],[Qty]])</f>
        <v/>
      </c>
      <c r="I780" s="71" t="str">
        <f>IF(ISBLANK(Log[[#This Row],[Item]]),"",(Log[[#This Row],[Carbs]]-Log[[#This Row],[Fibre]]))</f>
        <v/>
      </c>
      <c r="J780" s="103" t="str">
        <f>IF(ISBLANK(Log[[#This Row],[Item]]),"",_xlfn.XLOOKUP(Log[[#This Row],[Item]],Calories[Name],Calories[Sodium])*Log[[#This Row],[Qty]])</f>
        <v/>
      </c>
      <c r="K780" s="71" t="str">
        <f>IF(ISBLANK(Log[[#This Row],[Item]]),"",_xlfn.XLOOKUP(Log[[#This Row],[Item]],Calories[Name],Calories[Protein])*Log[[#This Row],[Qty]])</f>
        <v/>
      </c>
      <c r="L780" s="71" t="str">
        <f>IF(ISBLANK(Log[[#This Row],[Item]]),"",_xlfn.XLOOKUP(Log[[#This Row],[Item]],Calories[Name],Calories[Chol.])*Log[[#This Row],[Qty]])</f>
        <v/>
      </c>
      <c r="M780" s="75"/>
      <c r="N780" s="75"/>
      <c r="O780" s="75"/>
    </row>
    <row r="781" spans="1:15" s="66" customFormat="1" ht="25.15" customHeight="1">
      <c r="A781" s="75"/>
      <c r="B781" s="98"/>
      <c r="C781" s="78"/>
      <c r="D781" s="79"/>
      <c r="E781" s="76" t="str">
        <f>IF(ISBLANK(Log[[#This Row],[Item]]),"",_xlfn.XLOOKUP(Log[[#This Row],[Item]],Calories[Name],Calories[Unit]))</f>
        <v/>
      </c>
      <c r="F781" s="65" t="str">
        <f>IF(ISBLANK(Log[[#This Row],[Item]]),"",_xlfn.XLOOKUP(Log[[#This Row],[Item]],Calories[Name],Calories[Cals])*Log[[#This Row],[Qty]])</f>
        <v/>
      </c>
      <c r="G781" s="71" t="str">
        <f>IF(ISBLANK(Log[[#This Row],[Item]]),"",_xlfn.XLOOKUP(Log[[#This Row],[Item]],Calories[Name],Calories[Carbs])*Log[[#This Row],[Qty]])</f>
        <v/>
      </c>
      <c r="H781" s="71" t="str">
        <f>IF(ISBLANK(Log[[#This Row],[Item]]),"",_xlfn.XLOOKUP(Log[[#This Row],[Item]],Calories[Name],Calories[Fibre])*Log[[#This Row],[Qty]])</f>
        <v/>
      </c>
      <c r="I781" s="71" t="str">
        <f>IF(ISBLANK(Log[[#This Row],[Item]]),"",(Log[[#This Row],[Carbs]]-Log[[#This Row],[Fibre]]))</f>
        <v/>
      </c>
      <c r="J781" s="103" t="str">
        <f>IF(ISBLANK(Log[[#This Row],[Item]]),"",_xlfn.XLOOKUP(Log[[#This Row],[Item]],Calories[Name],Calories[Sodium])*Log[[#This Row],[Qty]])</f>
        <v/>
      </c>
      <c r="K781" s="71" t="str">
        <f>IF(ISBLANK(Log[[#This Row],[Item]]),"",_xlfn.XLOOKUP(Log[[#This Row],[Item]],Calories[Name],Calories[Protein])*Log[[#This Row],[Qty]])</f>
        <v/>
      </c>
      <c r="L781" s="71" t="str">
        <f>IF(ISBLANK(Log[[#This Row],[Item]]),"",_xlfn.XLOOKUP(Log[[#This Row],[Item]],Calories[Name],Calories[Chol.])*Log[[#This Row],[Qty]])</f>
        <v/>
      </c>
      <c r="M781" s="75"/>
      <c r="N781" s="75"/>
      <c r="O781" s="75"/>
    </row>
    <row r="782" spans="1:15" s="66" customFormat="1" ht="25.15" customHeight="1">
      <c r="A782" s="75"/>
      <c r="B782" s="98"/>
      <c r="C782" s="78"/>
      <c r="D782" s="79"/>
      <c r="E782" s="76" t="str">
        <f>IF(ISBLANK(Log[[#This Row],[Item]]),"",_xlfn.XLOOKUP(Log[[#This Row],[Item]],Calories[Name],Calories[Unit]))</f>
        <v/>
      </c>
      <c r="F782" s="65" t="str">
        <f>IF(ISBLANK(Log[[#This Row],[Item]]),"",_xlfn.XLOOKUP(Log[[#This Row],[Item]],Calories[Name],Calories[Cals])*Log[[#This Row],[Qty]])</f>
        <v/>
      </c>
      <c r="G782" s="71" t="str">
        <f>IF(ISBLANK(Log[[#This Row],[Item]]),"",_xlfn.XLOOKUP(Log[[#This Row],[Item]],Calories[Name],Calories[Carbs])*Log[[#This Row],[Qty]])</f>
        <v/>
      </c>
      <c r="H782" s="71" t="str">
        <f>IF(ISBLANK(Log[[#This Row],[Item]]),"",_xlfn.XLOOKUP(Log[[#This Row],[Item]],Calories[Name],Calories[Fibre])*Log[[#This Row],[Qty]])</f>
        <v/>
      </c>
      <c r="I782" s="71" t="str">
        <f>IF(ISBLANK(Log[[#This Row],[Item]]),"",(Log[[#This Row],[Carbs]]-Log[[#This Row],[Fibre]]))</f>
        <v/>
      </c>
      <c r="J782" s="103" t="str">
        <f>IF(ISBLANK(Log[[#This Row],[Item]]),"",_xlfn.XLOOKUP(Log[[#This Row],[Item]],Calories[Name],Calories[Sodium])*Log[[#This Row],[Qty]])</f>
        <v/>
      </c>
      <c r="K782" s="71" t="str">
        <f>IF(ISBLANK(Log[[#This Row],[Item]]),"",_xlfn.XLOOKUP(Log[[#This Row],[Item]],Calories[Name],Calories[Protein])*Log[[#This Row],[Qty]])</f>
        <v/>
      </c>
      <c r="L782" s="71" t="str">
        <f>IF(ISBLANK(Log[[#This Row],[Item]]),"",_xlfn.XLOOKUP(Log[[#This Row],[Item]],Calories[Name],Calories[Chol.])*Log[[#This Row],[Qty]])</f>
        <v/>
      </c>
      <c r="M782" s="75"/>
      <c r="N782" s="75"/>
      <c r="O782" s="75"/>
    </row>
    <row r="783" spans="1:15" s="66" customFormat="1" ht="25.15" customHeight="1">
      <c r="A783" s="75"/>
      <c r="B783" s="98"/>
      <c r="C783" s="78"/>
      <c r="D783" s="79"/>
      <c r="E783" s="76" t="str">
        <f>IF(ISBLANK(Log[[#This Row],[Item]]),"",_xlfn.XLOOKUP(Log[[#This Row],[Item]],Calories[Name],Calories[Unit]))</f>
        <v/>
      </c>
      <c r="F783" s="65" t="str">
        <f>IF(ISBLANK(Log[[#This Row],[Item]]),"",_xlfn.XLOOKUP(Log[[#This Row],[Item]],Calories[Name],Calories[Cals])*Log[[#This Row],[Qty]])</f>
        <v/>
      </c>
      <c r="G783" s="71" t="str">
        <f>IF(ISBLANK(Log[[#This Row],[Item]]),"",_xlfn.XLOOKUP(Log[[#This Row],[Item]],Calories[Name],Calories[Carbs])*Log[[#This Row],[Qty]])</f>
        <v/>
      </c>
      <c r="H783" s="71" t="str">
        <f>IF(ISBLANK(Log[[#This Row],[Item]]),"",_xlfn.XLOOKUP(Log[[#This Row],[Item]],Calories[Name],Calories[Fibre])*Log[[#This Row],[Qty]])</f>
        <v/>
      </c>
      <c r="I783" s="71" t="str">
        <f>IF(ISBLANK(Log[[#This Row],[Item]]),"",(Log[[#This Row],[Carbs]]-Log[[#This Row],[Fibre]]))</f>
        <v/>
      </c>
      <c r="J783" s="103" t="str">
        <f>IF(ISBLANK(Log[[#This Row],[Item]]),"",_xlfn.XLOOKUP(Log[[#This Row],[Item]],Calories[Name],Calories[Sodium])*Log[[#This Row],[Qty]])</f>
        <v/>
      </c>
      <c r="K783" s="71" t="str">
        <f>IF(ISBLANK(Log[[#This Row],[Item]]),"",_xlfn.XLOOKUP(Log[[#This Row],[Item]],Calories[Name],Calories[Protein])*Log[[#This Row],[Qty]])</f>
        <v/>
      </c>
      <c r="L783" s="71" t="str">
        <f>IF(ISBLANK(Log[[#This Row],[Item]]),"",_xlfn.XLOOKUP(Log[[#This Row],[Item]],Calories[Name],Calories[Chol.])*Log[[#This Row],[Qty]])</f>
        <v/>
      </c>
      <c r="M783" s="75"/>
      <c r="N783" s="75"/>
      <c r="O783" s="75"/>
    </row>
    <row r="784" spans="1:15" s="66" customFormat="1" ht="25.15" customHeight="1">
      <c r="A784" s="75"/>
      <c r="B784" s="98"/>
      <c r="C784" s="78"/>
      <c r="D784" s="79"/>
      <c r="E784" s="76" t="str">
        <f>IF(ISBLANK(Log[[#This Row],[Item]]),"",_xlfn.XLOOKUP(Log[[#This Row],[Item]],Calories[Name],Calories[Unit]))</f>
        <v/>
      </c>
      <c r="F784" s="65" t="str">
        <f>IF(ISBLANK(Log[[#This Row],[Item]]),"",_xlfn.XLOOKUP(Log[[#This Row],[Item]],Calories[Name],Calories[Cals])*Log[[#This Row],[Qty]])</f>
        <v/>
      </c>
      <c r="G784" s="71" t="str">
        <f>IF(ISBLANK(Log[[#This Row],[Item]]),"",_xlfn.XLOOKUP(Log[[#This Row],[Item]],Calories[Name],Calories[Carbs])*Log[[#This Row],[Qty]])</f>
        <v/>
      </c>
      <c r="H784" s="71" t="str">
        <f>IF(ISBLANK(Log[[#This Row],[Item]]),"",_xlfn.XLOOKUP(Log[[#This Row],[Item]],Calories[Name],Calories[Fibre])*Log[[#This Row],[Qty]])</f>
        <v/>
      </c>
      <c r="I784" s="71" t="str">
        <f>IF(ISBLANK(Log[[#This Row],[Item]]),"",(Log[[#This Row],[Carbs]]-Log[[#This Row],[Fibre]]))</f>
        <v/>
      </c>
      <c r="J784" s="103" t="str">
        <f>IF(ISBLANK(Log[[#This Row],[Item]]),"",_xlfn.XLOOKUP(Log[[#This Row],[Item]],Calories[Name],Calories[Sodium])*Log[[#This Row],[Qty]])</f>
        <v/>
      </c>
      <c r="K784" s="71" t="str">
        <f>IF(ISBLANK(Log[[#This Row],[Item]]),"",_xlfn.XLOOKUP(Log[[#This Row],[Item]],Calories[Name],Calories[Protein])*Log[[#This Row],[Qty]])</f>
        <v/>
      </c>
      <c r="L784" s="71" t="str">
        <f>IF(ISBLANK(Log[[#This Row],[Item]]),"",_xlfn.XLOOKUP(Log[[#This Row],[Item]],Calories[Name],Calories[Chol.])*Log[[#This Row],[Qty]])</f>
        <v/>
      </c>
      <c r="M784" s="75"/>
      <c r="N784" s="75"/>
      <c r="O784" s="75"/>
    </row>
    <row r="785" spans="1:15" s="66" customFormat="1" ht="25.15" customHeight="1">
      <c r="A785" s="75"/>
      <c r="B785" s="98"/>
      <c r="C785" s="78"/>
      <c r="D785" s="79"/>
      <c r="E785" s="76" t="str">
        <f>IF(ISBLANK(Log[[#This Row],[Item]]),"",_xlfn.XLOOKUP(Log[[#This Row],[Item]],Calories[Name],Calories[Unit]))</f>
        <v/>
      </c>
      <c r="F785" s="65" t="str">
        <f>IF(ISBLANK(Log[[#This Row],[Item]]),"",_xlfn.XLOOKUP(Log[[#This Row],[Item]],Calories[Name],Calories[Cals])*Log[[#This Row],[Qty]])</f>
        <v/>
      </c>
      <c r="G785" s="71" t="str">
        <f>IF(ISBLANK(Log[[#This Row],[Item]]),"",_xlfn.XLOOKUP(Log[[#This Row],[Item]],Calories[Name],Calories[Carbs])*Log[[#This Row],[Qty]])</f>
        <v/>
      </c>
      <c r="H785" s="71" t="str">
        <f>IF(ISBLANK(Log[[#This Row],[Item]]),"",_xlfn.XLOOKUP(Log[[#This Row],[Item]],Calories[Name],Calories[Fibre])*Log[[#This Row],[Qty]])</f>
        <v/>
      </c>
      <c r="I785" s="71" t="str">
        <f>IF(ISBLANK(Log[[#This Row],[Item]]),"",(Log[[#This Row],[Carbs]]-Log[[#This Row],[Fibre]]))</f>
        <v/>
      </c>
      <c r="J785" s="103" t="str">
        <f>IF(ISBLANK(Log[[#This Row],[Item]]),"",_xlfn.XLOOKUP(Log[[#This Row],[Item]],Calories[Name],Calories[Sodium])*Log[[#This Row],[Qty]])</f>
        <v/>
      </c>
      <c r="K785" s="71" t="str">
        <f>IF(ISBLANK(Log[[#This Row],[Item]]),"",_xlfn.XLOOKUP(Log[[#This Row],[Item]],Calories[Name],Calories[Protein])*Log[[#This Row],[Qty]])</f>
        <v/>
      </c>
      <c r="L785" s="71" t="str">
        <f>IF(ISBLANK(Log[[#This Row],[Item]]),"",_xlfn.XLOOKUP(Log[[#This Row],[Item]],Calories[Name],Calories[Chol.])*Log[[#This Row],[Qty]])</f>
        <v/>
      </c>
      <c r="M785" s="75"/>
      <c r="N785" s="75"/>
      <c r="O785" s="75"/>
    </row>
    <row r="786" spans="1:15" s="66" customFormat="1" ht="25.15" customHeight="1">
      <c r="A786" s="75"/>
      <c r="B786" s="98"/>
      <c r="C786" s="78"/>
      <c r="D786" s="79"/>
      <c r="E786" s="76" t="str">
        <f>IF(ISBLANK(Log[[#This Row],[Item]]),"",_xlfn.XLOOKUP(Log[[#This Row],[Item]],Calories[Name],Calories[Unit]))</f>
        <v/>
      </c>
      <c r="F786" s="65" t="str">
        <f>IF(ISBLANK(Log[[#This Row],[Item]]),"",_xlfn.XLOOKUP(Log[[#This Row],[Item]],Calories[Name],Calories[Cals])*Log[[#This Row],[Qty]])</f>
        <v/>
      </c>
      <c r="G786" s="71" t="str">
        <f>IF(ISBLANK(Log[[#This Row],[Item]]),"",_xlfn.XLOOKUP(Log[[#This Row],[Item]],Calories[Name],Calories[Carbs])*Log[[#This Row],[Qty]])</f>
        <v/>
      </c>
      <c r="H786" s="71" t="str">
        <f>IF(ISBLANK(Log[[#This Row],[Item]]),"",_xlfn.XLOOKUP(Log[[#This Row],[Item]],Calories[Name],Calories[Fibre])*Log[[#This Row],[Qty]])</f>
        <v/>
      </c>
      <c r="I786" s="71" t="str">
        <f>IF(ISBLANK(Log[[#This Row],[Item]]),"",(Log[[#This Row],[Carbs]]-Log[[#This Row],[Fibre]]))</f>
        <v/>
      </c>
      <c r="J786" s="103" t="str">
        <f>IF(ISBLANK(Log[[#This Row],[Item]]),"",_xlfn.XLOOKUP(Log[[#This Row],[Item]],Calories[Name],Calories[Sodium])*Log[[#This Row],[Qty]])</f>
        <v/>
      </c>
      <c r="K786" s="71" t="str">
        <f>IF(ISBLANK(Log[[#This Row],[Item]]),"",_xlfn.XLOOKUP(Log[[#This Row],[Item]],Calories[Name],Calories[Protein])*Log[[#This Row],[Qty]])</f>
        <v/>
      </c>
      <c r="L786" s="71" t="str">
        <f>IF(ISBLANK(Log[[#This Row],[Item]]),"",_xlfn.XLOOKUP(Log[[#This Row],[Item]],Calories[Name],Calories[Chol.])*Log[[#This Row],[Qty]])</f>
        <v/>
      </c>
      <c r="M786" s="75"/>
      <c r="N786" s="75"/>
      <c r="O786" s="75"/>
    </row>
    <row r="787" spans="1:15" s="66" customFormat="1" ht="25.15" customHeight="1">
      <c r="A787" s="75"/>
      <c r="B787" s="98"/>
      <c r="C787" s="78"/>
      <c r="D787" s="79"/>
      <c r="E787" s="76" t="str">
        <f>IF(ISBLANK(Log[[#This Row],[Item]]),"",_xlfn.XLOOKUP(Log[[#This Row],[Item]],Calories[Name],Calories[Unit]))</f>
        <v/>
      </c>
      <c r="F787" s="65" t="str">
        <f>IF(ISBLANK(Log[[#This Row],[Item]]),"",_xlfn.XLOOKUP(Log[[#This Row],[Item]],Calories[Name],Calories[Cals])*Log[[#This Row],[Qty]])</f>
        <v/>
      </c>
      <c r="G787" s="71" t="str">
        <f>IF(ISBLANK(Log[[#This Row],[Item]]),"",_xlfn.XLOOKUP(Log[[#This Row],[Item]],Calories[Name],Calories[Carbs])*Log[[#This Row],[Qty]])</f>
        <v/>
      </c>
      <c r="H787" s="71" t="str">
        <f>IF(ISBLANK(Log[[#This Row],[Item]]),"",_xlfn.XLOOKUP(Log[[#This Row],[Item]],Calories[Name],Calories[Fibre])*Log[[#This Row],[Qty]])</f>
        <v/>
      </c>
      <c r="I787" s="71" t="str">
        <f>IF(ISBLANK(Log[[#This Row],[Item]]),"",(Log[[#This Row],[Carbs]]-Log[[#This Row],[Fibre]]))</f>
        <v/>
      </c>
      <c r="J787" s="103" t="str">
        <f>IF(ISBLANK(Log[[#This Row],[Item]]),"",_xlfn.XLOOKUP(Log[[#This Row],[Item]],Calories[Name],Calories[Sodium])*Log[[#This Row],[Qty]])</f>
        <v/>
      </c>
      <c r="K787" s="71" t="str">
        <f>IF(ISBLANK(Log[[#This Row],[Item]]),"",_xlfn.XLOOKUP(Log[[#This Row],[Item]],Calories[Name],Calories[Protein])*Log[[#This Row],[Qty]])</f>
        <v/>
      </c>
      <c r="L787" s="71" t="str">
        <f>IF(ISBLANK(Log[[#This Row],[Item]]),"",_xlfn.XLOOKUP(Log[[#This Row],[Item]],Calories[Name],Calories[Chol.])*Log[[#This Row],[Qty]])</f>
        <v/>
      </c>
      <c r="M787" s="75"/>
      <c r="N787" s="75"/>
      <c r="O787" s="75"/>
    </row>
    <row r="788" spans="1:15" s="66" customFormat="1" ht="25.15" customHeight="1">
      <c r="A788" s="75"/>
      <c r="B788" s="98"/>
      <c r="C788" s="78"/>
      <c r="D788" s="79"/>
      <c r="E788" s="76" t="str">
        <f>IF(ISBLANK(Log[[#This Row],[Item]]),"",_xlfn.XLOOKUP(Log[[#This Row],[Item]],Calories[Name],Calories[Unit]))</f>
        <v/>
      </c>
      <c r="F788" s="65" t="str">
        <f>IF(ISBLANK(Log[[#This Row],[Item]]),"",_xlfn.XLOOKUP(Log[[#This Row],[Item]],Calories[Name],Calories[Cals])*Log[[#This Row],[Qty]])</f>
        <v/>
      </c>
      <c r="G788" s="71" t="str">
        <f>IF(ISBLANK(Log[[#This Row],[Item]]),"",_xlfn.XLOOKUP(Log[[#This Row],[Item]],Calories[Name],Calories[Carbs])*Log[[#This Row],[Qty]])</f>
        <v/>
      </c>
      <c r="H788" s="71" t="str">
        <f>IF(ISBLANK(Log[[#This Row],[Item]]),"",_xlfn.XLOOKUP(Log[[#This Row],[Item]],Calories[Name],Calories[Fibre])*Log[[#This Row],[Qty]])</f>
        <v/>
      </c>
      <c r="I788" s="71" t="str">
        <f>IF(ISBLANK(Log[[#This Row],[Item]]),"",(Log[[#This Row],[Carbs]]-Log[[#This Row],[Fibre]]))</f>
        <v/>
      </c>
      <c r="J788" s="103" t="str">
        <f>IF(ISBLANK(Log[[#This Row],[Item]]),"",_xlfn.XLOOKUP(Log[[#This Row],[Item]],Calories[Name],Calories[Sodium])*Log[[#This Row],[Qty]])</f>
        <v/>
      </c>
      <c r="K788" s="71" t="str">
        <f>IF(ISBLANK(Log[[#This Row],[Item]]),"",_xlfn.XLOOKUP(Log[[#This Row],[Item]],Calories[Name],Calories[Protein])*Log[[#This Row],[Qty]])</f>
        <v/>
      </c>
      <c r="L788" s="71" t="str">
        <f>IF(ISBLANK(Log[[#This Row],[Item]]),"",_xlfn.XLOOKUP(Log[[#This Row],[Item]],Calories[Name],Calories[Chol.])*Log[[#This Row],[Qty]])</f>
        <v/>
      </c>
      <c r="M788" s="75"/>
      <c r="N788" s="75"/>
      <c r="O788" s="75"/>
    </row>
    <row r="789" spans="1:15" s="66" customFormat="1" ht="25.15" customHeight="1">
      <c r="A789" s="75"/>
      <c r="B789" s="98"/>
      <c r="C789" s="78"/>
      <c r="D789" s="79"/>
      <c r="E789" s="76" t="str">
        <f>IF(ISBLANK(Log[[#This Row],[Item]]),"",_xlfn.XLOOKUP(Log[[#This Row],[Item]],Calories[Name],Calories[Unit]))</f>
        <v/>
      </c>
      <c r="F789" s="65" t="str">
        <f>IF(ISBLANK(Log[[#This Row],[Item]]),"",_xlfn.XLOOKUP(Log[[#This Row],[Item]],Calories[Name],Calories[Cals])*Log[[#This Row],[Qty]])</f>
        <v/>
      </c>
      <c r="G789" s="71" t="str">
        <f>IF(ISBLANK(Log[[#This Row],[Item]]),"",_xlfn.XLOOKUP(Log[[#This Row],[Item]],Calories[Name],Calories[Carbs])*Log[[#This Row],[Qty]])</f>
        <v/>
      </c>
      <c r="H789" s="71" t="str">
        <f>IF(ISBLANK(Log[[#This Row],[Item]]),"",_xlfn.XLOOKUP(Log[[#This Row],[Item]],Calories[Name],Calories[Fibre])*Log[[#This Row],[Qty]])</f>
        <v/>
      </c>
      <c r="I789" s="71" t="str">
        <f>IF(ISBLANK(Log[[#This Row],[Item]]),"",(Log[[#This Row],[Carbs]]-Log[[#This Row],[Fibre]]))</f>
        <v/>
      </c>
      <c r="J789" s="103" t="str">
        <f>IF(ISBLANK(Log[[#This Row],[Item]]),"",_xlfn.XLOOKUP(Log[[#This Row],[Item]],Calories[Name],Calories[Sodium])*Log[[#This Row],[Qty]])</f>
        <v/>
      </c>
      <c r="K789" s="71" t="str">
        <f>IF(ISBLANK(Log[[#This Row],[Item]]),"",_xlfn.XLOOKUP(Log[[#This Row],[Item]],Calories[Name],Calories[Protein])*Log[[#This Row],[Qty]])</f>
        <v/>
      </c>
      <c r="L789" s="71" t="str">
        <f>IF(ISBLANK(Log[[#This Row],[Item]]),"",_xlfn.XLOOKUP(Log[[#This Row],[Item]],Calories[Name],Calories[Chol.])*Log[[#This Row],[Qty]])</f>
        <v/>
      </c>
      <c r="M789" s="75"/>
      <c r="N789" s="75"/>
      <c r="O789" s="75"/>
    </row>
    <row r="790" spans="1:15" s="66" customFormat="1" ht="25.15" customHeight="1">
      <c r="A790" s="75"/>
      <c r="B790" s="98"/>
      <c r="C790" s="78"/>
      <c r="D790" s="79"/>
      <c r="E790" s="76" t="str">
        <f>IF(ISBLANK(Log[[#This Row],[Item]]),"",_xlfn.XLOOKUP(Log[[#This Row],[Item]],Calories[Name],Calories[Unit]))</f>
        <v/>
      </c>
      <c r="F790" s="65" t="str">
        <f>IF(ISBLANK(Log[[#This Row],[Item]]),"",_xlfn.XLOOKUP(Log[[#This Row],[Item]],Calories[Name],Calories[Cals])*Log[[#This Row],[Qty]])</f>
        <v/>
      </c>
      <c r="G790" s="71" t="str">
        <f>IF(ISBLANK(Log[[#This Row],[Item]]),"",_xlfn.XLOOKUP(Log[[#This Row],[Item]],Calories[Name],Calories[Carbs])*Log[[#This Row],[Qty]])</f>
        <v/>
      </c>
      <c r="H790" s="71" t="str">
        <f>IF(ISBLANK(Log[[#This Row],[Item]]),"",_xlfn.XLOOKUP(Log[[#This Row],[Item]],Calories[Name],Calories[Fibre])*Log[[#This Row],[Qty]])</f>
        <v/>
      </c>
      <c r="I790" s="71" t="str">
        <f>IF(ISBLANK(Log[[#This Row],[Item]]),"",(Log[[#This Row],[Carbs]]-Log[[#This Row],[Fibre]]))</f>
        <v/>
      </c>
      <c r="J790" s="103" t="str">
        <f>IF(ISBLANK(Log[[#This Row],[Item]]),"",_xlfn.XLOOKUP(Log[[#This Row],[Item]],Calories[Name],Calories[Sodium])*Log[[#This Row],[Qty]])</f>
        <v/>
      </c>
      <c r="K790" s="71" t="str">
        <f>IF(ISBLANK(Log[[#This Row],[Item]]),"",_xlfn.XLOOKUP(Log[[#This Row],[Item]],Calories[Name],Calories[Protein])*Log[[#This Row],[Qty]])</f>
        <v/>
      </c>
      <c r="L790" s="71" t="str">
        <f>IF(ISBLANK(Log[[#This Row],[Item]]),"",_xlfn.XLOOKUP(Log[[#This Row],[Item]],Calories[Name],Calories[Chol.])*Log[[#This Row],[Qty]])</f>
        <v/>
      </c>
      <c r="M790" s="75"/>
      <c r="N790" s="75"/>
      <c r="O790" s="75"/>
    </row>
    <row r="791" spans="1:15" s="66" customFormat="1" ht="25.15" customHeight="1">
      <c r="A791" s="75"/>
      <c r="B791" s="98"/>
      <c r="C791" s="78"/>
      <c r="D791" s="79"/>
      <c r="E791" s="76" t="str">
        <f>IF(ISBLANK(Log[[#This Row],[Item]]),"",_xlfn.XLOOKUP(Log[[#This Row],[Item]],Calories[Name],Calories[Unit]))</f>
        <v/>
      </c>
      <c r="F791" s="65" t="str">
        <f>IF(ISBLANK(Log[[#This Row],[Item]]),"",_xlfn.XLOOKUP(Log[[#This Row],[Item]],Calories[Name],Calories[Cals])*Log[[#This Row],[Qty]])</f>
        <v/>
      </c>
      <c r="G791" s="71" t="str">
        <f>IF(ISBLANK(Log[[#This Row],[Item]]),"",_xlfn.XLOOKUP(Log[[#This Row],[Item]],Calories[Name],Calories[Carbs])*Log[[#This Row],[Qty]])</f>
        <v/>
      </c>
      <c r="H791" s="71" t="str">
        <f>IF(ISBLANK(Log[[#This Row],[Item]]),"",_xlfn.XLOOKUP(Log[[#This Row],[Item]],Calories[Name],Calories[Fibre])*Log[[#This Row],[Qty]])</f>
        <v/>
      </c>
      <c r="I791" s="71" t="str">
        <f>IF(ISBLANK(Log[[#This Row],[Item]]),"",(Log[[#This Row],[Carbs]]-Log[[#This Row],[Fibre]]))</f>
        <v/>
      </c>
      <c r="J791" s="103" t="str">
        <f>IF(ISBLANK(Log[[#This Row],[Item]]),"",_xlfn.XLOOKUP(Log[[#This Row],[Item]],Calories[Name],Calories[Sodium])*Log[[#This Row],[Qty]])</f>
        <v/>
      </c>
      <c r="K791" s="71" t="str">
        <f>IF(ISBLANK(Log[[#This Row],[Item]]),"",_xlfn.XLOOKUP(Log[[#This Row],[Item]],Calories[Name],Calories[Protein])*Log[[#This Row],[Qty]])</f>
        <v/>
      </c>
      <c r="L791" s="71" t="str">
        <f>IF(ISBLANK(Log[[#This Row],[Item]]),"",_xlfn.XLOOKUP(Log[[#This Row],[Item]],Calories[Name],Calories[Chol.])*Log[[#This Row],[Qty]])</f>
        <v/>
      </c>
      <c r="M791" s="75"/>
      <c r="N791" s="75"/>
      <c r="O791" s="75"/>
    </row>
    <row r="792" spans="1:15" s="66" customFormat="1" ht="25.15" customHeight="1">
      <c r="A792" s="75"/>
      <c r="B792" s="98"/>
      <c r="C792" s="78"/>
      <c r="D792" s="79"/>
      <c r="E792" s="76" t="str">
        <f>IF(ISBLANK(Log[[#This Row],[Item]]),"",_xlfn.XLOOKUP(Log[[#This Row],[Item]],Calories[Name],Calories[Unit]))</f>
        <v/>
      </c>
      <c r="F792" s="65" t="str">
        <f>IF(ISBLANK(Log[[#This Row],[Item]]),"",_xlfn.XLOOKUP(Log[[#This Row],[Item]],Calories[Name],Calories[Cals])*Log[[#This Row],[Qty]])</f>
        <v/>
      </c>
      <c r="G792" s="71" t="str">
        <f>IF(ISBLANK(Log[[#This Row],[Item]]),"",_xlfn.XLOOKUP(Log[[#This Row],[Item]],Calories[Name],Calories[Carbs])*Log[[#This Row],[Qty]])</f>
        <v/>
      </c>
      <c r="H792" s="71" t="str">
        <f>IF(ISBLANK(Log[[#This Row],[Item]]),"",_xlfn.XLOOKUP(Log[[#This Row],[Item]],Calories[Name],Calories[Fibre])*Log[[#This Row],[Qty]])</f>
        <v/>
      </c>
      <c r="I792" s="71" t="str">
        <f>IF(ISBLANK(Log[[#This Row],[Item]]),"",(Log[[#This Row],[Carbs]]-Log[[#This Row],[Fibre]]))</f>
        <v/>
      </c>
      <c r="J792" s="103" t="str">
        <f>IF(ISBLANK(Log[[#This Row],[Item]]),"",_xlfn.XLOOKUP(Log[[#This Row],[Item]],Calories[Name],Calories[Sodium])*Log[[#This Row],[Qty]])</f>
        <v/>
      </c>
      <c r="K792" s="71" t="str">
        <f>IF(ISBLANK(Log[[#This Row],[Item]]),"",_xlfn.XLOOKUP(Log[[#This Row],[Item]],Calories[Name],Calories[Protein])*Log[[#This Row],[Qty]])</f>
        <v/>
      </c>
      <c r="L792" s="71" t="str">
        <f>IF(ISBLANK(Log[[#This Row],[Item]]),"",_xlfn.XLOOKUP(Log[[#This Row],[Item]],Calories[Name],Calories[Chol.])*Log[[#This Row],[Qty]])</f>
        <v/>
      </c>
      <c r="M792" s="75"/>
      <c r="N792" s="75"/>
      <c r="O792" s="75"/>
    </row>
    <row r="793" spans="1:15" s="66" customFormat="1" ht="25.15" customHeight="1">
      <c r="A793" s="75"/>
      <c r="B793" s="98"/>
      <c r="C793" s="78"/>
      <c r="D793" s="79"/>
      <c r="E793" s="76" t="str">
        <f>IF(ISBLANK(Log[[#This Row],[Item]]),"",_xlfn.XLOOKUP(Log[[#This Row],[Item]],Calories[Name],Calories[Unit]))</f>
        <v/>
      </c>
      <c r="F793" s="65" t="str">
        <f>IF(ISBLANK(Log[[#This Row],[Item]]),"",_xlfn.XLOOKUP(Log[[#This Row],[Item]],Calories[Name],Calories[Cals])*Log[[#This Row],[Qty]])</f>
        <v/>
      </c>
      <c r="G793" s="71" t="str">
        <f>IF(ISBLANK(Log[[#This Row],[Item]]),"",_xlfn.XLOOKUP(Log[[#This Row],[Item]],Calories[Name],Calories[Carbs])*Log[[#This Row],[Qty]])</f>
        <v/>
      </c>
      <c r="H793" s="71" t="str">
        <f>IF(ISBLANK(Log[[#This Row],[Item]]),"",_xlfn.XLOOKUP(Log[[#This Row],[Item]],Calories[Name],Calories[Fibre])*Log[[#This Row],[Qty]])</f>
        <v/>
      </c>
      <c r="I793" s="71" t="str">
        <f>IF(ISBLANK(Log[[#This Row],[Item]]),"",(Log[[#This Row],[Carbs]]-Log[[#This Row],[Fibre]]))</f>
        <v/>
      </c>
      <c r="J793" s="103" t="str">
        <f>IF(ISBLANK(Log[[#This Row],[Item]]),"",_xlfn.XLOOKUP(Log[[#This Row],[Item]],Calories[Name],Calories[Sodium])*Log[[#This Row],[Qty]])</f>
        <v/>
      </c>
      <c r="K793" s="71" t="str">
        <f>IF(ISBLANK(Log[[#This Row],[Item]]),"",_xlfn.XLOOKUP(Log[[#This Row],[Item]],Calories[Name],Calories[Protein])*Log[[#This Row],[Qty]])</f>
        <v/>
      </c>
      <c r="L793" s="71" t="str">
        <f>IF(ISBLANK(Log[[#This Row],[Item]]),"",_xlfn.XLOOKUP(Log[[#This Row],[Item]],Calories[Name],Calories[Chol.])*Log[[#This Row],[Qty]])</f>
        <v/>
      </c>
      <c r="M793" s="75"/>
      <c r="N793" s="75"/>
      <c r="O793" s="75"/>
    </row>
    <row r="794" spans="1:15" s="66" customFormat="1" ht="25.15" customHeight="1">
      <c r="A794" s="75"/>
      <c r="B794" s="98"/>
      <c r="C794" s="78"/>
      <c r="D794" s="79"/>
      <c r="E794" s="76" t="str">
        <f>IF(ISBLANK(Log[[#This Row],[Item]]),"",_xlfn.XLOOKUP(Log[[#This Row],[Item]],Calories[Name],Calories[Unit]))</f>
        <v/>
      </c>
      <c r="F794" s="65" t="str">
        <f>IF(ISBLANK(Log[[#This Row],[Item]]),"",_xlfn.XLOOKUP(Log[[#This Row],[Item]],Calories[Name],Calories[Cals])*Log[[#This Row],[Qty]])</f>
        <v/>
      </c>
      <c r="G794" s="71" t="str">
        <f>IF(ISBLANK(Log[[#This Row],[Item]]),"",_xlfn.XLOOKUP(Log[[#This Row],[Item]],Calories[Name],Calories[Carbs])*Log[[#This Row],[Qty]])</f>
        <v/>
      </c>
      <c r="H794" s="71" t="str">
        <f>IF(ISBLANK(Log[[#This Row],[Item]]),"",_xlfn.XLOOKUP(Log[[#This Row],[Item]],Calories[Name],Calories[Fibre])*Log[[#This Row],[Qty]])</f>
        <v/>
      </c>
      <c r="I794" s="71" t="str">
        <f>IF(ISBLANK(Log[[#This Row],[Item]]),"",(Log[[#This Row],[Carbs]]-Log[[#This Row],[Fibre]]))</f>
        <v/>
      </c>
      <c r="J794" s="103" t="str">
        <f>IF(ISBLANK(Log[[#This Row],[Item]]),"",_xlfn.XLOOKUP(Log[[#This Row],[Item]],Calories[Name],Calories[Sodium])*Log[[#This Row],[Qty]])</f>
        <v/>
      </c>
      <c r="K794" s="71" t="str">
        <f>IF(ISBLANK(Log[[#This Row],[Item]]),"",_xlfn.XLOOKUP(Log[[#This Row],[Item]],Calories[Name],Calories[Protein])*Log[[#This Row],[Qty]])</f>
        <v/>
      </c>
      <c r="L794" s="71" t="str">
        <f>IF(ISBLANK(Log[[#This Row],[Item]]),"",_xlfn.XLOOKUP(Log[[#This Row],[Item]],Calories[Name],Calories[Chol.])*Log[[#This Row],[Qty]])</f>
        <v/>
      </c>
      <c r="M794" s="75"/>
      <c r="N794" s="75"/>
      <c r="O794" s="75"/>
    </row>
    <row r="795" spans="1:15" s="66" customFormat="1" ht="25.15" customHeight="1">
      <c r="A795" s="75"/>
      <c r="B795" s="98"/>
      <c r="C795" s="78"/>
      <c r="D795" s="79"/>
      <c r="E795" s="76" t="str">
        <f>IF(ISBLANK(Log[[#This Row],[Item]]),"",_xlfn.XLOOKUP(Log[[#This Row],[Item]],Calories[Name],Calories[Unit]))</f>
        <v/>
      </c>
      <c r="F795" s="65" t="str">
        <f>IF(ISBLANK(Log[[#This Row],[Item]]),"",_xlfn.XLOOKUP(Log[[#This Row],[Item]],Calories[Name],Calories[Cals])*Log[[#This Row],[Qty]])</f>
        <v/>
      </c>
      <c r="G795" s="71" t="str">
        <f>IF(ISBLANK(Log[[#This Row],[Item]]),"",_xlfn.XLOOKUP(Log[[#This Row],[Item]],Calories[Name],Calories[Carbs])*Log[[#This Row],[Qty]])</f>
        <v/>
      </c>
      <c r="H795" s="71" t="str">
        <f>IF(ISBLANK(Log[[#This Row],[Item]]),"",_xlfn.XLOOKUP(Log[[#This Row],[Item]],Calories[Name],Calories[Fibre])*Log[[#This Row],[Qty]])</f>
        <v/>
      </c>
      <c r="I795" s="71" t="str">
        <f>IF(ISBLANK(Log[[#This Row],[Item]]),"",(Log[[#This Row],[Carbs]]-Log[[#This Row],[Fibre]]))</f>
        <v/>
      </c>
      <c r="J795" s="103" t="str">
        <f>IF(ISBLANK(Log[[#This Row],[Item]]),"",_xlfn.XLOOKUP(Log[[#This Row],[Item]],Calories[Name],Calories[Sodium])*Log[[#This Row],[Qty]])</f>
        <v/>
      </c>
      <c r="K795" s="71" t="str">
        <f>IF(ISBLANK(Log[[#This Row],[Item]]),"",_xlfn.XLOOKUP(Log[[#This Row],[Item]],Calories[Name],Calories[Protein])*Log[[#This Row],[Qty]])</f>
        <v/>
      </c>
      <c r="L795" s="71" t="str">
        <f>IF(ISBLANK(Log[[#This Row],[Item]]),"",_xlfn.XLOOKUP(Log[[#This Row],[Item]],Calories[Name],Calories[Chol.])*Log[[#This Row],[Qty]])</f>
        <v/>
      </c>
      <c r="M795" s="75"/>
      <c r="N795" s="75"/>
      <c r="O795" s="75"/>
    </row>
    <row r="796" spans="1:15" s="66" customFormat="1" ht="25.15" customHeight="1">
      <c r="A796" s="75"/>
      <c r="B796" s="98"/>
      <c r="C796" s="78"/>
      <c r="D796" s="79"/>
      <c r="E796" s="76" t="str">
        <f>IF(ISBLANK(Log[[#This Row],[Item]]),"",_xlfn.XLOOKUP(Log[[#This Row],[Item]],Calories[Name],Calories[Unit]))</f>
        <v/>
      </c>
      <c r="F796" s="65" t="str">
        <f>IF(ISBLANK(Log[[#This Row],[Item]]),"",_xlfn.XLOOKUP(Log[[#This Row],[Item]],Calories[Name],Calories[Cals])*Log[[#This Row],[Qty]])</f>
        <v/>
      </c>
      <c r="G796" s="71" t="str">
        <f>IF(ISBLANK(Log[[#This Row],[Item]]),"",_xlfn.XLOOKUP(Log[[#This Row],[Item]],Calories[Name],Calories[Carbs])*Log[[#This Row],[Qty]])</f>
        <v/>
      </c>
      <c r="H796" s="71" t="str">
        <f>IF(ISBLANK(Log[[#This Row],[Item]]),"",_xlfn.XLOOKUP(Log[[#This Row],[Item]],Calories[Name],Calories[Fibre])*Log[[#This Row],[Qty]])</f>
        <v/>
      </c>
      <c r="I796" s="71" t="str">
        <f>IF(ISBLANK(Log[[#This Row],[Item]]),"",(Log[[#This Row],[Carbs]]-Log[[#This Row],[Fibre]]))</f>
        <v/>
      </c>
      <c r="J796" s="103" t="str">
        <f>IF(ISBLANK(Log[[#This Row],[Item]]),"",_xlfn.XLOOKUP(Log[[#This Row],[Item]],Calories[Name],Calories[Sodium])*Log[[#This Row],[Qty]])</f>
        <v/>
      </c>
      <c r="K796" s="71" t="str">
        <f>IF(ISBLANK(Log[[#This Row],[Item]]),"",_xlfn.XLOOKUP(Log[[#This Row],[Item]],Calories[Name],Calories[Protein])*Log[[#This Row],[Qty]])</f>
        <v/>
      </c>
      <c r="L796" s="71" t="str">
        <f>IF(ISBLANK(Log[[#This Row],[Item]]),"",_xlfn.XLOOKUP(Log[[#This Row],[Item]],Calories[Name],Calories[Chol.])*Log[[#This Row],[Qty]])</f>
        <v/>
      </c>
      <c r="M796" s="75"/>
      <c r="N796" s="75"/>
      <c r="O796" s="75"/>
    </row>
    <row r="797" spans="1:15" s="66" customFormat="1" ht="25.15" customHeight="1">
      <c r="A797" s="75"/>
      <c r="B797" s="98"/>
      <c r="C797" s="78"/>
      <c r="D797" s="79"/>
      <c r="E797" s="76" t="str">
        <f>IF(ISBLANK(Log[[#This Row],[Item]]),"",_xlfn.XLOOKUP(Log[[#This Row],[Item]],Calories[Name],Calories[Unit]))</f>
        <v/>
      </c>
      <c r="F797" s="65" t="str">
        <f>IF(ISBLANK(Log[[#This Row],[Item]]),"",_xlfn.XLOOKUP(Log[[#This Row],[Item]],Calories[Name],Calories[Cals])*Log[[#This Row],[Qty]])</f>
        <v/>
      </c>
      <c r="G797" s="71" t="str">
        <f>IF(ISBLANK(Log[[#This Row],[Item]]),"",_xlfn.XLOOKUP(Log[[#This Row],[Item]],Calories[Name],Calories[Carbs])*Log[[#This Row],[Qty]])</f>
        <v/>
      </c>
      <c r="H797" s="71" t="str">
        <f>IF(ISBLANK(Log[[#This Row],[Item]]),"",_xlfn.XLOOKUP(Log[[#This Row],[Item]],Calories[Name],Calories[Fibre])*Log[[#This Row],[Qty]])</f>
        <v/>
      </c>
      <c r="I797" s="71" t="str">
        <f>IF(ISBLANK(Log[[#This Row],[Item]]),"",(Log[[#This Row],[Carbs]]-Log[[#This Row],[Fibre]]))</f>
        <v/>
      </c>
      <c r="J797" s="103" t="str">
        <f>IF(ISBLANK(Log[[#This Row],[Item]]),"",_xlfn.XLOOKUP(Log[[#This Row],[Item]],Calories[Name],Calories[Sodium])*Log[[#This Row],[Qty]])</f>
        <v/>
      </c>
      <c r="K797" s="71" t="str">
        <f>IF(ISBLANK(Log[[#This Row],[Item]]),"",_xlfn.XLOOKUP(Log[[#This Row],[Item]],Calories[Name],Calories[Protein])*Log[[#This Row],[Qty]])</f>
        <v/>
      </c>
      <c r="L797" s="71" t="str">
        <f>IF(ISBLANK(Log[[#This Row],[Item]]),"",_xlfn.XLOOKUP(Log[[#This Row],[Item]],Calories[Name],Calories[Chol.])*Log[[#This Row],[Qty]])</f>
        <v/>
      </c>
      <c r="M797" s="75"/>
      <c r="N797" s="75"/>
      <c r="O797" s="75"/>
    </row>
    <row r="798" spans="1:15" s="66" customFormat="1" ht="25.15" customHeight="1">
      <c r="A798" s="75"/>
      <c r="B798" s="98"/>
      <c r="C798" s="78"/>
      <c r="D798" s="79"/>
      <c r="E798" s="76" t="str">
        <f>IF(ISBLANK(Log[[#This Row],[Item]]),"",_xlfn.XLOOKUP(Log[[#This Row],[Item]],Calories[Name],Calories[Unit]))</f>
        <v/>
      </c>
      <c r="F798" s="65" t="str">
        <f>IF(ISBLANK(Log[[#This Row],[Item]]),"",_xlfn.XLOOKUP(Log[[#This Row],[Item]],Calories[Name],Calories[Cals])*Log[[#This Row],[Qty]])</f>
        <v/>
      </c>
      <c r="G798" s="71" t="str">
        <f>IF(ISBLANK(Log[[#This Row],[Item]]),"",_xlfn.XLOOKUP(Log[[#This Row],[Item]],Calories[Name],Calories[Carbs])*Log[[#This Row],[Qty]])</f>
        <v/>
      </c>
      <c r="H798" s="71" t="str">
        <f>IF(ISBLANK(Log[[#This Row],[Item]]),"",_xlfn.XLOOKUP(Log[[#This Row],[Item]],Calories[Name],Calories[Fibre])*Log[[#This Row],[Qty]])</f>
        <v/>
      </c>
      <c r="I798" s="71" t="str">
        <f>IF(ISBLANK(Log[[#This Row],[Item]]),"",(Log[[#This Row],[Carbs]]-Log[[#This Row],[Fibre]]))</f>
        <v/>
      </c>
      <c r="J798" s="103" t="str">
        <f>IF(ISBLANK(Log[[#This Row],[Item]]),"",_xlfn.XLOOKUP(Log[[#This Row],[Item]],Calories[Name],Calories[Sodium])*Log[[#This Row],[Qty]])</f>
        <v/>
      </c>
      <c r="K798" s="71" t="str">
        <f>IF(ISBLANK(Log[[#This Row],[Item]]),"",_xlfn.XLOOKUP(Log[[#This Row],[Item]],Calories[Name],Calories[Protein])*Log[[#This Row],[Qty]])</f>
        <v/>
      </c>
      <c r="L798" s="71" t="str">
        <f>IF(ISBLANK(Log[[#This Row],[Item]]),"",_xlfn.XLOOKUP(Log[[#This Row],[Item]],Calories[Name],Calories[Chol.])*Log[[#This Row],[Qty]])</f>
        <v/>
      </c>
      <c r="M798" s="75"/>
      <c r="N798" s="75"/>
      <c r="O798" s="75"/>
    </row>
    <row r="799" spans="1:15" s="66" customFormat="1" ht="25.15" customHeight="1">
      <c r="A799" s="75"/>
      <c r="B799" s="98"/>
      <c r="C799" s="78"/>
      <c r="D799" s="79"/>
      <c r="E799" s="76" t="str">
        <f>IF(ISBLANK(Log[[#This Row],[Item]]),"",_xlfn.XLOOKUP(Log[[#This Row],[Item]],Calories[Name],Calories[Unit]))</f>
        <v/>
      </c>
      <c r="F799" s="65" t="str">
        <f>IF(ISBLANK(Log[[#This Row],[Item]]),"",_xlfn.XLOOKUP(Log[[#This Row],[Item]],Calories[Name],Calories[Cals])*Log[[#This Row],[Qty]])</f>
        <v/>
      </c>
      <c r="G799" s="71" t="str">
        <f>IF(ISBLANK(Log[[#This Row],[Item]]),"",_xlfn.XLOOKUP(Log[[#This Row],[Item]],Calories[Name],Calories[Carbs])*Log[[#This Row],[Qty]])</f>
        <v/>
      </c>
      <c r="H799" s="71" t="str">
        <f>IF(ISBLANK(Log[[#This Row],[Item]]),"",_xlfn.XLOOKUP(Log[[#This Row],[Item]],Calories[Name],Calories[Fibre])*Log[[#This Row],[Qty]])</f>
        <v/>
      </c>
      <c r="I799" s="71" t="str">
        <f>IF(ISBLANK(Log[[#This Row],[Item]]),"",(Log[[#This Row],[Carbs]]-Log[[#This Row],[Fibre]]))</f>
        <v/>
      </c>
      <c r="J799" s="103" t="str">
        <f>IF(ISBLANK(Log[[#This Row],[Item]]),"",_xlfn.XLOOKUP(Log[[#This Row],[Item]],Calories[Name],Calories[Sodium])*Log[[#This Row],[Qty]])</f>
        <v/>
      </c>
      <c r="K799" s="71" t="str">
        <f>IF(ISBLANK(Log[[#This Row],[Item]]),"",_xlfn.XLOOKUP(Log[[#This Row],[Item]],Calories[Name],Calories[Protein])*Log[[#This Row],[Qty]])</f>
        <v/>
      </c>
      <c r="L799" s="71" t="str">
        <f>IF(ISBLANK(Log[[#This Row],[Item]]),"",_xlfn.XLOOKUP(Log[[#This Row],[Item]],Calories[Name],Calories[Chol.])*Log[[#This Row],[Qty]])</f>
        <v/>
      </c>
      <c r="M799" s="75"/>
      <c r="N799" s="75"/>
      <c r="O799" s="75"/>
    </row>
    <row r="800" spans="1:15" s="66" customFormat="1" ht="25.15" customHeight="1">
      <c r="A800" s="75"/>
      <c r="B800" s="98"/>
      <c r="C800" s="78"/>
      <c r="D800" s="79"/>
      <c r="E800" s="76" t="str">
        <f>IF(ISBLANK(Log[[#This Row],[Item]]),"",_xlfn.XLOOKUP(Log[[#This Row],[Item]],Calories[Name],Calories[Unit]))</f>
        <v/>
      </c>
      <c r="F800" s="65" t="str">
        <f>IF(ISBLANK(Log[[#This Row],[Item]]),"",_xlfn.XLOOKUP(Log[[#This Row],[Item]],Calories[Name],Calories[Cals])*Log[[#This Row],[Qty]])</f>
        <v/>
      </c>
      <c r="G800" s="71" t="str">
        <f>IF(ISBLANK(Log[[#This Row],[Item]]),"",_xlfn.XLOOKUP(Log[[#This Row],[Item]],Calories[Name],Calories[Carbs])*Log[[#This Row],[Qty]])</f>
        <v/>
      </c>
      <c r="H800" s="71" t="str">
        <f>IF(ISBLANK(Log[[#This Row],[Item]]),"",_xlfn.XLOOKUP(Log[[#This Row],[Item]],Calories[Name],Calories[Fibre])*Log[[#This Row],[Qty]])</f>
        <v/>
      </c>
      <c r="I800" s="71" t="str">
        <f>IF(ISBLANK(Log[[#This Row],[Item]]),"",(Log[[#This Row],[Carbs]]-Log[[#This Row],[Fibre]]))</f>
        <v/>
      </c>
      <c r="J800" s="103" t="str">
        <f>IF(ISBLANK(Log[[#This Row],[Item]]),"",_xlfn.XLOOKUP(Log[[#This Row],[Item]],Calories[Name],Calories[Sodium])*Log[[#This Row],[Qty]])</f>
        <v/>
      </c>
      <c r="K800" s="71" t="str">
        <f>IF(ISBLANK(Log[[#This Row],[Item]]),"",_xlfn.XLOOKUP(Log[[#This Row],[Item]],Calories[Name],Calories[Protein])*Log[[#This Row],[Qty]])</f>
        <v/>
      </c>
      <c r="L800" s="71" t="str">
        <f>IF(ISBLANK(Log[[#This Row],[Item]]),"",_xlfn.XLOOKUP(Log[[#This Row],[Item]],Calories[Name],Calories[Chol.])*Log[[#This Row],[Qty]])</f>
        <v/>
      </c>
      <c r="M800" s="75"/>
      <c r="N800" s="75"/>
      <c r="O800" s="75"/>
    </row>
    <row r="801" spans="1:15" s="66" customFormat="1" ht="25.15" customHeight="1">
      <c r="A801" s="75"/>
      <c r="B801" s="98"/>
      <c r="C801" s="78"/>
      <c r="D801" s="79"/>
      <c r="E801" s="76" t="str">
        <f>IF(ISBLANK(Log[[#This Row],[Item]]),"",_xlfn.XLOOKUP(Log[[#This Row],[Item]],Calories[Name],Calories[Unit]))</f>
        <v/>
      </c>
      <c r="F801" s="65" t="str">
        <f>IF(ISBLANK(Log[[#This Row],[Item]]),"",_xlfn.XLOOKUP(Log[[#This Row],[Item]],Calories[Name],Calories[Cals])*Log[[#This Row],[Qty]])</f>
        <v/>
      </c>
      <c r="G801" s="71" t="str">
        <f>IF(ISBLANK(Log[[#This Row],[Item]]),"",_xlfn.XLOOKUP(Log[[#This Row],[Item]],Calories[Name],Calories[Carbs])*Log[[#This Row],[Qty]])</f>
        <v/>
      </c>
      <c r="H801" s="71" t="str">
        <f>IF(ISBLANK(Log[[#This Row],[Item]]),"",_xlfn.XLOOKUP(Log[[#This Row],[Item]],Calories[Name],Calories[Fibre])*Log[[#This Row],[Qty]])</f>
        <v/>
      </c>
      <c r="I801" s="71" t="str">
        <f>IF(ISBLANK(Log[[#This Row],[Item]]),"",(Log[[#This Row],[Carbs]]-Log[[#This Row],[Fibre]]))</f>
        <v/>
      </c>
      <c r="J801" s="103" t="str">
        <f>IF(ISBLANK(Log[[#This Row],[Item]]),"",_xlfn.XLOOKUP(Log[[#This Row],[Item]],Calories[Name],Calories[Sodium])*Log[[#This Row],[Qty]])</f>
        <v/>
      </c>
      <c r="K801" s="71" t="str">
        <f>IF(ISBLANK(Log[[#This Row],[Item]]),"",_xlfn.XLOOKUP(Log[[#This Row],[Item]],Calories[Name],Calories[Protein])*Log[[#This Row],[Qty]])</f>
        <v/>
      </c>
      <c r="L801" s="71" t="str">
        <f>IF(ISBLANK(Log[[#This Row],[Item]]),"",_xlfn.XLOOKUP(Log[[#This Row],[Item]],Calories[Name],Calories[Chol.])*Log[[#This Row],[Qty]])</f>
        <v/>
      </c>
      <c r="M801" s="75"/>
      <c r="N801" s="75"/>
      <c r="O801" s="75"/>
    </row>
    <row r="802" spans="1:15" s="66" customFormat="1" ht="25.15" customHeight="1">
      <c r="A802" s="75"/>
      <c r="B802" s="98"/>
      <c r="C802" s="78"/>
      <c r="D802" s="79"/>
      <c r="E802" s="76" t="str">
        <f>IF(ISBLANK(Log[[#This Row],[Item]]),"",_xlfn.XLOOKUP(Log[[#This Row],[Item]],Calories[Name],Calories[Unit]))</f>
        <v/>
      </c>
      <c r="F802" s="65" t="str">
        <f>IF(ISBLANK(Log[[#This Row],[Item]]),"",_xlfn.XLOOKUP(Log[[#This Row],[Item]],Calories[Name],Calories[Cals])*Log[[#This Row],[Qty]])</f>
        <v/>
      </c>
      <c r="G802" s="71" t="str">
        <f>IF(ISBLANK(Log[[#This Row],[Item]]),"",_xlfn.XLOOKUP(Log[[#This Row],[Item]],Calories[Name],Calories[Carbs])*Log[[#This Row],[Qty]])</f>
        <v/>
      </c>
      <c r="H802" s="71" t="str">
        <f>IF(ISBLANK(Log[[#This Row],[Item]]),"",_xlfn.XLOOKUP(Log[[#This Row],[Item]],Calories[Name],Calories[Fibre])*Log[[#This Row],[Qty]])</f>
        <v/>
      </c>
      <c r="I802" s="71" t="str">
        <f>IF(ISBLANK(Log[[#This Row],[Item]]),"",(Log[[#This Row],[Carbs]]-Log[[#This Row],[Fibre]]))</f>
        <v/>
      </c>
      <c r="J802" s="103" t="str">
        <f>IF(ISBLANK(Log[[#This Row],[Item]]),"",_xlfn.XLOOKUP(Log[[#This Row],[Item]],Calories[Name],Calories[Sodium])*Log[[#This Row],[Qty]])</f>
        <v/>
      </c>
      <c r="K802" s="71" t="str">
        <f>IF(ISBLANK(Log[[#This Row],[Item]]),"",_xlfn.XLOOKUP(Log[[#This Row],[Item]],Calories[Name],Calories[Protein])*Log[[#This Row],[Qty]])</f>
        <v/>
      </c>
      <c r="L802" s="71" t="str">
        <f>IF(ISBLANK(Log[[#This Row],[Item]]),"",_xlfn.XLOOKUP(Log[[#This Row],[Item]],Calories[Name],Calories[Chol.])*Log[[#This Row],[Qty]])</f>
        <v/>
      </c>
      <c r="M802" s="75"/>
      <c r="N802" s="75"/>
      <c r="O802" s="75"/>
    </row>
    <row r="803" spans="1:15" s="66" customFormat="1" ht="25.15" customHeight="1">
      <c r="A803" s="75"/>
      <c r="B803" s="98"/>
      <c r="C803" s="78"/>
      <c r="D803" s="79"/>
      <c r="E803" s="76" t="str">
        <f>IF(ISBLANK(Log[[#This Row],[Item]]),"",_xlfn.XLOOKUP(Log[[#This Row],[Item]],Calories[Name],Calories[Unit]))</f>
        <v/>
      </c>
      <c r="F803" s="65" t="str">
        <f>IF(ISBLANK(Log[[#This Row],[Item]]),"",_xlfn.XLOOKUP(Log[[#This Row],[Item]],Calories[Name],Calories[Cals])*Log[[#This Row],[Qty]])</f>
        <v/>
      </c>
      <c r="G803" s="71" t="str">
        <f>IF(ISBLANK(Log[[#This Row],[Item]]),"",_xlfn.XLOOKUP(Log[[#This Row],[Item]],Calories[Name],Calories[Carbs])*Log[[#This Row],[Qty]])</f>
        <v/>
      </c>
      <c r="H803" s="71" t="str">
        <f>IF(ISBLANK(Log[[#This Row],[Item]]),"",_xlfn.XLOOKUP(Log[[#This Row],[Item]],Calories[Name],Calories[Fibre])*Log[[#This Row],[Qty]])</f>
        <v/>
      </c>
      <c r="I803" s="71" t="str">
        <f>IF(ISBLANK(Log[[#This Row],[Item]]),"",(Log[[#This Row],[Carbs]]-Log[[#This Row],[Fibre]]))</f>
        <v/>
      </c>
      <c r="J803" s="103" t="str">
        <f>IF(ISBLANK(Log[[#This Row],[Item]]),"",_xlfn.XLOOKUP(Log[[#This Row],[Item]],Calories[Name],Calories[Sodium])*Log[[#This Row],[Qty]])</f>
        <v/>
      </c>
      <c r="K803" s="71" t="str">
        <f>IF(ISBLANK(Log[[#This Row],[Item]]),"",_xlfn.XLOOKUP(Log[[#This Row],[Item]],Calories[Name],Calories[Protein])*Log[[#This Row],[Qty]])</f>
        <v/>
      </c>
      <c r="L803" s="71" t="str">
        <f>IF(ISBLANK(Log[[#This Row],[Item]]),"",_xlfn.XLOOKUP(Log[[#This Row],[Item]],Calories[Name],Calories[Chol.])*Log[[#This Row],[Qty]])</f>
        <v/>
      </c>
      <c r="M803" s="75"/>
      <c r="N803" s="75"/>
      <c r="O803" s="75"/>
    </row>
    <row r="804" spans="1:15" s="66" customFormat="1" ht="25.15" customHeight="1">
      <c r="A804" s="75"/>
      <c r="B804" s="98"/>
      <c r="C804" s="78"/>
      <c r="D804" s="79"/>
      <c r="E804" s="76" t="str">
        <f>IF(ISBLANK(Log[[#This Row],[Item]]),"",_xlfn.XLOOKUP(Log[[#This Row],[Item]],Calories[Name],Calories[Unit]))</f>
        <v/>
      </c>
      <c r="F804" s="65" t="str">
        <f>IF(ISBLANK(Log[[#This Row],[Item]]),"",_xlfn.XLOOKUP(Log[[#This Row],[Item]],Calories[Name],Calories[Cals])*Log[[#This Row],[Qty]])</f>
        <v/>
      </c>
      <c r="G804" s="71" t="str">
        <f>IF(ISBLANK(Log[[#This Row],[Item]]),"",_xlfn.XLOOKUP(Log[[#This Row],[Item]],Calories[Name],Calories[Carbs])*Log[[#This Row],[Qty]])</f>
        <v/>
      </c>
      <c r="H804" s="71" t="str">
        <f>IF(ISBLANK(Log[[#This Row],[Item]]),"",_xlfn.XLOOKUP(Log[[#This Row],[Item]],Calories[Name],Calories[Fibre])*Log[[#This Row],[Qty]])</f>
        <v/>
      </c>
      <c r="I804" s="71" t="str">
        <f>IF(ISBLANK(Log[[#This Row],[Item]]),"",(Log[[#This Row],[Carbs]]-Log[[#This Row],[Fibre]]))</f>
        <v/>
      </c>
      <c r="J804" s="103" t="str">
        <f>IF(ISBLANK(Log[[#This Row],[Item]]),"",_xlfn.XLOOKUP(Log[[#This Row],[Item]],Calories[Name],Calories[Sodium])*Log[[#This Row],[Qty]])</f>
        <v/>
      </c>
      <c r="K804" s="71" t="str">
        <f>IF(ISBLANK(Log[[#This Row],[Item]]),"",_xlfn.XLOOKUP(Log[[#This Row],[Item]],Calories[Name],Calories[Protein])*Log[[#This Row],[Qty]])</f>
        <v/>
      </c>
      <c r="L804" s="71" t="str">
        <f>IF(ISBLANK(Log[[#This Row],[Item]]),"",_xlfn.XLOOKUP(Log[[#This Row],[Item]],Calories[Name],Calories[Chol.])*Log[[#This Row],[Qty]])</f>
        <v/>
      </c>
      <c r="M804" s="75"/>
      <c r="N804" s="75"/>
      <c r="O804" s="75"/>
    </row>
    <row r="805" spans="1:15" s="66" customFormat="1" ht="25.15" customHeight="1">
      <c r="A805" s="75"/>
      <c r="B805" s="98"/>
      <c r="C805" s="78"/>
      <c r="D805" s="79"/>
      <c r="E805" s="76" t="str">
        <f>IF(ISBLANK(Log[[#This Row],[Item]]),"",_xlfn.XLOOKUP(Log[[#This Row],[Item]],Calories[Name],Calories[Unit]))</f>
        <v/>
      </c>
      <c r="F805" s="65" t="str">
        <f>IF(ISBLANK(Log[[#This Row],[Item]]),"",_xlfn.XLOOKUP(Log[[#This Row],[Item]],Calories[Name],Calories[Cals])*Log[[#This Row],[Qty]])</f>
        <v/>
      </c>
      <c r="G805" s="71" t="str">
        <f>IF(ISBLANK(Log[[#This Row],[Item]]),"",_xlfn.XLOOKUP(Log[[#This Row],[Item]],Calories[Name],Calories[Carbs])*Log[[#This Row],[Qty]])</f>
        <v/>
      </c>
      <c r="H805" s="71" t="str">
        <f>IF(ISBLANK(Log[[#This Row],[Item]]),"",_xlfn.XLOOKUP(Log[[#This Row],[Item]],Calories[Name],Calories[Fibre])*Log[[#This Row],[Qty]])</f>
        <v/>
      </c>
      <c r="I805" s="71" t="str">
        <f>IF(ISBLANK(Log[[#This Row],[Item]]),"",(Log[[#This Row],[Carbs]]-Log[[#This Row],[Fibre]]))</f>
        <v/>
      </c>
      <c r="J805" s="103" t="str">
        <f>IF(ISBLANK(Log[[#This Row],[Item]]),"",_xlfn.XLOOKUP(Log[[#This Row],[Item]],Calories[Name],Calories[Sodium])*Log[[#This Row],[Qty]])</f>
        <v/>
      </c>
      <c r="K805" s="71" t="str">
        <f>IF(ISBLANK(Log[[#This Row],[Item]]),"",_xlfn.XLOOKUP(Log[[#This Row],[Item]],Calories[Name],Calories[Protein])*Log[[#This Row],[Qty]])</f>
        <v/>
      </c>
      <c r="L805" s="71" t="str">
        <f>IF(ISBLANK(Log[[#This Row],[Item]]),"",_xlfn.XLOOKUP(Log[[#This Row],[Item]],Calories[Name],Calories[Chol.])*Log[[#This Row],[Qty]])</f>
        <v/>
      </c>
      <c r="M805" s="75"/>
      <c r="N805" s="75"/>
      <c r="O805" s="75"/>
    </row>
    <row r="806" spans="1:15" s="66" customFormat="1" ht="25.15" customHeight="1">
      <c r="A806" s="75"/>
      <c r="B806" s="98"/>
      <c r="C806" s="78"/>
      <c r="D806" s="79"/>
      <c r="E806" s="76" t="str">
        <f>IF(ISBLANK(Log[[#This Row],[Item]]),"",_xlfn.XLOOKUP(Log[[#This Row],[Item]],Calories[Name],Calories[Unit]))</f>
        <v/>
      </c>
      <c r="F806" s="65" t="str">
        <f>IF(ISBLANK(Log[[#This Row],[Item]]),"",_xlfn.XLOOKUP(Log[[#This Row],[Item]],Calories[Name],Calories[Cals])*Log[[#This Row],[Qty]])</f>
        <v/>
      </c>
      <c r="G806" s="71" t="str">
        <f>IF(ISBLANK(Log[[#This Row],[Item]]),"",_xlfn.XLOOKUP(Log[[#This Row],[Item]],Calories[Name],Calories[Carbs])*Log[[#This Row],[Qty]])</f>
        <v/>
      </c>
      <c r="H806" s="71" t="str">
        <f>IF(ISBLANK(Log[[#This Row],[Item]]),"",_xlfn.XLOOKUP(Log[[#This Row],[Item]],Calories[Name],Calories[Fibre])*Log[[#This Row],[Qty]])</f>
        <v/>
      </c>
      <c r="I806" s="71" t="str">
        <f>IF(ISBLANK(Log[[#This Row],[Item]]),"",(Log[[#This Row],[Carbs]]-Log[[#This Row],[Fibre]]))</f>
        <v/>
      </c>
      <c r="J806" s="103" t="str">
        <f>IF(ISBLANK(Log[[#This Row],[Item]]),"",_xlfn.XLOOKUP(Log[[#This Row],[Item]],Calories[Name],Calories[Sodium])*Log[[#This Row],[Qty]])</f>
        <v/>
      </c>
      <c r="K806" s="71" t="str">
        <f>IF(ISBLANK(Log[[#This Row],[Item]]),"",_xlfn.XLOOKUP(Log[[#This Row],[Item]],Calories[Name],Calories[Protein])*Log[[#This Row],[Qty]])</f>
        <v/>
      </c>
      <c r="L806" s="71" t="str">
        <f>IF(ISBLANK(Log[[#This Row],[Item]]),"",_xlfn.XLOOKUP(Log[[#This Row],[Item]],Calories[Name],Calories[Chol.])*Log[[#This Row],[Qty]])</f>
        <v/>
      </c>
      <c r="M806" s="75"/>
      <c r="N806" s="75"/>
      <c r="O806" s="75"/>
    </row>
    <row r="807" spans="1:15" s="66" customFormat="1" ht="25.15" customHeight="1">
      <c r="A807" s="75"/>
      <c r="B807" s="98"/>
      <c r="C807" s="78"/>
      <c r="D807" s="79"/>
      <c r="E807" s="76" t="str">
        <f>IF(ISBLANK(Log[[#This Row],[Item]]),"",_xlfn.XLOOKUP(Log[[#This Row],[Item]],Calories[Name],Calories[Unit]))</f>
        <v/>
      </c>
      <c r="F807" s="65" t="str">
        <f>IF(ISBLANK(Log[[#This Row],[Item]]),"",_xlfn.XLOOKUP(Log[[#This Row],[Item]],Calories[Name],Calories[Cals])*Log[[#This Row],[Qty]])</f>
        <v/>
      </c>
      <c r="G807" s="71" t="str">
        <f>IF(ISBLANK(Log[[#This Row],[Item]]),"",_xlfn.XLOOKUP(Log[[#This Row],[Item]],Calories[Name],Calories[Carbs])*Log[[#This Row],[Qty]])</f>
        <v/>
      </c>
      <c r="H807" s="71" t="str">
        <f>IF(ISBLANK(Log[[#This Row],[Item]]),"",_xlfn.XLOOKUP(Log[[#This Row],[Item]],Calories[Name],Calories[Fibre])*Log[[#This Row],[Qty]])</f>
        <v/>
      </c>
      <c r="I807" s="71" t="str">
        <f>IF(ISBLANK(Log[[#This Row],[Item]]),"",(Log[[#This Row],[Carbs]]-Log[[#This Row],[Fibre]]))</f>
        <v/>
      </c>
      <c r="J807" s="103" t="str">
        <f>IF(ISBLANK(Log[[#This Row],[Item]]),"",_xlfn.XLOOKUP(Log[[#This Row],[Item]],Calories[Name],Calories[Sodium])*Log[[#This Row],[Qty]])</f>
        <v/>
      </c>
      <c r="K807" s="71" t="str">
        <f>IF(ISBLANK(Log[[#This Row],[Item]]),"",_xlfn.XLOOKUP(Log[[#This Row],[Item]],Calories[Name],Calories[Protein])*Log[[#This Row],[Qty]])</f>
        <v/>
      </c>
      <c r="L807" s="71" t="str">
        <f>IF(ISBLANK(Log[[#This Row],[Item]]),"",_xlfn.XLOOKUP(Log[[#This Row],[Item]],Calories[Name],Calories[Chol.])*Log[[#This Row],[Qty]])</f>
        <v/>
      </c>
      <c r="M807" s="75"/>
      <c r="N807" s="75"/>
      <c r="O807" s="75"/>
    </row>
    <row r="808" spans="1:15" s="66" customFormat="1" ht="25.15" customHeight="1">
      <c r="A808" s="75"/>
      <c r="B808" s="98"/>
      <c r="C808" s="78"/>
      <c r="D808" s="79"/>
      <c r="E808" s="76" t="str">
        <f>IF(ISBLANK(Log[[#This Row],[Item]]),"",_xlfn.XLOOKUP(Log[[#This Row],[Item]],Calories[Name],Calories[Unit]))</f>
        <v/>
      </c>
      <c r="F808" s="65" t="str">
        <f>IF(ISBLANK(Log[[#This Row],[Item]]),"",_xlfn.XLOOKUP(Log[[#This Row],[Item]],Calories[Name],Calories[Cals])*Log[[#This Row],[Qty]])</f>
        <v/>
      </c>
      <c r="G808" s="71" t="str">
        <f>IF(ISBLANK(Log[[#This Row],[Item]]),"",_xlfn.XLOOKUP(Log[[#This Row],[Item]],Calories[Name],Calories[Carbs])*Log[[#This Row],[Qty]])</f>
        <v/>
      </c>
      <c r="H808" s="71" t="str">
        <f>IF(ISBLANK(Log[[#This Row],[Item]]),"",_xlfn.XLOOKUP(Log[[#This Row],[Item]],Calories[Name],Calories[Fibre])*Log[[#This Row],[Qty]])</f>
        <v/>
      </c>
      <c r="I808" s="71" t="str">
        <f>IF(ISBLANK(Log[[#This Row],[Item]]),"",(Log[[#This Row],[Carbs]]-Log[[#This Row],[Fibre]]))</f>
        <v/>
      </c>
      <c r="J808" s="103" t="str">
        <f>IF(ISBLANK(Log[[#This Row],[Item]]),"",_xlfn.XLOOKUP(Log[[#This Row],[Item]],Calories[Name],Calories[Sodium])*Log[[#This Row],[Qty]])</f>
        <v/>
      </c>
      <c r="K808" s="71" t="str">
        <f>IF(ISBLANK(Log[[#This Row],[Item]]),"",_xlfn.XLOOKUP(Log[[#This Row],[Item]],Calories[Name],Calories[Protein])*Log[[#This Row],[Qty]])</f>
        <v/>
      </c>
      <c r="L808" s="71" t="str">
        <f>IF(ISBLANK(Log[[#This Row],[Item]]),"",_xlfn.XLOOKUP(Log[[#This Row],[Item]],Calories[Name],Calories[Chol.])*Log[[#This Row],[Qty]])</f>
        <v/>
      </c>
      <c r="M808" s="75"/>
      <c r="N808" s="75"/>
      <c r="O808" s="75"/>
    </row>
    <row r="809" spans="1:15" s="66" customFormat="1" ht="25.15" customHeight="1">
      <c r="A809" s="75"/>
      <c r="B809" s="98"/>
      <c r="C809" s="78"/>
      <c r="D809" s="79"/>
      <c r="E809" s="76" t="str">
        <f>IF(ISBLANK(Log[[#This Row],[Item]]),"",_xlfn.XLOOKUP(Log[[#This Row],[Item]],Calories[Name],Calories[Unit]))</f>
        <v/>
      </c>
      <c r="F809" s="65" t="str">
        <f>IF(ISBLANK(Log[[#This Row],[Item]]),"",_xlfn.XLOOKUP(Log[[#This Row],[Item]],Calories[Name],Calories[Cals])*Log[[#This Row],[Qty]])</f>
        <v/>
      </c>
      <c r="G809" s="71" t="str">
        <f>IF(ISBLANK(Log[[#This Row],[Item]]),"",_xlfn.XLOOKUP(Log[[#This Row],[Item]],Calories[Name],Calories[Carbs])*Log[[#This Row],[Qty]])</f>
        <v/>
      </c>
      <c r="H809" s="71" t="str">
        <f>IF(ISBLANK(Log[[#This Row],[Item]]),"",_xlfn.XLOOKUP(Log[[#This Row],[Item]],Calories[Name],Calories[Fibre])*Log[[#This Row],[Qty]])</f>
        <v/>
      </c>
      <c r="I809" s="71" t="str">
        <f>IF(ISBLANK(Log[[#This Row],[Item]]),"",(Log[[#This Row],[Carbs]]-Log[[#This Row],[Fibre]]))</f>
        <v/>
      </c>
      <c r="J809" s="103" t="str">
        <f>IF(ISBLANK(Log[[#This Row],[Item]]),"",_xlfn.XLOOKUP(Log[[#This Row],[Item]],Calories[Name],Calories[Sodium])*Log[[#This Row],[Qty]])</f>
        <v/>
      </c>
      <c r="K809" s="71" t="str">
        <f>IF(ISBLANK(Log[[#This Row],[Item]]),"",_xlfn.XLOOKUP(Log[[#This Row],[Item]],Calories[Name],Calories[Protein])*Log[[#This Row],[Qty]])</f>
        <v/>
      </c>
      <c r="L809" s="71" t="str">
        <f>IF(ISBLANK(Log[[#This Row],[Item]]),"",_xlfn.XLOOKUP(Log[[#This Row],[Item]],Calories[Name],Calories[Chol.])*Log[[#This Row],[Qty]])</f>
        <v/>
      </c>
      <c r="M809" s="75"/>
      <c r="N809" s="75"/>
      <c r="O809" s="75"/>
    </row>
    <row r="810" spans="1:15" s="66" customFormat="1" ht="25.15" customHeight="1">
      <c r="A810" s="75"/>
      <c r="B810" s="98"/>
      <c r="C810" s="78"/>
      <c r="D810" s="79"/>
      <c r="E810" s="76" t="str">
        <f>IF(ISBLANK(Log[[#This Row],[Item]]),"",_xlfn.XLOOKUP(Log[[#This Row],[Item]],Calories[Name],Calories[Unit]))</f>
        <v/>
      </c>
      <c r="F810" s="65" t="str">
        <f>IF(ISBLANK(Log[[#This Row],[Item]]),"",_xlfn.XLOOKUP(Log[[#This Row],[Item]],Calories[Name],Calories[Cals])*Log[[#This Row],[Qty]])</f>
        <v/>
      </c>
      <c r="G810" s="71" t="str">
        <f>IF(ISBLANK(Log[[#This Row],[Item]]),"",_xlfn.XLOOKUP(Log[[#This Row],[Item]],Calories[Name],Calories[Carbs])*Log[[#This Row],[Qty]])</f>
        <v/>
      </c>
      <c r="H810" s="71" t="str">
        <f>IF(ISBLANK(Log[[#This Row],[Item]]),"",_xlfn.XLOOKUP(Log[[#This Row],[Item]],Calories[Name],Calories[Fibre])*Log[[#This Row],[Qty]])</f>
        <v/>
      </c>
      <c r="I810" s="71" t="str">
        <f>IF(ISBLANK(Log[[#This Row],[Item]]),"",(Log[[#This Row],[Carbs]]-Log[[#This Row],[Fibre]]))</f>
        <v/>
      </c>
      <c r="J810" s="103" t="str">
        <f>IF(ISBLANK(Log[[#This Row],[Item]]),"",_xlfn.XLOOKUP(Log[[#This Row],[Item]],Calories[Name],Calories[Sodium])*Log[[#This Row],[Qty]])</f>
        <v/>
      </c>
      <c r="K810" s="71" t="str">
        <f>IF(ISBLANK(Log[[#This Row],[Item]]),"",_xlfn.XLOOKUP(Log[[#This Row],[Item]],Calories[Name],Calories[Protein])*Log[[#This Row],[Qty]])</f>
        <v/>
      </c>
      <c r="L810" s="71" t="str">
        <f>IF(ISBLANK(Log[[#This Row],[Item]]),"",_xlfn.XLOOKUP(Log[[#This Row],[Item]],Calories[Name],Calories[Chol.])*Log[[#This Row],[Qty]])</f>
        <v/>
      </c>
      <c r="M810" s="75"/>
      <c r="N810" s="75"/>
      <c r="O810" s="75"/>
    </row>
    <row r="811" spans="1:15" s="66" customFormat="1" ht="25.15" customHeight="1">
      <c r="A811" s="75"/>
      <c r="B811" s="98"/>
      <c r="C811" s="78"/>
      <c r="D811" s="79"/>
      <c r="E811" s="76" t="str">
        <f>IF(ISBLANK(Log[[#This Row],[Item]]),"",_xlfn.XLOOKUP(Log[[#This Row],[Item]],Calories[Name],Calories[Unit]))</f>
        <v/>
      </c>
      <c r="F811" s="65" t="str">
        <f>IF(ISBLANK(Log[[#This Row],[Item]]),"",_xlfn.XLOOKUP(Log[[#This Row],[Item]],Calories[Name],Calories[Cals])*Log[[#This Row],[Qty]])</f>
        <v/>
      </c>
      <c r="G811" s="71" t="str">
        <f>IF(ISBLANK(Log[[#This Row],[Item]]),"",_xlfn.XLOOKUP(Log[[#This Row],[Item]],Calories[Name],Calories[Carbs])*Log[[#This Row],[Qty]])</f>
        <v/>
      </c>
      <c r="H811" s="71" t="str">
        <f>IF(ISBLANK(Log[[#This Row],[Item]]),"",_xlfn.XLOOKUP(Log[[#This Row],[Item]],Calories[Name],Calories[Fibre])*Log[[#This Row],[Qty]])</f>
        <v/>
      </c>
      <c r="I811" s="71" t="str">
        <f>IF(ISBLANK(Log[[#This Row],[Item]]),"",(Log[[#This Row],[Carbs]]-Log[[#This Row],[Fibre]]))</f>
        <v/>
      </c>
      <c r="J811" s="103" t="str">
        <f>IF(ISBLANK(Log[[#This Row],[Item]]),"",_xlfn.XLOOKUP(Log[[#This Row],[Item]],Calories[Name],Calories[Sodium])*Log[[#This Row],[Qty]])</f>
        <v/>
      </c>
      <c r="K811" s="71" t="str">
        <f>IF(ISBLANK(Log[[#This Row],[Item]]),"",_xlfn.XLOOKUP(Log[[#This Row],[Item]],Calories[Name],Calories[Protein])*Log[[#This Row],[Qty]])</f>
        <v/>
      </c>
      <c r="L811" s="71" t="str">
        <f>IF(ISBLANK(Log[[#This Row],[Item]]),"",_xlfn.XLOOKUP(Log[[#This Row],[Item]],Calories[Name],Calories[Chol.])*Log[[#This Row],[Qty]])</f>
        <v/>
      </c>
      <c r="M811" s="75"/>
      <c r="N811" s="75"/>
      <c r="O811" s="75"/>
    </row>
    <row r="812" spans="1:15" s="66" customFormat="1" ht="25.15" customHeight="1">
      <c r="A812" s="75"/>
      <c r="B812" s="98"/>
      <c r="C812" s="78"/>
      <c r="D812" s="79"/>
      <c r="E812" s="76" t="str">
        <f>IF(ISBLANK(Log[[#This Row],[Item]]),"",_xlfn.XLOOKUP(Log[[#This Row],[Item]],Calories[Name],Calories[Unit]))</f>
        <v/>
      </c>
      <c r="F812" s="65" t="str">
        <f>IF(ISBLANK(Log[[#This Row],[Item]]),"",_xlfn.XLOOKUP(Log[[#This Row],[Item]],Calories[Name],Calories[Cals])*Log[[#This Row],[Qty]])</f>
        <v/>
      </c>
      <c r="G812" s="71" t="str">
        <f>IF(ISBLANK(Log[[#This Row],[Item]]),"",_xlfn.XLOOKUP(Log[[#This Row],[Item]],Calories[Name],Calories[Carbs])*Log[[#This Row],[Qty]])</f>
        <v/>
      </c>
      <c r="H812" s="71" t="str">
        <f>IF(ISBLANK(Log[[#This Row],[Item]]),"",_xlfn.XLOOKUP(Log[[#This Row],[Item]],Calories[Name],Calories[Fibre])*Log[[#This Row],[Qty]])</f>
        <v/>
      </c>
      <c r="I812" s="71" t="str">
        <f>IF(ISBLANK(Log[[#This Row],[Item]]),"",(Log[[#This Row],[Carbs]]-Log[[#This Row],[Fibre]]))</f>
        <v/>
      </c>
      <c r="J812" s="103" t="str">
        <f>IF(ISBLANK(Log[[#This Row],[Item]]),"",_xlfn.XLOOKUP(Log[[#This Row],[Item]],Calories[Name],Calories[Sodium])*Log[[#This Row],[Qty]])</f>
        <v/>
      </c>
      <c r="K812" s="71" t="str">
        <f>IF(ISBLANK(Log[[#This Row],[Item]]),"",_xlfn.XLOOKUP(Log[[#This Row],[Item]],Calories[Name],Calories[Protein])*Log[[#This Row],[Qty]])</f>
        <v/>
      </c>
      <c r="L812" s="71" t="str">
        <f>IF(ISBLANK(Log[[#This Row],[Item]]),"",_xlfn.XLOOKUP(Log[[#This Row],[Item]],Calories[Name],Calories[Chol.])*Log[[#This Row],[Qty]])</f>
        <v/>
      </c>
      <c r="M812" s="75"/>
      <c r="N812" s="75"/>
      <c r="O812" s="75"/>
    </row>
    <row r="813" spans="1:15" s="66" customFormat="1" ht="25.15" customHeight="1">
      <c r="A813" s="75"/>
      <c r="B813" s="98"/>
      <c r="C813" s="78"/>
      <c r="D813" s="79"/>
      <c r="E813" s="76" t="str">
        <f>IF(ISBLANK(Log[[#This Row],[Item]]),"",_xlfn.XLOOKUP(Log[[#This Row],[Item]],Calories[Name],Calories[Unit]))</f>
        <v/>
      </c>
      <c r="F813" s="65" t="str">
        <f>IF(ISBLANK(Log[[#This Row],[Item]]),"",_xlfn.XLOOKUP(Log[[#This Row],[Item]],Calories[Name],Calories[Cals])*Log[[#This Row],[Qty]])</f>
        <v/>
      </c>
      <c r="G813" s="71" t="str">
        <f>IF(ISBLANK(Log[[#This Row],[Item]]),"",_xlfn.XLOOKUP(Log[[#This Row],[Item]],Calories[Name],Calories[Carbs])*Log[[#This Row],[Qty]])</f>
        <v/>
      </c>
      <c r="H813" s="71" t="str">
        <f>IF(ISBLANK(Log[[#This Row],[Item]]),"",_xlfn.XLOOKUP(Log[[#This Row],[Item]],Calories[Name],Calories[Fibre])*Log[[#This Row],[Qty]])</f>
        <v/>
      </c>
      <c r="I813" s="71" t="str">
        <f>IF(ISBLANK(Log[[#This Row],[Item]]),"",(Log[[#This Row],[Carbs]]-Log[[#This Row],[Fibre]]))</f>
        <v/>
      </c>
      <c r="J813" s="103" t="str">
        <f>IF(ISBLANK(Log[[#This Row],[Item]]),"",_xlfn.XLOOKUP(Log[[#This Row],[Item]],Calories[Name],Calories[Sodium])*Log[[#This Row],[Qty]])</f>
        <v/>
      </c>
      <c r="K813" s="71" t="str">
        <f>IF(ISBLANK(Log[[#This Row],[Item]]),"",_xlfn.XLOOKUP(Log[[#This Row],[Item]],Calories[Name],Calories[Protein])*Log[[#This Row],[Qty]])</f>
        <v/>
      </c>
      <c r="L813" s="71" t="str">
        <f>IF(ISBLANK(Log[[#This Row],[Item]]),"",_xlfn.XLOOKUP(Log[[#This Row],[Item]],Calories[Name],Calories[Chol.])*Log[[#This Row],[Qty]])</f>
        <v/>
      </c>
      <c r="M813" s="75"/>
      <c r="N813" s="75"/>
      <c r="O813" s="75"/>
    </row>
    <row r="814" spans="1:15" s="66" customFormat="1" ht="25.15" customHeight="1">
      <c r="A814" s="75"/>
      <c r="B814" s="98"/>
      <c r="C814" s="78"/>
      <c r="D814" s="79"/>
      <c r="E814" s="76" t="str">
        <f>IF(ISBLANK(Log[[#This Row],[Item]]),"",_xlfn.XLOOKUP(Log[[#This Row],[Item]],Calories[Name],Calories[Unit]))</f>
        <v/>
      </c>
      <c r="F814" s="65" t="str">
        <f>IF(ISBLANK(Log[[#This Row],[Item]]),"",_xlfn.XLOOKUP(Log[[#This Row],[Item]],Calories[Name],Calories[Cals])*Log[[#This Row],[Qty]])</f>
        <v/>
      </c>
      <c r="G814" s="71" t="str">
        <f>IF(ISBLANK(Log[[#This Row],[Item]]),"",_xlfn.XLOOKUP(Log[[#This Row],[Item]],Calories[Name],Calories[Carbs])*Log[[#This Row],[Qty]])</f>
        <v/>
      </c>
      <c r="H814" s="71" t="str">
        <f>IF(ISBLANK(Log[[#This Row],[Item]]),"",_xlfn.XLOOKUP(Log[[#This Row],[Item]],Calories[Name],Calories[Fibre])*Log[[#This Row],[Qty]])</f>
        <v/>
      </c>
      <c r="I814" s="71" t="str">
        <f>IF(ISBLANK(Log[[#This Row],[Item]]),"",(Log[[#This Row],[Carbs]]-Log[[#This Row],[Fibre]]))</f>
        <v/>
      </c>
      <c r="J814" s="103" t="str">
        <f>IF(ISBLANK(Log[[#This Row],[Item]]),"",_xlfn.XLOOKUP(Log[[#This Row],[Item]],Calories[Name],Calories[Sodium])*Log[[#This Row],[Qty]])</f>
        <v/>
      </c>
      <c r="K814" s="71" t="str">
        <f>IF(ISBLANK(Log[[#This Row],[Item]]),"",_xlfn.XLOOKUP(Log[[#This Row],[Item]],Calories[Name],Calories[Protein])*Log[[#This Row],[Qty]])</f>
        <v/>
      </c>
      <c r="L814" s="71" t="str">
        <f>IF(ISBLANK(Log[[#This Row],[Item]]),"",_xlfn.XLOOKUP(Log[[#This Row],[Item]],Calories[Name],Calories[Chol.])*Log[[#This Row],[Qty]])</f>
        <v/>
      </c>
      <c r="M814" s="75"/>
      <c r="N814" s="75"/>
      <c r="O814" s="75"/>
    </row>
    <row r="815" spans="1:15" s="66" customFormat="1" ht="25.15" customHeight="1">
      <c r="A815" s="75"/>
      <c r="B815" s="98"/>
      <c r="C815" s="78"/>
      <c r="D815" s="79"/>
      <c r="E815" s="76" t="str">
        <f>IF(ISBLANK(Log[[#This Row],[Item]]),"",_xlfn.XLOOKUP(Log[[#This Row],[Item]],Calories[Name],Calories[Unit]))</f>
        <v/>
      </c>
      <c r="F815" s="65" t="str">
        <f>IF(ISBLANK(Log[[#This Row],[Item]]),"",_xlfn.XLOOKUP(Log[[#This Row],[Item]],Calories[Name],Calories[Cals])*Log[[#This Row],[Qty]])</f>
        <v/>
      </c>
      <c r="G815" s="71" t="str">
        <f>IF(ISBLANK(Log[[#This Row],[Item]]),"",_xlfn.XLOOKUP(Log[[#This Row],[Item]],Calories[Name],Calories[Carbs])*Log[[#This Row],[Qty]])</f>
        <v/>
      </c>
      <c r="H815" s="71" t="str">
        <f>IF(ISBLANK(Log[[#This Row],[Item]]),"",_xlfn.XLOOKUP(Log[[#This Row],[Item]],Calories[Name],Calories[Fibre])*Log[[#This Row],[Qty]])</f>
        <v/>
      </c>
      <c r="I815" s="71" t="str">
        <f>IF(ISBLANK(Log[[#This Row],[Item]]),"",(Log[[#This Row],[Carbs]]-Log[[#This Row],[Fibre]]))</f>
        <v/>
      </c>
      <c r="J815" s="103" t="str">
        <f>IF(ISBLANK(Log[[#This Row],[Item]]),"",_xlfn.XLOOKUP(Log[[#This Row],[Item]],Calories[Name],Calories[Sodium])*Log[[#This Row],[Qty]])</f>
        <v/>
      </c>
      <c r="K815" s="71" t="str">
        <f>IF(ISBLANK(Log[[#This Row],[Item]]),"",_xlfn.XLOOKUP(Log[[#This Row],[Item]],Calories[Name],Calories[Protein])*Log[[#This Row],[Qty]])</f>
        <v/>
      </c>
      <c r="L815" s="71" t="str">
        <f>IF(ISBLANK(Log[[#This Row],[Item]]),"",_xlfn.XLOOKUP(Log[[#This Row],[Item]],Calories[Name],Calories[Chol.])*Log[[#This Row],[Qty]])</f>
        <v/>
      </c>
      <c r="M815" s="75"/>
      <c r="N815" s="75"/>
      <c r="O815" s="75"/>
    </row>
    <row r="816" spans="1:15" s="66" customFormat="1" ht="25.15" customHeight="1">
      <c r="A816" s="75"/>
      <c r="B816" s="98"/>
      <c r="C816" s="78"/>
      <c r="D816" s="79"/>
      <c r="E816" s="76" t="str">
        <f>IF(ISBLANK(Log[[#This Row],[Item]]),"",_xlfn.XLOOKUP(Log[[#This Row],[Item]],Calories[Name],Calories[Unit]))</f>
        <v/>
      </c>
      <c r="F816" s="65" t="str">
        <f>IF(ISBLANK(Log[[#This Row],[Item]]),"",_xlfn.XLOOKUP(Log[[#This Row],[Item]],Calories[Name],Calories[Cals])*Log[[#This Row],[Qty]])</f>
        <v/>
      </c>
      <c r="G816" s="71" t="str">
        <f>IF(ISBLANK(Log[[#This Row],[Item]]),"",_xlfn.XLOOKUP(Log[[#This Row],[Item]],Calories[Name],Calories[Carbs])*Log[[#This Row],[Qty]])</f>
        <v/>
      </c>
      <c r="H816" s="71" t="str">
        <f>IF(ISBLANK(Log[[#This Row],[Item]]),"",_xlfn.XLOOKUP(Log[[#This Row],[Item]],Calories[Name],Calories[Fibre])*Log[[#This Row],[Qty]])</f>
        <v/>
      </c>
      <c r="I816" s="71" t="str">
        <f>IF(ISBLANK(Log[[#This Row],[Item]]),"",(Log[[#This Row],[Carbs]]-Log[[#This Row],[Fibre]]))</f>
        <v/>
      </c>
      <c r="J816" s="103" t="str">
        <f>IF(ISBLANK(Log[[#This Row],[Item]]),"",_xlfn.XLOOKUP(Log[[#This Row],[Item]],Calories[Name],Calories[Sodium])*Log[[#This Row],[Qty]])</f>
        <v/>
      </c>
      <c r="K816" s="71" t="str">
        <f>IF(ISBLANK(Log[[#This Row],[Item]]),"",_xlfn.XLOOKUP(Log[[#This Row],[Item]],Calories[Name],Calories[Protein])*Log[[#This Row],[Qty]])</f>
        <v/>
      </c>
      <c r="L816" s="71" t="str">
        <f>IF(ISBLANK(Log[[#This Row],[Item]]),"",_xlfn.XLOOKUP(Log[[#This Row],[Item]],Calories[Name],Calories[Chol.])*Log[[#This Row],[Qty]])</f>
        <v/>
      </c>
      <c r="M816" s="75"/>
      <c r="N816" s="75"/>
      <c r="O816" s="75"/>
    </row>
    <row r="817" spans="1:15" s="66" customFormat="1" ht="25.15" customHeight="1">
      <c r="A817" s="75"/>
      <c r="B817" s="98"/>
      <c r="C817" s="78"/>
      <c r="D817" s="79"/>
      <c r="E817" s="76" t="str">
        <f>IF(ISBLANK(Log[[#This Row],[Item]]),"",_xlfn.XLOOKUP(Log[[#This Row],[Item]],Calories[Name],Calories[Unit]))</f>
        <v/>
      </c>
      <c r="F817" s="65" t="str">
        <f>IF(ISBLANK(Log[[#This Row],[Item]]),"",_xlfn.XLOOKUP(Log[[#This Row],[Item]],Calories[Name],Calories[Cals])*Log[[#This Row],[Qty]])</f>
        <v/>
      </c>
      <c r="G817" s="71" t="str">
        <f>IF(ISBLANK(Log[[#This Row],[Item]]),"",_xlfn.XLOOKUP(Log[[#This Row],[Item]],Calories[Name],Calories[Carbs])*Log[[#This Row],[Qty]])</f>
        <v/>
      </c>
      <c r="H817" s="71" t="str">
        <f>IF(ISBLANK(Log[[#This Row],[Item]]),"",_xlfn.XLOOKUP(Log[[#This Row],[Item]],Calories[Name],Calories[Fibre])*Log[[#This Row],[Qty]])</f>
        <v/>
      </c>
      <c r="I817" s="71" t="str">
        <f>IF(ISBLANK(Log[[#This Row],[Item]]),"",(Log[[#This Row],[Carbs]]-Log[[#This Row],[Fibre]]))</f>
        <v/>
      </c>
      <c r="J817" s="103" t="str">
        <f>IF(ISBLANK(Log[[#This Row],[Item]]),"",_xlfn.XLOOKUP(Log[[#This Row],[Item]],Calories[Name],Calories[Sodium])*Log[[#This Row],[Qty]])</f>
        <v/>
      </c>
      <c r="K817" s="71" t="str">
        <f>IF(ISBLANK(Log[[#This Row],[Item]]),"",_xlfn.XLOOKUP(Log[[#This Row],[Item]],Calories[Name],Calories[Protein])*Log[[#This Row],[Qty]])</f>
        <v/>
      </c>
      <c r="L817" s="71" t="str">
        <f>IF(ISBLANK(Log[[#This Row],[Item]]),"",_xlfn.XLOOKUP(Log[[#This Row],[Item]],Calories[Name],Calories[Chol.])*Log[[#This Row],[Qty]])</f>
        <v/>
      </c>
      <c r="M817" s="75"/>
      <c r="N817" s="75"/>
      <c r="O817" s="75"/>
    </row>
    <row r="818" spans="1:15" s="66" customFormat="1" ht="25.15" customHeight="1">
      <c r="A818" s="75"/>
      <c r="B818" s="98"/>
      <c r="C818" s="78"/>
      <c r="D818" s="79"/>
      <c r="E818" s="76" t="str">
        <f>IF(ISBLANK(Log[[#This Row],[Item]]),"",_xlfn.XLOOKUP(Log[[#This Row],[Item]],Calories[Name],Calories[Unit]))</f>
        <v/>
      </c>
      <c r="F818" s="65" t="str">
        <f>IF(ISBLANK(Log[[#This Row],[Item]]),"",_xlfn.XLOOKUP(Log[[#This Row],[Item]],Calories[Name],Calories[Cals])*Log[[#This Row],[Qty]])</f>
        <v/>
      </c>
      <c r="G818" s="71" t="str">
        <f>IF(ISBLANK(Log[[#This Row],[Item]]),"",_xlfn.XLOOKUP(Log[[#This Row],[Item]],Calories[Name],Calories[Carbs])*Log[[#This Row],[Qty]])</f>
        <v/>
      </c>
      <c r="H818" s="71" t="str">
        <f>IF(ISBLANK(Log[[#This Row],[Item]]),"",_xlfn.XLOOKUP(Log[[#This Row],[Item]],Calories[Name],Calories[Fibre])*Log[[#This Row],[Qty]])</f>
        <v/>
      </c>
      <c r="I818" s="71" t="str">
        <f>IF(ISBLANK(Log[[#This Row],[Item]]),"",(Log[[#This Row],[Carbs]]-Log[[#This Row],[Fibre]]))</f>
        <v/>
      </c>
      <c r="J818" s="103" t="str">
        <f>IF(ISBLANK(Log[[#This Row],[Item]]),"",_xlfn.XLOOKUP(Log[[#This Row],[Item]],Calories[Name],Calories[Sodium])*Log[[#This Row],[Qty]])</f>
        <v/>
      </c>
      <c r="K818" s="71" t="str">
        <f>IF(ISBLANK(Log[[#This Row],[Item]]),"",_xlfn.XLOOKUP(Log[[#This Row],[Item]],Calories[Name],Calories[Protein])*Log[[#This Row],[Qty]])</f>
        <v/>
      </c>
      <c r="L818" s="71" t="str">
        <f>IF(ISBLANK(Log[[#This Row],[Item]]),"",_xlfn.XLOOKUP(Log[[#This Row],[Item]],Calories[Name],Calories[Chol.])*Log[[#This Row],[Qty]])</f>
        <v/>
      </c>
      <c r="M818" s="75"/>
      <c r="N818" s="75"/>
      <c r="O818" s="75"/>
    </row>
    <row r="819" spans="1:15" s="66" customFormat="1" ht="25.15" customHeight="1">
      <c r="A819" s="75"/>
      <c r="B819" s="98"/>
      <c r="C819" s="78"/>
      <c r="D819" s="79"/>
      <c r="E819" s="76" t="str">
        <f>IF(ISBLANK(Log[[#This Row],[Item]]),"",_xlfn.XLOOKUP(Log[[#This Row],[Item]],Calories[Name],Calories[Unit]))</f>
        <v/>
      </c>
      <c r="F819" s="65" t="str">
        <f>IF(ISBLANK(Log[[#This Row],[Item]]),"",_xlfn.XLOOKUP(Log[[#This Row],[Item]],Calories[Name],Calories[Cals])*Log[[#This Row],[Qty]])</f>
        <v/>
      </c>
      <c r="G819" s="71" t="str">
        <f>IF(ISBLANK(Log[[#This Row],[Item]]),"",_xlfn.XLOOKUP(Log[[#This Row],[Item]],Calories[Name],Calories[Carbs])*Log[[#This Row],[Qty]])</f>
        <v/>
      </c>
      <c r="H819" s="71" t="str">
        <f>IF(ISBLANK(Log[[#This Row],[Item]]),"",_xlfn.XLOOKUP(Log[[#This Row],[Item]],Calories[Name],Calories[Fibre])*Log[[#This Row],[Qty]])</f>
        <v/>
      </c>
      <c r="I819" s="71" t="str">
        <f>IF(ISBLANK(Log[[#This Row],[Item]]),"",(Log[[#This Row],[Carbs]]-Log[[#This Row],[Fibre]]))</f>
        <v/>
      </c>
      <c r="J819" s="103" t="str">
        <f>IF(ISBLANK(Log[[#This Row],[Item]]),"",_xlfn.XLOOKUP(Log[[#This Row],[Item]],Calories[Name],Calories[Sodium])*Log[[#This Row],[Qty]])</f>
        <v/>
      </c>
      <c r="K819" s="71" t="str">
        <f>IF(ISBLANK(Log[[#This Row],[Item]]),"",_xlfn.XLOOKUP(Log[[#This Row],[Item]],Calories[Name],Calories[Protein])*Log[[#This Row],[Qty]])</f>
        <v/>
      </c>
      <c r="L819" s="71" t="str">
        <f>IF(ISBLANK(Log[[#This Row],[Item]]),"",_xlfn.XLOOKUP(Log[[#This Row],[Item]],Calories[Name],Calories[Chol.])*Log[[#This Row],[Qty]])</f>
        <v/>
      </c>
      <c r="M819" s="75"/>
      <c r="N819" s="75"/>
      <c r="O819" s="75"/>
    </row>
    <row r="820" spans="1:15" s="66" customFormat="1" ht="25.15" customHeight="1">
      <c r="A820" s="75"/>
      <c r="B820" s="98"/>
      <c r="C820" s="78"/>
      <c r="D820" s="79"/>
      <c r="E820" s="76" t="str">
        <f>IF(ISBLANK(Log[[#This Row],[Item]]),"",_xlfn.XLOOKUP(Log[[#This Row],[Item]],Calories[Name],Calories[Unit]))</f>
        <v/>
      </c>
      <c r="F820" s="65" t="str">
        <f>IF(ISBLANK(Log[[#This Row],[Item]]),"",_xlfn.XLOOKUP(Log[[#This Row],[Item]],Calories[Name],Calories[Cals])*Log[[#This Row],[Qty]])</f>
        <v/>
      </c>
      <c r="G820" s="71" t="str">
        <f>IF(ISBLANK(Log[[#This Row],[Item]]),"",_xlfn.XLOOKUP(Log[[#This Row],[Item]],Calories[Name],Calories[Carbs])*Log[[#This Row],[Qty]])</f>
        <v/>
      </c>
      <c r="H820" s="71" t="str">
        <f>IF(ISBLANK(Log[[#This Row],[Item]]),"",_xlfn.XLOOKUP(Log[[#This Row],[Item]],Calories[Name],Calories[Fibre])*Log[[#This Row],[Qty]])</f>
        <v/>
      </c>
      <c r="I820" s="71" t="str">
        <f>IF(ISBLANK(Log[[#This Row],[Item]]),"",(Log[[#This Row],[Carbs]]-Log[[#This Row],[Fibre]]))</f>
        <v/>
      </c>
      <c r="J820" s="103" t="str">
        <f>IF(ISBLANK(Log[[#This Row],[Item]]),"",_xlfn.XLOOKUP(Log[[#This Row],[Item]],Calories[Name],Calories[Sodium])*Log[[#This Row],[Qty]])</f>
        <v/>
      </c>
      <c r="K820" s="71" t="str">
        <f>IF(ISBLANK(Log[[#This Row],[Item]]),"",_xlfn.XLOOKUP(Log[[#This Row],[Item]],Calories[Name],Calories[Protein])*Log[[#This Row],[Qty]])</f>
        <v/>
      </c>
      <c r="L820" s="71" t="str">
        <f>IF(ISBLANK(Log[[#This Row],[Item]]),"",_xlfn.XLOOKUP(Log[[#This Row],[Item]],Calories[Name],Calories[Chol.])*Log[[#This Row],[Qty]])</f>
        <v/>
      </c>
      <c r="M820" s="75"/>
      <c r="N820" s="75"/>
      <c r="O820" s="75"/>
    </row>
    <row r="821" spans="1:15" s="66" customFormat="1" ht="25.15" customHeight="1">
      <c r="A821" s="75"/>
      <c r="B821" s="98"/>
      <c r="C821" s="78"/>
      <c r="D821" s="79"/>
      <c r="E821" s="76" t="str">
        <f>IF(ISBLANK(Log[[#This Row],[Item]]),"",_xlfn.XLOOKUP(Log[[#This Row],[Item]],Calories[Name],Calories[Unit]))</f>
        <v/>
      </c>
      <c r="F821" s="65" t="str">
        <f>IF(ISBLANK(Log[[#This Row],[Item]]),"",_xlfn.XLOOKUP(Log[[#This Row],[Item]],Calories[Name],Calories[Cals])*Log[[#This Row],[Qty]])</f>
        <v/>
      </c>
      <c r="G821" s="71" t="str">
        <f>IF(ISBLANK(Log[[#This Row],[Item]]),"",_xlfn.XLOOKUP(Log[[#This Row],[Item]],Calories[Name],Calories[Carbs])*Log[[#This Row],[Qty]])</f>
        <v/>
      </c>
      <c r="H821" s="71" t="str">
        <f>IF(ISBLANK(Log[[#This Row],[Item]]),"",_xlfn.XLOOKUP(Log[[#This Row],[Item]],Calories[Name],Calories[Fibre])*Log[[#This Row],[Qty]])</f>
        <v/>
      </c>
      <c r="I821" s="71" t="str">
        <f>IF(ISBLANK(Log[[#This Row],[Item]]),"",(Log[[#This Row],[Carbs]]-Log[[#This Row],[Fibre]]))</f>
        <v/>
      </c>
      <c r="J821" s="103" t="str">
        <f>IF(ISBLANK(Log[[#This Row],[Item]]),"",_xlfn.XLOOKUP(Log[[#This Row],[Item]],Calories[Name],Calories[Sodium])*Log[[#This Row],[Qty]])</f>
        <v/>
      </c>
      <c r="K821" s="71" t="str">
        <f>IF(ISBLANK(Log[[#This Row],[Item]]),"",_xlfn.XLOOKUP(Log[[#This Row],[Item]],Calories[Name],Calories[Protein])*Log[[#This Row],[Qty]])</f>
        <v/>
      </c>
      <c r="L821" s="71" t="str">
        <f>IF(ISBLANK(Log[[#This Row],[Item]]),"",_xlfn.XLOOKUP(Log[[#This Row],[Item]],Calories[Name],Calories[Chol.])*Log[[#This Row],[Qty]])</f>
        <v/>
      </c>
      <c r="M821" s="75"/>
      <c r="N821" s="75"/>
      <c r="O821" s="75"/>
    </row>
    <row r="822" spans="1:15" s="66" customFormat="1" ht="25.15" customHeight="1">
      <c r="A822" s="75"/>
      <c r="B822" s="98"/>
      <c r="C822" s="78"/>
      <c r="D822" s="79"/>
      <c r="E822" s="76" t="str">
        <f>IF(ISBLANK(Log[[#This Row],[Item]]),"",_xlfn.XLOOKUP(Log[[#This Row],[Item]],Calories[Name],Calories[Unit]))</f>
        <v/>
      </c>
      <c r="F822" s="65" t="str">
        <f>IF(ISBLANK(Log[[#This Row],[Item]]),"",_xlfn.XLOOKUP(Log[[#This Row],[Item]],Calories[Name],Calories[Cals])*Log[[#This Row],[Qty]])</f>
        <v/>
      </c>
      <c r="G822" s="71" t="str">
        <f>IF(ISBLANK(Log[[#This Row],[Item]]),"",_xlfn.XLOOKUP(Log[[#This Row],[Item]],Calories[Name],Calories[Carbs])*Log[[#This Row],[Qty]])</f>
        <v/>
      </c>
      <c r="H822" s="71" t="str">
        <f>IF(ISBLANK(Log[[#This Row],[Item]]),"",_xlfn.XLOOKUP(Log[[#This Row],[Item]],Calories[Name],Calories[Fibre])*Log[[#This Row],[Qty]])</f>
        <v/>
      </c>
      <c r="I822" s="71" t="str">
        <f>IF(ISBLANK(Log[[#This Row],[Item]]),"",(Log[[#This Row],[Carbs]]-Log[[#This Row],[Fibre]]))</f>
        <v/>
      </c>
      <c r="J822" s="103" t="str">
        <f>IF(ISBLANK(Log[[#This Row],[Item]]),"",_xlfn.XLOOKUP(Log[[#This Row],[Item]],Calories[Name],Calories[Sodium])*Log[[#This Row],[Qty]])</f>
        <v/>
      </c>
      <c r="K822" s="71" t="str">
        <f>IF(ISBLANK(Log[[#This Row],[Item]]),"",_xlfn.XLOOKUP(Log[[#This Row],[Item]],Calories[Name],Calories[Protein])*Log[[#This Row],[Qty]])</f>
        <v/>
      </c>
      <c r="L822" s="71" t="str">
        <f>IF(ISBLANK(Log[[#This Row],[Item]]),"",_xlfn.XLOOKUP(Log[[#This Row],[Item]],Calories[Name],Calories[Chol.])*Log[[#This Row],[Qty]])</f>
        <v/>
      </c>
      <c r="M822" s="75"/>
      <c r="N822" s="75"/>
      <c r="O822" s="75"/>
    </row>
    <row r="823" spans="1:15" s="66" customFormat="1" ht="25.15" customHeight="1">
      <c r="A823" s="75"/>
      <c r="B823" s="98"/>
      <c r="C823" s="78"/>
      <c r="D823" s="79"/>
      <c r="E823" s="76" t="str">
        <f>IF(ISBLANK(Log[[#This Row],[Item]]),"",_xlfn.XLOOKUP(Log[[#This Row],[Item]],Calories[Name],Calories[Unit]))</f>
        <v/>
      </c>
      <c r="F823" s="65" t="str">
        <f>IF(ISBLANK(Log[[#This Row],[Item]]),"",_xlfn.XLOOKUP(Log[[#This Row],[Item]],Calories[Name],Calories[Cals])*Log[[#This Row],[Qty]])</f>
        <v/>
      </c>
      <c r="G823" s="71" t="str">
        <f>IF(ISBLANK(Log[[#This Row],[Item]]),"",_xlfn.XLOOKUP(Log[[#This Row],[Item]],Calories[Name],Calories[Carbs])*Log[[#This Row],[Qty]])</f>
        <v/>
      </c>
      <c r="H823" s="71" t="str">
        <f>IF(ISBLANK(Log[[#This Row],[Item]]),"",_xlfn.XLOOKUP(Log[[#This Row],[Item]],Calories[Name],Calories[Fibre])*Log[[#This Row],[Qty]])</f>
        <v/>
      </c>
      <c r="I823" s="71" t="str">
        <f>IF(ISBLANK(Log[[#This Row],[Item]]),"",(Log[[#This Row],[Carbs]]-Log[[#This Row],[Fibre]]))</f>
        <v/>
      </c>
      <c r="J823" s="103" t="str">
        <f>IF(ISBLANK(Log[[#This Row],[Item]]),"",_xlfn.XLOOKUP(Log[[#This Row],[Item]],Calories[Name],Calories[Sodium])*Log[[#This Row],[Qty]])</f>
        <v/>
      </c>
      <c r="K823" s="71" t="str">
        <f>IF(ISBLANK(Log[[#This Row],[Item]]),"",_xlfn.XLOOKUP(Log[[#This Row],[Item]],Calories[Name],Calories[Protein])*Log[[#This Row],[Qty]])</f>
        <v/>
      </c>
      <c r="L823" s="71" t="str">
        <f>IF(ISBLANK(Log[[#This Row],[Item]]),"",_xlfn.XLOOKUP(Log[[#This Row],[Item]],Calories[Name],Calories[Chol.])*Log[[#This Row],[Qty]])</f>
        <v/>
      </c>
      <c r="M823" s="75"/>
      <c r="N823" s="75"/>
      <c r="O823" s="75"/>
    </row>
    <row r="824" spans="1:15" s="66" customFormat="1" ht="25.15" customHeight="1">
      <c r="A824" s="75"/>
      <c r="B824" s="98"/>
      <c r="C824" s="78"/>
      <c r="D824" s="79"/>
      <c r="E824" s="76" t="str">
        <f>IF(ISBLANK(Log[[#This Row],[Item]]),"",_xlfn.XLOOKUP(Log[[#This Row],[Item]],Calories[Name],Calories[Unit]))</f>
        <v/>
      </c>
      <c r="F824" s="65" t="str">
        <f>IF(ISBLANK(Log[[#This Row],[Item]]),"",_xlfn.XLOOKUP(Log[[#This Row],[Item]],Calories[Name],Calories[Cals])*Log[[#This Row],[Qty]])</f>
        <v/>
      </c>
      <c r="G824" s="71" t="str">
        <f>IF(ISBLANK(Log[[#This Row],[Item]]),"",_xlfn.XLOOKUP(Log[[#This Row],[Item]],Calories[Name],Calories[Carbs])*Log[[#This Row],[Qty]])</f>
        <v/>
      </c>
      <c r="H824" s="71" t="str">
        <f>IF(ISBLANK(Log[[#This Row],[Item]]),"",_xlfn.XLOOKUP(Log[[#This Row],[Item]],Calories[Name],Calories[Fibre])*Log[[#This Row],[Qty]])</f>
        <v/>
      </c>
      <c r="I824" s="71" t="str">
        <f>IF(ISBLANK(Log[[#This Row],[Item]]),"",(Log[[#This Row],[Carbs]]-Log[[#This Row],[Fibre]]))</f>
        <v/>
      </c>
      <c r="J824" s="103" t="str">
        <f>IF(ISBLANK(Log[[#This Row],[Item]]),"",_xlfn.XLOOKUP(Log[[#This Row],[Item]],Calories[Name],Calories[Sodium])*Log[[#This Row],[Qty]])</f>
        <v/>
      </c>
      <c r="K824" s="71" t="str">
        <f>IF(ISBLANK(Log[[#This Row],[Item]]),"",_xlfn.XLOOKUP(Log[[#This Row],[Item]],Calories[Name],Calories[Protein])*Log[[#This Row],[Qty]])</f>
        <v/>
      </c>
      <c r="L824" s="71" t="str">
        <f>IF(ISBLANK(Log[[#This Row],[Item]]),"",_xlfn.XLOOKUP(Log[[#This Row],[Item]],Calories[Name],Calories[Chol.])*Log[[#This Row],[Qty]])</f>
        <v/>
      </c>
      <c r="M824" s="75"/>
      <c r="N824" s="75"/>
      <c r="O824" s="75"/>
    </row>
    <row r="825" spans="1:15" s="66" customFormat="1" ht="25.15" customHeight="1">
      <c r="A825" s="75"/>
      <c r="B825" s="98"/>
      <c r="C825" s="78"/>
      <c r="D825" s="79"/>
      <c r="E825" s="76" t="str">
        <f>IF(ISBLANK(Log[[#This Row],[Item]]),"",_xlfn.XLOOKUP(Log[[#This Row],[Item]],Calories[Name],Calories[Unit]))</f>
        <v/>
      </c>
      <c r="F825" s="65" t="str">
        <f>IF(ISBLANK(Log[[#This Row],[Item]]),"",_xlfn.XLOOKUP(Log[[#This Row],[Item]],Calories[Name],Calories[Cals])*Log[[#This Row],[Qty]])</f>
        <v/>
      </c>
      <c r="G825" s="71" t="str">
        <f>IF(ISBLANK(Log[[#This Row],[Item]]),"",_xlfn.XLOOKUP(Log[[#This Row],[Item]],Calories[Name],Calories[Carbs])*Log[[#This Row],[Qty]])</f>
        <v/>
      </c>
      <c r="H825" s="71" t="str">
        <f>IF(ISBLANK(Log[[#This Row],[Item]]),"",_xlfn.XLOOKUP(Log[[#This Row],[Item]],Calories[Name],Calories[Fibre])*Log[[#This Row],[Qty]])</f>
        <v/>
      </c>
      <c r="I825" s="71" t="str">
        <f>IF(ISBLANK(Log[[#This Row],[Item]]),"",(Log[[#This Row],[Carbs]]-Log[[#This Row],[Fibre]]))</f>
        <v/>
      </c>
      <c r="J825" s="103" t="str">
        <f>IF(ISBLANK(Log[[#This Row],[Item]]),"",_xlfn.XLOOKUP(Log[[#This Row],[Item]],Calories[Name],Calories[Sodium])*Log[[#This Row],[Qty]])</f>
        <v/>
      </c>
      <c r="K825" s="71" t="str">
        <f>IF(ISBLANK(Log[[#This Row],[Item]]),"",_xlfn.XLOOKUP(Log[[#This Row],[Item]],Calories[Name],Calories[Protein])*Log[[#This Row],[Qty]])</f>
        <v/>
      </c>
      <c r="L825" s="71" t="str">
        <f>IF(ISBLANK(Log[[#This Row],[Item]]),"",_xlfn.XLOOKUP(Log[[#This Row],[Item]],Calories[Name],Calories[Chol.])*Log[[#This Row],[Qty]])</f>
        <v/>
      </c>
      <c r="M825" s="75"/>
      <c r="N825" s="75"/>
      <c r="O825" s="75"/>
    </row>
    <row r="826" spans="1:15" s="66" customFormat="1" ht="25.15" customHeight="1">
      <c r="A826" s="75"/>
      <c r="B826" s="98"/>
      <c r="C826" s="78"/>
      <c r="D826" s="79"/>
      <c r="E826" s="76" t="str">
        <f>IF(ISBLANK(Log[[#This Row],[Item]]),"",_xlfn.XLOOKUP(Log[[#This Row],[Item]],Calories[Name],Calories[Unit]))</f>
        <v/>
      </c>
      <c r="F826" s="65" t="str">
        <f>IF(ISBLANK(Log[[#This Row],[Item]]),"",_xlfn.XLOOKUP(Log[[#This Row],[Item]],Calories[Name],Calories[Cals])*Log[[#This Row],[Qty]])</f>
        <v/>
      </c>
      <c r="G826" s="71" t="str">
        <f>IF(ISBLANK(Log[[#This Row],[Item]]),"",_xlfn.XLOOKUP(Log[[#This Row],[Item]],Calories[Name],Calories[Carbs])*Log[[#This Row],[Qty]])</f>
        <v/>
      </c>
      <c r="H826" s="71" t="str">
        <f>IF(ISBLANK(Log[[#This Row],[Item]]),"",_xlfn.XLOOKUP(Log[[#This Row],[Item]],Calories[Name],Calories[Fibre])*Log[[#This Row],[Qty]])</f>
        <v/>
      </c>
      <c r="I826" s="71" t="str">
        <f>IF(ISBLANK(Log[[#This Row],[Item]]),"",(Log[[#This Row],[Carbs]]-Log[[#This Row],[Fibre]]))</f>
        <v/>
      </c>
      <c r="J826" s="103" t="str">
        <f>IF(ISBLANK(Log[[#This Row],[Item]]),"",_xlfn.XLOOKUP(Log[[#This Row],[Item]],Calories[Name],Calories[Sodium])*Log[[#This Row],[Qty]])</f>
        <v/>
      </c>
      <c r="K826" s="71" t="str">
        <f>IF(ISBLANK(Log[[#This Row],[Item]]),"",_xlfn.XLOOKUP(Log[[#This Row],[Item]],Calories[Name],Calories[Protein])*Log[[#This Row],[Qty]])</f>
        <v/>
      </c>
      <c r="L826" s="71" t="str">
        <f>IF(ISBLANK(Log[[#This Row],[Item]]),"",_xlfn.XLOOKUP(Log[[#This Row],[Item]],Calories[Name],Calories[Chol.])*Log[[#This Row],[Qty]])</f>
        <v/>
      </c>
      <c r="M826" s="75"/>
      <c r="N826" s="75"/>
      <c r="O826" s="75"/>
    </row>
    <row r="827" spans="1:15" s="66" customFormat="1" ht="25.15" customHeight="1">
      <c r="A827" s="75"/>
      <c r="B827" s="98"/>
      <c r="C827" s="78"/>
      <c r="D827" s="79"/>
      <c r="E827" s="76" t="str">
        <f>IF(ISBLANK(Log[[#This Row],[Item]]),"",_xlfn.XLOOKUP(Log[[#This Row],[Item]],Calories[Name],Calories[Unit]))</f>
        <v/>
      </c>
      <c r="F827" s="65" t="str">
        <f>IF(ISBLANK(Log[[#This Row],[Item]]),"",_xlfn.XLOOKUP(Log[[#This Row],[Item]],Calories[Name],Calories[Cals])*Log[[#This Row],[Qty]])</f>
        <v/>
      </c>
      <c r="G827" s="71" t="str">
        <f>IF(ISBLANK(Log[[#This Row],[Item]]),"",_xlfn.XLOOKUP(Log[[#This Row],[Item]],Calories[Name],Calories[Carbs])*Log[[#This Row],[Qty]])</f>
        <v/>
      </c>
      <c r="H827" s="71" t="str">
        <f>IF(ISBLANK(Log[[#This Row],[Item]]),"",_xlfn.XLOOKUP(Log[[#This Row],[Item]],Calories[Name],Calories[Fibre])*Log[[#This Row],[Qty]])</f>
        <v/>
      </c>
      <c r="I827" s="71" t="str">
        <f>IF(ISBLANK(Log[[#This Row],[Item]]),"",(Log[[#This Row],[Carbs]]-Log[[#This Row],[Fibre]]))</f>
        <v/>
      </c>
      <c r="J827" s="103" t="str">
        <f>IF(ISBLANK(Log[[#This Row],[Item]]),"",_xlfn.XLOOKUP(Log[[#This Row],[Item]],Calories[Name],Calories[Sodium])*Log[[#This Row],[Qty]])</f>
        <v/>
      </c>
      <c r="K827" s="71" t="str">
        <f>IF(ISBLANK(Log[[#This Row],[Item]]),"",_xlfn.XLOOKUP(Log[[#This Row],[Item]],Calories[Name],Calories[Protein])*Log[[#This Row],[Qty]])</f>
        <v/>
      </c>
      <c r="L827" s="71" t="str">
        <f>IF(ISBLANK(Log[[#This Row],[Item]]),"",_xlfn.XLOOKUP(Log[[#This Row],[Item]],Calories[Name],Calories[Chol.])*Log[[#This Row],[Qty]])</f>
        <v/>
      </c>
      <c r="M827" s="75"/>
      <c r="N827" s="75"/>
      <c r="O827" s="75"/>
    </row>
    <row r="828" spans="1:15" s="66" customFormat="1" ht="25.15" customHeight="1">
      <c r="A828" s="75"/>
      <c r="B828" s="98"/>
      <c r="C828" s="78"/>
      <c r="D828" s="79"/>
      <c r="E828" s="76" t="str">
        <f>IF(ISBLANK(Log[[#This Row],[Item]]),"",_xlfn.XLOOKUP(Log[[#This Row],[Item]],Calories[Name],Calories[Unit]))</f>
        <v/>
      </c>
      <c r="F828" s="65" t="str">
        <f>IF(ISBLANK(Log[[#This Row],[Item]]),"",_xlfn.XLOOKUP(Log[[#This Row],[Item]],Calories[Name],Calories[Cals])*Log[[#This Row],[Qty]])</f>
        <v/>
      </c>
      <c r="G828" s="71" t="str">
        <f>IF(ISBLANK(Log[[#This Row],[Item]]),"",_xlfn.XLOOKUP(Log[[#This Row],[Item]],Calories[Name],Calories[Carbs])*Log[[#This Row],[Qty]])</f>
        <v/>
      </c>
      <c r="H828" s="71" t="str">
        <f>IF(ISBLANK(Log[[#This Row],[Item]]),"",_xlfn.XLOOKUP(Log[[#This Row],[Item]],Calories[Name],Calories[Fibre])*Log[[#This Row],[Qty]])</f>
        <v/>
      </c>
      <c r="I828" s="71" t="str">
        <f>IF(ISBLANK(Log[[#This Row],[Item]]),"",(Log[[#This Row],[Carbs]]-Log[[#This Row],[Fibre]]))</f>
        <v/>
      </c>
      <c r="J828" s="103" t="str">
        <f>IF(ISBLANK(Log[[#This Row],[Item]]),"",_xlfn.XLOOKUP(Log[[#This Row],[Item]],Calories[Name],Calories[Sodium])*Log[[#This Row],[Qty]])</f>
        <v/>
      </c>
      <c r="K828" s="71" t="str">
        <f>IF(ISBLANK(Log[[#This Row],[Item]]),"",_xlfn.XLOOKUP(Log[[#This Row],[Item]],Calories[Name],Calories[Protein])*Log[[#This Row],[Qty]])</f>
        <v/>
      </c>
      <c r="L828" s="71" t="str">
        <f>IF(ISBLANK(Log[[#This Row],[Item]]),"",_xlfn.XLOOKUP(Log[[#This Row],[Item]],Calories[Name],Calories[Chol.])*Log[[#This Row],[Qty]])</f>
        <v/>
      </c>
      <c r="M828" s="75"/>
      <c r="N828" s="75"/>
      <c r="O828" s="75"/>
    </row>
    <row r="829" spans="1:15" s="66" customFormat="1" ht="25.15" customHeight="1">
      <c r="A829" s="75"/>
      <c r="B829" s="98"/>
      <c r="C829" s="78"/>
      <c r="D829" s="79"/>
      <c r="E829" s="76" t="str">
        <f>IF(ISBLANK(Log[[#This Row],[Item]]),"",_xlfn.XLOOKUP(Log[[#This Row],[Item]],Calories[Name],Calories[Unit]))</f>
        <v/>
      </c>
      <c r="F829" s="65" t="str">
        <f>IF(ISBLANK(Log[[#This Row],[Item]]),"",_xlfn.XLOOKUP(Log[[#This Row],[Item]],Calories[Name],Calories[Cals])*Log[[#This Row],[Qty]])</f>
        <v/>
      </c>
      <c r="G829" s="71" t="str">
        <f>IF(ISBLANK(Log[[#This Row],[Item]]),"",_xlfn.XLOOKUP(Log[[#This Row],[Item]],Calories[Name],Calories[Carbs])*Log[[#This Row],[Qty]])</f>
        <v/>
      </c>
      <c r="H829" s="71" t="str">
        <f>IF(ISBLANK(Log[[#This Row],[Item]]),"",_xlfn.XLOOKUP(Log[[#This Row],[Item]],Calories[Name],Calories[Fibre])*Log[[#This Row],[Qty]])</f>
        <v/>
      </c>
      <c r="I829" s="71" t="str">
        <f>IF(ISBLANK(Log[[#This Row],[Item]]),"",(Log[[#This Row],[Carbs]]-Log[[#This Row],[Fibre]]))</f>
        <v/>
      </c>
      <c r="J829" s="103" t="str">
        <f>IF(ISBLANK(Log[[#This Row],[Item]]),"",_xlfn.XLOOKUP(Log[[#This Row],[Item]],Calories[Name],Calories[Sodium])*Log[[#This Row],[Qty]])</f>
        <v/>
      </c>
      <c r="K829" s="71" t="str">
        <f>IF(ISBLANK(Log[[#This Row],[Item]]),"",_xlfn.XLOOKUP(Log[[#This Row],[Item]],Calories[Name],Calories[Protein])*Log[[#This Row],[Qty]])</f>
        <v/>
      </c>
      <c r="L829" s="71" t="str">
        <f>IF(ISBLANK(Log[[#This Row],[Item]]),"",_xlfn.XLOOKUP(Log[[#This Row],[Item]],Calories[Name],Calories[Chol.])*Log[[#This Row],[Qty]])</f>
        <v/>
      </c>
      <c r="M829" s="75"/>
      <c r="N829" s="75"/>
      <c r="O829" s="75"/>
    </row>
    <row r="830" spans="1:15" s="66" customFormat="1" ht="25.15" customHeight="1">
      <c r="A830" s="75"/>
      <c r="B830" s="98"/>
      <c r="C830" s="78"/>
      <c r="D830" s="79"/>
      <c r="E830" s="76" t="str">
        <f>IF(ISBLANK(Log[[#This Row],[Item]]),"",_xlfn.XLOOKUP(Log[[#This Row],[Item]],Calories[Name],Calories[Unit]))</f>
        <v/>
      </c>
      <c r="F830" s="65" t="str">
        <f>IF(ISBLANK(Log[[#This Row],[Item]]),"",_xlfn.XLOOKUP(Log[[#This Row],[Item]],Calories[Name],Calories[Cals])*Log[[#This Row],[Qty]])</f>
        <v/>
      </c>
      <c r="G830" s="71" t="str">
        <f>IF(ISBLANK(Log[[#This Row],[Item]]),"",_xlfn.XLOOKUP(Log[[#This Row],[Item]],Calories[Name],Calories[Carbs])*Log[[#This Row],[Qty]])</f>
        <v/>
      </c>
      <c r="H830" s="71" t="str">
        <f>IF(ISBLANK(Log[[#This Row],[Item]]),"",_xlfn.XLOOKUP(Log[[#This Row],[Item]],Calories[Name],Calories[Fibre])*Log[[#This Row],[Qty]])</f>
        <v/>
      </c>
      <c r="I830" s="71" t="str">
        <f>IF(ISBLANK(Log[[#This Row],[Item]]),"",(Log[[#This Row],[Carbs]]-Log[[#This Row],[Fibre]]))</f>
        <v/>
      </c>
      <c r="J830" s="103" t="str">
        <f>IF(ISBLANK(Log[[#This Row],[Item]]),"",_xlfn.XLOOKUP(Log[[#This Row],[Item]],Calories[Name],Calories[Sodium])*Log[[#This Row],[Qty]])</f>
        <v/>
      </c>
      <c r="K830" s="71" t="str">
        <f>IF(ISBLANK(Log[[#This Row],[Item]]),"",_xlfn.XLOOKUP(Log[[#This Row],[Item]],Calories[Name],Calories[Protein])*Log[[#This Row],[Qty]])</f>
        <v/>
      </c>
      <c r="L830" s="71" t="str">
        <f>IF(ISBLANK(Log[[#This Row],[Item]]),"",_xlfn.XLOOKUP(Log[[#This Row],[Item]],Calories[Name],Calories[Chol.])*Log[[#This Row],[Qty]])</f>
        <v/>
      </c>
      <c r="M830" s="75"/>
      <c r="N830" s="75"/>
      <c r="O830" s="75"/>
    </row>
    <row r="831" spans="1:15" s="66" customFormat="1" ht="25.15" customHeight="1">
      <c r="A831" s="75"/>
      <c r="B831" s="98"/>
      <c r="C831" s="78"/>
      <c r="D831" s="79"/>
      <c r="E831" s="76" t="str">
        <f>IF(ISBLANK(Log[[#This Row],[Item]]),"",_xlfn.XLOOKUP(Log[[#This Row],[Item]],Calories[Name],Calories[Unit]))</f>
        <v/>
      </c>
      <c r="F831" s="65" t="str">
        <f>IF(ISBLANK(Log[[#This Row],[Item]]),"",_xlfn.XLOOKUP(Log[[#This Row],[Item]],Calories[Name],Calories[Cals])*Log[[#This Row],[Qty]])</f>
        <v/>
      </c>
      <c r="G831" s="71" t="str">
        <f>IF(ISBLANK(Log[[#This Row],[Item]]),"",_xlfn.XLOOKUP(Log[[#This Row],[Item]],Calories[Name],Calories[Carbs])*Log[[#This Row],[Qty]])</f>
        <v/>
      </c>
      <c r="H831" s="71" t="str">
        <f>IF(ISBLANK(Log[[#This Row],[Item]]),"",_xlfn.XLOOKUP(Log[[#This Row],[Item]],Calories[Name],Calories[Fibre])*Log[[#This Row],[Qty]])</f>
        <v/>
      </c>
      <c r="I831" s="71" t="str">
        <f>IF(ISBLANK(Log[[#This Row],[Item]]),"",(Log[[#This Row],[Carbs]]-Log[[#This Row],[Fibre]]))</f>
        <v/>
      </c>
      <c r="J831" s="103" t="str">
        <f>IF(ISBLANK(Log[[#This Row],[Item]]),"",_xlfn.XLOOKUP(Log[[#This Row],[Item]],Calories[Name],Calories[Sodium])*Log[[#This Row],[Qty]])</f>
        <v/>
      </c>
      <c r="K831" s="71" t="str">
        <f>IF(ISBLANK(Log[[#This Row],[Item]]),"",_xlfn.XLOOKUP(Log[[#This Row],[Item]],Calories[Name],Calories[Protein])*Log[[#This Row],[Qty]])</f>
        <v/>
      </c>
      <c r="L831" s="71" t="str">
        <f>IF(ISBLANK(Log[[#This Row],[Item]]),"",_xlfn.XLOOKUP(Log[[#This Row],[Item]],Calories[Name],Calories[Chol.])*Log[[#This Row],[Qty]])</f>
        <v/>
      </c>
      <c r="M831" s="75"/>
      <c r="N831" s="75"/>
      <c r="O831" s="75"/>
    </row>
    <row r="832" spans="1:15" s="66" customFormat="1" ht="25.15" customHeight="1">
      <c r="A832" s="75"/>
      <c r="B832" s="98"/>
      <c r="C832" s="78"/>
      <c r="D832" s="79"/>
      <c r="E832" s="76" t="str">
        <f>IF(ISBLANK(Log[[#This Row],[Item]]),"",_xlfn.XLOOKUP(Log[[#This Row],[Item]],Calories[Name],Calories[Unit]))</f>
        <v/>
      </c>
      <c r="F832" s="65" t="str">
        <f>IF(ISBLANK(Log[[#This Row],[Item]]),"",_xlfn.XLOOKUP(Log[[#This Row],[Item]],Calories[Name],Calories[Cals])*Log[[#This Row],[Qty]])</f>
        <v/>
      </c>
      <c r="G832" s="71" t="str">
        <f>IF(ISBLANK(Log[[#This Row],[Item]]),"",_xlfn.XLOOKUP(Log[[#This Row],[Item]],Calories[Name],Calories[Carbs])*Log[[#This Row],[Qty]])</f>
        <v/>
      </c>
      <c r="H832" s="71" t="str">
        <f>IF(ISBLANK(Log[[#This Row],[Item]]),"",_xlfn.XLOOKUP(Log[[#This Row],[Item]],Calories[Name],Calories[Fibre])*Log[[#This Row],[Qty]])</f>
        <v/>
      </c>
      <c r="I832" s="71" t="str">
        <f>IF(ISBLANK(Log[[#This Row],[Item]]),"",(Log[[#This Row],[Carbs]]-Log[[#This Row],[Fibre]]))</f>
        <v/>
      </c>
      <c r="J832" s="103" t="str">
        <f>IF(ISBLANK(Log[[#This Row],[Item]]),"",_xlfn.XLOOKUP(Log[[#This Row],[Item]],Calories[Name],Calories[Sodium])*Log[[#This Row],[Qty]])</f>
        <v/>
      </c>
      <c r="K832" s="71" t="str">
        <f>IF(ISBLANK(Log[[#This Row],[Item]]),"",_xlfn.XLOOKUP(Log[[#This Row],[Item]],Calories[Name],Calories[Protein])*Log[[#This Row],[Qty]])</f>
        <v/>
      </c>
      <c r="L832" s="71" t="str">
        <f>IF(ISBLANK(Log[[#This Row],[Item]]),"",_xlfn.XLOOKUP(Log[[#This Row],[Item]],Calories[Name],Calories[Chol.])*Log[[#This Row],[Qty]])</f>
        <v/>
      </c>
      <c r="M832" s="75"/>
      <c r="N832" s="75"/>
      <c r="O832" s="75"/>
    </row>
    <row r="833" spans="1:15" s="66" customFormat="1" ht="25.15" customHeight="1">
      <c r="A833" s="75"/>
      <c r="B833" s="98"/>
      <c r="C833" s="78"/>
      <c r="D833" s="79"/>
      <c r="E833" s="76" t="str">
        <f>IF(ISBLANK(Log[[#This Row],[Item]]),"",_xlfn.XLOOKUP(Log[[#This Row],[Item]],Calories[Name],Calories[Unit]))</f>
        <v/>
      </c>
      <c r="F833" s="65" t="str">
        <f>IF(ISBLANK(Log[[#This Row],[Item]]),"",_xlfn.XLOOKUP(Log[[#This Row],[Item]],Calories[Name],Calories[Cals])*Log[[#This Row],[Qty]])</f>
        <v/>
      </c>
      <c r="G833" s="71" t="str">
        <f>IF(ISBLANK(Log[[#This Row],[Item]]),"",_xlfn.XLOOKUP(Log[[#This Row],[Item]],Calories[Name],Calories[Carbs])*Log[[#This Row],[Qty]])</f>
        <v/>
      </c>
      <c r="H833" s="71" t="str">
        <f>IF(ISBLANK(Log[[#This Row],[Item]]),"",_xlfn.XLOOKUP(Log[[#This Row],[Item]],Calories[Name],Calories[Fibre])*Log[[#This Row],[Qty]])</f>
        <v/>
      </c>
      <c r="I833" s="71" t="str">
        <f>IF(ISBLANK(Log[[#This Row],[Item]]),"",(Log[[#This Row],[Carbs]]-Log[[#This Row],[Fibre]]))</f>
        <v/>
      </c>
      <c r="J833" s="103" t="str">
        <f>IF(ISBLANK(Log[[#This Row],[Item]]),"",_xlfn.XLOOKUP(Log[[#This Row],[Item]],Calories[Name],Calories[Sodium])*Log[[#This Row],[Qty]])</f>
        <v/>
      </c>
      <c r="K833" s="71" t="str">
        <f>IF(ISBLANK(Log[[#This Row],[Item]]),"",_xlfn.XLOOKUP(Log[[#This Row],[Item]],Calories[Name],Calories[Protein])*Log[[#This Row],[Qty]])</f>
        <v/>
      </c>
      <c r="L833" s="71" t="str">
        <f>IF(ISBLANK(Log[[#This Row],[Item]]),"",_xlfn.XLOOKUP(Log[[#This Row],[Item]],Calories[Name],Calories[Chol.])*Log[[#This Row],[Qty]])</f>
        <v/>
      </c>
      <c r="M833" s="75"/>
      <c r="N833" s="75"/>
      <c r="O833" s="75"/>
    </row>
    <row r="834" spans="1:15" s="66" customFormat="1" ht="25.15" customHeight="1">
      <c r="A834" s="75"/>
      <c r="B834" s="98"/>
      <c r="C834" s="78"/>
      <c r="D834" s="79"/>
      <c r="E834" s="76" t="str">
        <f>IF(ISBLANK(Log[[#This Row],[Item]]),"",_xlfn.XLOOKUP(Log[[#This Row],[Item]],Calories[Name],Calories[Unit]))</f>
        <v/>
      </c>
      <c r="F834" s="65" t="str">
        <f>IF(ISBLANK(Log[[#This Row],[Item]]),"",_xlfn.XLOOKUP(Log[[#This Row],[Item]],Calories[Name],Calories[Cals])*Log[[#This Row],[Qty]])</f>
        <v/>
      </c>
      <c r="G834" s="71" t="str">
        <f>IF(ISBLANK(Log[[#This Row],[Item]]),"",_xlfn.XLOOKUP(Log[[#This Row],[Item]],Calories[Name],Calories[Carbs])*Log[[#This Row],[Qty]])</f>
        <v/>
      </c>
      <c r="H834" s="71" t="str">
        <f>IF(ISBLANK(Log[[#This Row],[Item]]),"",_xlfn.XLOOKUP(Log[[#This Row],[Item]],Calories[Name],Calories[Fibre])*Log[[#This Row],[Qty]])</f>
        <v/>
      </c>
      <c r="I834" s="71" t="str">
        <f>IF(ISBLANK(Log[[#This Row],[Item]]),"",(Log[[#This Row],[Carbs]]-Log[[#This Row],[Fibre]]))</f>
        <v/>
      </c>
      <c r="J834" s="103" t="str">
        <f>IF(ISBLANK(Log[[#This Row],[Item]]),"",_xlfn.XLOOKUP(Log[[#This Row],[Item]],Calories[Name],Calories[Sodium])*Log[[#This Row],[Qty]])</f>
        <v/>
      </c>
      <c r="K834" s="71" t="str">
        <f>IF(ISBLANK(Log[[#This Row],[Item]]),"",_xlfn.XLOOKUP(Log[[#This Row],[Item]],Calories[Name],Calories[Protein])*Log[[#This Row],[Qty]])</f>
        <v/>
      </c>
      <c r="L834" s="71" t="str">
        <f>IF(ISBLANK(Log[[#This Row],[Item]]),"",_xlfn.XLOOKUP(Log[[#This Row],[Item]],Calories[Name],Calories[Chol.])*Log[[#This Row],[Qty]])</f>
        <v/>
      </c>
      <c r="M834" s="75"/>
      <c r="N834" s="75"/>
      <c r="O834" s="75"/>
    </row>
    <row r="835" spans="1:15" s="66" customFormat="1" ht="25.15" customHeight="1">
      <c r="A835" s="75"/>
      <c r="B835" s="98"/>
      <c r="C835" s="78"/>
      <c r="D835" s="79"/>
      <c r="E835" s="76" t="str">
        <f>IF(ISBLANK(Log[[#This Row],[Item]]),"",_xlfn.XLOOKUP(Log[[#This Row],[Item]],Calories[Name],Calories[Unit]))</f>
        <v/>
      </c>
      <c r="F835" s="65" t="str">
        <f>IF(ISBLANK(Log[[#This Row],[Item]]),"",_xlfn.XLOOKUP(Log[[#This Row],[Item]],Calories[Name],Calories[Cals])*Log[[#This Row],[Qty]])</f>
        <v/>
      </c>
      <c r="G835" s="71" t="str">
        <f>IF(ISBLANK(Log[[#This Row],[Item]]),"",_xlfn.XLOOKUP(Log[[#This Row],[Item]],Calories[Name],Calories[Carbs])*Log[[#This Row],[Qty]])</f>
        <v/>
      </c>
      <c r="H835" s="71" t="str">
        <f>IF(ISBLANK(Log[[#This Row],[Item]]),"",_xlfn.XLOOKUP(Log[[#This Row],[Item]],Calories[Name],Calories[Fibre])*Log[[#This Row],[Qty]])</f>
        <v/>
      </c>
      <c r="I835" s="71" t="str">
        <f>IF(ISBLANK(Log[[#This Row],[Item]]),"",(Log[[#This Row],[Carbs]]-Log[[#This Row],[Fibre]]))</f>
        <v/>
      </c>
      <c r="J835" s="103" t="str">
        <f>IF(ISBLANK(Log[[#This Row],[Item]]),"",_xlfn.XLOOKUP(Log[[#This Row],[Item]],Calories[Name],Calories[Sodium])*Log[[#This Row],[Qty]])</f>
        <v/>
      </c>
      <c r="K835" s="71" t="str">
        <f>IF(ISBLANK(Log[[#This Row],[Item]]),"",_xlfn.XLOOKUP(Log[[#This Row],[Item]],Calories[Name],Calories[Protein])*Log[[#This Row],[Qty]])</f>
        <v/>
      </c>
      <c r="L835" s="71" t="str">
        <f>IF(ISBLANK(Log[[#This Row],[Item]]),"",_xlfn.XLOOKUP(Log[[#This Row],[Item]],Calories[Name],Calories[Chol.])*Log[[#This Row],[Qty]])</f>
        <v/>
      </c>
      <c r="M835" s="75"/>
      <c r="N835" s="75"/>
      <c r="O835" s="75"/>
    </row>
    <row r="836" spans="1:15" s="66" customFormat="1" ht="25.15" customHeight="1">
      <c r="A836" s="75"/>
      <c r="B836" s="98"/>
      <c r="C836" s="78"/>
      <c r="D836" s="79"/>
      <c r="E836" s="76" t="str">
        <f>IF(ISBLANK(Log[[#This Row],[Item]]),"",_xlfn.XLOOKUP(Log[[#This Row],[Item]],Calories[Name],Calories[Unit]))</f>
        <v/>
      </c>
      <c r="F836" s="65" t="str">
        <f>IF(ISBLANK(Log[[#This Row],[Item]]),"",_xlfn.XLOOKUP(Log[[#This Row],[Item]],Calories[Name],Calories[Cals])*Log[[#This Row],[Qty]])</f>
        <v/>
      </c>
      <c r="G836" s="71" t="str">
        <f>IF(ISBLANK(Log[[#This Row],[Item]]),"",_xlfn.XLOOKUP(Log[[#This Row],[Item]],Calories[Name],Calories[Carbs])*Log[[#This Row],[Qty]])</f>
        <v/>
      </c>
      <c r="H836" s="71" t="str">
        <f>IF(ISBLANK(Log[[#This Row],[Item]]),"",_xlfn.XLOOKUP(Log[[#This Row],[Item]],Calories[Name],Calories[Fibre])*Log[[#This Row],[Qty]])</f>
        <v/>
      </c>
      <c r="I836" s="71" t="str">
        <f>IF(ISBLANK(Log[[#This Row],[Item]]),"",(Log[[#This Row],[Carbs]]-Log[[#This Row],[Fibre]]))</f>
        <v/>
      </c>
      <c r="J836" s="103" t="str">
        <f>IF(ISBLANK(Log[[#This Row],[Item]]),"",_xlfn.XLOOKUP(Log[[#This Row],[Item]],Calories[Name],Calories[Sodium])*Log[[#This Row],[Qty]])</f>
        <v/>
      </c>
      <c r="K836" s="71" t="str">
        <f>IF(ISBLANK(Log[[#This Row],[Item]]),"",_xlfn.XLOOKUP(Log[[#This Row],[Item]],Calories[Name],Calories[Protein])*Log[[#This Row],[Qty]])</f>
        <v/>
      </c>
      <c r="L836" s="71" t="str">
        <f>IF(ISBLANK(Log[[#This Row],[Item]]),"",_xlfn.XLOOKUP(Log[[#This Row],[Item]],Calories[Name],Calories[Chol.])*Log[[#This Row],[Qty]])</f>
        <v/>
      </c>
      <c r="M836" s="75"/>
      <c r="N836" s="75"/>
      <c r="O836" s="75"/>
    </row>
    <row r="837" spans="1:15" s="66" customFormat="1" ht="25.15" customHeight="1">
      <c r="A837" s="75"/>
      <c r="B837" s="98"/>
      <c r="C837" s="78"/>
      <c r="D837" s="79"/>
      <c r="E837" s="76" t="str">
        <f>IF(ISBLANK(Log[[#This Row],[Item]]),"",_xlfn.XLOOKUP(Log[[#This Row],[Item]],Calories[Name],Calories[Unit]))</f>
        <v/>
      </c>
      <c r="F837" s="65" t="str">
        <f>IF(ISBLANK(Log[[#This Row],[Item]]),"",_xlfn.XLOOKUP(Log[[#This Row],[Item]],Calories[Name],Calories[Cals])*Log[[#This Row],[Qty]])</f>
        <v/>
      </c>
      <c r="G837" s="71" t="str">
        <f>IF(ISBLANK(Log[[#This Row],[Item]]),"",_xlfn.XLOOKUP(Log[[#This Row],[Item]],Calories[Name],Calories[Carbs])*Log[[#This Row],[Qty]])</f>
        <v/>
      </c>
      <c r="H837" s="71" t="str">
        <f>IF(ISBLANK(Log[[#This Row],[Item]]),"",_xlfn.XLOOKUP(Log[[#This Row],[Item]],Calories[Name],Calories[Fibre])*Log[[#This Row],[Qty]])</f>
        <v/>
      </c>
      <c r="I837" s="71" t="str">
        <f>IF(ISBLANK(Log[[#This Row],[Item]]),"",(Log[[#This Row],[Carbs]]-Log[[#This Row],[Fibre]]))</f>
        <v/>
      </c>
      <c r="J837" s="103" t="str">
        <f>IF(ISBLANK(Log[[#This Row],[Item]]),"",_xlfn.XLOOKUP(Log[[#This Row],[Item]],Calories[Name],Calories[Sodium])*Log[[#This Row],[Qty]])</f>
        <v/>
      </c>
      <c r="K837" s="71" t="str">
        <f>IF(ISBLANK(Log[[#This Row],[Item]]),"",_xlfn.XLOOKUP(Log[[#This Row],[Item]],Calories[Name],Calories[Protein])*Log[[#This Row],[Qty]])</f>
        <v/>
      </c>
      <c r="L837" s="71" t="str">
        <f>IF(ISBLANK(Log[[#This Row],[Item]]),"",_xlfn.XLOOKUP(Log[[#This Row],[Item]],Calories[Name],Calories[Chol.])*Log[[#This Row],[Qty]])</f>
        <v/>
      </c>
      <c r="M837" s="75"/>
      <c r="N837" s="75"/>
      <c r="O837" s="75"/>
    </row>
    <row r="838" spans="1:15" s="66" customFormat="1" ht="25.15" customHeight="1">
      <c r="A838" s="75"/>
      <c r="B838" s="98"/>
      <c r="C838" s="78"/>
      <c r="D838" s="79"/>
      <c r="E838" s="76" t="str">
        <f>IF(ISBLANK(Log[[#This Row],[Item]]),"",_xlfn.XLOOKUP(Log[[#This Row],[Item]],Calories[Name],Calories[Unit]))</f>
        <v/>
      </c>
      <c r="F838" s="65" t="str">
        <f>IF(ISBLANK(Log[[#This Row],[Item]]),"",_xlfn.XLOOKUP(Log[[#This Row],[Item]],Calories[Name],Calories[Cals])*Log[[#This Row],[Qty]])</f>
        <v/>
      </c>
      <c r="G838" s="71" t="str">
        <f>IF(ISBLANK(Log[[#This Row],[Item]]),"",_xlfn.XLOOKUP(Log[[#This Row],[Item]],Calories[Name],Calories[Carbs])*Log[[#This Row],[Qty]])</f>
        <v/>
      </c>
      <c r="H838" s="71" t="str">
        <f>IF(ISBLANK(Log[[#This Row],[Item]]),"",_xlfn.XLOOKUP(Log[[#This Row],[Item]],Calories[Name],Calories[Fibre])*Log[[#This Row],[Qty]])</f>
        <v/>
      </c>
      <c r="I838" s="71" t="str">
        <f>IF(ISBLANK(Log[[#This Row],[Item]]),"",(Log[[#This Row],[Carbs]]-Log[[#This Row],[Fibre]]))</f>
        <v/>
      </c>
      <c r="J838" s="103" t="str">
        <f>IF(ISBLANK(Log[[#This Row],[Item]]),"",_xlfn.XLOOKUP(Log[[#This Row],[Item]],Calories[Name],Calories[Sodium])*Log[[#This Row],[Qty]])</f>
        <v/>
      </c>
      <c r="K838" s="71" t="str">
        <f>IF(ISBLANK(Log[[#This Row],[Item]]),"",_xlfn.XLOOKUP(Log[[#This Row],[Item]],Calories[Name],Calories[Protein])*Log[[#This Row],[Qty]])</f>
        <v/>
      </c>
      <c r="L838" s="71" t="str">
        <f>IF(ISBLANK(Log[[#This Row],[Item]]),"",_xlfn.XLOOKUP(Log[[#This Row],[Item]],Calories[Name],Calories[Chol.])*Log[[#This Row],[Qty]])</f>
        <v/>
      </c>
      <c r="M838" s="75"/>
      <c r="N838" s="75"/>
      <c r="O838" s="75"/>
    </row>
    <row r="839" spans="1:15" s="66" customFormat="1" ht="25.15" customHeight="1">
      <c r="A839" s="75"/>
      <c r="B839" s="98"/>
      <c r="C839" s="78"/>
      <c r="D839" s="79"/>
      <c r="E839" s="76" t="str">
        <f>IF(ISBLANK(Log[[#This Row],[Item]]),"",_xlfn.XLOOKUP(Log[[#This Row],[Item]],Calories[Name],Calories[Unit]))</f>
        <v/>
      </c>
      <c r="F839" s="65" t="str">
        <f>IF(ISBLANK(Log[[#This Row],[Item]]),"",_xlfn.XLOOKUP(Log[[#This Row],[Item]],Calories[Name],Calories[Cals])*Log[[#This Row],[Qty]])</f>
        <v/>
      </c>
      <c r="G839" s="71" t="str">
        <f>IF(ISBLANK(Log[[#This Row],[Item]]),"",_xlfn.XLOOKUP(Log[[#This Row],[Item]],Calories[Name],Calories[Carbs])*Log[[#This Row],[Qty]])</f>
        <v/>
      </c>
      <c r="H839" s="71" t="str">
        <f>IF(ISBLANK(Log[[#This Row],[Item]]),"",_xlfn.XLOOKUP(Log[[#This Row],[Item]],Calories[Name],Calories[Fibre])*Log[[#This Row],[Qty]])</f>
        <v/>
      </c>
      <c r="I839" s="71" t="str">
        <f>IF(ISBLANK(Log[[#This Row],[Item]]),"",(Log[[#This Row],[Carbs]]-Log[[#This Row],[Fibre]]))</f>
        <v/>
      </c>
      <c r="J839" s="103" t="str">
        <f>IF(ISBLANK(Log[[#This Row],[Item]]),"",_xlfn.XLOOKUP(Log[[#This Row],[Item]],Calories[Name],Calories[Sodium])*Log[[#This Row],[Qty]])</f>
        <v/>
      </c>
      <c r="K839" s="71" t="str">
        <f>IF(ISBLANK(Log[[#This Row],[Item]]),"",_xlfn.XLOOKUP(Log[[#This Row],[Item]],Calories[Name],Calories[Protein])*Log[[#This Row],[Qty]])</f>
        <v/>
      </c>
      <c r="L839" s="71" t="str">
        <f>IF(ISBLANK(Log[[#This Row],[Item]]),"",_xlfn.XLOOKUP(Log[[#This Row],[Item]],Calories[Name],Calories[Chol.])*Log[[#This Row],[Qty]])</f>
        <v/>
      </c>
      <c r="M839" s="75"/>
      <c r="N839" s="75"/>
      <c r="O839" s="75"/>
    </row>
    <row r="840" spans="1:15" s="66" customFormat="1" ht="25.15" customHeight="1">
      <c r="A840" s="75"/>
      <c r="B840" s="98"/>
      <c r="C840" s="78"/>
      <c r="D840" s="79"/>
      <c r="E840" s="76" t="str">
        <f>IF(ISBLANK(Log[[#This Row],[Item]]),"",_xlfn.XLOOKUP(Log[[#This Row],[Item]],Calories[Name],Calories[Unit]))</f>
        <v/>
      </c>
      <c r="F840" s="65" t="str">
        <f>IF(ISBLANK(Log[[#This Row],[Item]]),"",_xlfn.XLOOKUP(Log[[#This Row],[Item]],Calories[Name],Calories[Cals])*Log[[#This Row],[Qty]])</f>
        <v/>
      </c>
      <c r="G840" s="71" t="str">
        <f>IF(ISBLANK(Log[[#This Row],[Item]]),"",_xlfn.XLOOKUP(Log[[#This Row],[Item]],Calories[Name],Calories[Carbs])*Log[[#This Row],[Qty]])</f>
        <v/>
      </c>
      <c r="H840" s="71" t="str">
        <f>IF(ISBLANK(Log[[#This Row],[Item]]),"",_xlfn.XLOOKUP(Log[[#This Row],[Item]],Calories[Name],Calories[Fibre])*Log[[#This Row],[Qty]])</f>
        <v/>
      </c>
      <c r="I840" s="71" t="str">
        <f>IF(ISBLANK(Log[[#This Row],[Item]]),"",(Log[[#This Row],[Carbs]]-Log[[#This Row],[Fibre]]))</f>
        <v/>
      </c>
      <c r="J840" s="103" t="str">
        <f>IF(ISBLANK(Log[[#This Row],[Item]]),"",_xlfn.XLOOKUP(Log[[#This Row],[Item]],Calories[Name],Calories[Sodium])*Log[[#This Row],[Qty]])</f>
        <v/>
      </c>
      <c r="K840" s="71" t="str">
        <f>IF(ISBLANK(Log[[#This Row],[Item]]),"",_xlfn.XLOOKUP(Log[[#This Row],[Item]],Calories[Name],Calories[Protein])*Log[[#This Row],[Qty]])</f>
        <v/>
      </c>
      <c r="L840" s="71" t="str">
        <f>IF(ISBLANK(Log[[#This Row],[Item]]),"",_xlfn.XLOOKUP(Log[[#This Row],[Item]],Calories[Name],Calories[Chol.])*Log[[#This Row],[Qty]])</f>
        <v/>
      </c>
      <c r="M840" s="75"/>
      <c r="N840" s="75"/>
      <c r="O840" s="75"/>
    </row>
    <row r="841" spans="1:15" s="66" customFormat="1" ht="25.15" customHeight="1">
      <c r="A841" s="75"/>
      <c r="B841" s="98"/>
      <c r="C841" s="78"/>
      <c r="D841" s="79"/>
      <c r="E841" s="76" t="str">
        <f>IF(ISBLANK(Log[[#This Row],[Item]]),"",_xlfn.XLOOKUP(Log[[#This Row],[Item]],Calories[Name],Calories[Unit]))</f>
        <v/>
      </c>
      <c r="F841" s="65" t="str">
        <f>IF(ISBLANK(Log[[#This Row],[Item]]),"",_xlfn.XLOOKUP(Log[[#This Row],[Item]],Calories[Name],Calories[Cals])*Log[[#This Row],[Qty]])</f>
        <v/>
      </c>
      <c r="G841" s="71" t="str">
        <f>IF(ISBLANK(Log[[#This Row],[Item]]),"",_xlfn.XLOOKUP(Log[[#This Row],[Item]],Calories[Name],Calories[Carbs])*Log[[#This Row],[Qty]])</f>
        <v/>
      </c>
      <c r="H841" s="71" t="str">
        <f>IF(ISBLANK(Log[[#This Row],[Item]]),"",_xlfn.XLOOKUP(Log[[#This Row],[Item]],Calories[Name],Calories[Fibre])*Log[[#This Row],[Qty]])</f>
        <v/>
      </c>
      <c r="I841" s="71" t="str">
        <f>IF(ISBLANK(Log[[#This Row],[Item]]),"",(Log[[#This Row],[Carbs]]-Log[[#This Row],[Fibre]]))</f>
        <v/>
      </c>
      <c r="J841" s="103" t="str">
        <f>IF(ISBLANK(Log[[#This Row],[Item]]),"",_xlfn.XLOOKUP(Log[[#This Row],[Item]],Calories[Name],Calories[Sodium])*Log[[#This Row],[Qty]])</f>
        <v/>
      </c>
      <c r="K841" s="71" t="str">
        <f>IF(ISBLANK(Log[[#This Row],[Item]]),"",_xlfn.XLOOKUP(Log[[#This Row],[Item]],Calories[Name],Calories[Protein])*Log[[#This Row],[Qty]])</f>
        <v/>
      </c>
      <c r="L841" s="71" t="str">
        <f>IF(ISBLANK(Log[[#This Row],[Item]]),"",_xlfn.XLOOKUP(Log[[#This Row],[Item]],Calories[Name],Calories[Chol.])*Log[[#This Row],[Qty]])</f>
        <v/>
      </c>
      <c r="M841" s="75"/>
      <c r="N841" s="75"/>
      <c r="O841" s="75"/>
    </row>
    <row r="842" spans="1:15" s="66" customFormat="1" ht="25.15" customHeight="1">
      <c r="A842" s="75"/>
      <c r="B842" s="98"/>
      <c r="C842" s="78"/>
      <c r="D842" s="79"/>
      <c r="E842" s="76" t="str">
        <f>IF(ISBLANK(Log[[#This Row],[Item]]),"",_xlfn.XLOOKUP(Log[[#This Row],[Item]],Calories[Name],Calories[Unit]))</f>
        <v/>
      </c>
      <c r="F842" s="65" t="str">
        <f>IF(ISBLANK(Log[[#This Row],[Item]]),"",_xlfn.XLOOKUP(Log[[#This Row],[Item]],Calories[Name],Calories[Cals])*Log[[#This Row],[Qty]])</f>
        <v/>
      </c>
      <c r="G842" s="71" t="str">
        <f>IF(ISBLANK(Log[[#This Row],[Item]]),"",_xlfn.XLOOKUP(Log[[#This Row],[Item]],Calories[Name],Calories[Carbs])*Log[[#This Row],[Qty]])</f>
        <v/>
      </c>
      <c r="H842" s="71" t="str">
        <f>IF(ISBLANK(Log[[#This Row],[Item]]),"",_xlfn.XLOOKUP(Log[[#This Row],[Item]],Calories[Name],Calories[Fibre])*Log[[#This Row],[Qty]])</f>
        <v/>
      </c>
      <c r="I842" s="71" t="str">
        <f>IF(ISBLANK(Log[[#This Row],[Item]]),"",(Log[[#This Row],[Carbs]]-Log[[#This Row],[Fibre]]))</f>
        <v/>
      </c>
      <c r="J842" s="103" t="str">
        <f>IF(ISBLANK(Log[[#This Row],[Item]]),"",_xlfn.XLOOKUP(Log[[#This Row],[Item]],Calories[Name],Calories[Sodium])*Log[[#This Row],[Qty]])</f>
        <v/>
      </c>
      <c r="K842" s="71" t="str">
        <f>IF(ISBLANK(Log[[#This Row],[Item]]),"",_xlfn.XLOOKUP(Log[[#This Row],[Item]],Calories[Name],Calories[Protein])*Log[[#This Row],[Qty]])</f>
        <v/>
      </c>
      <c r="L842" s="71" t="str">
        <f>IF(ISBLANK(Log[[#This Row],[Item]]),"",_xlfn.XLOOKUP(Log[[#This Row],[Item]],Calories[Name],Calories[Chol.])*Log[[#This Row],[Qty]])</f>
        <v/>
      </c>
      <c r="M842" s="75"/>
      <c r="N842" s="75"/>
      <c r="O842" s="75"/>
    </row>
    <row r="843" spans="1:15" s="66" customFormat="1" ht="25.15" customHeight="1">
      <c r="A843" s="75"/>
      <c r="B843" s="98"/>
      <c r="C843" s="78"/>
      <c r="D843" s="79"/>
      <c r="E843" s="76" t="str">
        <f>IF(ISBLANK(Log[[#This Row],[Item]]),"",_xlfn.XLOOKUP(Log[[#This Row],[Item]],Calories[Name],Calories[Unit]))</f>
        <v/>
      </c>
      <c r="F843" s="65" t="str">
        <f>IF(ISBLANK(Log[[#This Row],[Item]]),"",_xlfn.XLOOKUP(Log[[#This Row],[Item]],Calories[Name],Calories[Cals])*Log[[#This Row],[Qty]])</f>
        <v/>
      </c>
      <c r="G843" s="71" t="str">
        <f>IF(ISBLANK(Log[[#This Row],[Item]]),"",_xlfn.XLOOKUP(Log[[#This Row],[Item]],Calories[Name],Calories[Carbs])*Log[[#This Row],[Qty]])</f>
        <v/>
      </c>
      <c r="H843" s="71" t="str">
        <f>IF(ISBLANK(Log[[#This Row],[Item]]),"",_xlfn.XLOOKUP(Log[[#This Row],[Item]],Calories[Name],Calories[Fibre])*Log[[#This Row],[Qty]])</f>
        <v/>
      </c>
      <c r="I843" s="71" t="str">
        <f>IF(ISBLANK(Log[[#This Row],[Item]]),"",(Log[[#This Row],[Carbs]]-Log[[#This Row],[Fibre]]))</f>
        <v/>
      </c>
      <c r="J843" s="103" t="str">
        <f>IF(ISBLANK(Log[[#This Row],[Item]]),"",_xlfn.XLOOKUP(Log[[#This Row],[Item]],Calories[Name],Calories[Sodium])*Log[[#This Row],[Qty]])</f>
        <v/>
      </c>
      <c r="K843" s="71" t="str">
        <f>IF(ISBLANK(Log[[#This Row],[Item]]),"",_xlfn.XLOOKUP(Log[[#This Row],[Item]],Calories[Name],Calories[Protein])*Log[[#This Row],[Qty]])</f>
        <v/>
      </c>
      <c r="L843" s="71" t="str">
        <f>IF(ISBLANK(Log[[#This Row],[Item]]),"",_xlfn.XLOOKUP(Log[[#This Row],[Item]],Calories[Name],Calories[Chol.])*Log[[#This Row],[Qty]])</f>
        <v/>
      </c>
      <c r="M843" s="75"/>
      <c r="N843" s="75"/>
      <c r="O843" s="75"/>
    </row>
    <row r="844" spans="1:15" s="66" customFormat="1" ht="25.15" customHeight="1">
      <c r="A844" s="75"/>
      <c r="B844" s="98"/>
      <c r="C844" s="78"/>
      <c r="D844" s="79"/>
      <c r="E844" s="76" t="str">
        <f>IF(ISBLANK(Log[[#This Row],[Item]]),"",_xlfn.XLOOKUP(Log[[#This Row],[Item]],Calories[Name],Calories[Unit]))</f>
        <v/>
      </c>
      <c r="F844" s="65" t="str">
        <f>IF(ISBLANK(Log[[#This Row],[Item]]),"",_xlfn.XLOOKUP(Log[[#This Row],[Item]],Calories[Name],Calories[Cals])*Log[[#This Row],[Qty]])</f>
        <v/>
      </c>
      <c r="G844" s="71" t="str">
        <f>IF(ISBLANK(Log[[#This Row],[Item]]),"",_xlfn.XLOOKUP(Log[[#This Row],[Item]],Calories[Name],Calories[Carbs])*Log[[#This Row],[Qty]])</f>
        <v/>
      </c>
      <c r="H844" s="71" t="str">
        <f>IF(ISBLANK(Log[[#This Row],[Item]]),"",_xlfn.XLOOKUP(Log[[#This Row],[Item]],Calories[Name],Calories[Fibre])*Log[[#This Row],[Qty]])</f>
        <v/>
      </c>
      <c r="I844" s="71" t="str">
        <f>IF(ISBLANK(Log[[#This Row],[Item]]),"",(Log[[#This Row],[Carbs]]-Log[[#This Row],[Fibre]]))</f>
        <v/>
      </c>
      <c r="J844" s="103" t="str">
        <f>IF(ISBLANK(Log[[#This Row],[Item]]),"",_xlfn.XLOOKUP(Log[[#This Row],[Item]],Calories[Name],Calories[Sodium])*Log[[#This Row],[Qty]])</f>
        <v/>
      </c>
      <c r="K844" s="71" t="str">
        <f>IF(ISBLANK(Log[[#This Row],[Item]]),"",_xlfn.XLOOKUP(Log[[#This Row],[Item]],Calories[Name],Calories[Protein])*Log[[#This Row],[Qty]])</f>
        <v/>
      </c>
      <c r="L844" s="71" t="str">
        <f>IF(ISBLANK(Log[[#This Row],[Item]]),"",_xlfn.XLOOKUP(Log[[#This Row],[Item]],Calories[Name],Calories[Chol.])*Log[[#This Row],[Qty]])</f>
        <v/>
      </c>
      <c r="M844" s="75"/>
      <c r="N844" s="75"/>
      <c r="O844" s="75"/>
    </row>
    <row r="845" spans="1:15" s="66" customFormat="1" ht="25.15" customHeight="1">
      <c r="A845" s="75"/>
      <c r="B845" s="98"/>
      <c r="C845" s="78"/>
      <c r="D845" s="79"/>
      <c r="E845" s="76" t="str">
        <f>IF(ISBLANK(Log[[#This Row],[Item]]),"",_xlfn.XLOOKUP(Log[[#This Row],[Item]],Calories[Name],Calories[Unit]))</f>
        <v/>
      </c>
      <c r="F845" s="65" t="str">
        <f>IF(ISBLANK(Log[[#This Row],[Item]]),"",_xlfn.XLOOKUP(Log[[#This Row],[Item]],Calories[Name],Calories[Cals])*Log[[#This Row],[Qty]])</f>
        <v/>
      </c>
      <c r="G845" s="71" t="str">
        <f>IF(ISBLANK(Log[[#This Row],[Item]]),"",_xlfn.XLOOKUP(Log[[#This Row],[Item]],Calories[Name],Calories[Carbs])*Log[[#This Row],[Qty]])</f>
        <v/>
      </c>
      <c r="H845" s="71" t="str">
        <f>IF(ISBLANK(Log[[#This Row],[Item]]),"",_xlfn.XLOOKUP(Log[[#This Row],[Item]],Calories[Name],Calories[Fibre])*Log[[#This Row],[Qty]])</f>
        <v/>
      </c>
      <c r="I845" s="71" t="str">
        <f>IF(ISBLANK(Log[[#This Row],[Item]]),"",(Log[[#This Row],[Carbs]]-Log[[#This Row],[Fibre]]))</f>
        <v/>
      </c>
      <c r="J845" s="103" t="str">
        <f>IF(ISBLANK(Log[[#This Row],[Item]]),"",_xlfn.XLOOKUP(Log[[#This Row],[Item]],Calories[Name],Calories[Sodium])*Log[[#This Row],[Qty]])</f>
        <v/>
      </c>
      <c r="K845" s="71" t="str">
        <f>IF(ISBLANK(Log[[#This Row],[Item]]),"",_xlfn.XLOOKUP(Log[[#This Row],[Item]],Calories[Name],Calories[Protein])*Log[[#This Row],[Qty]])</f>
        <v/>
      </c>
      <c r="L845" s="71" t="str">
        <f>IF(ISBLANK(Log[[#This Row],[Item]]),"",_xlfn.XLOOKUP(Log[[#This Row],[Item]],Calories[Name],Calories[Chol.])*Log[[#This Row],[Qty]])</f>
        <v/>
      </c>
      <c r="M845" s="75"/>
      <c r="N845" s="75"/>
      <c r="O845" s="75"/>
    </row>
    <row r="846" spans="1:15" s="66" customFormat="1" ht="25.15" customHeight="1">
      <c r="A846" s="75"/>
      <c r="B846" s="98"/>
      <c r="C846" s="78"/>
      <c r="D846" s="79"/>
      <c r="E846" s="76" t="str">
        <f>IF(ISBLANK(Log[[#This Row],[Item]]),"",_xlfn.XLOOKUP(Log[[#This Row],[Item]],Calories[Name],Calories[Unit]))</f>
        <v/>
      </c>
      <c r="F846" s="65" t="str">
        <f>IF(ISBLANK(Log[[#This Row],[Item]]),"",_xlfn.XLOOKUP(Log[[#This Row],[Item]],Calories[Name],Calories[Cals])*Log[[#This Row],[Qty]])</f>
        <v/>
      </c>
      <c r="G846" s="71" t="str">
        <f>IF(ISBLANK(Log[[#This Row],[Item]]),"",_xlfn.XLOOKUP(Log[[#This Row],[Item]],Calories[Name],Calories[Carbs])*Log[[#This Row],[Qty]])</f>
        <v/>
      </c>
      <c r="H846" s="71" t="str">
        <f>IF(ISBLANK(Log[[#This Row],[Item]]),"",_xlfn.XLOOKUP(Log[[#This Row],[Item]],Calories[Name],Calories[Fibre])*Log[[#This Row],[Qty]])</f>
        <v/>
      </c>
      <c r="I846" s="71" t="str">
        <f>IF(ISBLANK(Log[[#This Row],[Item]]),"",(Log[[#This Row],[Carbs]]-Log[[#This Row],[Fibre]]))</f>
        <v/>
      </c>
      <c r="J846" s="103" t="str">
        <f>IF(ISBLANK(Log[[#This Row],[Item]]),"",_xlfn.XLOOKUP(Log[[#This Row],[Item]],Calories[Name],Calories[Sodium])*Log[[#This Row],[Qty]])</f>
        <v/>
      </c>
      <c r="K846" s="71" t="str">
        <f>IF(ISBLANK(Log[[#This Row],[Item]]),"",_xlfn.XLOOKUP(Log[[#This Row],[Item]],Calories[Name],Calories[Protein])*Log[[#This Row],[Qty]])</f>
        <v/>
      </c>
      <c r="L846" s="71" t="str">
        <f>IF(ISBLANK(Log[[#This Row],[Item]]),"",_xlfn.XLOOKUP(Log[[#This Row],[Item]],Calories[Name],Calories[Chol.])*Log[[#This Row],[Qty]])</f>
        <v/>
      </c>
      <c r="M846" s="75"/>
      <c r="N846" s="75"/>
      <c r="O846" s="75"/>
    </row>
    <row r="847" spans="1:15" s="66" customFormat="1" ht="25.15" customHeight="1">
      <c r="A847" s="75"/>
      <c r="B847" s="98"/>
      <c r="C847" s="78"/>
      <c r="D847" s="79"/>
      <c r="E847" s="76" t="str">
        <f>IF(ISBLANK(Log[[#This Row],[Item]]),"",_xlfn.XLOOKUP(Log[[#This Row],[Item]],Calories[Name],Calories[Unit]))</f>
        <v/>
      </c>
      <c r="F847" s="65" t="str">
        <f>IF(ISBLANK(Log[[#This Row],[Item]]),"",_xlfn.XLOOKUP(Log[[#This Row],[Item]],Calories[Name],Calories[Cals])*Log[[#This Row],[Qty]])</f>
        <v/>
      </c>
      <c r="G847" s="71" t="str">
        <f>IF(ISBLANK(Log[[#This Row],[Item]]),"",_xlfn.XLOOKUP(Log[[#This Row],[Item]],Calories[Name],Calories[Carbs])*Log[[#This Row],[Qty]])</f>
        <v/>
      </c>
      <c r="H847" s="71" t="str">
        <f>IF(ISBLANK(Log[[#This Row],[Item]]),"",_xlfn.XLOOKUP(Log[[#This Row],[Item]],Calories[Name],Calories[Fibre])*Log[[#This Row],[Qty]])</f>
        <v/>
      </c>
      <c r="I847" s="71" t="str">
        <f>IF(ISBLANK(Log[[#This Row],[Item]]),"",(Log[[#This Row],[Carbs]]-Log[[#This Row],[Fibre]]))</f>
        <v/>
      </c>
      <c r="J847" s="103" t="str">
        <f>IF(ISBLANK(Log[[#This Row],[Item]]),"",_xlfn.XLOOKUP(Log[[#This Row],[Item]],Calories[Name],Calories[Sodium])*Log[[#This Row],[Qty]])</f>
        <v/>
      </c>
      <c r="K847" s="71" t="str">
        <f>IF(ISBLANK(Log[[#This Row],[Item]]),"",_xlfn.XLOOKUP(Log[[#This Row],[Item]],Calories[Name],Calories[Protein])*Log[[#This Row],[Qty]])</f>
        <v/>
      </c>
      <c r="L847" s="71" t="str">
        <f>IF(ISBLANK(Log[[#This Row],[Item]]),"",_xlfn.XLOOKUP(Log[[#This Row],[Item]],Calories[Name],Calories[Chol.])*Log[[#This Row],[Qty]])</f>
        <v/>
      </c>
      <c r="M847" s="75"/>
      <c r="N847" s="75"/>
      <c r="O847" s="75"/>
    </row>
    <row r="848" spans="1:15" s="66" customFormat="1" ht="25.15" customHeight="1">
      <c r="A848" s="75"/>
      <c r="B848" s="98"/>
      <c r="C848" s="78"/>
      <c r="D848" s="79"/>
      <c r="E848" s="76" t="str">
        <f>IF(ISBLANK(Log[[#This Row],[Item]]),"",_xlfn.XLOOKUP(Log[[#This Row],[Item]],Calories[Name],Calories[Unit]))</f>
        <v/>
      </c>
      <c r="F848" s="65" t="str">
        <f>IF(ISBLANK(Log[[#This Row],[Item]]),"",_xlfn.XLOOKUP(Log[[#This Row],[Item]],Calories[Name],Calories[Cals])*Log[[#This Row],[Qty]])</f>
        <v/>
      </c>
      <c r="G848" s="71" t="str">
        <f>IF(ISBLANK(Log[[#This Row],[Item]]),"",_xlfn.XLOOKUP(Log[[#This Row],[Item]],Calories[Name],Calories[Carbs])*Log[[#This Row],[Qty]])</f>
        <v/>
      </c>
      <c r="H848" s="71" t="str">
        <f>IF(ISBLANK(Log[[#This Row],[Item]]),"",_xlfn.XLOOKUP(Log[[#This Row],[Item]],Calories[Name],Calories[Fibre])*Log[[#This Row],[Qty]])</f>
        <v/>
      </c>
      <c r="I848" s="71" t="str">
        <f>IF(ISBLANK(Log[[#This Row],[Item]]),"",(Log[[#This Row],[Carbs]]-Log[[#This Row],[Fibre]]))</f>
        <v/>
      </c>
      <c r="J848" s="103" t="str">
        <f>IF(ISBLANK(Log[[#This Row],[Item]]),"",_xlfn.XLOOKUP(Log[[#This Row],[Item]],Calories[Name],Calories[Sodium])*Log[[#This Row],[Qty]])</f>
        <v/>
      </c>
      <c r="K848" s="71" t="str">
        <f>IF(ISBLANK(Log[[#This Row],[Item]]),"",_xlfn.XLOOKUP(Log[[#This Row],[Item]],Calories[Name],Calories[Protein])*Log[[#This Row],[Qty]])</f>
        <v/>
      </c>
      <c r="L848" s="71" t="str">
        <f>IF(ISBLANK(Log[[#This Row],[Item]]),"",_xlfn.XLOOKUP(Log[[#This Row],[Item]],Calories[Name],Calories[Chol.])*Log[[#This Row],[Qty]])</f>
        <v/>
      </c>
      <c r="M848" s="75"/>
      <c r="N848" s="75"/>
      <c r="O848" s="75"/>
    </row>
    <row r="849" spans="1:15" s="66" customFormat="1" ht="25.15" customHeight="1">
      <c r="A849" s="75"/>
      <c r="B849" s="98"/>
      <c r="C849" s="78"/>
      <c r="D849" s="79"/>
      <c r="E849" s="76" t="str">
        <f>IF(ISBLANK(Log[[#This Row],[Item]]),"",_xlfn.XLOOKUP(Log[[#This Row],[Item]],Calories[Name],Calories[Unit]))</f>
        <v/>
      </c>
      <c r="F849" s="65" t="str">
        <f>IF(ISBLANK(Log[[#This Row],[Item]]),"",_xlfn.XLOOKUP(Log[[#This Row],[Item]],Calories[Name],Calories[Cals])*Log[[#This Row],[Qty]])</f>
        <v/>
      </c>
      <c r="G849" s="71" t="str">
        <f>IF(ISBLANK(Log[[#This Row],[Item]]),"",_xlfn.XLOOKUP(Log[[#This Row],[Item]],Calories[Name],Calories[Carbs])*Log[[#This Row],[Qty]])</f>
        <v/>
      </c>
      <c r="H849" s="71" t="str">
        <f>IF(ISBLANK(Log[[#This Row],[Item]]),"",_xlfn.XLOOKUP(Log[[#This Row],[Item]],Calories[Name],Calories[Fibre])*Log[[#This Row],[Qty]])</f>
        <v/>
      </c>
      <c r="I849" s="71" t="str">
        <f>IF(ISBLANK(Log[[#This Row],[Item]]),"",(Log[[#This Row],[Carbs]]-Log[[#This Row],[Fibre]]))</f>
        <v/>
      </c>
      <c r="J849" s="103" t="str">
        <f>IF(ISBLANK(Log[[#This Row],[Item]]),"",_xlfn.XLOOKUP(Log[[#This Row],[Item]],Calories[Name],Calories[Sodium])*Log[[#This Row],[Qty]])</f>
        <v/>
      </c>
      <c r="K849" s="71" t="str">
        <f>IF(ISBLANK(Log[[#This Row],[Item]]),"",_xlfn.XLOOKUP(Log[[#This Row],[Item]],Calories[Name],Calories[Protein])*Log[[#This Row],[Qty]])</f>
        <v/>
      </c>
      <c r="L849" s="71" t="str">
        <f>IF(ISBLANK(Log[[#This Row],[Item]]),"",_xlfn.XLOOKUP(Log[[#This Row],[Item]],Calories[Name],Calories[Chol.])*Log[[#This Row],[Qty]])</f>
        <v/>
      </c>
      <c r="M849" s="75"/>
      <c r="N849" s="75"/>
      <c r="O849" s="75"/>
    </row>
    <row r="850" spans="1:15" s="66" customFormat="1" ht="25.15" customHeight="1">
      <c r="A850" s="75"/>
      <c r="B850" s="98"/>
      <c r="C850" s="78"/>
      <c r="D850" s="79"/>
      <c r="E850" s="76" t="str">
        <f>IF(ISBLANK(Log[[#This Row],[Item]]),"",_xlfn.XLOOKUP(Log[[#This Row],[Item]],Calories[Name],Calories[Unit]))</f>
        <v/>
      </c>
      <c r="F850" s="65" t="str">
        <f>IF(ISBLANK(Log[[#This Row],[Item]]),"",_xlfn.XLOOKUP(Log[[#This Row],[Item]],Calories[Name],Calories[Cals])*Log[[#This Row],[Qty]])</f>
        <v/>
      </c>
      <c r="G850" s="71" t="str">
        <f>IF(ISBLANK(Log[[#This Row],[Item]]),"",_xlfn.XLOOKUP(Log[[#This Row],[Item]],Calories[Name],Calories[Carbs])*Log[[#This Row],[Qty]])</f>
        <v/>
      </c>
      <c r="H850" s="71" t="str">
        <f>IF(ISBLANK(Log[[#This Row],[Item]]),"",_xlfn.XLOOKUP(Log[[#This Row],[Item]],Calories[Name],Calories[Fibre])*Log[[#This Row],[Qty]])</f>
        <v/>
      </c>
      <c r="I850" s="71" t="str">
        <f>IF(ISBLANK(Log[[#This Row],[Item]]),"",(Log[[#This Row],[Carbs]]-Log[[#This Row],[Fibre]]))</f>
        <v/>
      </c>
      <c r="J850" s="103" t="str">
        <f>IF(ISBLANK(Log[[#This Row],[Item]]),"",_xlfn.XLOOKUP(Log[[#This Row],[Item]],Calories[Name],Calories[Sodium])*Log[[#This Row],[Qty]])</f>
        <v/>
      </c>
      <c r="K850" s="71" t="str">
        <f>IF(ISBLANK(Log[[#This Row],[Item]]),"",_xlfn.XLOOKUP(Log[[#This Row],[Item]],Calories[Name],Calories[Protein])*Log[[#This Row],[Qty]])</f>
        <v/>
      </c>
      <c r="L850" s="71" t="str">
        <f>IF(ISBLANK(Log[[#This Row],[Item]]),"",_xlfn.XLOOKUP(Log[[#This Row],[Item]],Calories[Name],Calories[Chol.])*Log[[#This Row],[Qty]])</f>
        <v/>
      </c>
      <c r="M850" s="75"/>
      <c r="N850" s="75"/>
      <c r="O850" s="75"/>
    </row>
    <row r="851" spans="1:15" s="66" customFormat="1" ht="25.15" customHeight="1">
      <c r="A851" s="75"/>
      <c r="B851" s="98"/>
      <c r="C851" s="78"/>
      <c r="D851" s="79"/>
      <c r="E851" s="76" t="str">
        <f>IF(ISBLANK(Log[[#This Row],[Item]]),"",_xlfn.XLOOKUP(Log[[#This Row],[Item]],Calories[Name],Calories[Unit]))</f>
        <v/>
      </c>
      <c r="F851" s="65" t="str">
        <f>IF(ISBLANK(Log[[#This Row],[Item]]),"",_xlfn.XLOOKUP(Log[[#This Row],[Item]],Calories[Name],Calories[Cals])*Log[[#This Row],[Qty]])</f>
        <v/>
      </c>
      <c r="G851" s="71" t="str">
        <f>IF(ISBLANK(Log[[#This Row],[Item]]),"",_xlfn.XLOOKUP(Log[[#This Row],[Item]],Calories[Name],Calories[Carbs])*Log[[#This Row],[Qty]])</f>
        <v/>
      </c>
      <c r="H851" s="71" t="str">
        <f>IF(ISBLANK(Log[[#This Row],[Item]]),"",_xlfn.XLOOKUP(Log[[#This Row],[Item]],Calories[Name],Calories[Fibre])*Log[[#This Row],[Qty]])</f>
        <v/>
      </c>
      <c r="I851" s="71" t="str">
        <f>IF(ISBLANK(Log[[#This Row],[Item]]),"",(Log[[#This Row],[Carbs]]-Log[[#This Row],[Fibre]]))</f>
        <v/>
      </c>
      <c r="J851" s="103" t="str">
        <f>IF(ISBLANK(Log[[#This Row],[Item]]),"",_xlfn.XLOOKUP(Log[[#This Row],[Item]],Calories[Name],Calories[Sodium])*Log[[#This Row],[Qty]])</f>
        <v/>
      </c>
      <c r="K851" s="71" t="str">
        <f>IF(ISBLANK(Log[[#This Row],[Item]]),"",_xlfn.XLOOKUP(Log[[#This Row],[Item]],Calories[Name],Calories[Protein])*Log[[#This Row],[Qty]])</f>
        <v/>
      </c>
      <c r="L851" s="71" t="str">
        <f>IF(ISBLANK(Log[[#This Row],[Item]]),"",_xlfn.XLOOKUP(Log[[#This Row],[Item]],Calories[Name],Calories[Chol.])*Log[[#This Row],[Qty]])</f>
        <v/>
      </c>
      <c r="M851" s="75"/>
      <c r="N851" s="75"/>
      <c r="O851" s="75"/>
    </row>
    <row r="852" spans="1:15" s="66" customFormat="1" ht="25.15" customHeight="1">
      <c r="A852" s="75"/>
      <c r="B852" s="98"/>
      <c r="C852" s="78"/>
      <c r="D852" s="79"/>
      <c r="E852" s="76" t="str">
        <f>IF(ISBLANK(Log[[#This Row],[Item]]),"",_xlfn.XLOOKUP(Log[[#This Row],[Item]],Calories[Name],Calories[Unit]))</f>
        <v/>
      </c>
      <c r="F852" s="65" t="str">
        <f>IF(ISBLANK(Log[[#This Row],[Item]]),"",_xlfn.XLOOKUP(Log[[#This Row],[Item]],Calories[Name],Calories[Cals])*Log[[#This Row],[Qty]])</f>
        <v/>
      </c>
      <c r="G852" s="71" t="str">
        <f>IF(ISBLANK(Log[[#This Row],[Item]]),"",_xlfn.XLOOKUP(Log[[#This Row],[Item]],Calories[Name],Calories[Carbs])*Log[[#This Row],[Qty]])</f>
        <v/>
      </c>
      <c r="H852" s="71" t="str">
        <f>IF(ISBLANK(Log[[#This Row],[Item]]),"",_xlfn.XLOOKUP(Log[[#This Row],[Item]],Calories[Name],Calories[Fibre])*Log[[#This Row],[Qty]])</f>
        <v/>
      </c>
      <c r="I852" s="71" t="str">
        <f>IF(ISBLANK(Log[[#This Row],[Item]]),"",(Log[[#This Row],[Carbs]]-Log[[#This Row],[Fibre]]))</f>
        <v/>
      </c>
      <c r="J852" s="103" t="str">
        <f>IF(ISBLANK(Log[[#This Row],[Item]]),"",_xlfn.XLOOKUP(Log[[#This Row],[Item]],Calories[Name],Calories[Sodium])*Log[[#This Row],[Qty]])</f>
        <v/>
      </c>
      <c r="K852" s="71" t="str">
        <f>IF(ISBLANK(Log[[#This Row],[Item]]),"",_xlfn.XLOOKUP(Log[[#This Row],[Item]],Calories[Name],Calories[Protein])*Log[[#This Row],[Qty]])</f>
        <v/>
      </c>
      <c r="L852" s="71" t="str">
        <f>IF(ISBLANK(Log[[#This Row],[Item]]),"",_xlfn.XLOOKUP(Log[[#This Row],[Item]],Calories[Name],Calories[Chol.])*Log[[#This Row],[Qty]])</f>
        <v/>
      </c>
      <c r="M852" s="75"/>
      <c r="N852" s="75"/>
      <c r="O852" s="75"/>
    </row>
    <row r="853" spans="1:15" s="66" customFormat="1" ht="25.15" customHeight="1">
      <c r="A853" s="75"/>
      <c r="B853" s="98"/>
      <c r="C853" s="78"/>
      <c r="D853" s="79"/>
      <c r="E853" s="76" t="str">
        <f>IF(ISBLANK(Log[[#This Row],[Item]]),"",_xlfn.XLOOKUP(Log[[#This Row],[Item]],Calories[Name],Calories[Unit]))</f>
        <v/>
      </c>
      <c r="F853" s="65" t="str">
        <f>IF(ISBLANK(Log[[#This Row],[Item]]),"",_xlfn.XLOOKUP(Log[[#This Row],[Item]],Calories[Name],Calories[Cals])*Log[[#This Row],[Qty]])</f>
        <v/>
      </c>
      <c r="G853" s="71" t="str">
        <f>IF(ISBLANK(Log[[#This Row],[Item]]),"",_xlfn.XLOOKUP(Log[[#This Row],[Item]],Calories[Name],Calories[Carbs])*Log[[#This Row],[Qty]])</f>
        <v/>
      </c>
      <c r="H853" s="71" t="str">
        <f>IF(ISBLANK(Log[[#This Row],[Item]]),"",_xlfn.XLOOKUP(Log[[#This Row],[Item]],Calories[Name],Calories[Fibre])*Log[[#This Row],[Qty]])</f>
        <v/>
      </c>
      <c r="I853" s="71" t="str">
        <f>IF(ISBLANK(Log[[#This Row],[Item]]),"",(Log[[#This Row],[Carbs]]-Log[[#This Row],[Fibre]]))</f>
        <v/>
      </c>
      <c r="J853" s="103" t="str">
        <f>IF(ISBLANK(Log[[#This Row],[Item]]),"",_xlfn.XLOOKUP(Log[[#This Row],[Item]],Calories[Name],Calories[Sodium])*Log[[#This Row],[Qty]])</f>
        <v/>
      </c>
      <c r="K853" s="71" t="str">
        <f>IF(ISBLANK(Log[[#This Row],[Item]]),"",_xlfn.XLOOKUP(Log[[#This Row],[Item]],Calories[Name],Calories[Protein])*Log[[#This Row],[Qty]])</f>
        <v/>
      </c>
      <c r="L853" s="71" t="str">
        <f>IF(ISBLANK(Log[[#This Row],[Item]]),"",_xlfn.XLOOKUP(Log[[#This Row],[Item]],Calories[Name],Calories[Chol.])*Log[[#This Row],[Qty]])</f>
        <v/>
      </c>
      <c r="M853" s="75"/>
      <c r="N853" s="75"/>
      <c r="O853" s="75"/>
    </row>
    <row r="854" spans="1:15" s="66" customFormat="1" ht="25.15" customHeight="1">
      <c r="A854" s="75"/>
      <c r="B854" s="98"/>
      <c r="C854" s="78"/>
      <c r="D854" s="79"/>
      <c r="E854" s="76" t="str">
        <f>IF(ISBLANK(Log[[#This Row],[Item]]),"",_xlfn.XLOOKUP(Log[[#This Row],[Item]],Calories[Name],Calories[Unit]))</f>
        <v/>
      </c>
      <c r="F854" s="65" t="str">
        <f>IF(ISBLANK(Log[[#This Row],[Item]]),"",_xlfn.XLOOKUP(Log[[#This Row],[Item]],Calories[Name],Calories[Cals])*Log[[#This Row],[Qty]])</f>
        <v/>
      </c>
      <c r="G854" s="71" t="str">
        <f>IF(ISBLANK(Log[[#This Row],[Item]]),"",_xlfn.XLOOKUP(Log[[#This Row],[Item]],Calories[Name],Calories[Carbs])*Log[[#This Row],[Qty]])</f>
        <v/>
      </c>
      <c r="H854" s="71" t="str">
        <f>IF(ISBLANK(Log[[#This Row],[Item]]),"",_xlfn.XLOOKUP(Log[[#This Row],[Item]],Calories[Name],Calories[Fibre])*Log[[#This Row],[Qty]])</f>
        <v/>
      </c>
      <c r="I854" s="71" t="str">
        <f>IF(ISBLANK(Log[[#This Row],[Item]]),"",(Log[[#This Row],[Carbs]]-Log[[#This Row],[Fibre]]))</f>
        <v/>
      </c>
      <c r="J854" s="103" t="str">
        <f>IF(ISBLANK(Log[[#This Row],[Item]]),"",_xlfn.XLOOKUP(Log[[#This Row],[Item]],Calories[Name],Calories[Sodium])*Log[[#This Row],[Qty]])</f>
        <v/>
      </c>
      <c r="K854" s="71" t="str">
        <f>IF(ISBLANK(Log[[#This Row],[Item]]),"",_xlfn.XLOOKUP(Log[[#This Row],[Item]],Calories[Name],Calories[Protein])*Log[[#This Row],[Qty]])</f>
        <v/>
      </c>
      <c r="L854" s="71" t="str">
        <f>IF(ISBLANK(Log[[#This Row],[Item]]),"",_xlfn.XLOOKUP(Log[[#This Row],[Item]],Calories[Name],Calories[Chol.])*Log[[#This Row],[Qty]])</f>
        <v/>
      </c>
      <c r="M854" s="75"/>
      <c r="N854" s="75"/>
      <c r="O854" s="75"/>
    </row>
    <row r="855" spans="1:15" s="66" customFormat="1" ht="25.15" customHeight="1">
      <c r="A855" s="75"/>
      <c r="B855" s="98"/>
      <c r="C855" s="78"/>
      <c r="D855" s="79"/>
      <c r="E855" s="76" t="str">
        <f>IF(ISBLANK(Log[[#This Row],[Item]]),"",_xlfn.XLOOKUP(Log[[#This Row],[Item]],Calories[Name],Calories[Unit]))</f>
        <v/>
      </c>
      <c r="F855" s="65" t="str">
        <f>IF(ISBLANK(Log[[#This Row],[Item]]),"",_xlfn.XLOOKUP(Log[[#This Row],[Item]],Calories[Name],Calories[Cals])*Log[[#This Row],[Qty]])</f>
        <v/>
      </c>
      <c r="G855" s="71" t="str">
        <f>IF(ISBLANK(Log[[#This Row],[Item]]),"",_xlfn.XLOOKUP(Log[[#This Row],[Item]],Calories[Name],Calories[Carbs])*Log[[#This Row],[Qty]])</f>
        <v/>
      </c>
      <c r="H855" s="71" t="str">
        <f>IF(ISBLANK(Log[[#This Row],[Item]]),"",_xlfn.XLOOKUP(Log[[#This Row],[Item]],Calories[Name],Calories[Fibre])*Log[[#This Row],[Qty]])</f>
        <v/>
      </c>
      <c r="I855" s="71" t="str">
        <f>IF(ISBLANK(Log[[#This Row],[Item]]),"",(Log[[#This Row],[Carbs]]-Log[[#This Row],[Fibre]]))</f>
        <v/>
      </c>
      <c r="J855" s="103" t="str">
        <f>IF(ISBLANK(Log[[#This Row],[Item]]),"",_xlfn.XLOOKUP(Log[[#This Row],[Item]],Calories[Name],Calories[Sodium])*Log[[#This Row],[Qty]])</f>
        <v/>
      </c>
      <c r="K855" s="71" t="str">
        <f>IF(ISBLANK(Log[[#This Row],[Item]]),"",_xlfn.XLOOKUP(Log[[#This Row],[Item]],Calories[Name],Calories[Protein])*Log[[#This Row],[Qty]])</f>
        <v/>
      </c>
      <c r="L855" s="71" t="str">
        <f>IF(ISBLANK(Log[[#This Row],[Item]]),"",_xlfn.XLOOKUP(Log[[#This Row],[Item]],Calories[Name],Calories[Chol.])*Log[[#This Row],[Qty]])</f>
        <v/>
      </c>
      <c r="M855" s="75"/>
      <c r="N855" s="75"/>
      <c r="O855" s="75"/>
    </row>
    <row r="856" spans="1:15" s="66" customFormat="1" ht="25.15" customHeight="1">
      <c r="A856" s="75"/>
      <c r="B856" s="98"/>
      <c r="C856" s="78"/>
      <c r="D856" s="79"/>
      <c r="E856" s="76" t="str">
        <f>IF(ISBLANK(Log[[#This Row],[Item]]),"",_xlfn.XLOOKUP(Log[[#This Row],[Item]],Calories[Name],Calories[Unit]))</f>
        <v/>
      </c>
      <c r="F856" s="65" t="str">
        <f>IF(ISBLANK(Log[[#This Row],[Item]]),"",_xlfn.XLOOKUP(Log[[#This Row],[Item]],Calories[Name],Calories[Cals])*Log[[#This Row],[Qty]])</f>
        <v/>
      </c>
      <c r="G856" s="71" t="str">
        <f>IF(ISBLANK(Log[[#This Row],[Item]]),"",_xlfn.XLOOKUP(Log[[#This Row],[Item]],Calories[Name],Calories[Carbs])*Log[[#This Row],[Qty]])</f>
        <v/>
      </c>
      <c r="H856" s="71" t="str">
        <f>IF(ISBLANK(Log[[#This Row],[Item]]),"",_xlfn.XLOOKUP(Log[[#This Row],[Item]],Calories[Name],Calories[Fibre])*Log[[#This Row],[Qty]])</f>
        <v/>
      </c>
      <c r="I856" s="71" t="str">
        <f>IF(ISBLANK(Log[[#This Row],[Item]]),"",(Log[[#This Row],[Carbs]]-Log[[#This Row],[Fibre]]))</f>
        <v/>
      </c>
      <c r="J856" s="103" t="str">
        <f>IF(ISBLANK(Log[[#This Row],[Item]]),"",_xlfn.XLOOKUP(Log[[#This Row],[Item]],Calories[Name],Calories[Sodium])*Log[[#This Row],[Qty]])</f>
        <v/>
      </c>
      <c r="K856" s="71" t="str">
        <f>IF(ISBLANK(Log[[#This Row],[Item]]),"",_xlfn.XLOOKUP(Log[[#This Row],[Item]],Calories[Name],Calories[Protein])*Log[[#This Row],[Qty]])</f>
        <v/>
      </c>
      <c r="L856" s="71" t="str">
        <f>IF(ISBLANK(Log[[#This Row],[Item]]),"",_xlfn.XLOOKUP(Log[[#This Row],[Item]],Calories[Name],Calories[Chol.])*Log[[#This Row],[Qty]])</f>
        <v/>
      </c>
      <c r="M856" s="75"/>
      <c r="N856" s="75"/>
      <c r="O856" s="75"/>
    </row>
    <row r="857" spans="1:15" s="66" customFormat="1" ht="25.15" customHeight="1">
      <c r="A857" s="75"/>
      <c r="B857" s="98"/>
      <c r="C857" s="78"/>
      <c r="D857" s="79"/>
      <c r="E857" s="76" t="str">
        <f>IF(ISBLANK(Log[[#This Row],[Item]]),"",_xlfn.XLOOKUP(Log[[#This Row],[Item]],Calories[Name],Calories[Unit]))</f>
        <v/>
      </c>
      <c r="F857" s="65" t="str">
        <f>IF(ISBLANK(Log[[#This Row],[Item]]),"",_xlfn.XLOOKUP(Log[[#This Row],[Item]],Calories[Name],Calories[Cals])*Log[[#This Row],[Qty]])</f>
        <v/>
      </c>
      <c r="G857" s="71" t="str">
        <f>IF(ISBLANK(Log[[#This Row],[Item]]),"",_xlfn.XLOOKUP(Log[[#This Row],[Item]],Calories[Name],Calories[Carbs])*Log[[#This Row],[Qty]])</f>
        <v/>
      </c>
      <c r="H857" s="71" t="str">
        <f>IF(ISBLANK(Log[[#This Row],[Item]]),"",_xlfn.XLOOKUP(Log[[#This Row],[Item]],Calories[Name],Calories[Fibre])*Log[[#This Row],[Qty]])</f>
        <v/>
      </c>
      <c r="I857" s="71" t="str">
        <f>IF(ISBLANK(Log[[#This Row],[Item]]),"",(Log[[#This Row],[Carbs]]-Log[[#This Row],[Fibre]]))</f>
        <v/>
      </c>
      <c r="J857" s="103" t="str">
        <f>IF(ISBLANK(Log[[#This Row],[Item]]),"",_xlfn.XLOOKUP(Log[[#This Row],[Item]],Calories[Name],Calories[Sodium])*Log[[#This Row],[Qty]])</f>
        <v/>
      </c>
      <c r="K857" s="71" t="str">
        <f>IF(ISBLANK(Log[[#This Row],[Item]]),"",_xlfn.XLOOKUP(Log[[#This Row],[Item]],Calories[Name],Calories[Protein])*Log[[#This Row],[Qty]])</f>
        <v/>
      </c>
      <c r="L857" s="71" t="str">
        <f>IF(ISBLANK(Log[[#This Row],[Item]]),"",_xlfn.XLOOKUP(Log[[#This Row],[Item]],Calories[Name],Calories[Chol.])*Log[[#This Row],[Qty]])</f>
        <v/>
      </c>
      <c r="M857" s="75"/>
      <c r="N857" s="75"/>
      <c r="O857" s="75"/>
    </row>
    <row r="858" spans="1:15" s="66" customFormat="1" ht="25.15" customHeight="1">
      <c r="A858" s="75"/>
      <c r="B858" s="98"/>
      <c r="C858" s="78"/>
      <c r="D858" s="79"/>
      <c r="E858" s="76" t="str">
        <f>IF(ISBLANK(Log[[#This Row],[Item]]),"",_xlfn.XLOOKUP(Log[[#This Row],[Item]],Calories[Name],Calories[Unit]))</f>
        <v/>
      </c>
      <c r="F858" s="65" t="str">
        <f>IF(ISBLANK(Log[[#This Row],[Item]]),"",_xlfn.XLOOKUP(Log[[#This Row],[Item]],Calories[Name],Calories[Cals])*Log[[#This Row],[Qty]])</f>
        <v/>
      </c>
      <c r="G858" s="71" t="str">
        <f>IF(ISBLANK(Log[[#This Row],[Item]]),"",_xlfn.XLOOKUP(Log[[#This Row],[Item]],Calories[Name],Calories[Carbs])*Log[[#This Row],[Qty]])</f>
        <v/>
      </c>
      <c r="H858" s="71" t="str">
        <f>IF(ISBLANK(Log[[#This Row],[Item]]),"",_xlfn.XLOOKUP(Log[[#This Row],[Item]],Calories[Name],Calories[Fibre])*Log[[#This Row],[Qty]])</f>
        <v/>
      </c>
      <c r="I858" s="71" t="str">
        <f>IF(ISBLANK(Log[[#This Row],[Item]]),"",(Log[[#This Row],[Carbs]]-Log[[#This Row],[Fibre]]))</f>
        <v/>
      </c>
      <c r="J858" s="103" t="str">
        <f>IF(ISBLANK(Log[[#This Row],[Item]]),"",_xlfn.XLOOKUP(Log[[#This Row],[Item]],Calories[Name],Calories[Sodium])*Log[[#This Row],[Qty]])</f>
        <v/>
      </c>
      <c r="K858" s="71" t="str">
        <f>IF(ISBLANK(Log[[#This Row],[Item]]),"",_xlfn.XLOOKUP(Log[[#This Row],[Item]],Calories[Name],Calories[Protein])*Log[[#This Row],[Qty]])</f>
        <v/>
      </c>
      <c r="L858" s="71" t="str">
        <f>IF(ISBLANK(Log[[#This Row],[Item]]),"",_xlfn.XLOOKUP(Log[[#This Row],[Item]],Calories[Name],Calories[Chol.])*Log[[#This Row],[Qty]])</f>
        <v/>
      </c>
      <c r="M858" s="75"/>
      <c r="N858" s="75"/>
      <c r="O858" s="75"/>
    </row>
    <row r="859" spans="1:15" s="66" customFormat="1" ht="25.15" customHeight="1">
      <c r="A859" s="75"/>
      <c r="B859" s="98"/>
      <c r="C859" s="78"/>
      <c r="D859" s="79"/>
      <c r="E859" s="76" t="str">
        <f>IF(ISBLANK(Log[[#This Row],[Item]]),"",_xlfn.XLOOKUP(Log[[#This Row],[Item]],Calories[Name],Calories[Unit]))</f>
        <v/>
      </c>
      <c r="F859" s="65" t="str">
        <f>IF(ISBLANK(Log[[#This Row],[Item]]),"",_xlfn.XLOOKUP(Log[[#This Row],[Item]],Calories[Name],Calories[Cals])*Log[[#This Row],[Qty]])</f>
        <v/>
      </c>
      <c r="G859" s="71" t="str">
        <f>IF(ISBLANK(Log[[#This Row],[Item]]),"",_xlfn.XLOOKUP(Log[[#This Row],[Item]],Calories[Name],Calories[Carbs])*Log[[#This Row],[Qty]])</f>
        <v/>
      </c>
      <c r="H859" s="71" t="str">
        <f>IF(ISBLANK(Log[[#This Row],[Item]]),"",_xlfn.XLOOKUP(Log[[#This Row],[Item]],Calories[Name],Calories[Fibre])*Log[[#This Row],[Qty]])</f>
        <v/>
      </c>
      <c r="I859" s="71" t="str">
        <f>IF(ISBLANK(Log[[#This Row],[Item]]),"",(Log[[#This Row],[Carbs]]-Log[[#This Row],[Fibre]]))</f>
        <v/>
      </c>
      <c r="J859" s="103" t="str">
        <f>IF(ISBLANK(Log[[#This Row],[Item]]),"",_xlfn.XLOOKUP(Log[[#This Row],[Item]],Calories[Name],Calories[Sodium])*Log[[#This Row],[Qty]])</f>
        <v/>
      </c>
      <c r="K859" s="71" t="str">
        <f>IF(ISBLANK(Log[[#This Row],[Item]]),"",_xlfn.XLOOKUP(Log[[#This Row],[Item]],Calories[Name],Calories[Protein])*Log[[#This Row],[Qty]])</f>
        <v/>
      </c>
      <c r="L859" s="71" t="str">
        <f>IF(ISBLANK(Log[[#This Row],[Item]]),"",_xlfn.XLOOKUP(Log[[#This Row],[Item]],Calories[Name],Calories[Chol.])*Log[[#This Row],[Qty]])</f>
        <v/>
      </c>
      <c r="M859" s="75"/>
      <c r="N859" s="75"/>
      <c r="O859" s="75"/>
    </row>
    <row r="860" spans="1:15" s="66" customFormat="1" ht="25.15" customHeight="1">
      <c r="A860" s="75"/>
      <c r="B860" s="98"/>
      <c r="C860" s="78"/>
      <c r="D860" s="79"/>
      <c r="E860" s="76" t="str">
        <f>IF(ISBLANK(Log[[#This Row],[Item]]),"",_xlfn.XLOOKUP(Log[[#This Row],[Item]],Calories[Name],Calories[Unit]))</f>
        <v/>
      </c>
      <c r="F860" s="65" t="str">
        <f>IF(ISBLANK(Log[[#This Row],[Item]]),"",_xlfn.XLOOKUP(Log[[#This Row],[Item]],Calories[Name],Calories[Cals])*Log[[#This Row],[Qty]])</f>
        <v/>
      </c>
      <c r="G860" s="71" t="str">
        <f>IF(ISBLANK(Log[[#This Row],[Item]]),"",_xlfn.XLOOKUP(Log[[#This Row],[Item]],Calories[Name],Calories[Carbs])*Log[[#This Row],[Qty]])</f>
        <v/>
      </c>
      <c r="H860" s="71" t="str">
        <f>IF(ISBLANK(Log[[#This Row],[Item]]),"",_xlfn.XLOOKUP(Log[[#This Row],[Item]],Calories[Name],Calories[Fibre])*Log[[#This Row],[Qty]])</f>
        <v/>
      </c>
      <c r="I860" s="71" t="str">
        <f>IF(ISBLANK(Log[[#This Row],[Item]]),"",(Log[[#This Row],[Carbs]]-Log[[#This Row],[Fibre]]))</f>
        <v/>
      </c>
      <c r="J860" s="103" t="str">
        <f>IF(ISBLANK(Log[[#This Row],[Item]]),"",_xlfn.XLOOKUP(Log[[#This Row],[Item]],Calories[Name],Calories[Sodium])*Log[[#This Row],[Qty]])</f>
        <v/>
      </c>
      <c r="K860" s="71" t="str">
        <f>IF(ISBLANK(Log[[#This Row],[Item]]),"",_xlfn.XLOOKUP(Log[[#This Row],[Item]],Calories[Name],Calories[Protein])*Log[[#This Row],[Qty]])</f>
        <v/>
      </c>
      <c r="L860" s="71" t="str">
        <f>IF(ISBLANK(Log[[#This Row],[Item]]),"",_xlfn.XLOOKUP(Log[[#This Row],[Item]],Calories[Name],Calories[Chol.])*Log[[#This Row],[Qty]])</f>
        <v/>
      </c>
      <c r="M860" s="75"/>
      <c r="N860" s="75"/>
      <c r="O860" s="75"/>
    </row>
    <row r="861" spans="1:15" s="66" customFormat="1" ht="25.15" customHeight="1">
      <c r="A861" s="75"/>
      <c r="B861" s="98"/>
      <c r="C861" s="78"/>
      <c r="D861" s="79"/>
      <c r="E861" s="76" t="str">
        <f>IF(ISBLANK(Log[[#This Row],[Item]]),"",_xlfn.XLOOKUP(Log[[#This Row],[Item]],Calories[Name],Calories[Unit]))</f>
        <v/>
      </c>
      <c r="F861" s="65" t="str">
        <f>IF(ISBLANK(Log[[#This Row],[Item]]),"",_xlfn.XLOOKUP(Log[[#This Row],[Item]],Calories[Name],Calories[Cals])*Log[[#This Row],[Qty]])</f>
        <v/>
      </c>
      <c r="G861" s="71" t="str">
        <f>IF(ISBLANK(Log[[#This Row],[Item]]),"",_xlfn.XLOOKUP(Log[[#This Row],[Item]],Calories[Name],Calories[Carbs])*Log[[#This Row],[Qty]])</f>
        <v/>
      </c>
      <c r="H861" s="71" t="str">
        <f>IF(ISBLANK(Log[[#This Row],[Item]]),"",_xlfn.XLOOKUP(Log[[#This Row],[Item]],Calories[Name],Calories[Fibre])*Log[[#This Row],[Qty]])</f>
        <v/>
      </c>
      <c r="I861" s="71" t="str">
        <f>IF(ISBLANK(Log[[#This Row],[Item]]),"",(Log[[#This Row],[Carbs]]-Log[[#This Row],[Fibre]]))</f>
        <v/>
      </c>
      <c r="J861" s="103" t="str">
        <f>IF(ISBLANK(Log[[#This Row],[Item]]),"",_xlfn.XLOOKUP(Log[[#This Row],[Item]],Calories[Name],Calories[Sodium])*Log[[#This Row],[Qty]])</f>
        <v/>
      </c>
      <c r="K861" s="71" t="str">
        <f>IF(ISBLANK(Log[[#This Row],[Item]]),"",_xlfn.XLOOKUP(Log[[#This Row],[Item]],Calories[Name],Calories[Protein])*Log[[#This Row],[Qty]])</f>
        <v/>
      </c>
      <c r="L861" s="71" t="str">
        <f>IF(ISBLANK(Log[[#This Row],[Item]]),"",_xlfn.XLOOKUP(Log[[#This Row],[Item]],Calories[Name],Calories[Chol.])*Log[[#This Row],[Qty]])</f>
        <v/>
      </c>
      <c r="M861" s="75"/>
      <c r="N861" s="75"/>
      <c r="O861" s="75"/>
    </row>
    <row r="862" spans="1:15" s="66" customFormat="1" ht="25.15" customHeight="1">
      <c r="A862" s="75"/>
      <c r="B862" s="98"/>
      <c r="C862" s="78"/>
      <c r="D862" s="79"/>
      <c r="E862" s="76" t="str">
        <f>IF(ISBLANK(Log[[#This Row],[Item]]),"",_xlfn.XLOOKUP(Log[[#This Row],[Item]],Calories[Name],Calories[Unit]))</f>
        <v/>
      </c>
      <c r="F862" s="65" t="str">
        <f>IF(ISBLANK(Log[[#This Row],[Item]]),"",_xlfn.XLOOKUP(Log[[#This Row],[Item]],Calories[Name],Calories[Cals])*Log[[#This Row],[Qty]])</f>
        <v/>
      </c>
      <c r="G862" s="71" t="str">
        <f>IF(ISBLANK(Log[[#This Row],[Item]]),"",_xlfn.XLOOKUP(Log[[#This Row],[Item]],Calories[Name],Calories[Carbs])*Log[[#This Row],[Qty]])</f>
        <v/>
      </c>
      <c r="H862" s="71" t="str">
        <f>IF(ISBLANK(Log[[#This Row],[Item]]),"",_xlfn.XLOOKUP(Log[[#This Row],[Item]],Calories[Name],Calories[Fibre])*Log[[#This Row],[Qty]])</f>
        <v/>
      </c>
      <c r="I862" s="71" t="str">
        <f>IF(ISBLANK(Log[[#This Row],[Item]]),"",(Log[[#This Row],[Carbs]]-Log[[#This Row],[Fibre]]))</f>
        <v/>
      </c>
      <c r="J862" s="103" t="str">
        <f>IF(ISBLANK(Log[[#This Row],[Item]]),"",_xlfn.XLOOKUP(Log[[#This Row],[Item]],Calories[Name],Calories[Sodium])*Log[[#This Row],[Qty]])</f>
        <v/>
      </c>
      <c r="K862" s="71" t="str">
        <f>IF(ISBLANK(Log[[#This Row],[Item]]),"",_xlfn.XLOOKUP(Log[[#This Row],[Item]],Calories[Name],Calories[Protein])*Log[[#This Row],[Qty]])</f>
        <v/>
      </c>
      <c r="L862" s="71" t="str">
        <f>IF(ISBLANK(Log[[#This Row],[Item]]),"",_xlfn.XLOOKUP(Log[[#This Row],[Item]],Calories[Name],Calories[Chol.])*Log[[#This Row],[Qty]])</f>
        <v/>
      </c>
      <c r="M862" s="75"/>
      <c r="N862" s="75"/>
      <c r="O862" s="75"/>
    </row>
    <row r="863" spans="1:15" s="66" customFormat="1" ht="25.15" customHeight="1">
      <c r="A863" s="75"/>
      <c r="B863" s="98"/>
      <c r="C863" s="78"/>
      <c r="D863" s="79"/>
      <c r="E863" s="76" t="str">
        <f>IF(ISBLANK(Log[[#This Row],[Item]]),"",_xlfn.XLOOKUP(Log[[#This Row],[Item]],Calories[Name],Calories[Unit]))</f>
        <v/>
      </c>
      <c r="F863" s="65" t="str">
        <f>IF(ISBLANK(Log[[#This Row],[Item]]),"",_xlfn.XLOOKUP(Log[[#This Row],[Item]],Calories[Name],Calories[Cals])*Log[[#This Row],[Qty]])</f>
        <v/>
      </c>
      <c r="G863" s="71" t="str">
        <f>IF(ISBLANK(Log[[#This Row],[Item]]),"",_xlfn.XLOOKUP(Log[[#This Row],[Item]],Calories[Name],Calories[Carbs])*Log[[#This Row],[Qty]])</f>
        <v/>
      </c>
      <c r="H863" s="71" t="str">
        <f>IF(ISBLANK(Log[[#This Row],[Item]]),"",_xlfn.XLOOKUP(Log[[#This Row],[Item]],Calories[Name],Calories[Fibre])*Log[[#This Row],[Qty]])</f>
        <v/>
      </c>
      <c r="I863" s="71" t="str">
        <f>IF(ISBLANK(Log[[#This Row],[Item]]),"",(Log[[#This Row],[Carbs]]-Log[[#This Row],[Fibre]]))</f>
        <v/>
      </c>
      <c r="J863" s="103" t="str">
        <f>IF(ISBLANK(Log[[#This Row],[Item]]),"",_xlfn.XLOOKUP(Log[[#This Row],[Item]],Calories[Name],Calories[Sodium])*Log[[#This Row],[Qty]])</f>
        <v/>
      </c>
      <c r="K863" s="71" t="str">
        <f>IF(ISBLANK(Log[[#This Row],[Item]]),"",_xlfn.XLOOKUP(Log[[#This Row],[Item]],Calories[Name],Calories[Protein])*Log[[#This Row],[Qty]])</f>
        <v/>
      </c>
      <c r="L863" s="71" t="str">
        <f>IF(ISBLANK(Log[[#This Row],[Item]]),"",_xlfn.XLOOKUP(Log[[#This Row],[Item]],Calories[Name],Calories[Chol.])*Log[[#This Row],[Qty]])</f>
        <v/>
      </c>
      <c r="M863" s="75"/>
      <c r="N863" s="75"/>
      <c r="O863" s="75"/>
    </row>
    <row r="864" spans="1:15" s="66" customFormat="1" ht="25.15" customHeight="1">
      <c r="A864" s="75"/>
      <c r="B864" s="98"/>
      <c r="C864" s="78"/>
      <c r="D864" s="79"/>
      <c r="E864" s="76" t="str">
        <f>IF(ISBLANK(Log[[#This Row],[Item]]),"",_xlfn.XLOOKUP(Log[[#This Row],[Item]],Calories[Name],Calories[Unit]))</f>
        <v/>
      </c>
      <c r="F864" s="65" t="str">
        <f>IF(ISBLANK(Log[[#This Row],[Item]]),"",_xlfn.XLOOKUP(Log[[#This Row],[Item]],Calories[Name],Calories[Cals])*Log[[#This Row],[Qty]])</f>
        <v/>
      </c>
      <c r="G864" s="71" t="str">
        <f>IF(ISBLANK(Log[[#This Row],[Item]]),"",_xlfn.XLOOKUP(Log[[#This Row],[Item]],Calories[Name],Calories[Carbs])*Log[[#This Row],[Qty]])</f>
        <v/>
      </c>
      <c r="H864" s="71" t="str">
        <f>IF(ISBLANK(Log[[#This Row],[Item]]),"",_xlfn.XLOOKUP(Log[[#This Row],[Item]],Calories[Name],Calories[Fibre])*Log[[#This Row],[Qty]])</f>
        <v/>
      </c>
      <c r="I864" s="71" t="str">
        <f>IF(ISBLANK(Log[[#This Row],[Item]]),"",(Log[[#This Row],[Carbs]]-Log[[#This Row],[Fibre]]))</f>
        <v/>
      </c>
      <c r="J864" s="103" t="str">
        <f>IF(ISBLANK(Log[[#This Row],[Item]]),"",_xlfn.XLOOKUP(Log[[#This Row],[Item]],Calories[Name],Calories[Sodium])*Log[[#This Row],[Qty]])</f>
        <v/>
      </c>
      <c r="K864" s="71" t="str">
        <f>IF(ISBLANK(Log[[#This Row],[Item]]),"",_xlfn.XLOOKUP(Log[[#This Row],[Item]],Calories[Name],Calories[Protein])*Log[[#This Row],[Qty]])</f>
        <v/>
      </c>
      <c r="L864" s="71" t="str">
        <f>IF(ISBLANK(Log[[#This Row],[Item]]),"",_xlfn.XLOOKUP(Log[[#This Row],[Item]],Calories[Name],Calories[Chol.])*Log[[#This Row],[Qty]])</f>
        <v/>
      </c>
      <c r="M864" s="75"/>
      <c r="N864" s="75"/>
      <c r="O864" s="75"/>
    </row>
    <row r="865" spans="1:15" s="66" customFormat="1" ht="25.15" customHeight="1">
      <c r="A865" s="75"/>
      <c r="B865" s="98"/>
      <c r="C865" s="78"/>
      <c r="D865" s="79"/>
      <c r="E865" s="76" t="str">
        <f>IF(ISBLANK(Log[[#This Row],[Item]]),"",_xlfn.XLOOKUP(Log[[#This Row],[Item]],Calories[Name],Calories[Unit]))</f>
        <v/>
      </c>
      <c r="F865" s="65" t="str">
        <f>IF(ISBLANK(Log[[#This Row],[Item]]),"",_xlfn.XLOOKUP(Log[[#This Row],[Item]],Calories[Name],Calories[Cals])*Log[[#This Row],[Qty]])</f>
        <v/>
      </c>
      <c r="G865" s="71" t="str">
        <f>IF(ISBLANK(Log[[#This Row],[Item]]),"",_xlfn.XLOOKUP(Log[[#This Row],[Item]],Calories[Name],Calories[Carbs])*Log[[#This Row],[Qty]])</f>
        <v/>
      </c>
      <c r="H865" s="71" t="str">
        <f>IF(ISBLANK(Log[[#This Row],[Item]]),"",_xlfn.XLOOKUP(Log[[#This Row],[Item]],Calories[Name],Calories[Fibre])*Log[[#This Row],[Qty]])</f>
        <v/>
      </c>
      <c r="I865" s="71" t="str">
        <f>IF(ISBLANK(Log[[#This Row],[Item]]),"",(Log[[#This Row],[Carbs]]-Log[[#This Row],[Fibre]]))</f>
        <v/>
      </c>
      <c r="J865" s="103" t="str">
        <f>IF(ISBLANK(Log[[#This Row],[Item]]),"",_xlfn.XLOOKUP(Log[[#This Row],[Item]],Calories[Name],Calories[Sodium])*Log[[#This Row],[Qty]])</f>
        <v/>
      </c>
      <c r="K865" s="71" t="str">
        <f>IF(ISBLANK(Log[[#This Row],[Item]]),"",_xlfn.XLOOKUP(Log[[#This Row],[Item]],Calories[Name],Calories[Protein])*Log[[#This Row],[Qty]])</f>
        <v/>
      </c>
      <c r="L865" s="71" t="str">
        <f>IF(ISBLANK(Log[[#This Row],[Item]]),"",_xlfn.XLOOKUP(Log[[#This Row],[Item]],Calories[Name],Calories[Chol.])*Log[[#This Row],[Qty]])</f>
        <v/>
      </c>
      <c r="M865" s="75"/>
      <c r="N865" s="75"/>
      <c r="O865" s="75"/>
    </row>
    <row r="866" spans="1:15" s="66" customFormat="1" ht="25.15" customHeight="1">
      <c r="A866" s="75"/>
      <c r="B866" s="98"/>
      <c r="C866" s="78"/>
      <c r="D866" s="79"/>
      <c r="E866" s="76" t="str">
        <f>IF(ISBLANK(Log[[#This Row],[Item]]),"",_xlfn.XLOOKUP(Log[[#This Row],[Item]],Calories[Name],Calories[Unit]))</f>
        <v/>
      </c>
      <c r="F866" s="65" t="str">
        <f>IF(ISBLANK(Log[[#This Row],[Item]]),"",_xlfn.XLOOKUP(Log[[#This Row],[Item]],Calories[Name],Calories[Cals])*Log[[#This Row],[Qty]])</f>
        <v/>
      </c>
      <c r="G866" s="71" t="str">
        <f>IF(ISBLANK(Log[[#This Row],[Item]]),"",_xlfn.XLOOKUP(Log[[#This Row],[Item]],Calories[Name],Calories[Carbs])*Log[[#This Row],[Qty]])</f>
        <v/>
      </c>
      <c r="H866" s="71" t="str">
        <f>IF(ISBLANK(Log[[#This Row],[Item]]),"",_xlfn.XLOOKUP(Log[[#This Row],[Item]],Calories[Name],Calories[Fibre])*Log[[#This Row],[Qty]])</f>
        <v/>
      </c>
      <c r="I866" s="71" t="str">
        <f>IF(ISBLANK(Log[[#This Row],[Item]]),"",(Log[[#This Row],[Carbs]]-Log[[#This Row],[Fibre]]))</f>
        <v/>
      </c>
      <c r="J866" s="103" t="str">
        <f>IF(ISBLANK(Log[[#This Row],[Item]]),"",_xlfn.XLOOKUP(Log[[#This Row],[Item]],Calories[Name],Calories[Sodium])*Log[[#This Row],[Qty]])</f>
        <v/>
      </c>
      <c r="K866" s="71" t="str">
        <f>IF(ISBLANK(Log[[#This Row],[Item]]),"",_xlfn.XLOOKUP(Log[[#This Row],[Item]],Calories[Name],Calories[Protein])*Log[[#This Row],[Qty]])</f>
        <v/>
      </c>
      <c r="L866" s="71" t="str">
        <f>IF(ISBLANK(Log[[#This Row],[Item]]),"",_xlfn.XLOOKUP(Log[[#This Row],[Item]],Calories[Name],Calories[Chol.])*Log[[#This Row],[Qty]])</f>
        <v/>
      </c>
      <c r="M866" s="75"/>
      <c r="N866" s="75"/>
      <c r="O866" s="75"/>
    </row>
    <row r="867" spans="1:15" s="66" customFormat="1" ht="25.15" customHeight="1">
      <c r="A867" s="75"/>
      <c r="B867" s="98"/>
      <c r="C867" s="78"/>
      <c r="D867" s="79"/>
      <c r="E867" s="76" t="str">
        <f>IF(ISBLANK(Log[[#This Row],[Item]]),"",_xlfn.XLOOKUP(Log[[#This Row],[Item]],Calories[Name],Calories[Unit]))</f>
        <v/>
      </c>
      <c r="F867" s="65" t="str">
        <f>IF(ISBLANK(Log[[#This Row],[Item]]),"",_xlfn.XLOOKUP(Log[[#This Row],[Item]],Calories[Name],Calories[Cals])*Log[[#This Row],[Qty]])</f>
        <v/>
      </c>
      <c r="G867" s="71" t="str">
        <f>IF(ISBLANK(Log[[#This Row],[Item]]),"",_xlfn.XLOOKUP(Log[[#This Row],[Item]],Calories[Name],Calories[Carbs])*Log[[#This Row],[Qty]])</f>
        <v/>
      </c>
      <c r="H867" s="71" t="str">
        <f>IF(ISBLANK(Log[[#This Row],[Item]]),"",_xlfn.XLOOKUP(Log[[#This Row],[Item]],Calories[Name],Calories[Fibre])*Log[[#This Row],[Qty]])</f>
        <v/>
      </c>
      <c r="I867" s="71" t="str">
        <f>IF(ISBLANK(Log[[#This Row],[Item]]),"",(Log[[#This Row],[Carbs]]-Log[[#This Row],[Fibre]]))</f>
        <v/>
      </c>
      <c r="J867" s="103" t="str">
        <f>IF(ISBLANK(Log[[#This Row],[Item]]),"",_xlfn.XLOOKUP(Log[[#This Row],[Item]],Calories[Name],Calories[Sodium])*Log[[#This Row],[Qty]])</f>
        <v/>
      </c>
      <c r="K867" s="71" t="str">
        <f>IF(ISBLANK(Log[[#This Row],[Item]]),"",_xlfn.XLOOKUP(Log[[#This Row],[Item]],Calories[Name],Calories[Protein])*Log[[#This Row],[Qty]])</f>
        <v/>
      </c>
      <c r="L867" s="71" t="str">
        <f>IF(ISBLANK(Log[[#This Row],[Item]]),"",_xlfn.XLOOKUP(Log[[#This Row],[Item]],Calories[Name],Calories[Chol.])*Log[[#This Row],[Qty]])</f>
        <v/>
      </c>
      <c r="M867" s="75"/>
      <c r="N867" s="75"/>
      <c r="O867" s="75"/>
    </row>
    <row r="868" spans="1:15" s="66" customFormat="1" ht="25.15" customHeight="1">
      <c r="A868" s="75"/>
      <c r="B868" s="98"/>
      <c r="C868" s="78"/>
      <c r="D868" s="79"/>
      <c r="E868" s="76" t="str">
        <f>IF(ISBLANK(Log[[#This Row],[Item]]),"",_xlfn.XLOOKUP(Log[[#This Row],[Item]],Calories[Name],Calories[Unit]))</f>
        <v/>
      </c>
      <c r="F868" s="65" t="str">
        <f>IF(ISBLANK(Log[[#This Row],[Item]]),"",_xlfn.XLOOKUP(Log[[#This Row],[Item]],Calories[Name],Calories[Cals])*Log[[#This Row],[Qty]])</f>
        <v/>
      </c>
      <c r="G868" s="71" t="str">
        <f>IF(ISBLANK(Log[[#This Row],[Item]]),"",_xlfn.XLOOKUP(Log[[#This Row],[Item]],Calories[Name],Calories[Carbs])*Log[[#This Row],[Qty]])</f>
        <v/>
      </c>
      <c r="H868" s="71" t="str">
        <f>IF(ISBLANK(Log[[#This Row],[Item]]),"",_xlfn.XLOOKUP(Log[[#This Row],[Item]],Calories[Name],Calories[Fibre])*Log[[#This Row],[Qty]])</f>
        <v/>
      </c>
      <c r="I868" s="71" t="str">
        <f>IF(ISBLANK(Log[[#This Row],[Item]]),"",(Log[[#This Row],[Carbs]]-Log[[#This Row],[Fibre]]))</f>
        <v/>
      </c>
      <c r="J868" s="103" t="str">
        <f>IF(ISBLANK(Log[[#This Row],[Item]]),"",_xlfn.XLOOKUP(Log[[#This Row],[Item]],Calories[Name],Calories[Sodium])*Log[[#This Row],[Qty]])</f>
        <v/>
      </c>
      <c r="K868" s="71" t="str">
        <f>IF(ISBLANK(Log[[#This Row],[Item]]),"",_xlfn.XLOOKUP(Log[[#This Row],[Item]],Calories[Name],Calories[Protein])*Log[[#This Row],[Qty]])</f>
        <v/>
      </c>
      <c r="L868" s="71" t="str">
        <f>IF(ISBLANK(Log[[#This Row],[Item]]),"",_xlfn.XLOOKUP(Log[[#This Row],[Item]],Calories[Name],Calories[Chol.])*Log[[#This Row],[Qty]])</f>
        <v/>
      </c>
      <c r="M868" s="75"/>
      <c r="N868" s="75"/>
      <c r="O868" s="75"/>
    </row>
    <row r="869" spans="1:15" s="66" customFormat="1" ht="25.15" customHeight="1">
      <c r="A869" s="75"/>
      <c r="B869" s="98"/>
      <c r="C869" s="78"/>
      <c r="D869" s="79"/>
      <c r="E869" s="76" t="str">
        <f>IF(ISBLANK(Log[[#This Row],[Item]]),"",_xlfn.XLOOKUP(Log[[#This Row],[Item]],Calories[Name],Calories[Unit]))</f>
        <v/>
      </c>
      <c r="F869" s="65" t="str">
        <f>IF(ISBLANK(Log[[#This Row],[Item]]),"",_xlfn.XLOOKUP(Log[[#This Row],[Item]],Calories[Name],Calories[Cals])*Log[[#This Row],[Qty]])</f>
        <v/>
      </c>
      <c r="G869" s="71" t="str">
        <f>IF(ISBLANK(Log[[#This Row],[Item]]),"",_xlfn.XLOOKUP(Log[[#This Row],[Item]],Calories[Name],Calories[Carbs])*Log[[#This Row],[Qty]])</f>
        <v/>
      </c>
      <c r="H869" s="71" t="str">
        <f>IF(ISBLANK(Log[[#This Row],[Item]]),"",_xlfn.XLOOKUP(Log[[#This Row],[Item]],Calories[Name],Calories[Fibre])*Log[[#This Row],[Qty]])</f>
        <v/>
      </c>
      <c r="I869" s="71" t="str">
        <f>IF(ISBLANK(Log[[#This Row],[Item]]),"",(Log[[#This Row],[Carbs]]-Log[[#This Row],[Fibre]]))</f>
        <v/>
      </c>
      <c r="J869" s="103" t="str">
        <f>IF(ISBLANK(Log[[#This Row],[Item]]),"",_xlfn.XLOOKUP(Log[[#This Row],[Item]],Calories[Name],Calories[Sodium])*Log[[#This Row],[Qty]])</f>
        <v/>
      </c>
      <c r="K869" s="71" t="str">
        <f>IF(ISBLANK(Log[[#This Row],[Item]]),"",_xlfn.XLOOKUP(Log[[#This Row],[Item]],Calories[Name],Calories[Protein])*Log[[#This Row],[Qty]])</f>
        <v/>
      </c>
      <c r="L869" s="71" t="str">
        <f>IF(ISBLANK(Log[[#This Row],[Item]]),"",_xlfn.XLOOKUP(Log[[#This Row],[Item]],Calories[Name],Calories[Chol.])*Log[[#This Row],[Qty]])</f>
        <v/>
      </c>
      <c r="M869" s="75"/>
      <c r="N869" s="75"/>
      <c r="O869" s="75"/>
    </row>
    <row r="870" spans="1:15" s="66" customFormat="1" ht="25.15" customHeight="1">
      <c r="A870" s="75"/>
      <c r="B870" s="98"/>
      <c r="C870" s="78"/>
      <c r="D870" s="79"/>
      <c r="E870" s="76" t="str">
        <f>IF(ISBLANK(Log[[#This Row],[Item]]),"",_xlfn.XLOOKUP(Log[[#This Row],[Item]],Calories[Name],Calories[Unit]))</f>
        <v/>
      </c>
      <c r="F870" s="65" t="str">
        <f>IF(ISBLANK(Log[[#This Row],[Item]]),"",_xlfn.XLOOKUP(Log[[#This Row],[Item]],Calories[Name],Calories[Cals])*Log[[#This Row],[Qty]])</f>
        <v/>
      </c>
      <c r="G870" s="71" t="str">
        <f>IF(ISBLANK(Log[[#This Row],[Item]]),"",_xlfn.XLOOKUP(Log[[#This Row],[Item]],Calories[Name],Calories[Carbs])*Log[[#This Row],[Qty]])</f>
        <v/>
      </c>
      <c r="H870" s="71" t="str">
        <f>IF(ISBLANK(Log[[#This Row],[Item]]),"",_xlfn.XLOOKUP(Log[[#This Row],[Item]],Calories[Name],Calories[Fibre])*Log[[#This Row],[Qty]])</f>
        <v/>
      </c>
      <c r="I870" s="71" t="str">
        <f>IF(ISBLANK(Log[[#This Row],[Item]]),"",(Log[[#This Row],[Carbs]]-Log[[#This Row],[Fibre]]))</f>
        <v/>
      </c>
      <c r="J870" s="103" t="str">
        <f>IF(ISBLANK(Log[[#This Row],[Item]]),"",_xlfn.XLOOKUP(Log[[#This Row],[Item]],Calories[Name],Calories[Sodium])*Log[[#This Row],[Qty]])</f>
        <v/>
      </c>
      <c r="K870" s="71" t="str">
        <f>IF(ISBLANK(Log[[#This Row],[Item]]),"",_xlfn.XLOOKUP(Log[[#This Row],[Item]],Calories[Name],Calories[Protein])*Log[[#This Row],[Qty]])</f>
        <v/>
      </c>
      <c r="L870" s="71" t="str">
        <f>IF(ISBLANK(Log[[#This Row],[Item]]),"",_xlfn.XLOOKUP(Log[[#This Row],[Item]],Calories[Name],Calories[Chol.])*Log[[#This Row],[Qty]])</f>
        <v/>
      </c>
      <c r="M870" s="75"/>
      <c r="N870" s="75"/>
      <c r="O870" s="75"/>
    </row>
    <row r="871" spans="1:15" s="66" customFormat="1" ht="25.15" customHeight="1">
      <c r="A871" s="75"/>
      <c r="B871" s="98"/>
      <c r="C871" s="78"/>
      <c r="D871" s="79"/>
      <c r="E871" s="76" t="str">
        <f>IF(ISBLANK(Log[[#This Row],[Item]]),"",_xlfn.XLOOKUP(Log[[#This Row],[Item]],Calories[Name],Calories[Unit]))</f>
        <v/>
      </c>
      <c r="F871" s="65" t="str">
        <f>IF(ISBLANK(Log[[#This Row],[Item]]),"",_xlfn.XLOOKUP(Log[[#This Row],[Item]],Calories[Name],Calories[Cals])*Log[[#This Row],[Qty]])</f>
        <v/>
      </c>
      <c r="G871" s="71" t="str">
        <f>IF(ISBLANK(Log[[#This Row],[Item]]),"",_xlfn.XLOOKUP(Log[[#This Row],[Item]],Calories[Name],Calories[Carbs])*Log[[#This Row],[Qty]])</f>
        <v/>
      </c>
      <c r="H871" s="71" t="str">
        <f>IF(ISBLANK(Log[[#This Row],[Item]]),"",_xlfn.XLOOKUP(Log[[#This Row],[Item]],Calories[Name],Calories[Fibre])*Log[[#This Row],[Qty]])</f>
        <v/>
      </c>
      <c r="I871" s="71" t="str">
        <f>IF(ISBLANK(Log[[#This Row],[Item]]),"",(Log[[#This Row],[Carbs]]-Log[[#This Row],[Fibre]]))</f>
        <v/>
      </c>
      <c r="J871" s="103" t="str">
        <f>IF(ISBLANK(Log[[#This Row],[Item]]),"",_xlfn.XLOOKUP(Log[[#This Row],[Item]],Calories[Name],Calories[Sodium])*Log[[#This Row],[Qty]])</f>
        <v/>
      </c>
      <c r="K871" s="71" t="str">
        <f>IF(ISBLANK(Log[[#This Row],[Item]]),"",_xlfn.XLOOKUP(Log[[#This Row],[Item]],Calories[Name],Calories[Protein])*Log[[#This Row],[Qty]])</f>
        <v/>
      </c>
      <c r="L871" s="71" t="str">
        <f>IF(ISBLANK(Log[[#This Row],[Item]]),"",_xlfn.XLOOKUP(Log[[#This Row],[Item]],Calories[Name],Calories[Chol.])*Log[[#This Row],[Qty]])</f>
        <v/>
      </c>
      <c r="M871" s="75"/>
      <c r="N871" s="75"/>
      <c r="O871" s="75"/>
    </row>
    <row r="872" spans="1:15" s="66" customFormat="1" ht="25.15" customHeight="1">
      <c r="A872" s="75"/>
      <c r="B872" s="98"/>
      <c r="C872" s="78"/>
      <c r="D872" s="79"/>
      <c r="E872" s="76" t="str">
        <f>IF(ISBLANK(Log[[#This Row],[Item]]),"",_xlfn.XLOOKUP(Log[[#This Row],[Item]],Calories[Name],Calories[Unit]))</f>
        <v/>
      </c>
      <c r="F872" s="65" t="str">
        <f>IF(ISBLANK(Log[[#This Row],[Item]]),"",_xlfn.XLOOKUP(Log[[#This Row],[Item]],Calories[Name],Calories[Cals])*Log[[#This Row],[Qty]])</f>
        <v/>
      </c>
      <c r="G872" s="71" t="str">
        <f>IF(ISBLANK(Log[[#This Row],[Item]]),"",_xlfn.XLOOKUP(Log[[#This Row],[Item]],Calories[Name],Calories[Carbs])*Log[[#This Row],[Qty]])</f>
        <v/>
      </c>
      <c r="H872" s="71" t="str">
        <f>IF(ISBLANK(Log[[#This Row],[Item]]),"",_xlfn.XLOOKUP(Log[[#This Row],[Item]],Calories[Name],Calories[Fibre])*Log[[#This Row],[Qty]])</f>
        <v/>
      </c>
      <c r="I872" s="71" t="str">
        <f>IF(ISBLANK(Log[[#This Row],[Item]]),"",(Log[[#This Row],[Carbs]]-Log[[#This Row],[Fibre]]))</f>
        <v/>
      </c>
      <c r="J872" s="103" t="str">
        <f>IF(ISBLANK(Log[[#This Row],[Item]]),"",_xlfn.XLOOKUP(Log[[#This Row],[Item]],Calories[Name],Calories[Sodium])*Log[[#This Row],[Qty]])</f>
        <v/>
      </c>
      <c r="K872" s="71" t="str">
        <f>IF(ISBLANK(Log[[#This Row],[Item]]),"",_xlfn.XLOOKUP(Log[[#This Row],[Item]],Calories[Name],Calories[Protein])*Log[[#This Row],[Qty]])</f>
        <v/>
      </c>
      <c r="L872" s="71" t="str">
        <f>IF(ISBLANK(Log[[#This Row],[Item]]),"",_xlfn.XLOOKUP(Log[[#This Row],[Item]],Calories[Name],Calories[Chol.])*Log[[#This Row],[Qty]])</f>
        <v/>
      </c>
      <c r="M872" s="75"/>
      <c r="N872" s="75"/>
      <c r="O872" s="75"/>
    </row>
    <row r="873" spans="1:15" s="66" customFormat="1" ht="25.15" customHeight="1">
      <c r="A873" s="75"/>
      <c r="B873" s="98"/>
      <c r="C873" s="78"/>
      <c r="D873" s="79"/>
      <c r="E873" s="76" t="str">
        <f>IF(ISBLANK(Log[[#This Row],[Item]]),"",_xlfn.XLOOKUP(Log[[#This Row],[Item]],Calories[Name],Calories[Unit]))</f>
        <v/>
      </c>
      <c r="F873" s="65" t="str">
        <f>IF(ISBLANK(Log[[#This Row],[Item]]),"",_xlfn.XLOOKUP(Log[[#This Row],[Item]],Calories[Name],Calories[Cals])*Log[[#This Row],[Qty]])</f>
        <v/>
      </c>
      <c r="G873" s="71" t="str">
        <f>IF(ISBLANK(Log[[#This Row],[Item]]),"",_xlfn.XLOOKUP(Log[[#This Row],[Item]],Calories[Name],Calories[Carbs])*Log[[#This Row],[Qty]])</f>
        <v/>
      </c>
      <c r="H873" s="71" t="str">
        <f>IF(ISBLANK(Log[[#This Row],[Item]]),"",_xlfn.XLOOKUP(Log[[#This Row],[Item]],Calories[Name],Calories[Fibre])*Log[[#This Row],[Qty]])</f>
        <v/>
      </c>
      <c r="I873" s="71" t="str">
        <f>IF(ISBLANK(Log[[#This Row],[Item]]),"",(Log[[#This Row],[Carbs]]-Log[[#This Row],[Fibre]]))</f>
        <v/>
      </c>
      <c r="J873" s="103" t="str">
        <f>IF(ISBLANK(Log[[#This Row],[Item]]),"",_xlfn.XLOOKUP(Log[[#This Row],[Item]],Calories[Name],Calories[Sodium])*Log[[#This Row],[Qty]])</f>
        <v/>
      </c>
      <c r="K873" s="71" t="str">
        <f>IF(ISBLANK(Log[[#This Row],[Item]]),"",_xlfn.XLOOKUP(Log[[#This Row],[Item]],Calories[Name],Calories[Protein])*Log[[#This Row],[Qty]])</f>
        <v/>
      </c>
      <c r="L873" s="71" t="str">
        <f>IF(ISBLANK(Log[[#This Row],[Item]]),"",_xlfn.XLOOKUP(Log[[#This Row],[Item]],Calories[Name],Calories[Chol.])*Log[[#This Row],[Qty]])</f>
        <v/>
      </c>
      <c r="M873" s="75"/>
      <c r="N873" s="75"/>
      <c r="O873" s="75"/>
    </row>
    <row r="874" spans="1:15" s="66" customFormat="1" ht="25.15" customHeight="1">
      <c r="A874" s="75"/>
      <c r="B874" s="98"/>
      <c r="C874" s="78"/>
      <c r="D874" s="79"/>
      <c r="E874" s="76" t="str">
        <f>IF(ISBLANK(Log[[#This Row],[Item]]),"",_xlfn.XLOOKUP(Log[[#This Row],[Item]],Calories[Name],Calories[Unit]))</f>
        <v/>
      </c>
      <c r="F874" s="65" t="str">
        <f>IF(ISBLANK(Log[[#This Row],[Item]]),"",_xlfn.XLOOKUP(Log[[#This Row],[Item]],Calories[Name],Calories[Cals])*Log[[#This Row],[Qty]])</f>
        <v/>
      </c>
      <c r="G874" s="71" t="str">
        <f>IF(ISBLANK(Log[[#This Row],[Item]]),"",_xlfn.XLOOKUP(Log[[#This Row],[Item]],Calories[Name],Calories[Carbs])*Log[[#This Row],[Qty]])</f>
        <v/>
      </c>
      <c r="H874" s="71" t="str">
        <f>IF(ISBLANK(Log[[#This Row],[Item]]),"",_xlfn.XLOOKUP(Log[[#This Row],[Item]],Calories[Name],Calories[Fibre])*Log[[#This Row],[Qty]])</f>
        <v/>
      </c>
      <c r="I874" s="71" t="str">
        <f>IF(ISBLANK(Log[[#This Row],[Item]]),"",(Log[[#This Row],[Carbs]]-Log[[#This Row],[Fibre]]))</f>
        <v/>
      </c>
      <c r="J874" s="103" t="str">
        <f>IF(ISBLANK(Log[[#This Row],[Item]]),"",_xlfn.XLOOKUP(Log[[#This Row],[Item]],Calories[Name],Calories[Sodium])*Log[[#This Row],[Qty]])</f>
        <v/>
      </c>
      <c r="K874" s="71" t="str">
        <f>IF(ISBLANK(Log[[#This Row],[Item]]),"",_xlfn.XLOOKUP(Log[[#This Row],[Item]],Calories[Name],Calories[Protein])*Log[[#This Row],[Qty]])</f>
        <v/>
      </c>
      <c r="L874" s="71" t="str">
        <f>IF(ISBLANK(Log[[#This Row],[Item]]),"",_xlfn.XLOOKUP(Log[[#This Row],[Item]],Calories[Name],Calories[Chol.])*Log[[#This Row],[Qty]])</f>
        <v/>
      </c>
      <c r="M874" s="75"/>
      <c r="N874" s="75"/>
      <c r="O874" s="75"/>
    </row>
    <row r="875" spans="1:15" s="66" customFormat="1" ht="25.15" customHeight="1">
      <c r="A875" s="75"/>
      <c r="B875" s="98"/>
      <c r="C875" s="78"/>
      <c r="D875" s="79"/>
      <c r="E875" s="76" t="str">
        <f>IF(ISBLANK(Log[[#This Row],[Item]]),"",_xlfn.XLOOKUP(Log[[#This Row],[Item]],Calories[Name],Calories[Unit]))</f>
        <v/>
      </c>
      <c r="F875" s="65" t="str">
        <f>IF(ISBLANK(Log[[#This Row],[Item]]),"",_xlfn.XLOOKUP(Log[[#This Row],[Item]],Calories[Name],Calories[Cals])*Log[[#This Row],[Qty]])</f>
        <v/>
      </c>
      <c r="G875" s="71" t="str">
        <f>IF(ISBLANK(Log[[#This Row],[Item]]),"",_xlfn.XLOOKUP(Log[[#This Row],[Item]],Calories[Name],Calories[Carbs])*Log[[#This Row],[Qty]])</f>
        <v/>
      </c>
      <c r="H875" s="71" t="str">
        <f>IF(ISBLANK(Log[[#This Row],[Item]]),"",_xlfn.XLOOKUP(Log[[#This Row],[Item]],Calories[Name],Calories[Fibre])*Log[[#This Row],[Qty]])</f>
        <v/>
      </c>
      <c r="I875" s="71" t="str">
        <f>IF(ISBLANK(Log[[#This Row],[Item]]),"",(Log[[#This Row],[Carbs]]-Log[[#This Row],[Fibre]]))</f>
        <v/>
      </c>
      <c r="J875" s="103" t="str">
        <f>IF(ISBLANK(Log[[#This Row],[Item]]),"",_xlfn.XLOOKUP(Log[[#This Row],[Item]],Calories[Name],Calories[Sodium])*Log[[#This Row],[Qty]])</f>
        <v/>
      </c>
      <c r="K875" s="71" t="str">
        <f>IF(ISBLANK(Log[[#This Row],[Item]]),"",_xlfn.XLOOKUP(Log[[#This Row],[Item]],Calories[Name],Calories[Protein])*Log[[#This Row],[Qty]])</f>
        <v/>
      </c>
      <c r="L875" s="71" t="str">
        <f>IF(ISBLANK(Log[[#This Row],[Item]]),"",_xlfn.XLOOKUP(Log[[#This Row],[Item]],Calories[Name],Calories[Chol.])*Log[[#This Row],[Qty]])</f>
        <v/>
      </c>
      <c r="M875" s="75"/>
      <c r="N875" s="75"/>
      <c r="O875" s="75"/>
    </row>
    <row r="876" spans="1:15" s="66" customFormat="1" ht="25.15" customHeight="1">
      <c r="A876" s="75"/>
      <c r="B876" s="98"/>
      <c r="C876" s="78"/>
      <c r="D876" s="79"/>
      <c r="E876" s="76" t="str">
        <f>IF(ISBLANK(Log[[#This Row],[Item]]),"",_xlfn.XLOOKUP(Log[[#This Row],[Item]],Calories[Name],Calories[Unit]))</f>
        <v/>
      </c>
      <c r="F876" s="65" t="str">
        <f>IF(ISBLANK(Log[[#This Row],[Item]]),"",_xlfn.XLOOKUP(Log[[#This Row],[Item]],Calories[Name],Calories[Cals])*Log[[#This Row],[Qty]])</f>
        <v/>
      </c>
      <c r="G876" s="71" t="str">
        <f>IF(ISBLANK(Log[[#This Row],[Item]]),"",_xlfn.XLOOKUP(Log[[#This Row],[Item]],Calories[Name],Calories[Carbs])*Log[[#This Row],[Qty]])</f>
        <v/>
      </c>
      <c r="H876" s="71" t="str">
        <f>IF(ISBLANK(Log[[#This Row],[Item]]),"",_xlfn.XLOOKUP(Log[[#This Row],[Item]],Calories[Name],Calories[Fibre])*Log[[#This Row],[Qty]])</f>
        <v/>
      </c>
      <c r="I876" s="71" t="str">
        <f>IF(ISBLANK(Log[[#This Row],[Item]]),"",(Log[[#This Row],[Carbs]]-Log[[#This Row],[Fibre]]))</f>
        <v/>
      </c>
      <c r="J876" s="103" t="str">
        <f>IF(ISBLANK(Log[[#This Row],[Item]]),"",_xlfn.XLOOKUP(Log[[#This Row],[Item]],Calories[Name],Calories[Sodium])*Log[[#This Row],[Qty]])</f>
        <v/>
      </c>
      <c r="K876" s="71" t="str">
        <f>IF(ISBLANK(Log[[#This Row],[Item]]),"",_xlfn.XLOOKUP(Log[[#This Row],[Item]],Calories[Name],Calories[Protein])*Log[[#This Row],[Qty]])</f>
        <v/>
      </c>
      <c r="L876" s="71" t="str">
        <f>IF(ISBLANK(Log[[#This Row],[Item]]),"",_xlfn.XLOOKUP(Log[[#This Row],[Item]],Calories[Name],Calories[Chol.])*Log[[#This Row],[Qty]])</f>
        <v/>
      </c>
      <c r="M876" s="75"/>
      <c r="N876" s="75"/>
      <c r="O876" s="75"/>
    </row>
    <row r="877" spans="1:15" s="66" customFormat="1" ht="25.15" customHeight="1">
      <c r="A877" s="75"/>
      <c r="B877" s="98"/>
      <c r="C877" s="78"/>
      <c r="D877" s="79"/>
      <c r="E877" s="76" t="str">
        <f>IF(ISBLANK(Log[[#This Row],[Item]]),"",_xlfn.XLOOKUP(Log[[#This Row],[Item]],Calories[Name],Calories[Unit]))</f>
        <v/>
      </c>
      <c r="F877" s="65" t="str">
        <f>IF(ISBLANK(Log[[#This Row],[Item]]),"",_xlfn.XLOOKUP(Log[[#This Row],[Item]],Calories[Name],Calories[Cals])*Log[[#This Row],[Qty]])</f>
        <v/>
      </c>
      <c r="G877" s="71" t="str">
        <f>IF(ISBLANK(Log[[#This Row],[Item]]),"",_xlfn.XLOOKUP(Log[[#This Row],[Item]],Calories[Name],Calories[Carbs])*Log[[#This Row],[Qty]])</f>
        <v/>
      </c>
      <c r="H877" s="71" t="str">
        <f>IF(ISBLANK(Log[[#This Row],[Item]]),"",_xlfn.XLOOKUP(Log[[#This Row],[Item]],Calories[Name],Calories[Fibre])*Log[[#This Row],[Qty]])</f>
        <v/>
      </c>
      <c r="I877" s="71" t="str">
        <f>IF(ISBLANK(Log[[#This Row],[Item]]),"",(Log[[#This Row],[Carbs]]-Log[[#This Row],[Fibre]]))</f>
        <v/>
      </c>
      <c r="J877" s="103" t="str">
        <f>IF(ISBLANK(Log[[#This Row],[Item]]),"",_xlfn.XLOOKUP(Log[[#This Row],[Item]],Calories[Name],Calories[Sodium])*Log[[#This Row],[Qty]])</f>
        <v/>
      </c>
      <c r="K877" s="71" t="str">
        <f>IF(ISBLANK(Log[[#This Row],[Item]]),"",_xlfn.XLOOKUP(Log[[#This Row],[Item]],Calories[Name],Calories[Protein])*Log[[#This Row],[Qty]])</f>
        <v/>
      </c>
      <c r="L877" s="71" t="str">
        <f>IF(ISBLANK(Log[[#This Row],[Item]]),"",_xlfn.XLOOKUP(Log[[#This Row],[Item]],Calories[Name],Calories[Chol.])*Log[[#This Row],[Qty]])</f>
        <v/>
      </c>
      <c r="M877" s="75"/>
      <c r="N877" s="75"/>
      <c r="O877" s="75"/>
    </row>
    <row r="878" spans="1:15" s="66" customFormat="1" ht="25.15" customHeight="1">
      <c r="A878" s="75"/>
      <c r="B878" s="98"/>
      <c r="C878" s="78"/>
      <c r="D878" s="79"/>
      <c r="E878" s="76" t="str">
        <f>IF(ISBLANK(Log[[#This Row],[Item]]),"",_xlfn.XLOOKUP(Log[[#This Row],[Item]],Calories[Name],Calories[Unit]))</f>
        <v/>
      </c>
      <c r="F878" s="65" t="str">
        <f>IF(ISBLANK(Log[[#This Row],[Item]]),"",_xlfn.XLOOKUP(Log[[#This Row],[Item]],Calories[Name],Calories[Cals])*Log[[#This Row],[Qty]])</f>
        <v/>
      </c>
      <c r="G878" s="71" t="str">
        <f>IF(ISBLANK(Log[[#This Row],[Item]]),"",_xlfn.XLOOKUP(Log[[#This Row],[Item]],Calories[Name],Calories[Carbs])*Log[[#This Row],[Qty]])</f>
        <v/>
      </c>
      <c r="H878" s="71" t="str">
        <f>IF(ISBLANK(Log[[#This Row],[Item]]),"",_xlfn.XLOOKUP(Log[[#This Row],[Item]],Calories[Name],Calories[Fibre])*Log[[#This Row],[Qty]])</f>
        <v/>
      </c>
      <c r="I878" s="71" t="str">
        <f>IF(ISBLANK(Log[[#This Row],[Item]]),"",(Log[[#This Row],[Carbs]]-Log[[#This Row],[Fibre]]))</f>
        <v/>
      </c>
      <c r="J878" s="103" t="str">
        <f>IF(ISBLANK(Log[[#This Row],[Item]]),"",_xlfn.XLOOKUP(Log[[#This Row],[Item]],Calories[Name],Calories[Sodium])*Log[[#This Row],[Qty]])</f>
        <v/>
      </c>
      <c r="K878" s="71" t="str">
        <f>IF(ISBLANK(Log[[#This Row],[Item]]),"",_xlfn.XLOOKUP(Log[[#This Row],[Item]],Calories[Name],Calories[Protein])*Log[[#This Row],[Qty]])</f>
        <v/>
      </c>
      <c r="L878" s="71" t="str">
        <f>IF(ISBLANK(Log[[#This Row],[Item]]),"",_xlfn.XLOOKUP(Log[[#This Row],[Item]],Calories[Name],Calories[Chol.])*Log[[#This Row],[Qty]])</f>
        <v/>
      </c>
      <c r="M878" s="75"/>
      <c r="N878" s="75"/>
      <c r="O878" s="75"/>
    </row>
    <row r="879" spans="1:15" s="66" customFormat="1" ht="25.15" customHeight="1">
      <c r="A879" s="75"/>
      <c r="B879" s="98"/>
      <c r="C879" s="78"/>
      <c r="D879" s="79"/>
      <c r="E879" s="76" t="str">
        <f>IF(ISBLANK(Log[[#This Row],[Item]]),"",_xlfn.XLOOKUP(Log[[#This Row],[Item]],Calories[Name],Calories[Unit]))</f>
        <v/>
      </c>
      <c r="F879" s="65" t="str">
        <f>IF(ISBLANK(Log[[#This Row],[Item]]),"",_xlfn.XLOOKUP(Log[[#This Row],[Item]],Calories[Name],Calories[Cals])*Log[[#This Row],[Qty]])</f>
        <v/>
      </c>
      <c r="G879" s="71" t="str">
        <f>IF(ISBLANK(Log[[#This Row],[Item]]),"",_xlfn.XLOOKUP(Log[[#This Row],[Item]],Calories[Name],Calories[Carbs])*Log[[#This Row],[Qty]])</f>
        <v/>
      </c>
      <c r="H879" s="71" t="str">
        <f>IF(ISBLANK(Log[[#This Row],[Item]]),"",_xlfn.XLOOKUP(Log[[#This Row],[Item]],Calories[Name],Calories[Fibre])*Log[[#This Row],[Qty]])</f>
        <v/>
      </c>
      <c r="I879" s="71" t="str">
        <f>IF(ISBLANK(Log[[#This Row],[Item]]),"",(Log[[#This Row],[Carbs]]-Log[[#This Row],[Fibre]]))</f>
        <v/>
      </c>
      <c r="J879" s="103" t="str">
        <f>IF(ISBLANK(Log[[#This Row],[Item]]),"",_xlfn.XLOOKUP(Log[[#This Row],[Item]],Calories[Name],Calories[Sodium])*Log[[#This Row],[Qty]])</f>
        <v/>
      </c>
      <c r="K879" s="71" t="str">
        <f>IF(ISBLANK(Log[[#This Row],[Item]]),"",_xlfn.XLOOKUP(Log[[#This Row],[Item]],Calories[Name],Calories[Protein])*Log[[#This Row],[Qty]])</f>
        <v/>
      </c>
      <c r="L879" s="71" t="str">
        <f>IF(ISBLANK(Log[[#This Row],[Item]]),"",_xlfn.XLOOKUP(Log[[#This Row],[Item]],Calories[Name],Calories[Chol.])*Log[[#This Row],[Qty]])</f>
        <v/>
      </c>
      <c r="M879" s="75"/>
      <c r="N879" s="75"/>
      <c r="O879" s="75"/>
    </row>
    <row r="880" spans="1:15" s="66" customFormat="1" ht="25.15" customHeight="1">
      <c r="A880" s="75"/>
      <c r="B880" s="98"/>
      <c r="C880" s="78"/>
      <c r="D880" s="79"/>
      <c r="E880" s="76" t="str">
        <f>IF(ISBLANK(Log[[#This Row],[Item]]),"",_xlfn.XLOOKUP(Log[[#This Row],[Item]],Calories[Name],Calories[Unit]))</f>
        <v/>
      </c>
      <c r="F880" s="65" t="str">
        <f>IF(ISBLANK(Log[[#This Row],[Item]]),"",_xlfn.XLOOKUP(Log[[#This Row],[Item]],Calories[Name],Calories[Cals])*Log[[#This Row],[Qty]])</f>
        <v/>
      </c>
      <c r="G880" s="71" t="str">
        <f>IF(ISBLANK(Log[[#This Row],[Item]]),"",_xlfn.XLOOKUP(Log[[#This Row],[Item]],Calories[Name],Calories[Carbs])*Log[[#This Row],[Qty]])</f>
        <v/>
      </c>
      <c r="H880" s="71" t="str">
        <f>IF(ISBLANK(Log[[#This Row],[Item]]),"",_xlfn.XLOOKUP(Log[[#This Row],[Item]],Calories[Name],Calories[Fibre])*Log[[#This Row],[Qty]])</f>
        <v/>
      </c>
      <c r="I880" s="71" t="str">
        <f>IF(ISBLANK(Log[[#This Row],[Item]]),"",(Log[[#This Row],[Carbs]]-Log[[#This Row],[Fibre]]))</f>
        <v/>
      </c>
      <c r="J880" s="103" t="str">
        <f>IF(ISBLANK(Log[[#This Row],[Item]]),"",_xlfn.XLOOKUP(Log[[#This Row],[Item]],Calories[Name],Calories[Sodium])*Log[[#This Row],[Qty]])</f>
        <v/>
      </c>
      <c r="K880" s="71" t="str">
        <f>IF(ISBLANK(Log[[#This Row],[Item]]),"",_xlfn.XLOOKUP(Log[[#This Row],[Item]],Calories[Name],Calories[Protein])*Log[[#This Row],[Qty]])</f>
        <v/>
      </c>
      <c r="L880" s="71" t="str">
        <f>IF(ISBLANK(Log[[#This Row],[Item]]),"",_xlfn.XLOOKUP(Log[[#This Row],[Item]],Calories[Name],Calories[Chol.])*Log[[#This Row],[Qty]])</f>
        <v/>
      </c>
      <c r="M880" s="75"/>
      <c r="N880" s="75"/>
      <c r="O880" s="75"/>
    </row>
    <row r="881" spans="1:15" s="66" customFormat="1" ht="25.15" customHeight="1">
      <c r="A881" s="75"/>
      <c r="B881" s="98"/>
      <c r="C881" s="78"/>
      <c r="D881" s="79"/>
      <c r="E881" s="76" t="str">
        <f>IF(ISBLANK(Log[[#This Row],[Item]]),"",_xlfn.XLOOKUP(Log[[#This Row],[Item]],Calories[Name],Calories[Unit]))</f>
        <v/>
      </c>
      <c r="F881" s="65" t="str">
        <f>IF(ISBLANK(Log[[#This Row],[Item]]),"",_xlfn.XLOOKUP(Log[[#This Row],[Item]],Calories[Name],Calories[Cals])*Log[[#This Row],[Qty]])</f>
        <v/>
      </c>
      <c r="G881" s="71" t="str">
        <f>IF(ISBLANK(Log[[#This Row],[Item]]),"",_xlfn.XLOOKUP(Log[[#This Row],[Item]],Calories[Name],Calories[Carbs])*Log[[#This Row],[Qty]])</f>
        <v/>
      </c>
      <c r="H881" s="71" t="str">
        <f>IF(ISBLANK(Log[[#This Row],[Item]]),"",_xlfn.XLOOKUP(Log[[#This Row],[Item]],Calories[Name],Calories[Fibre])*Log[[#This Row],[Qty]])</f>
        <v/>
      </c>
      <c r="I881" s="71" t="str">
        <f>IF(ISBLANK(Log[[#This Row],[Item]]),"",(Log[[#This Row],[Carbs]]-Log[[#This Row],[Fibre]]))</f>
        <v/>
      </c>
      <c r="J881" s="103" t="str">
        <f>IF(ISBLANK(Log[[#This Row],[Item]]),"",_xlfn.XLOOKUP(Log[[#This Row],[Item]],Calories[Name],Calories[Sodium])*Log[[#This Row],[Qty]])</f>
        <v/>
      </c>
      <c r="K881" s="71" t="str">
        <f>IF(ISBLANK(Log[[#This Row],[Item]]),"",_xlfn.XLOOKUP(Log[[#This Row],[Item]],Calories[Name],Calories[Protein])*Log[[#This Row],[Qty]])</f>
        <v/>
      </c>
      <c r="L881" s="71" t="str">
        <f>IF(ISBLANK(Log[[#This Row],[Item]]),"",_xlfn.XLOOKUP(Log[[#This Row],[Item]],Calories[Name],Calories[Chol.])*Log[[#This Row],[Qty]])</f>
        <v/>
      </c>
      <c r="M881" s="75"/>
      <c r="N881" s="75"/>
      <c r="O881" s="75"/>
    </row>
    <row r="882" spans="1:15" s="66" customFormat="1" ht="25.15" customHeight="1">
      <c r="A882" s="75"/>
      <c r="B882" s="98"/>
      <c r="C882" s="78"/>
      <c r="D882" s="79"/>
      <c r="E882" s="76" t="str">
        <f>IF(ISBLANK(Log[[#This Row],[Item]]),"",_xlfn.XLOOKUP(Log[[#This Row],[Item]],Calories[Name],Calories[Unit]))</f>
        <v/>
      </c>
      <c r="F882" s="65" t="str">
        <f>IF(ISBLANK(Log[[#This Row],[Item]]),"",_xlfn.XLOOKUP(Log[[#This Row],[Item]],Calories[Name],Calories[Cals])*Log[[#This Row],[Qty]])</f>
        <v/>
      </c>
      <c r="G882" s="71" t="str">
        <f>IF(ISBLANK(Log[[#This Row],[Item]]),"",_xlfn.XLOOKUP(Log[[#This Row],[Item]],Calories[Name],Calories[Carbs])*Log[[#This Row],[Qty]])</f>
        <v/>
      </c>
      <c r="H882" s="71" t="str">
        <f>IF(ISBLANK(Log[[#This Row],[Item]]),"",_xlfn.XLOOKUP(Log[[#This Row],[Item]],Calories[Name],Calories[Fibre])*Log[[#This Row],[Qty]])</f>
        <v/>
      </c>
      <c r="I882" s="71" t="str">
        <f>IF(ISBLANK(Log[[#This Row],[Item]]),"",(Log[[#This Row],[Carbs]]-Log[[#This Row],[Fibre]]))</f>
        <v/>
      </c>
      <c r="J882" s="103" t="str">
        <f>IF(ISBLANK(Log[[#This Row],[Item]]),"",_xlfn.XLOOKUP(Log[[#This Row],[Item]],Calories[Name],Calories[Sodium])*Log[[#This Row],[Qty]])</f>
        <v/>
      </c>
      <c r="K882" s="71" t="str">
        <f>IF(ISBLANK(Log[[#This Row],[Item]]),"",_xlfn.XLOOKUP(Log[[#This Row],[Item]],Calories[Name],Calories[Protein])*Log[[#This Row],[Qty]])</f>
        <v/>
      </c>
      <c r="L882" s="71" t="str">
        <f>IF(ISBLANK(Log[[#This Row],[Item]]),"",_xlfn.XLOOKUP(Log[[#This Row],[Item]],Calories[Name],Calories[Chol.])*Log[[#This Row],[Qty]])</f>
        <v/>
      </c>
      <c r="M882" s="75"/>
      <c r="N882" s="75"/>
      <c r="O882" s="75"/>
    </row>
    <row r="883" spans="1:15" s="66" customFormat="1" ht="25.15" customHeight="1">
      <c r="A883" s="75"/>
      <c r="B883" s="98"/>
      <c r="C883" s="78"/>
      <c r="D883" s="79"/>
      <c r="E883" s="76" t="str">
        <f>IF(ISBLANK(Log[[#This Row],[Item]]),"",_xlfn.XLOOKUP(Log[[#This Row],[Item]],Calories[Name],Calories[Unit]))</f>
        <v/>
      </c>
      <c r="F883" s="65" t="str">
        <f>IF(ISBLANK(Log[[#This Row],[Item]]),"",_xlfn.XLOOKUP(Log[[#This Row],[Item]],Calories[Name],Calories[Cals])*Log[[#This Row],[Qty]])</f>
        <v/>
      </c>
      <c r="G883" s="71" t="str">
        <f>IF(ISBLANK(Log[[#This Row],[Item]]),"",_xlfn.XLOOKUP(Log[[#This Row],[Item]],Calories[Name],Calories[Carbs])*Log[[#This Row],[Qty]])</f>
        <v/>
      </c>
      <c r="H883" s="71" t="str">
        <f>IF(ISBLANK(Log[[#This Row],[Item]]),"",_xlfn.XLOOKUP(Log[[#This Row],[Item]],Calories[Name],Calories[Fibre])*Log[[#This Row],[Qty]])</f>
        <v/>
      </c>
      <c r="I883" s="71" t="str">
        <f>IF(ISBLANK(Log[[#This Row],[Item]]),"",(Log[[#This Row],[Carbs]]-Log[[#This Row],[Fibre]]))</f>
        <v/>
      </c>
      <c r="J883" s="103" t="str">
        <f>IF(ISBLANK(Log[[#This Row],[Item]]),"",_xlfn.XLOOKUP(Log[[#This Row],[Item]],Calories[Name],Calories[Sodium])*Log[[#This Row],[Qty]])</f>
        <v/>
      </c>
      <c r="K883" s="71" t="str">
        <f>IF(ISBLANK(Log[[#This Row],[Item]]),"",_xlfn.XLOOKUP(Log[[#This Row],[Item]],Calories[Name],Calories[Protein])*Log[[#This Row],[Qty]])</f>
        <v/>
      </c>
      <c r="L883" s="71" t="str">
        <f>IF(ISBLANK(Log[[#This Row],[Item]]),"",_xlfn.XLOOKUP(Log[[#This Row],[Item]],Calories[Name],Calories[Chol.])*Log[[#This Row],[Qty]])</f>
        <v/>
      </c>
      <c r="M883" s="75"/>
      <c r="N883" s="75"/>
      <c r="O883" s="75"/>
    </row>
    <row r="884" spans="1:15" s="66" customFormat="1" ht="25.15" customHeight="1">
      <c r="A884" s="75"/>
      <c r="B884" s="98"/>
      <c r="C884" s="78"/>
      <c r="D884" s="79"/>
      <c r="E884" s="76" t="str">
        <f>IF(ISBLANK(Log[[#This Row],[Item]]),"",_xlfn.XLOOKUP(Log[[#This Row],[Item]],Calories[Name],Calories[Unit]))</f>
        <v/>
      </c>
      <c r="F884" s="65" t="str">
        <f>IF(ISBLANK(Log[[#This Row],[Item]]),"",_xlfn.XLOOKUP(Log[[#This Row],[Item]],Calories[Name],Calories[Cals])*Log[[#This Row],[Qty]])</f>
        <v/>
      </c>
      <c r="G884" s="71" t="str">
        <f>IF(ISBLANK(Log[[#This Row],[Item]]),"",_xlfn.XLOOKUP(Log[[#This Row],[Item]],Calories[Name],Calories[Carbs])*Log[[#This Row],[Qty]])</f>
        <v/>
      </c>
      <c r="H884" s="71" t="str">
        <f>IF(ISBLANK(Log[[#This Row],[Item]]),"",_xlfn.XLOOKUP(Log[[#This Row],[Item]],Calories[Name],Calories[Fibre])*Log[[#This Row],[Qty]])</f>
        <v/>
      </c>
      <c r="I884" s="71" t="str">
        <f>IF(ISBLANK(Log[[#This Row],[Item]]),"",(Log[[#This Row],[Carbs]]-Log[[#This Row],[Fibre]]))</f>
        <v/>
      </c>
      <c r="J884" s="103" t="str">
        <f>IF(ISBLANK(Log[[#This Row],[Item]]),"",_xlfn.XLOOKUP(Log[[#This Row],[Item]],Calories[Name],Calories[Sodium])*Log[[#This Row],[Qty]])</f>
        <v/>
      </c>
      <c r="K884" s="71" t="str">
        <f>IF(ISBLANK(Log[[#This Row],[Item]]),"",_xlfn.XLOOKUP(Log[[#This Row],[Item]],Calories[Name],Calories[Protein])*Log[[#This Row],[Qty]])</f>
        <v/>
      </c>
      <c r="L884" s="71" t="str">
        <f>IF(ISBLANK(Log[[#This Row],[Item]]),"",_xlfn.XLOOKUP(Log[[#This Row],[Item]],Calories[Name],Calories[Chol.])*Log[[#This Row],[Qty]])</f>
        <v/>
      </c>
      <c r="M884" s="75"/>
      <c r="N884" s="75"/>
      <c r="O884" s="75"/>
    </row>
    <row r="885" spans="1:15" s="66" customFormat="1" ht="25.15" customHeight="1">
      <c r="A885" s="75"/>
      <c r="B885" s="98"/>
      <c r="C885" s="78"/>
      <c r="D885" s="79"/>
      <c r="E885" s="76" t="str">
        <f>IF(ISBLANK(Log[[#This Row],[Item]]),"",_xlfn.XLOOKUP(Log[[#This Row],[Item]],Calories[Name],Calories[Unit]))</f>
        <v/>
      </c>
      <c r="F885" s="65" t="str">
        <f>IF(ISBLANK(Log[[#This Row],[Item]]),"",_xlfn.XLOOKUP(Log[[#This Row],[Item]],Calories[Name],Calories[Cals])*Log[[#This Row],[Qty]])</f>
        <v/>
      </c>
      <c r="G885" s="71" t="str">
        <f>IF(ISBLANK(Log[[#This Row],[Item]]),"",_xlfn.XLOOKUP(Log[[#This Row],[Item]],Calories[Name],Calories[Carbs])*Log[[#This Row],[Qty]])</f>
        <v/>
      </c>
      <c r="H885" s="71" t="str">
        <f>IF(ISBLANK(Log[[#This Row],[Item]]),"",_xlfn.XLOOKUP(Log[[#This Row],[Item]],Calories[Name],Calories[Fibre])*Log[[#This Row],[Qty]])</f>
        <v/>
      </c>
      <c r="I885" s="71" t="str">
        <f>IF(ISBLANK(Log[[#This Row],[Item]]),"",(Log[[#This Row],[Carbs]]-Log[[#This Row],[Fibre]]))</f>
        <v/>
      </c>
      <c r="J885" s="103" t="str">
        <f>IF(ISBLANK(Log[[#This Row],[Item]]),"",_xlfn.XLOOKUP(Log[[#This Row],[Item]],Calories[Name],Calories[Sodium])*Log[[#This Row],[Qty]])</f>
        <v/>
      </c>
      <c r="K885" s="71" t="str">
        <f>IF(ISBLANK(Log[[#This Row],[Item]]),"",_xlfn.XLOOKUP(Log[[#This Row],[Item]],Calories[Name],Calories[Protein])*Log[[#This Row],[Qty]])</f>
        <v/>
      </c>
      <c r="L885" s="71" t="str">
        <f>IF(ISBLANK(Log[[#This Row],[Item]]),"",_xlfn.XLOOKUP(Log[[#This Row],[Item]],Calories[Name],Calories[Chol.])*Log[[#This Row],[Qty]])</f>
        <v/>
      </c>
      <c r="M885" s="75"/>
      <c r="N885" s="75"/>
      <c r="O885" s="75"/>
    </row>
    <row r="886" spans="1:15" s="66" customFormat="1" ht="25.15" customHeight="1">
      <c r="A886" s="75"/>
      <c r="B886" s="98"/>
      <c r="C886" s="78"/>
      <c r="D886" s="79"/>
      <c r="E886" s="76" t="str">
        <f>IF(ISBLANK(Log[[#This Row],[Item]]),"",_xlfn.XLOOKUP(Log[[#This Row],[Item]],Calories[Name],Calories[Unit]))</f>
        <v/>
      </c>
      <c r="F886" s="65" t="str">
        <f>IF(ISBLANK(Log[[#This Row],[Item]]),"",_xlfn.XLOOKUP(Log[[#This Row],[Item]],Calories[Name],Calories[Cals])*Log[[#This Row],[Qty]])</f>
        <v/>
      </c>
      <c r="G886" s="71" t="str">
        <f>IF(ISBLANK(Log[[#This Row],[Item]]),"",_xlfn.XLOOKUP(Log[[#This Row],[Item]],Calories[Name],Calories[Carbs])*Log[[#This Row],[Qty]])</f>
        <v/>
      </c>
      <c r="H886" s="71" t="str">
        <f>IF(ISBLANK(Log[[#This Row],[Item]]),"",_xlfn.XLOOKUP(Log[[#This Row],[Item]],Calories[Name],Calories[Fibre])*Log[[#This Row],[Qty]])</f>
        <v/>
      </c>
      <c r="I886" s="71" t="str">
        <f>IF(ISBLANK(Log[[#This Row],[Item]]),"",(Log[[#This Row],[Carbs]]-Log[[#This Row],[Fibre]]))</f>
        <v/>
      </c>
      <c r="J886" s="103" t="str">
        <f>IF(ISBLANK(Log[[#This Row],[Item]]),"",_xlfn.XLOOKUP(Log[[#This Row],[Item]],Calories[Name],Calories[Sodium])*Log[[#This Row],[Qty]])</f>
        <v/>
      </c>
      <c r="K886" s="71" t="str">
        <f>IF(ISBLANK(Log[[#This Row],[Item]]),"",_xlfn.XLOOKUP(Log[[#This Row],[Item]],Calories[Name],Calories[Protein])*Log[[#This Row],[Qty]])</f>
        <v/>
      </c>
      <c r="L886" s="71" t="str">
        <f>IF(ISBLANK(Log[[#This Row],[Item]]),"",_xlfn.XLOOKUP(Log[[#This Row],[Item]],Calories[Name],Calories[Chol.])*Log[[#This Row],[Qty]])</f>
        <v/>
      </c>
      <c r="M886" s="75"/>
      <c r="N886" s="75"/>
      <c r="O886" s="75"/>
    </row>
    <row r="887" spans="1:15" s="66" customFormat="1" ht="25.15" customHeight="1">
      <c r="A887" s="75"/>
      <c r="B887" s="98"/>
      <c r="C887" s="78"/>
      <c r="D887" s="79"/>
      <c r="E887" s="76" t="str">
        <f>IF(ISBLANK(Log[[#This Row],[Item]]),"",_xlfn.XLOOKUP(Log[[#This Row],[Item]],Calories[Name],Calories[Unit]))</f>
        <v/>
      </c>
      <c r="F887" s="65" t="str">
        <f>IF(ISBLANK(Log[[#This Row],[Item]]),"",_xlfn.XLOOKUP(Log[[#This Row],[Item]],Calories[Name],Calories[Cals])*Log[[#This Row],[Qty]])</f>
        <v/>
      </c>
      <c r="G887" s="71" t="str">
        <f>IF(ISBLANK(Log[[#This Row],[Item]]),"",_xlfn.XLOOKUP(Log[[#This Row],[Item]],Calories[Name],Calories[Carbs])*Log[[#This Row],[Qty]])</f>
        <v/>
      </c>
      <c r="H887" s="71" t="str">
        <f>IF(ISBLANK(Log[[#This Row],[Item]]),"",_xlfn.XLOOKUP(Log[[#This Row],[Item]],Calories[Name],Calories[Fibre])*Log[[#This Row],[Qty]])</f>
        <v/>
      </c>
      <c r="I887" s="71" t="str">
        <f>IF(ISBLANK(Log[[#This Row],[Item]]),"",(Log[[#This Row],[Carbs]]-Log[[#This Row],[Fibre]]))</f>
        <v/>
      </c>
      <c r="J887" s="103" t="str">
        <f>IF(ISBLANK(Log[[#This Row],[Item]]),"",_xlfn.XLOOKUP(Log[[#This Row],[Item]],Calories[Name],Calories[Sodium])*Log[[#This Row],[Qty]])</f>
        <v/>
      </c>
      <c r="K887" s="71" t="str">
        <f>IF(ISBLANK(Log[[#This Row],[Item]]),"",_xlfn.XLOOKUP(Log[[#This Row],[Item]],Calories[Name],Calories[Protein])*Log[[#This Row],[Qty]])</f>
        <v/>
      </c>
      <c r="L887" s="71" t="str">
        <f>IF(ISBLANK(Log[[#This Row],[Item]]),"",_xlfn.XLOOKUP(Log[[#This Row],[Item]],Calories[Name],Calories[Chol.])*Log[[#This Row],[Qty]])</f>
        <v/>
      </c>
      <c r="M887" s="75"/>
      <c r="N887" s="75"/>
      <c r="O887" s="75"/>
    </row>
    <row r="888" spans="1:15" s="66" customFormat="1" ht="25.15" customHeight="1">
      <c r="A888" s="75"/>
      <c r="B888" s="98"/>
      <c r="C888" s="78"/>
      <c r="D888" s="79"/>
      <c r="E888" s="76" t="str">
        <f>IF(ISBLANK(Log[[#This Row],[Item]]),"",_xlfn.XLOOKUP(Log[[#This Row],[Item]],Calories[Name],Calories[Unit]))</f>
        <v/>
      </c>
      <c r="F888" s="65" t="str">
        <f>IF(ISBLANK(Log[[#This Row],[Item]]),"",_xlfn.XLOOKUP(Log[[#This Row],[Item]],Calories[Name],Calories[Cals])*Log[[#This Row],[Qty]])</f>
        <v/>
      </c>
      <c r="G888" s="71" t="str">
        <f>IF(ISBLANK(Log[[#This Row],[Item]]),"",_xlfn.XLOOKUP(Log[[#This Row],[Item]],Calories[Name],Calories[Carbs])*Log[[#This Row],[Qty]])</f>
        <v/>
      </c>
      <c r="H888" s="71" t="str">
        <f>IF(ISBLANK(Log[[#This Row],[Item]]),"",_xlfn.XLOOKUP(Log[[#This Row],[Item]],Calories[Name],Calories[Fibre])*Log[[#This Row],[Qty]])</f>
        <v/>
      </c>
      <c r="I888" s="71" t="str">
        <f>IF(ISBLANK(Log[[#This Row],[Item]]),"",(Log[[#This Row],[Carbs]]-Log[[#This Row],[Fibre]]))</f>
        <v/>
      </c>
      <c r="J888" s="103" t="str">
        <f>IF(ISBLANK(Log[[#This Row],[Item]]),"",_xlfn.XLOOKUP(Log[[#This Row],[Item]],Calories[Name],Calories[Sodium])*Log[[#This Row],[Qty]])</f>
        <v/>
      </c>
      <c r="K888" s="71" t="str">
        <f>IF(ISBLANK(Log[[#This Row],[Item]]),"",_xlfn.XLOOKUP(Log[[#This Row],[Item]],Calories[Name],Calories[Protein])*Log[[#This Row],[Qty]])</f>
        <v/>
      </c>
      <c r="L888" s="71" t="str">
        <f>IF(ISBLANK(Log[[#This Row],[Item]]),"",_xlfn.XLOOKUP(Log[[#This Row],[Item]],Calories[Name],Calories[Chol.])*Log[[#This Row],[Qty]])</f>
        <v/>
      </c>
      <c r="M888" s="75"/>
      <c r="N888" s="75"/>
      <c r="O888" s="75"/>
    </row>
    <row r="889" spans="1:15" s="66" customFormat="1" ht="25.15" customHeight="1">
      <c r="A889" s="75"/>
      <c r="B889" s="98"/>
      <c r="C889" s="78"/>
      <c r="D889" s="79"/>
      <c r="E889" s="76" t="str">
        <f>IF(ISBLANK(Log[[#This Row],[Item]]),"",_xlfn.XLOOKUP(Log[[#This Row],[Item]],Calories[Name],Calories[Unit]))</f>
        <v/>
      </c>
      <c r="F889" s="65" t="str">
        <f>IF(ISBLANK(Log[[#This Row],[Item]]),"",_xlfn.XLOOKUP(Log[[#This Row],[Item]],Calories[Name],Calories[Cals])*Log[[#This Row],[Qty]])</f>
        <v/>
      </c>
      <c r="G889" s="71" t="str">
        <f>IF(ISBLANK(Log[[#This Row],[Item]]),"",_xlfn.XLOOKUP(Log[[#This Row],[Item]],Calories[Name],Calories[Carbs])*Log[[#This Row],[Qty]])</f>
        <v/>
      </c>
      <c r="H889" s="71" t="str">
        <f>IF(ISBLANK(Log[[#This Row],[Item]]),"",_xlfn.XLOOKUP(Log[[#This Row],[Item]],Calories[Name],Calories[Fibre])*Log[[#This Row],[Qty]])</f>
        <v/>
      </c>
      <c r="I889" s="71" t="str">
        <f>IF(ISBLANK(Log[[#This Row],[Item]]),"",(Log[[#This Row],[Carbs]]-Log[[#This Row],[Fibre]]))</f>
        <v/>
      </c>
      <c r="J889" s="103" t="str">
        <f>IF(ISBLANK(Log[[#This Row],[Item]]),"",_xlfn.XLOOKUP(Log[[#This Row],[Item]],Calories[Name],Calories[Sodium])*Log[[#This Row],[Qty]])</f>
        <v/>
      </c>
      <c r="K889" s="71" t="str">
        <f>IF(ISBLANK(Log[[#This Row],[Item]]),"",_xlfn.XLOOKUP(Log[[#This Row],[Item]],Calories[Name],Calories[Protein])*Log[[#This Row],[Qty]])</f>
        <v/>
      </c>
      <c r="L889" s="71" t="str">
        <f>IF(ISBLANK(Log[[#This Row],[Item]]),"",_xlfn.XLOOKUP(Log[[#This Row],[Item]],Calories[Name],Calories[Chol.])*Log[[#This Row],[Qty]])</f>
        <v/>
      </c>
      <c r="M889" s="75"/>
      <c r="N889" s="75"/>
      <c r="O889" s="75"/>
    </row>
    <row r="890" spans="1:15" s="66" customFormat="1" ht="25.15" customHeight="1">
      <c r="A890" s="75"/>
      <c r="B890" s="98"/>
      <c r="C890" s="78"/>
      <c r="D890" s="79"/>
      <c r="E890" s="76" t="str">
        <f>IF(ISBLANK(Log[[#This Row],[Item]]),"",_xlfn.XLOOKUP(Log[[#This Row],[Item]],Calories[Name],Calories[Unit]))</f>
        <v/>
      </c>
      <c r="F890" s="65" t="str">
        <f>IF(ISBLANK(Log[[#This Row],[Item]]),"",_xlfn.XLOOKUP(Log[[#This Row],[Item]],Calories[Name],Calories[Cals])*Log[[#This Row],[Qty]])</f>
        <v/>
      </c>
      <c r="G890" s="71" t="str">
        <f>IF(ISBLANK(Log[[#This Row],[Item]]),"",_xlfn.XLOOKUP(Log[[#This Row],[Item]],Calories[Name],Calories[Carbs])*Log[[#This Row],[Qty]])</f>
        <v/>
      </c>
      <c r="H890" s="71" t="str">
        <f>IF(ISBLANK(Log[[#This Row],[Item]]),"",_xlfn.XLOOKUP(Log[[#This Row],[Item]],Calories[Name],Calories[Fibre])*Log[[#This Row],[Qty]])</f>
        <v/>
      </c>
      <c r="I890" s="71" t="str">
        <f>IF(ISBLANK(Log[[#This Row],[Item]]),"",(Log[[#This Row],[Carbs]]-Log[[#This Row],[Fibre]]))</f>
        <v/>
      </c>
      <c r="J890" s="103" t="str">
        <f>IF(ISBLANK(Log[[#This Row],[Item]]),"",_xlfn.XLOOKUP(Log[[#This Row],[Item]],Calories[Name],Calories[Sodium])*Log[[#This Row],[Qty]])</f>
        <v/>
      </c>
      <c r="K890" s="71" t="str">
        <f>IF(ISBLANK(Log[[#This Row],[Item]]),"",_xlfn.XLOOKUP(Log[[#This Row],[Item]],Calories[Name],Calories[Protein])*Log[[#This Row],[Qty]])</f>
        <v/>
      </c>
      <c r="L890" s="71" t="str">
        <f>IF(ISBLANK(Log[[#This Row],[Item]]),"",_xlfn.XLOOKUP(Log[[#This Row],[Item]],Calories[Name],Calories[Chol.])*Log[[#This Row],[Qty]])</f>
        <v/>
      </c>
      <c r="M890" s="75"/>
      <c r="N890" s="75"/>
      <c r="O890" s="75"/>
    </row>
    <row r="891" spans="1:15" s="66" customFormat="1" ht="25.15" customHeight="1">
      <c r="A891" s="75"/>
      <c r="B891" s="98"/>
      <c r="C891" s="78"/>
      <c r="D891" s="79"/>
      <c r="E891" s="76" t="str">
        <f>IF(ISBLANK(Log[[#This Row],[Item]]),"",_xlfn.XLOOKUP(Log[[#This Row],[Item]],Calories[Name],Calories[Unit]))</f>
        <v/>
      </c>
      <c r="F891" s="65" t="str">
        <f>IF(ISBLANK(Log[[#This Row],[Item]]),"",_xlfn.XLOOKUP(Log[[#This Row],[Item]],Calories[Name],Calories[Cals])*Log[[#This Row],[Qty]])</f>
        <v/>
      </c>
      <c r="G891" s="71" t="str">
        <f>IF(ISBLANK(Log[[#This Row],[Item]]),"",_xlfn.XLOOKUP(Log[[#This Row],[Item]],Calories[Name],Calories[Carbs])*Log[[#This Row],[Qty]])</f>
        <v/>
      </c>
      <c r="H891" s="71" t="str">
        <f>IF(ISBLANK(Log[[#This Row],[Item]]),"",_xlfn.XLOOKUP(Log[[#This Row],[Item]],Calories[Name],Calories[Fibre])*Log[[#This Row],[Qty]])</f>
        <v/>
      </c>
      <c r="I891" s="71" t="str">
        <f>IF(ISBLANK(Log[[#This Row],[Item]]),"",(Log[[#This Row],[Carbs]]-Log[[#This Row],[Fibre]]))</f>
        <v/>
      </c>
      <c r="J891" s="103" t="str">
        <f>IF(ISBLANK(Log[[#This Row],[Item]]),"",_xlfn.XLOOKUP(Log[[#This Row],[Item]],Calories[Name],Calories[Sodium])*Log[[#This Row],[Qty]])</f>
        <v/>
      </c>
      <c r="K891" s="71" t="str">
        <f>IF(ISBLANK(Log[[#This Row],[Item]]),"",_xlfn.XLOOKUP(Log[[#This Row],[Item]],Calories[Name],Calories[Protein])*Log[[#This Row],[Qty]])</f>
        <v/>
      </c>
      <c r="L891" s="71" t="str">
        <f>IF(ISBLANK(Log[[#This Row],[Item]]),"",_xlfn.XLOOKUP(Log[[#This Row],[Item]],Calories[Name],Calories[Chol.])*Log[[#This Row],[Qty]])</f>
        <v/>
      </c>
      <c r="M891" s="75"/>
      <c r="N891" s="75"/>
      <c r="O891" s="75"/>
    </row>
    <row r="892" spans="1:15" s="66" customFormat="1" ht="25.15" customHeight="1">
      <c r="A892" s="75"/>
      <c r="B892" s="98"/>
      <c r="C892" s="78"/>
      <c r="D892" s="79"/>
      <c r="E892" s="76" t="str">
        <f>IF(ISBLANK(Log[[#This Row],[Item]]),"",_xlfn.XLOOKUP(Log[[#This Row],[Item]],Calories[Name],Calories[Unit]))</f>
        <v/>
      </c>
      <c r="F892" s="65" t="str">
        <f>IF(ISBLANK(Log[[#This Row],[Item]]),"",_xlfn.XLOOKUP(Log[[#This Row],[Item]],Calories[Name],Calories[Cals])*Log[[#This Row],[Qty]])</f>
        <v/>
      </c>
      <c r="G892" s="71" t="str">
        <f>IF(ISBLANK(Log[[#This Row],[Item]]),"",_xlfn.XLOOKUP(Log[[#This Row],[Item]],Calories[Name],Calories[Carbs])*Log[[#This Row],[Qty]])</f>
        <v/>
      </c>
      <c r="H892" s="71" t="str">
        <f>IF(ISBLANK(Log[[#This Row],[Item]]),"",_xlfn.XLOOKUP(Log[[#This Row],[Item]],Calories[Name],Calories[Fibre])*Log[[#This Row],[Qty]])</f>
        <v/>
      </c>
      <c r="I892" s="71" t="str">
        <f>IF(ISBLANK(Log[[#This Row],[Item]]),"",(Log[[#This Row],[Carbs]]-Log[[#This Row],[Fibre]]))</f>
        <v/>
      </c>
      <c r="J892" s="103" t="str">
        <f>IF(ISBLANK(Log[[#This Row],[Item]]),"",_xlfn.XLOOKUP(Log[[#This Row],[Item]],Calories[Name],Calories[Sodium])*Log[[#This Row],[Qty]])</f>
        <v/>
      </c>
      <c r="K892" s="71" t="str">
        <f>IF(ISBLANK(Log[[#This Row],[Item]]),"",_xlfn.XLOOKUP(Log[[#This Row],[Item]],Calories[Name],Calories[Protein])*Log[[#This Row],[Qty]])</f>
        <v/>
      </c>
      <c r="L892" s="71" t="str">
        <f>IF(ISBLANK(Log[[#This Row],[Item]]),"",_xlfn.XLOOKUP(Log[[#This Row],[Item]],Calories[Name],Calories[Chol.])*Log[[#This Row],[Qty]])</f>
        <v/>
      </c>
      <c r="M892" s="75"/>
      <c r="N892" s="75"/>
      <c r="O892" s="75"/>
    </row>
    <row r="893" spans="1:15" s="66" customFormat="1" ht="25.15" customHeight="1">
      <c r="A893" s="75"/>
      <c r="B893" s="98"/>
      <c r="C893" s="78"/>
      <c r="D893" s="79"/>
      <c r="E893" s="76" t="str">
        <f>IF(ISBLANK(Log[[#This Row],[Item]]),"",_xlfn.XLOOKUP(Log[[#This Row],[Item]],Calories[Name],Calories[Unit]))</f>
        <v/>
      </c>
      <c r="F893" s="65" t="str">
        <f>IF(ISBLANK(Log[[#This Row],[Item]]),"",_xlfn.XLOOKUP(Log[[#This Row],[Item]],Calories[Name],Calories[Cals])*Log[[#This Row],[Qty]])</f>
        <v/>
      </c>
      <c r="G893" s="71" t="str">
        <f>IF(ISBLANK(Log[[#This Row],[Item]]),"",_xlfn.XLOOKUP(Log[[#This Row],[Item]],Calories[Name],Calories[Carbs])*Log[[#This Row],[Qty]])</f>
        <v/>
      </c>
      <c r="H893" s="71" t="str">
        <f>IF(ISBLANK(Log[[#This Row],[Item]]),"",_xlfn.XLOOKUP(Log[[#This Row],[Item]],Calories[Name],Calories[Fibre])*Log[[#This Row],[Qty]])</f>
        <v/>
      </c>
      <c r="I893" s="71" t="str">
        <f>IF(ISBLANK(Log[[#This Row],[Item]]),"",(Log[[#This Row],[Carbs]]-Log[[#This Row],[Fibre]]))</f>
        <v/>
      </c>
      <c r="J893" s="103" t="str">
        <f>IF(ISBLANK(Log[[#This Row],[Item]]),"",_xlfn.XLOOKUP(Log[[#This Row],[Item]],Calories[Name],Calories[Sodium])*Log[[#This Row],[Qty]])</f>
        <v/>
      </c>
      <c r="K893" s="71" t="str">
        <f>IF(ISBLANK(Log[[#This Row],[Item]]),"",_xlfn.XLOOKUP(Log[[#This Row],[Item]],Calories[Name],Calories[Protein])*Log[[#This Row],[Qty]])</f>
        <v/>
      </c>
      <c r="L893" s="71" t="str">
        <f>IF(ISBLANK(Log[[#This Row],[Item]]),"",_xlfn.XLOOKUP(Log[[#This Row],[Item]],Calories[Name],Calories[Chol.])*Log[[#This Row],[Qty]])</f>
        <v/>
      </c>
      <c r="M893" s="75"/>
      <c r="N893" s="75"/>
      <c r="O893" s="75"/>
    </row>
    <row r="894" spans="1:15" s="66" customFormat="1" ht="25.15" customHeight="1">
      <c r="A894" s="75"/>
      <c r="B894" s="98"/>
      <c r="C894" s="78"/>
      <c r="D894" s="79"/>
      <c r="E894" s="76" t="str">
        <f>IF(ISBLANK(Log[[#This Row],[Item]]),"",_xlfn.XLOOKUP(Log[[#This Row],[Item]],Calories[Name],Calories[Unit]))</f>
        <v/>
      </c>
      <c r="F894" s="65" t="str">
        <f>IF(ISBLANK(Log[[#This Row],[Item]]),"",_xlfn.XLOOKUP(Log[[#This Row],[Item]],Calories[Name],Calories[Cals])*Log[[#This Row],[Qty]])</f>
        <v/>
      </c>
      <c r="G894" s="71" t="str">
        <f>IF(ISBLANK(Log[[#This Row],[Item]]),"",_xlfn.XLOOKUP(Log[[#This Row],[Item]],Calories[Name],Calories[Carbs])*Log[[#This Row],[Qty]])</f>
        <v/>
      </c>
      <c r="H894" s="71" t="str">
        <f>IF(ISBLANK(Log[[#This Row],[Item]]),"",_xlfn.XLOOKUP(Log[[#This Row],[Item]],Calories[Name],Calories[Fibre])*Log[[#This Row],[Qty]])</f>
        <v/>
      </c>
      <c r="I894" s="71" t="str">
        <f>IF(ISBLANK(Log[[#This Row],[Item]]),"",(Log[[#This Row],[Carbs]]-Log[[#This Row],[Fibre]]))</f>
        <v/>
      </c>
      <c r="J894" s="103" t="str">
        <f>IF(ISBLANK(Log[[#This Row],[Item]]),"",_xlfn.XLOOKUP(Log[[#This Row],[Item]],Calories[Name],Calories[Sodium])*Log[[#This Row],[Qty]])</f>
        <v/>
      </c>
      <c r="K894" s="71" t="str">
        <f>IF(ISBLANK(Log[[#This Row],[Item]]),"",_xlfn.XLOOKUP(Log[[#This Row],[Item]],Calories[Name],Calories[Protein])*Log[[#This Row],[Qty]])</f>
        <v/>
      </c>
      <c r="L894" s="71" t="str">
        <f>IF(ISBLANK(Log[[#This Row],[Item]]),"",_xlfn.XLOOKUP(Log[[#This Row],[Item]],Calories[Name],Calories[Chol.])*Log[[#This Row],[Qty]])</f>
        <v/>
      </c>
      <c r="M894" s="75"/>
      <c r="N894" s="75"/>
      <c r="O894" s="75"/>
    </row>
    <row r="895" spans="1:15" s="66" customFormat="1" ht="25.15" customHeight="1">
      <c r="A895" s="75"/>
      <c r="B895" s="98"/>
      <c r="C895" s="78"/>
      <c r="D895" s="79"/>
      <c r="E895" s="76" t="str">
        <f>IF(ISBLANK(Log[[#This Row],[Item]]),"",_xlfn.XLOOKUP(Log[[#This Row],[Item]],Calories[Name],Calories[Unit]))</f>
        <v/>
      </c>
      <c r="F895" s="65" t="str">
        <f>IF(ISBLANK(Log[[#This Row],[Item]]),"",_xlfn.XLOOKUP(Log[[#This Row],[Item]],Calories[Name],Calories[Cals])*Log[[#This Row],[Qty]])</f>
        <v/>
      </c>
      <c r="G895" s="71" t="str">
        <f>IF(ISBLANK(Log[[#This Row],[Item]]),"",_xlfn.XLOOKUP(Log[[#This Row],[Item]],Calories[Name],Calories[Carbs])*Log[[#This Row],[Qty]])</f>
        <v/>
      </c>
      <c r="H895" s="71" t="str">
        <f>IF(ISBLANK(Log[[#This Row],[Item]]),"",_xlfn.XLOOKUP(Log[[#This Row],[Item]],Calories[Name],Calories[Fibre])*Log[[#This Row],[Qty]])</f>
        <v/>
      </c>
      <c r="I895" s="71" t="str">
        <f>IF(ISBLANK(Log[[#This Row],[Item]]),"",(Log[[#This Row],[Carbs]]-Log[[#This Row],[Fibre]]))</f>
        <v/>
      </c>
      <c r="J895" s="103" t="str">
        <f>IF(ISBLANK(Log[[#This Row],[Item]]),"",_xlfn.XLOOKUP(Log[[#This Row],[Item]],Calories[Name],Calories[Sodium])*Log[[#This Row],[Qty]])</f>
        <v/>
      </c>
      <c r="K895" s="71" t="str">
        <f>IF(ISBLANK(Log[[#This Row],[Item]]),"",_xlfn.XLOOKUP(Log[[#This Row],[Item]],Calories[Name],Calories[Protein])*Log[[#This Row],[Qty]])</f>
        <v/>
      </c>
      <c r="L895" s="71" t="str">
        <f>IF(ISBLANK(Log[[#This Row],[Item]]),"",_xlfn.XLOOKUP(Log[[#This Row],[Item]],Calories[Name],Calories[Chol.])*Log[[#This Row],[Qty]])</f>
        <v/>
      </c>
      <c r="M895" s="75"/>
      <c r="N895" s="75"/>
      <c r="O895" s="75"/>
    </row>
    <row r="896" spans="1:15" s="66" customFormat="1" ht="25.15" customHeight="1">
      <c r="A896" s="75"/>
      <c r="B896" s="98"/>
      <c r="C896" s="78"/>
      <c r="D896" s="79"/>
      <c r="E896" s="76" t="str">
        <f>IF(ISBLANK(Log[[#This Row],[Item]]),"",_xlfn.XLOOKUP(Log[[#This Row],[Item]],Calories[Name],Calories[Unit]))</f>
        <v/>
      </c>
      <c r="F896" s="65" t="str">
        <f>IF(ISBLANK(Log[[#This Row],[Item]]),"",_xlfn.XLOOKUP(Log[[#This Row],[Item]],Calories[Name],Calories[Cals])*Log[[#This Row],[Qty]])</f>
        <v/>
      </c>
      <c r="G896" s="71" t="str">
        <f>IF(ISBLANK(Log[[#This Row],[Item]]),"",_xlfn.XLOOKUP(Log[[#This Row],[Item]],Calories[Name],Calories[Carbs])*Log[[#This Row],[Qty]])</f>
        <v/>
      </c>
      <c r="H896" s="71" t="str">
        <f>IF(ISBLANK(Log[[#This Row],[Item]]),"",_xlfn.XLOOKUP(Log[[#This Row],[Item]],Calories[Name],Calories[Fibre])*Log[[#This Row],[Qty]])</f>
        <v/>
      </c>
      <c r="I896" s="71" t="str">
        <f>IF(ISBLANK(Log[[#This Row],[Item]]),"",(Log[[#This Row],[Carbs]]-Log[[#This Row],[Fibre]]))</f>
        <v/>
      </c>
      <c r="J896" s="103" t="str">
        <f>IF(ISBLANK(Log[[#This Row],[Item]]),"",_xlfn.XLOOKUP(Log[[#This Row],[Item]],Calories[Name],Calories[Sodium])*Log[[#This Row],[Qty]])</f>
        <v/>
      </c>
      <c r="K896" s="71" t="str">
        <f>IF(ISBLANK(Log[[#This Row],[Item]]),"",_xlfn.XLOOKUP(Log[[#This Row],[Item]],Calories[Name],Calories[Protein])*Log[[#This Row],[Qty]])</f>
        <v/>
      </c>
      <c r="L896" s="71" t="str">
        <f>IF(ISBLANK(Log[[#This Row],[Item]]),"",_xlfn.XLOOKUP(Log[[#This Row],[Item]],Calories[Name],Calories[Chol.])*Log[[#This Row],[Qty]])</f>
        <v/>
      </c>
      <c r="M896" s="75"/>
      <c r="N896" s="75"/>
      <c r="O896" s="75"/>
    </row>
    <row r="897" spans="1:15" s="66" customFormat="1" ht="25.15" customHeight="1">
      <c r="A897" s="75"/>
      <c r="B897" s="98"/>
      <c r="C897" s="78"/>
      <c r="D897" s="79"/>
      <c r="E897" s="76" t="str">
        <f>IF(ISBLANK(Log[[#This Row],[Item]]),"",_xlfn.XLOOKUP(Log[[#This Row],[Item]],Calories[Name],Calories[Unit]))</f>
        <v/>
      </c>
      <c r="F897" s="65" t="str">
        <f>IF(ISBLANK(Log[[#This Row],[Item]]),"",_xlfn.XLOOKUP(Log[[#This Row],[Item]],Calories[Name],Calories[Cals])*Log[[#This Row],[Qty]])</f>
        <v/>
      </c>
      <c r="G897" s="71" t="str">
        <f>IF(ISBLANK(Log[[#This Row],[Item]]),"",_xlfn.XLOOKUP(Log[[#This Row],[Item]],Calories[Name],Calories[Carbs])*Log[[#This Row],[Qty]])</f>
        <v/>
      </c>
      <c r="H897" s="71" t="str">
        <f>IF(ISBLANK(Log[[#This Row],[Item]]),"",_xlfn.XLOOKUP(Log[[#This Row],[Item]],Calories[Name],Calories[Fibre])*Log[[#This Row],[Qty]])</f>
        <v/>
      </c>
      <c r="I897" s="71" t="str">
        <f>IF(ISBLANK(Log[[#This Row],[Item]]),"",(Log[[#This Row],[Carbs]]-Log[[#This Row],[Fibre]]))</f>
        <v/>
      </c>
      <c r="J897" s="103" t="str">
        <f>IF(ISBLANK(Log[[#This Row],[Item]]),"",_xlfn.XLOOKUP(Log[[#This Row],[Item]],Calories[Name],Calories[Sodium])*Log[[#This Row],[Qty]])</f>
        <v/>
      </c>
      <c r="K897" s="71" t="str">
        <f>IF(ISBLANK(Log[[#This Row],[Item]]),"",_xlfn.XLOOKUP(Log[[#This Row],[Item]],Calories[Name],Calories[Protein])*Log[[#This Row],[Qty]])</f>
        <v/>
      </c>
      <c r="L897" s="71" t="str">
        <f>IF(ISBLANK(Log[[#This Row],[Item]]),"",_xlfn.XLOOKUP(Log[[#This Row],[Item]],Calories[Name],Calories[Chol.])*Log[[#This Row],[Qty]])</f>
        <v/>
      </c>
      <c r="M897" s="75"/>
      <c r="N897" s="75"/>
      <c r="O897" s="75"/>
    </row>
    <row r="898" spans="1:15" s="66" customFormat="1" ht="25.15" customHeight="1">
      <c r="A898" s="75"/>
      <c r="B898" s="98"/>
      <c r="C898" s="78"/>
      <c r="D898" s="79"/>
      <c r="E898" s="76" t="str">
        <f>IF(ISBLANK(Log[[#This Row],[Item]]),"",_xlfn.XLOOKUP(Log[[#This Row],[Item]],Calories[Name],Calories[Unit]))</f>
        <v/>
      </c>
      <c r="F898" s="65" t="str">
        <f>IF(ISBLANK(Log[[#This Row],[Item]]),"",_xlfn.XLOOKUP(Log[[#This Row],[Item]],Calories[Name],Calories[Cals])*Log[[#This Row],[Qty]])</f>
        <v/>
      </c>
      <c r="G898" s="71" t="str">
        <f>IF(ISBLANK(Log[[#This Row],[Item]]),"",_xlfn.XLOOKUP(Log[[#This Row],[Item]],Calories[Name],Calories[Carbs])*Log[[#This Row],[Qty]])</f>
        <v/>
      </c>
      <c r="H898" s="71" t="str">
        <f>IF(ISBLANK(Log[[#This Row],[Item]]),"",_xlfn.XLOOKUP(Log[[#This Row],[Item]],Calories[Name],Calories[Fibre])*Log[[#This Row],[Qty]])</f>
        <v/>
      </c>
      <c r="I898" s="71" t="str">
        <f>IF(ISBLANK(Log[[#This Row],[Item]]),"",(Log[[#This Row],[Carbs]]-Log[[#This Row],[Fibre]]))</f>
        <v/>
      </c>
      <c r="J898" s="103" t="str">
        <f>IF(ISBLANK(Log[[#This Row],[Item]]),"",_xlfn.XLOOKUP(Log[[#This Row],[Item]],Calories[Name],Calories[Sodium])*Log[[#This Row],[Qty]])</f>
        <v/>
      </c>
      <c r="K898" s="71" t="str">
        <f>IF(ISBLANK(Log[[#This Row],[Item]]),"",_xlfn.XLOOKUP(Log[[#This Row],[Item]],Calories[Name],Calories[Protein])*Log[[#This Row],[Qty]])</f>
        <v/>
      </c>
      <c r="L898" s="71" t="str">
        <f>IF(ISBLANK(Log[[#This Row],[Item]]),"",_xlfn.XLOOKUP(Log[[#This Row],[Item]],Calories[Name],Calories[Chol.])*Log[[#This Row],[Qty]])</f>
        <v/>
      </c>
      <c r="M898" s="75"/>
      <c r="N898" s="75"/>
      <c r="O898" s="75"/>
    </row>
    <row r="899" spans="1:15" s="66" customFormat="1" ht="25.15" customHeight="1">
      <c r="A899" s="75"/>
      <c r="B899" s="98"/>
      <c r="C899" s="78"/>
      <c r="D899" s="79"/>
      <c r="E899" s="76" t="str">
        <f>IF(ISBLANK(Log[[#This Row],[Item]]),"",_xlfn.XLOOKUP(Log[[#This Row],[Item]],Calories[Name],Calories[Unit]))</f>
        <v/>
      </c>
      <c r="F899" s="65" t="str">
        <f>IF(ISBLANK(Log[[#This Row],[Item]]),"",_xlfn.XLOOKUP(Log[[#This Row],[Item]],Calories[Name],Calories[Cals])*Log[[#This Row],[Qty]])</f>
        <v/>
      </c>
      <c r="G899" s="71" t="str">
        <f>IF(ISBLANK(Log[[#This Row],[Item]]),"",_xlfn.XLOOKUP(Log[[#This Row],[Item]],Calories[Name],Calories[Carbs])*Log[[#This Row],[Qty]])</f>
        <v/>
      </c>
      <c r="H899" s="71" t="str">
        <f>IF(ISBLANK(Log[[#This Row],[Item]]),"",_xlfn.XLOOKUP(Log[[#This Row],[Item]],Calories[Name],Calories[Fibre])*Log[[#This Row],[Qty]])</f>
        <v/>
      </c>
      <c r="I899" s="71" t="str">
        <f>IF(ISBLANK(Log[[#This Row],[Item]]),"",(Log[[#This Row],[Carbs]]-Log[[#This Row],[Fibre]]))</f>
        <v/>
      </c>
      <c r="J899" s="103" t="str">
        <f>IF(ISBLANK(Log[[#This Row],[Item]]),"",_xlfn.XLOOKUP(Log[[#This Row],[Item]],Calories[Name],Calories[Sodium])*Log[[#This Row],[Qty]])</f>
        <v/>
      </c>
      <c r="K899" s="71" t="str">
        <f>IF(ISBLANK(Log[[#This Row],[Item]]),"",_xlfn.XLOOKUP(Log[[#This Row],[Item]],Calories[Name],Calories[Protein])*Log[[#This Row],[Qty]])</f>
        <v/>
      </c>
      <c r="L899" s="71" t="str">
        <f>IF(ISBLANK(Log[[#This Row],[Item]]),"",_xlfn.XLOOKUP(Log[[#This Row],[Item]],Calories[Name],Calories[Chol.])*Log[[#This Row],[Qty]])</f>
        <v/>
      </c>
      <c r="M899" s="75"/>
      <c r="N899" s="75"/>
      <c r="O899" s="75"/>
    </row>
    <row r="900" spans="1:15" s="66" customFormat="1" ht="25.15" customHeight="1">
      <c r="A900" s="75"/>
      <c r="B900" s="98"/>
      <c r="C900" s="78"/>
      <c r="D900" s="79"/>
      <c r="E900" s="76" t="str">
        <f>IF(ISBLANK(Log[[#This Row],[Item]]),"",_xlfn.XLOOKUP(Log[[#This Row],[Item]],Calories[Name],Calories[Unit]))</f>
        <v/>
      </c>
      <c r="F900" s="65" t="str">
        <f>IF(ISBLANK(Log[[#This Row],[Item]]),"",_xlfn.XLOOKUP(Log[[#This Row],[Item]],Calories[Name],Calories[Cals])*Log[[#This Row],[Qty]])</f>
        <v/>
      </c>
      <c r="G900" s="71" t="str">
        <f>IF(ISBLANK(Log[[#This Row],[Item]]),"",_xlfn.XLOOKUP(Log[[#This Row],[Item]],Calories[Name],Calories[Carbs])*Log[[#This Row],[Qty]])</f>
        <v/>
      </c>
      <c r="H900" s="71" t="str">
        <f>IF(ISBLANK(Log[[#This Row],[Item]]),"",_xlfn.XLOOKUP(Log[[#This Row],[Item]],Calories[Name],Calories[Fibre])*Log[[#This Row],[Qty]])</f>
        <v/>
      </c>
      <c r="I900" s="71" t="str">
        <f>IF(ISBLANK(Log[[#This Row],[Item]]),"",(Log[[#This Row],[Carbs]]-Log[[#This Row],[Fibre]]))</f>
        <v/>
      </c>
      <c r="J900" s="103" t="str">
        <f>IF(ISBLANK(Log[[#This Row],[Item]]),"",_xlfn.XLOOKUP(Log[[#This Row],[Item]],Calories[Name],Calories[Sodium])*Log[[#This Row],[Qty]])</f>
        <v/>
      </c>
      <c r="K900" s="71" t="str">
        <f>IF(ISBLANK(Log[[#This Row],[Item]]),"",_xlfn.XLOOKUP(Log[[#This Row],[Item]],Calories[Name],Calories[Protein])*Log[[#This Row],[Qty]])</f>
        <v/>
      </c>
      <c r="L900" s="71" t="str">
        <f>IF(ISBLANK(Log[[#This Row],[Item]]),"",_xlfn.XLOOKUP(Log[[#This Row],[Item]],Calories[Name],Calories[Chol.])*Log[[#This Row],[Qty]])</f>
        <v/>
      </c>
      <c r="M900" s="75"/>
      <c r="N900" s="75"/>
      <c r="O900" s="75"/>
    </row>
    <row r="901" spans="1:15" s="66" customFormat="1" ht="25.15" customHeight="1">
      <c r="A901" s="75"/>
      <c r="B901" s="98"/>
      <c r="C901" s="78"/>
      <c r="D901" s="79"/>
      <c r="E901" s="76" t="str">
        <f>IF(ISBLANK(Log[[#This Row],[Item]]),"",_xlfn.XLOOKUP(Log[[#This Row],[Item]],Calories[Name],Calories[Unit]))</f>
        <v/>
      </c>
      <c r="F901" s="65" t="str">
        <f>IF(ISBLANK(Log[[#This Row],[Item]]),"",_xlfn.XLOOKUP(Log[[#This Row],[Item]],Calories[Name],Calories[Cals])*Log[[#This Row],[Qty]])</f>
        <v/>
      </c>
      <c r="G901" s="71" t="str">
        <f>IF(ISBLANK(Log[[#This Row],[Item]]),"",_xlfn.XLOOKUP(Log[[#This Row],[Item]],Calories[Name],Calories[Carbs])*Log[[#This Row],[Qty]])</f>
        <v/>
      </c>
      <c r="H901" s="71" t="str">
        <f>IF(ISBLANK(Log[[#This Row],[Item]]),"",_xlfn.XLOOKUP(Log[[#This Row],[Item]],Calories[Name],Calories[Fibre])*Log[[#This Row],[Qty]])</f>
        <v/>
      </c>
      <c r="I901" s="71" t="str">
        <f>IF(ISBLANK(Log[[#This Row],[Item]]),"",(Log[[#This Row],[Carbs]]-Log[[#This Row],[Fibre]]))</f>
        <v/>
      </c>
      <c r="J901" s="103" t="str">
        <f>IF(ISBLANK(Log[[#This Row],[Item]]),"",_xlfn.XLOOKUP(Log[[#This Row],[Item]],Calories[Name],Calories[Sodium])*Log[[#This Row],[Qty]])</f>
        <v/>
      </c>
      <c r="K901" s="71" t="str">
        <f>IF(ISBLANK(Log[[#This Row],[Item]]),"",_xlfn.XLOOKUP(Log[[#This Row],[Item]],Calories[Name],Calories[Protein])*Log[[#This Row],[Qty]])</f>
        <v/>
      </c>
      <c r="L901" s="71" t="str">
        <f>IF(ISBLANK(Log[[#This Row],[Item]]),"",_xlfn.XLOOKUP(Log[[#This Row],[Item]],Calories[Name],Calories[Chol.])*Log[[#This Row],[Qty]])</f>
        <v/>
      </c>
      <c r="M901" s="75"/>
      <c r="N901" s="75"/>
      <c r="O901" s="75"/>
    </row>
    <row r="902" spans="1:15" s="66" customFormat="1" ht="25.15" customHeight="1">
      <c r="A902" s="75"/>
      <c r="B902" s="98"/>
      <c r="C902" s="78"/>
      <c r="D902" s="79"/>
      <c r="E902" s="76" t="str">
        <f>IF(ISBLANK(Log[[#This Row],[Item]]),"",_xlfn.XLOOKUP(Log[[#This Row],[Item]],Calories[Name],Calories[Unit]))</f>
        <v/>
      </c>
      <c r="F902" s="65" t="str">
        <f>IF(ISBLANK(Log[[#This Row],[Item]]),"",_xlfn.XLOOKUP(Log[[#This Row],[Item]],Calories[Name],Calories[Cals])*Log[[#This Row],[Qty]])</f>
        <v/>
      </c>
      <c r="G902" s="71" t="str">
        <f>IF(ISBLANK(Log[[#This Row],[Item]]),"",_xlfn.XLOOKUP(Log[[#This Row],[Item]],Calories[Name],Calories[Carbs])*Log[[#This Row],[Qty]])</f>
        <v/>
      </c>
      <c r="H902" s="71" t="str">
        <f>IF(ISBLANK(Log[[#This Row],[Item]]),"",_xlfn.XLOOKUP(Log[[#This Row],[Item]],Calories[Name],Calories[Fibre])*Log[[#This Row],[Qty]])</f>
        <v/>
      </c>
      <c r="I902" s="71" t="str">
        <f>IF(ISBLANK(Log[[#This Row],[Item]]),"",(Log[[#This Row],[Carbs]]-Log[[#This Row],[Fibre]]))</f>
        <v/>
      </c>
      <c r="J902" s="103" t="str">
        <f>IF(ISBLANK(Log[[#This Row],[Item]]),"",_xlfn.XLOOKUP(Log[[#This Row],[Item]],Calories[Name],Calories[Sodium])*Log[[#This Row],[Qty]])</f>
        <v/>
      </c>
      <c r="K902" s="71" t="str">
        <f>IF(ISBLANK(Log[[#This Row],[Item]]),"",_xlfn.XLOOKUP(Log[[#This Row],[Item]],Calories[Name],Calories[Protein])*Log[[#This Row],[Qty]])</f>
        <v/>
      </c>
      <c r="L902" s="71" t="str">
        <f>IF(ISBLANK(Log[[#This Row],[Item]]),"",_xlfn.XLOOKUP(Log[[#This Row],[Item]],Calories[Name],Calories[Chol.])*Log[[#This Row],[Qty]])</f>
        <v/>
      </c>
      <c r="M902" s="75"/>
      <c r="N902" s="75"/>
      <c r="O902" s="75"/>
    </row>
    <row r="903" spans="1:15" s="66" customFormat="1" ht="25.15" customHeight="1">
      <c r="A903" s="75"/>
      <c r="B903" s="98"/>
      <c r="C903" s="78"/>
      <c r="D903" s="79"/>
      <c r="E903" s="76" t="str">
        <f>IF(ISBLANK(Log[[#This Row],[Item]]),"",_xlfn.XLOOKUP(Log[[#This Row],[Item]],Calories[Name],Calories[Unit]))</f>
        <v/>
      </c>
      <c r="F903" s="65" t="str">
        <f>IF(ISBLANK(Log[[#This Row],[Item]]),"",_xlfn.XLOOKUP(Log[[#This Row],[Item]],Calories[Name],Calories[Cals])*Log[[#This Row],[Qty]])</f>
        <v/>
      </c>
      <c r="G903" s="71" t="str">
        <f>IF(ISBLANK(Log[[#This Row],[Item]]),"",_xlfn.XLOOKUP(Log[[#This Row],[Item]],Calories[Name],Calories[Carbs])*Log[[#This Row],[Qty]])</f>
        <v/>
      </c>
      <c r="H903" s="71" t="str">
        <f>IF(ISBLANK(Log[[#This Row],[Item]]),"",_xlfn.XLOOKUP(Log[[#This Row],[Item]],Calories[Name],Calories[Fibre])*Log[[#This Row],[Qty]])</f>
        <v/>
      </c>
      <c r="I903" s="71" t="str">
        <f>IF(ISBLANK(Log[[#This Row],[Item]]),"",(Log[[#This Row],[Carbs]]-Log[[#This Row],[Fibre]]))</f>
        <v/>
      </c>
      <c r="J903" s="103" t="str">
        <f>IF(ISBLANK(Log[[#This Row],[Item]]),"",_xlfn.XLOOKUP(Log[[#This Row],[Item]],Calories[Name],Calories[Sodium])*Log[[#This Row],[Qty]])</f>
        <v/>
      </c>
      <c r="K903" s="71" t="str">
        <f>IF(ISBLANK(Log[[#This Row],[Item]]),"",_xlfn.XLOOKUP(Log[[#This Row],[Item]],Calories[Name],Calories[Protein])*Log[[#This Row],[Qty]])</f>
        <v/>
      </c>
      <c r="L903" s="71" t="str">
        <f>IF(ISBLANK(Log[[#This Row],[Item]]),"",_xlfn.XLOOKUP(Log[[#This Row],[Item]],Calories[Name],Calories[Chol.])*Log[[#This Row],[Qty]])</f>
        <v/>
      </c>
      <c r="M903" s="75"/>
      <c r="N903" s="75"/>
      <c r="O903" s="75"/>
    </row>
    <row r="904" spans="1:15" s="66" customFormat="1" ht="25.15" customHeight="1">
      <c r="A904" s="75"/>
      <c r="B904" s="98"/>
      <c r="C904" s="78"/>
      <c r="D904" s="79"/>
      <c r="E904" s="76" t="str">
        <f>IF(ISBLANK(Log[[#This Row],[Item]]),"",_xlfn.XLOOKUP(Log[[#This Row],[Item]],Calories[Name],Calories[Unit]))</f>
        <v/>
      </c>
      <c r="F904" s="65" t="str">
        <f>IF(ISBLANK(Log[[#This Row],[Item]]),"",_xlfn.XLOOKUP(Log[[#This Row],[Item]],Calories[Name],Calories[Cals])*Log[[#This Row],[Qty]])</f>
        <v/>
      </c>
      <c r="G904" s="71" t="str">
        <f>IF(ISBLANK(Log[[#This Row],[Item]]),"",_xlfn.XLOOKUP(Log[[#This Row],[Item]],Calories[Name],Calories[Carbs])*Log[[#This Row],[Qty]])</f>
        <v/>
      </c>
      <c r="H904" s="71" t="str">
        <f>IF(ISBLANK(Log[[#This Row],[Item]]),"",_xlfn.XLOOKUP(Log[[#This Row],[Item]],Calories[Name],Calories[Fibre])*Log[[#This Row],[Qty]])</f>
        <v/>
      </c>
      <c r="I904" s="71" t="str">
        <f>IF(ISBLANK(Log[[#This Row],[Item]]),"",(Log[[#This Row],[Carbs]]-Log[[#This Row],[Fibre]]))</f>
        <v/>
      </c>
      <c r="J904" s="103" t="str">
        <f>IF(ISBLANK(Log[[#This Row],[Item]]),"",_xlfn.XLOOKUP(Log[[#This Row],[Item]],Calories[Name],Calories[Sodium])*Log[[#This Row],[Qty]])</f>
        <v/>
      </c>
      <c r="K904" s="71" t="str">
        <f>IF(ISBLANK(Log[[#This Row],[Item]]),"",_xlfn.XLOOKUP(Log[[#This Row],[Item]],Calories[Name],Calories[Protein])*Log[[#This Row],[Qty]])</f>
        <v/>
      </c>
      <c r="L904" s="71" t="str">
        <f>IF(ISBLANK(Log[[#This Row],[Item]]),"",_xlfn.XLOOKUP(Log[[#This Row],[Item]],Calories[Name],Calories[Chol.])*Log[[#This Row],[Qty]])</f>
        <v/>
      </c>
      <c r="M904" s="75"/>
      <c r="N904" s="75"/>
      <c r="O904" s="75"/>
    </row>
    <row r="905" spans="1:15" s="66" customFormat="1" ht="25.15" customHeight="1">
      <c r="A905" s="75"/>
      <c r="B905" s="98"/>
      <c r="C905" s="78"/>
      <c r="D905" s="79"/>
      <c r="E905" s="76" t="str">
        <f>IF(ISBLANK(Log[[#This Row],[Item]]),"",_xlfn.XLOOKUP(Log[[#This Row],[Item]],Calories[Name],Calories[Unit]))</f>
        <v/>
      </c>
      <c r="F905" s="65" t="str">
        <f>IF(ISBLANK(Log[[#This Row],[Item]]),"",_xlfn.XLOOKUP(Log[[#This Row],[Item]],Calories[Name],Calories[Cals])*Log[[#This Row],[Qty]])</f>
        <v/>
      </c>
      <c r="G905" s="71" t="str">
        <f>IF(ISBLANK(Log[[#This Row],[Item]]),"",_xlfn.XLOOKUP(Log[[#This Row],[Item]],Calories[Name],Calories[Carbs])*Log[[#This Row],[Qty]])</f>
        <v/>
      </c>
      <c r="H905" s="71" t="str">
        <f>IF(ISBLANK(Log[[#This Row],[Item]]),"",_xlfn.XLOOKUP(Log[[#This Row],[Item]],Calories[Name],Calories[Fibre])*Log[[#This Row],[Qty]])</f>
        <v/>
      </c>
      <c r="I905" s="71" t="str">
        <f>IF(ISBLANK(Log[[#This Row],[Item]]),"",(Log[[#This Row],[Carbs]]-Log[[#This Row],[Fibre]]))</f>
        <v/>
      </c>
      <c r="J905" s="103" t="str">
        <f>IF(ISBLANK(Log[[#This Row],[Item]]),"",_xlfn.XLOOKUP(Log[[#This Row],[Item]],Calories[Name],Calories[Sodium])*Log[[#This Row],[Qty]])</f>
        <v/>
      </c>
      <c r="K905" s="71" t="str">
        <f>IF(ISBLANK(Log[[#This Row],[Item]]),"",_xlfn.XLOOKUP(Log[[#This Row],[Item]],Calories[Name],Calories[Protein])*Log[[#This Row],[Qty]])</f>
        <v/>
      </c>
      <c r="L905" s="71" t="str">
        <f>IF(ISBLANK(Log[[#This Row],[Item]]),"",_xlfn.XLOOKUP(Log[[#This Row],[Item]],Calories[Name],Calories[Chol.])*Log[[#This Row],[Qty]])</f>
        <v/>
      </c>
      <c r="M905" s="75"/>
      <c r="N905" s="75"/>
      <c r="O905" s="75"/>
    </row>
    <row r="906" spans="1:15" s="66" customFormat="1" ht="25.15" customHeight="1">
      <c r="A906" s="75"/>
      <c r="B906" s="98"/>
      <c r="C906" s="78"/>
      <c r="D906" s="79"/>
      <c r="E906" s="76" t="str">
        <f>IF(ISBLANK(Log[[#This Row],[Item]]),"",_xlfn.XLOOKUP(Log[[#This Row],[Item]],Calories[Name],Calories[Unit]))</f>
        <v/>
      </c>
      <c r="F906" s="65" t="str">
        <f>IF(ISBLANK(Log[[#This Row],[Item]]),"",_xlfn.XLOOKUP(Log[[#This Row],[Item]],Calories[Name],Calories[Cals])*Log[[#This Row],[Qty]])</f>
        <v/>
      </c>
      <c r="G906" s="71" t="str">
        <f>IF(ISBLANK(Log[[#This Row],[Item]]),"",_xlfn.XLOOKUP(Log[[#This Row],[Item]],Calories[Name],Calories[Carbs])*Log[[#This Row],[Qty]])</f>
        <v/>
      </c>
      <c r="H906" s="71" t="str">
        <f>IF(ISBLANK(Log[[#This Row],[Item]]),"",_xlfn.XLOOKUP(Log[[#This Row],[Item]],Calories[Name],Calories[Fibre])*Log[[#This Row],[Qty]])</f>
        <v/>
      </c>
      <c r="I906" s="71" t="str">
        <f>IF(ISBLANK(Log[[#This Row],[Item]]),"",(Log[[#This Row],[Carbs]]-Log[[#This Row],[Fibre]]))</f>
        <v/>
      </c>
      <c r="J906" s="103" t="str">
        <f>IF(ISBLANK(Log[[#This Row],[Item]]),"",_xlfn.XLOOKUP(Log[[#This Row],[Item]],Calories[Name],Calories[Sodium])*Log[[#This Row],[Qty]])</f>
        <v/>
      </c>
      <c r="K906" s="71" t="str">
        <f>IF(ISBLANK(Log[[#This Row],[Item]]),"",_xlfn.XLOOKUP(Log[[#This Row],[Item]],Calories[Name],Calories[Protein])*Log[[#This Row],[Qty]])</f>
        <v/>
      </c>
      <c r="L906" s="71" t="str">
        <f>IF(ISBLANK(Log[[#This Row],[Item]]),"",_xlfn.XLOOKUP(Log[[#This Row],[Item]],Calories[Name],Calories[Chol.])*Log[[#This Row],[Qty]])</f>
        <v/>
      </c>
      <c r="M906" s="75"/>
      <c r="N906" s="75"/>
      <c r="O906" s="75"/>
    </row>
    <row r="907" spans="1:15" s="66" customFormat="1" ht="25.15" customHeight="1">
      <c r="A907" s="75"/>
      <c r="B907" s="98"/>
      <c r="C907" s="78"/>
      <c r="D907" s="79"/>
      <c r="E907" s="76" t="str">
        <f>IF(ISBLANK(Log[[#This Row],[Item]]),"",_xlfn.XLOOKUP(Log[[#This Row],[Item]],Calories[Name],Calories[Unit]))</f>
        <v/>
      </c>
      <c r="F907" s="65" t="str">
        <f>IF(ISBLANK(Log[[#This Row],[Item]]),"",_xlfn.XLOOKUP(Log[[#This Row],[Item]],Calories[Name],Calories[Cals])*Log[[#This Row],[Qty]])</f>
        <v/>
      </c>
      <c r="G907" s="71" t="str">
        <f>IF(ISBLANK(Log[[#This Row],[Item]]),"",_xlfn.XLOOKUP(Log[[#This Row],[Item]],Calories[Name],Calories[Carbs])*Log[[#This Row],[Qty]])</f>
        <v/>
      </c>
      <c r="H907" s="71" t="str">
        <f>IF(ISBLANK(Log[[#This Row],[Item]]),"",_xlfn.XLOOKUP(Log[[#This Row],[Item]],Calories[Name],Calories[Fibre])*Log[[#This Row],[Qty]])</f>
        <v/>
      </c>
      <c r="I907" s="71" t="str">
        <f>IF(ISBLANK(Log[[#This Row],[Item]]),"",(Log[[#This Row],[Carbs]]-Log[[#This Row],[Fibre]]))</f>
        <v/>
      </c>
      <c r="J907" s="103" t="str">
        <f>IF(ISBLANK(Log[[#This Row],[Item]]),"",_xlfn.XLOOKUP(Log[[#This Row],[Item]],Calories[Name],Calories[Sodium])*Log[[#This Row],[Qty]])</f>
        <v/>
      </c>
      <c r="K907" s="71" t="str">
        <f>IF(ISBLANK(Log[[#This Row],[Item]]),"",_xlfn.XLOOKUP(Log[[#This Row],[Item]],Calories[Name],Calories[Protein])*Log[[#This Row],[Qty]])</f>
        <v/>
      </c>
      <c r="L907" s="71" t="str">
        <f>IF(ISBLANK(Log[[#This Row],[Item]]),"",_xlfn.XLOOKUP(Log[[#This Row],[Item]],Calories[Name],Calories[Chol.])*Log[[#This Row],[Qty]])</f>
        <v/>
      </c>
      <c r="M907" s="75"/>
      <c r="N907" s="75"/>
      <c r="O907" s="75"/>
    </row>
    <row r="908" spans="1:15" s="66" customFormat="1" ht="25.15" customHeight="1">
      <c r="A908" s="75"/>
      <c r="B908" s="98"/>
      <c r="C908" s="78"/>
      <c r="D908" s="79"/>
      <c r="E908" s="76" t="str">
        <f>IF(ISBLANK(Log[[#This Row],[Item]]),"",_xlfn.XLOOKUP(Log[[#This Row],[Item]],Calories[Name],Calories[Unit]))</f>
        <v/>
      </c>
      <c r="F908" s="65" t="str">
        <f>IF(ISBLANK(Log[[#This Row],[Item]]),"",_xlfn.XLOOKUP(Log[[#This Row],[Item]],Calories[Name],Calories[Cals])*Log[[#This Row],[Qty]])</f>
        <v/>
      </c>
      <c r="G908" s="71" t="str">
        <f>IF(ISBLANK(Log[[#This Row],[Item]]),"",_xlfn.XLOOKUP(Log[[#This Row],[Item]],Calories[Name],Calories[Carbs])*Log[[#This Row],[Qty]])</f>
        <v/>
      </c>
      <c r="H908" s="71" t="str">
        <f>IF(ISBLANK(Log[[#This Row],[Item]]),"",_xlfn.XLOOKUP(Log[[#This Row],[Item]],Calories[Name],Calories[Fibre])*Log[[#This Row],[Qty]])</f>
        <v/>
      </c>
      <c r="I908" s="71" t="str">
        <f>IF(ISBLANK(Log[[#This Row],[Item]]),"",(Log[[#This Row],[Carbs]]-Log[[#This Row],[Fibre]]))</f>
        <v/>
      </c>
      <c r="J908" s="103" t="str">
        <f>IF(ISBLANK(Log[[#This Row],[Item]]),"",_xlfn.XLOOKUP(Log[[#This Row],[Item]],Calories[Name],Calories[Sodium])*Log[[#This Row],[Qty]])</f>
        <v/>
      </c>
      <c r="K908" s="71" t="str">
        <f>IF(ISBLANK(Log[[#This Row],[Item]]),"",_xlfn.XLOOKUP(Log[[#This Row],[Item]],Calories[Name],Calories[Protein])*Log[[#This Row],[Qty]])</f>
        <v/>
      </c>
      <c r="L908" s="71" t="str">
        <f>IF(ISBLANK(Log[[#This Row],[Item]]),"",_xlfn.XLOOKUP(Log[[#This Row],[Item]],Calories[Name],Calories[Chol.])*Log[[#This Row],[Qty]])</f>
        <v/>
      </c>
      <c r="M908" s="75"/>
      <c r="N908" s="75"/>
      <c r="O908" s="75"/>
    </row>
    <row r="909" spans="1:15" s="66" customFormat="1" ht="25.15" customHeight="1">
      <c r="A909" s="75"/>
      <c r="B909" s="98"/>
      <c r="C909" s="78"/>
      <c r="D909" s="79"/>
      <c r="E909" s="76" t="str">
        <f>IF(ISBLANK(Log[[#This Row],[Item]]),"",_xlfn.XLOOKUP(Log[[#This Row],[Item]],Calories[Name],Calories[Unit]))</f>
        <v/>
      </c>
      <c r="F909" s="65" t="str">
        <f>IF(ISBLANK(Log[[#This Row],[Item]]),"",_xlfn.XLOOKUP(Log[[#This Row],[Item]],Calories[Name],Calories[Cals])*Log[[#This Row],[Qty]])</f>
        <v/>
      </c>
      <c r="G909" s="71" t="str">
        <f>IF(ISBLANK(Log[[#This Row],[Item]]),"",_xlfn.XLOOKUP(Log[[#This Row],[Item]],Calories[Name],Calories[Carbs])*Log[[#This Row],[Qty]])</f>
        <v/>
      </c>
      <c r="H909" s="71" t="str">
        <f>IF(ISBLANK(Log[[#This Row],[Item]]),"",_xlfn.XLOOKUP(Log[[#This Row],[Item]],Calories[Name],Calories[Fibre])*Log[[#This Row],[Qty]])</f>
        <v/>
      </c>
      <c r="I909" s="71" t="str">
        <f>IF(ISBLANK(Log[[#This Row],[Item]]),"",(Log[[#This Row],[Carbs]]-Log[[#This Row],[Fibre]]))</f>
        <v/>
      </c>
      <c r="J909" s="103" t="str">
        <f>IF(ISBLANK(Log[[#This Row],[Item]]),"",_xlfn.XLOOKUP(Log[[#This Row],[Item]],Calories[Name],Calories[Sodium])*Log[[#This Row],[Qty]])</f>
        <v/>
      </c>
      <c r="K909" s="71" t="str">
        <f>IF(ISBLANK(Log[[#This Row],[Item]]),"",_xlfn.XLOOKUP(Log[[#This Row],[Item]],Calories[Name],Calories[Protein])*Log[[#This Row],[Qty]])</f>
        <v/>
      </c>
      <c r="L909" s="71" t="str">
        <f>IF(ISBLANK(Log[[#This Row],[Item]]),"",_xlfn.XLOOKUP(Log[[#This Row],[Item]],Calories[Name],Calories[Chol.])*Log[[#This Row],[Qty]])</f>
        <v/>
      </c>
      <c r="M909" s="75"/>
      <c r="N909" s="75"/>
      <c r="O909" s="75"/>
    </row>
    <row r="910" spans="1:15" s="66" customFormat="1" ht="25.15" customHeight="1">
      <c r="A910" s="75"/>
      <c r="B910" s="98"/>
      <c r="C910" s="78"/>
      <c r="D910" s="79"/>
      <c r="E910" s="76" t="str">
        <f>IF(ISBLANK(Log[[#This Row],[Item]]),"",_xlfn.XLOOKUP(Log[[#This Row],[Item]],Calories[Name],Calories[Unit]))</f>
        <v/>
      </c>
      <c r="F910" s="65" t="str">
        <f>IF(ISBLANK(Log[[#This Row],[Item]]),"",_xlfn.XLOOKUP(Log[[#This Row],[Item]],Calories[Name],Calories[Cals])*Log[[#This Row],[Qty]])</f>
        <v/>
      </c>
      <c r="G910" s="71" t="str">
        <f>IF(ISBLANK(Log[[#This Row],[Item]]),"",_xlfn.XLOOKUP(Log[[#This Row],[Item]],Calories[Name],Calories[Carbs])*Log[[#This Row],[Qty]])</f>
        <v/>
      </c>
      <c r="H910" s="71" t="str">
        <f>IF(ISBLANK(Log[[#This Row],[Item]]),"",_xlfn.XLOOKUP(Log[[#This Row],[Item]],Calories[Name],Calories[Fibre])*Log[[#This Row],[Qty]])</f>
        <v/>
      </c>
      <c r="I910" s="71" t="str">
        <f>IF(ISBLANK(Log[[#This Row],[Item]]),"",(Log[[#This Row],[Carbs]]-Log[[#This Row],[Fibre]]))</f>
        <v/>
      </c>
      <c r="J910" s="103" t="str">
        <f>IF(ISBLANK(Log[[#This Row],[Item]]),"",_xlfn.XLOOKUP(Log[[#This Row],[Item]],Calories[Name],Calories[Sodium])*Log[[#This Row],[Qty]])</f>
        <v/>
      </c>
      <c r="K910" s="71" t="str">
        <f>IF(ISBLANK(Log[[#This Row],[Item]]),"",_xlfn.XLOOKUP(Log[[#This Row],[Item]],Calories[Name],Calories[Protein])*Log[[#This Row],[Qty]])</f>
        <v/>
      </c>
      <c r="L910" s="71" t="str">
        <f>IF(ISBLANK(Log[[#This Row],[Item]]),"",_xlfn.XLOOKUP(Log[[#This Row],[Item]],Calories[Name],Calories[Chol.])*Log[[#This Row],[Qty]])</f>
        <v/>
      </c>
      <c r="M910" s="75"/>
      <c r="N910" s="75"/>
      <c r="O910" s="75"/>
    </row>
    <row r="911" spans="1:15" s="66" customFormat="1" ht="25.15" customHeight="1">
      <c r="A911" s="75"/>
      <c r="B911" s="98"/>
      <c r="C911" s="78"/>
      <c r="D911" s="79"/>
      <c r="E911" s="76" t="str">
        <f>IF(ISBLANK(Log[[#This Row],[Item]]),"",_xlfn.XLOOKUP(Log[[#This Row],[Item]],Calories[Name],Calories[Unit]))</f>
        <v/>
      </c>
      <c r="F911" s="65" t="str">
        <f>IF(ISBLANK(Log[[#This Row],[Item]]),"",_xlfn.XLOOKUP(Log[[#This Row],[Item]],Calories[Name],Calories[Cals])*Log[[#This Row],[Qty]])</f>
        <v/>
      </c>
      <c r="G911" s="71" t="str">
        <f>IF(ISBLANK(Log[[#This Row],[Item]]),"",_xlfn.XLOOKUP(Log[[#This Row],[Item]],Calories[Name],Calories[Carbs])*Log[[#This Row],[Qty]])</f>
        <v/>
      </c>
      <c r="H911" s="71" t="str">
        <f>IF(ISBLANK(Log[[#This Row],[Item]]),"",_xlfn.XLOOKUP(Log[[#This Row],[Item]],Calories[Name],Calories[Fibre])*Log[[#This Row],[Qty]])</f>
        <v/>
      </c>
      <c r="I911" s="71" t="str">
        <f>IF(ISBLANK(Log[[#This Row],[Item]]),"",(Log[[#This Row],[Carbs]]-Log[[#This Row],[Fibre]]))</f>
        <v/>
      </c>
      <c r="J911" s="103" t="str">
        <f>IF(ISBLANK(Log[[#This Row],[Item]]),"",_xlfn.XLOOKUP(Log[[#This Row],[Item]],Calories[Name],Calories[Sodium])*Log[[#This Row],[Qty]])</f>
        <v/>
      </c>
      <c r="K911" s="71" t="str">
        <f>IF(ISBLANK(Log[[#This Row],[Item]]),"",_xlfn.XLOOKUP(Log[[#This Row],[Item]],Calories[Name],Calories[Protein])*Log[[#This Row],[Qty]])</f>
        <v/>
      </c>
      <c r="L911" s="71" t="str">
        <f>IF(ISBLANK(Log[[#This Row],[Item]]),"",_xlfn.XLOOKUP(Log[[#This Row],[Item]],Calories[Name],Calories[Chol.])*Log[[#This Row],[Qty]])</f>
        <v/>
      </c>
      <c r="M911" s="75"/>
      <c r="N911" s="75"/>
      <c r="O911" s="75"/>
    </row>
    <row r="912" spans="1:15" s="66" customFormat="1" ht="25.15" customHeight="1">
      <c r="A912" s="75"/>
      <c r="B912" s="98"/>
      <c r="C912" s="78"/>
      <c r="D912" s="79"/>
      <c r="E912" s="76" t="str">
        <f>IF(ISBLANK(Log[[#This Row],[Item]]),"",_xlfn.XLOOKUP(Log[[#This Row],[Item]],Calories[Name],Calories[Unit]))</f>
        <v/>
      </c>
      <c r="F912" s="65" t="str">
        <f>IF(ISBLANK(Log[[#This Row],[Item]]),"",_xlfn.XLOOKUP(Log[[#This Row],[Item]],Calories[Name],Calories[Cals])*Log[[#This Row],[Qty]])</f>
        <v/>
      </c>
      <c r="G912" s="71" t="str">
        <f>IF(ISBLANK(Log[[#This Row],[Item]]),"",_xlfn.XLOOKUP(Log[[#This Row],[Item]],Calories[Name],Calories[Carbs])*Log[[#This Row],[Qty]])</f>
        <v/>
      </c>
      <c r="H912" s="71" t="str">
        <f>IF(ISBLANK(Log[[#This Row],[Item]]),"",_xlfn.XLOOKUP(Log[[#This Row],[Item]],Calories[Name],Calories[Fibre])*Log[[#This Row],[Qty]])</f>
        <v/>
      </c>
      <c r="I912" s="71" t="str">
        <f>IF(ISBLANK(Log[[#This Row],[Item]]),"",(Log[[#This Row],[Carbs]]-Log[[#This Row],[Fibre]]))</f>
        <v/>
      </c>
      <c r="J912" s="103" t="str">
        <f>IF(ISBLANK(Log[[#This Row],[Item]]),"",_xlfn.XLOOKUP(Log[[#This Row],[Item]],Calories[Name],Calories[Sodium])*Log[[#This Row],[Qty]])</f>
        <v/>
      </c>
      <c r="K912" s="71" t="str">
        <f>IF(ISBLANK(Log[[#This Row],[Item]]),"",_xlfn.XLOOKUP(Log[[#This Row],[Item]],Calories[Name],Calories[Protein])*Log[[#This Row],[Qty]])</f>
        <v/>
      </c>
      <c r="L912" s="71" t="str">
        <f>IF(ISBLANK(Log[[#This Row],[Item]]),"",_xlfn.XLOOKUP(Log[[#This Row],[Item]],Calories[Name],Calories[Chol.])*Log[[#This Row],[Qty]])</f>
        <v/>
      </c>
      <c r="M912" s="75"/>
      <c r="N912" s="75"/>
      <c r="O912" s="75"/>
    </row>
    <row r="913" spans="1:15" s="66" customFormat="1" ht="25.15" customHeight="1">
      <c r="A913" s="75"/>
      <c r="B913" s="98"/>
      <c r="C913" s="78"/>
      <c r="D913" s="79"/>
      <c r="E913" s="76" t="str">
        <f>IF(ISBLANK(Log[[#This Row],[Item]]),"",_xlfn.XLOOKUP(Log[[#This Row],[Item]],Calories[Name],Calories[Unit]))</f>
        <v/>
      </c>
      <c r="F913" s="65" t="str">
        <f>IF(ISBLANK(Log[[#This Row],[Item]]),"",_xlfn.XLOOKUP(Log[[#This Row],[Item]],Calories[Name],Calories[Cals])*Log[[#This Row],[Qty]])</f>
        <v/>
      </c>
      <c r="G913" s="71" t="str">
        <f>IF(ISBLANK(Log[[#This Row],[Item]]),"",_xlfn.XLOOKUP(Log[[#This Row],[Item]],Calories[Name],Calories[Carbs])*Log[[#This Row],[Qty]])</f>
        <v/>
      </c>
      <c r="H913" s="71" t="str">
        <f>IF(ISBLANK(Log[[#This Row],[Item]]),"",_xlfn.XLOOKUP(Log[[#This Row],[Item]],Calories[Name],Calories[Fibre])*Log[[#This Row],[Qty]])</f>
        <v/>
      </c>
      <c r="I913" s="71" t="str">
        <f>IF(ISBLANK(Log[[#This Row],[Item]]),"",(Log[[#This Row],[Carbs]]-Log[[#This Row],[Fibre]]))</f>
        <v/>
      </c>
      <c r="J913" s="103" t="str">
        <f>IF(ISBLANK(Log[[#This Row],[Item]]),"",_xlfn.XLOOKUP(Log[[#This Row],[Item]],Calories[Name],Calories[Sodium])*Log[[#This Row],[Qty]])</f>
        <v/>
      </c>
      <c r="K913" s="71" t="str">
        <f>IF(ISBLANK(Log[[#This Row],[Item]]),"",_xlfn.XLOOKUP(Log[[#This Row],[Item]],Calories[Name],Calories[Protein])*Log[[#This Row],[Qty]])</f>
        <v/>
      </c>
      <c r="L913" s="71" t="str">
        <f>IF(ISBLANK(Log[[#This Row],[Item]]),"",_xlfn.XLOOKUP(Log[[#This Row],[Item]],Calories[Name],Calories[Chol.])*Log[[#This Row],[Qty]])</f>
        <v/>
      </c>
      <c r="M913" s="75"/>
      <c r="N913" s="75"/>
      <c r="O913" s="75"/>
    </row>
    <row r="914" spans="1:15" s="66" customFormat="1" ht="25.15" customHeight="1">
      <c r="A914" s="75"/>
      <c r="B914" s="98"/>
      <c r="C914" s="78"/>
      <c r="D914" s="79"/>
      <c r="E914" s="76" t="str">
        <f>IF(ISBLANK(Log[[#This Row],[Item]]),"",_xlfn.XLOOKUP(Log[[#This Row],[Item]],Calories[Name],Calories[Unit]))</f>
        <v/>
      </c>
      <c r="F914" s="65" t="str">
        <f>IF(ISBLANK(Log[[#This Row],[Item]]),"",_xlfn.XLOOKUP(Log[[#This Row],[Item]],Calories[Name],Calories[Cals])*Log[[#This Row],[Qty]])</f>
        <v/>
      </c>
      <c r="G914" s="71" t="str">
        <f>IF(ISBLANK(Log[[#This Row],[Item]]),"",_xlfn.XLOOKUP(Log[[#This Row],[Item]],Calories[Name],Calories[Carbs])*Log[[#This Row],[Qty]])</f>
        <v/>
      </c>
      <c r="H914" s="71" t="str">
        <f>IF(ISBLANK(Log[[#This Row],[Item]]),"",_xlfn.XLOOKUP(Log[[#This Row],[Item]],Calories[Name],Calories[Fibre])*Log[[#This Row],[Qty]])</f>
        <v/>
      </c>
      <c r="I914" s="71" t="str">
        <f>IF(ISBLANK(Log[[#This Row],[Item]]),"",(Log[[#This Row],[Carbs]]-Log[[#This Row],[Fibre]]))</f>
        <v/>
      </c>
      <c r="J914" s="103" t="str">
        <f>IF(ISBLANK(Log[[#This Row],[Item]]),"",_xlfn.XLOOKUP(Log[[#This Row],[Item]],Calories[Name],Calories[Sodium])*Log[[#This Row],[Qty]])</f>
        <v/>
      </c>
      <c r="K914" s="71" t="str">
        <f>IF(ISBLANK(Log[[#This Row],[Item]]),"",_xlfn.XLOOKUP(Log[[#This Row],[Item]],Calories[Name],Calories[Protein])*Log[[#This Row],[Qty]])</f>
        <v/>
      </c>
      <c r="L914" s="71" t="str">
        <f>IF(ISBLANK(Log[[#This Row],[Item]]),"",_xlfn.XLOOKUP(Log[[#This Row],[Item]],Calories[Name],Calories[Chol.])*Log[[#This Row],[Qty]])</f>
        <v/>
      </c>
      <c r="M914" s="75"/>
      <c r="N914" s="75"/>
      <c r="O914" s="75"/>
    </row>
    <row r="915" spans="1:15" s="66" customFormat="1" ht="25.15" customHeight="1">
      <c r="A915" s="75"/>
      <c r="B915" s="98"/>
      <c r="C915" s="78"/>
      <c r="D915" s="79"/>
      <c r="E915" s="76" t="str">
        <f>IF(ISBLANK(Log[[#This Row],[Item]]),"",_xlfn.XLOOKUP(Log[[#This Row],[Item]],Calories[Name],Calories[Unit]))</f>
        <v/>
      </c>
      <c r="F915" s="65" t="str">
        <f>IF(ISBLANK(Log[[#This Row],[Item]]),"",_xlfn.XLOOKUP(Log[[#This Row],[Item]],Calories[Name],Calories[Cals])*Log[[#This Row],[Qty]])</f>
        <v/>
      </c>
      <c r="G915" s="71" t="str">
        <f>IF(ISBLANK(Log[[#This Row],[Item]]),"",_xlfn.XLOOKUP(Log[[#This Row],[Item]],Calories[Name],Calories[Carbs])*Log[[#This Row],[Qty]])</f>
        <v/>
      </c>
      <c r="H915" s="71" t="str">
        <f>IF(ISBLANK(Log[[#This Row],[Item]]),"",_xlfn.XLOOKUP(Log[[#This Row],[Item]],Calories[Name],Calories[Fibre])*Log[[#This Row],[Qty]])</f>
        <v/>
      </c>
      <c r="I915" s="71" t="str">
        <f>IF(ISBLANK(Log[[#This Row],[Item]]),"",(Log[[#This Row],[Carbs]]-Log[[#This Row],[Fibre]]))</f>
        <v/>
      </c>
      <c r="J915" s="103" t="str">
        <f>IF(ISBLANK(Log[[#This Row],[Item]]),"",_xlfn.XLOOKUP(Log[[#This Row],[Item]],Calories[Name],Calories[Sodium])*Log[[#This Row],[Qty]])</f>
        <v/>
      </c>
      <c r="K915" s="71" t="str">
        <f>IF(ISBLANK(Log[[#This Row],[Item]]),"",_xlfn.XLOOKUP(Log[[#This Row],[Item]],Calories[Name],Calories[Protein])*Log[[#This Row],[Qty]])</f>
        <v/>
      </c>
      <c r="L915" s="71" t="str">
        <f>IF(ISBLANK(Log[[#This Row],[Item]]),"",_xlfn.XLOOKUP(Log[[#This Row],[Item]],Calories[Name],Calories[Chol.])*Log[[#This Row],[Qty]])</f>
        <v/>
      </c>
      <c r="M915" s="75"/>
      <c r="N915" s="75"/>
      <c r="O915" s="75"/>
    </row>
    <row r="916" spans="1:15" s="66" customFormat="1" ht="25.15" customHeight="1">
      <c r="A916" s="75"/>
      <c r="B916" s="98"/>
      <c r="C916" s="78"/>
      <c r="D916" s="79"/>
      <c r="E916" s="76" t="str">
        <f>IF(ISBLANK(Log[[#This Row],[Item]]),"",_xlfn.XLOOKUP(Log[[#This Row],[Item]],Calories[Name],Calories[Unit]))</f>
        <v/>
      </c>
      <c r="F916" s="65" t="str">
        <f>IF(ISBLANK(Log[[#This Row],[Item]]),"",_xlfn.XLOOKUP(Log[[#This Row],[Item]],Calories[Name],Calories[Cals])*Log[[#This Row],[Qty]])</f>
        <v/>
      </c>
      <c r="G916" s="71" t="str">
        <f>IF(ISBLANK(Log[[#This Row],[Item]]),"",_xlfn.XLOOKUP(Log[[#This Row],[Item]],Calories[Name],Calories[Carbs])*Log[[#This Row],[Qty]])</f>
        <v/>
      </c>
      <c r="H916" s="71" t="str">
        <f>IF(ISBLANK(Log[[#This Row],[Item]]),"",_xlfn.XLOOKUP(Log[[#This Row],[Item]],Calories[Name],Calories[Fibre])*Log[[#This Row],[Qty]])</f>
        <v/>
      </c>
      <c r="I916" s="71" t="str">
        <f>IF(ISBLANK(Log[[#This Row],[Item]]),"",(Log[[#This Row],[Carbs]]-Log[[#This Row],[Fibre]]))</f>
        <v/>
      </c>
      <c r="J916" s="103" t="str">
        <f>IF(ISBLANK(Log[[#This Row],[Item]]),"",_xlfn.XLOOKUP(Log[[#This Row],[Item]],Calories[Name],Calories[Sodium])*Log[[#This Row],[Qty]])</f>
        <v/>
      </c>
      <c r="K916" s="71" t="str">
        <f>IF(ISBLANK(Log[[#This Row],[Item]]),"",_xlfn.XLOOKUP(Log[[#This Row],[Item]],Calories[Name],Calories[Protein])*Log[[#This Row],[Qty]])</f>
        <v/>
      </c>
      <c r="L916" s="71" t="str">
        <f>IF(ISBLANK(Log[[#This Row],[Item]]),"",_xlfn.XLOOKUP(Log[[#This Row],[Item]],Calories[Name],Calories[Chol.])*Log[[#This Row],[Qty]])</f>
        <v/>
      </c>
      <c r="M916" s="75"/>
      <c r="N916" s="75"/>
      <c r="O916" s="75"/>
    </row>
    <row r="917" spans="1:15" s="66" customFormat="1" ht="25.15" customHeight="1">
      <c r="A917" s="75"/>
      <c r="B917" s="98"/>
      <c r="C917" s="78"/>
      <c r="D917" s="79"/>
      <c r="E917" s="76" t="str">
        <f>IF(ISBLANK(Log[[#This Row],[Item]]),"",_xlfn.XLOOKUP(Log[[#This Row],[Item]],Calories[Name],Calories[Unit]))</f>
        <v/>
      </c>
      <c r="F917" s="65" t="str">
        <f>IF(ISBLANK(Log[[#This Row],[Item]]),"",_xlfn.XLOOKUP(Log[[#This Row],[Item]],Calories[Name],Calories[Cals])*Log[[#This Row],[Qty]])</f>
        <v/>
      </c>
      <c r="G917" s="71" t="str">
        <f>IF(ISBLANK(Log[[#This Row],[Item]]),"",_xlfn.XLOOKUP(Log[[#This Row],[Item]],Calories[Name],Calories[Carbs])*Log[[#This Row],[Qty]])</f>
        <v/>
      </c>
      <c r="H917" s="71" t="str">
        <f>IF(ISBLANK(Log[[#This Row],[Item]]),"",_xlfn.XLOOKUP(Log[[#This Row],[Item]],Calories[Name],Calories[Fibre])*Log[[#This Row],[Qty]])</f>
        <v/>
      </c>
      <c r="I917" s="71" t="str">
        <f>IF(ISBLANK(Log[[#This Row],[Item]]),"",(Log[[#This Row],[Carbs]]-Log[[#This Row],[Fibre]]))</f>
        <v/>
      </c>
      <c r="J917" s="103" t="str">
        <f>IF(ISBLANK(Log[[#This Row],[Item]]),"",_xlfn.XLOOKUP(Log[[#This Row],[Item]],Calories[Name],Calories[Sodium])*Log[[#This Row],[Qty]])</f>
        <v/>
      </c>
      <c r="K917" s="71" t="str">
        <f>IF(ISBLANK(Log[[#This Row],[Item]]),"",_xlfn.XLOOKUP(Log[[#This Row],[Item]],Calories[Name],Calories[Protein])*Log[[#This Row],[Qty]])</f>
        <v/>
      </c>
      <c r="L917" s="71" t="str">
        <f>IF(ISBLANK(Log[[#This Row],[Item]]),"",_xlfn.XLOOKUP(Log[[#This Row],[Item]],Calories[Name],Calories[Chol.])*Log[[#This Row],[Qty]])</f>
        <v/>
      </c>
      <c r="M917" s="75"/>
      <c r="N917" s="75"/>
      <c r="O917" s="75"/>
    </row>
    <row r="918" spans="1:15" s="66" customFormat="1" ht="25.15" customHeight="1">
      <c r="A918" s="75"/>
      <c r="B918" s="98"/>
      <c r="C918" s="78"/>
      <c r="D918" s="79"/>
      <c r="E918" s="76" t="str">
        <f>IF(ISBLANK(Log[[#This Row],[Item]]),"",_xlfn.XLOOKUP(Log[[#This Row],[Item]],Calories[Name],Calories[Unit]))</f>
        <v/>
      </c>
      <c r="F918" s="65" t="str">
        <f>IF(ISBLANK(Log[[#This Row],[Item]]),"",_xlfn.XLOOKUP(Log[[#This Row],[Item]],Calories[Name],Calories[Cals])*Log[[#This Row],[Qty]])</f>
        <v/>
      </c>
      <c r="G918" s="71" t="str">
        <f>IF(ISBLANK(Log[[#This Row],[Item]]),"",_xlfn.XLOOKUP(Log[[#This Row],[Item]],Calories[Name],Calories[Carbs])*Log[[#This Row],[Qty]])</f>
        <v/>
      </c>
      <c r="H918" s="71" t="str">
        <f>IF(ISBLANK(Log[[#This Row],[Item]]),"",_xlfn.XLOOKUP(Log[[#This Row],[Item]],Calories[Name],Calories[Fibre])*Log[[#This Row],[Qty]])</f>
        <v/>
      </c>
      <c r="I918" s="71" t="str">
        <f>IF(ISBLANK(Log[[#This Row],[Item]]),"",(Log[[#This Row],[Carbs]]-Log[[#This Row],[Fibre]]))</f>
        <v/>
      </c>
      <c r="J918" s="103" t="str">
        <f>IF(ISBLANK(Log[[#This Row],[Item]]),"",_xlfn.XLOOKUP(Log[[#This Row],[Item]],Calories[Name],Calories[Sodium])*Log[[#This Row],[Qty]])</f>
        <v/>
      </c>
      <c r="K918" s="71" t="str">
        <f>IF(ISBLANK(Log[[#This Row],[Item]]),"",_xlfn.XLOOKUP(Log[[#This Row],[Item]],Calories[Name],Calories[Protein])*Log[[#This Row],[Qty]])</f>
        <v/>
      </c>
      <c r="L918" s="71" t="str">
        <f>IF(ISBLANK(Log[[#This Row],[Item]]),"",_xlfn.XLOOKUP(Log[[#This Row],[Item]],Calories[Name],Calories[Chol.])*Log[[#This Row],[Qty]])</f>
        <v/>
      </c>
      <c r="M918" s="75"/>
      <c r="N918" s="75"/>
      <c r="O918" s="75"/>
    </row>
    <row r="919" spans="1:15" s="66" customFormat="1" ht="25.15" customHeight="1">
      <c r="A919" s="75"/>
      <c r="B919" s="98"/>
      <c r="C919" s="78"/>
      <c r="D919" s="79"/>
      <c r="E919" s="76" t="str">
        <f>IF(ISBLANK(Log[[#This Row],[Item]]),"",_xlfn.XLOOKUP(Log[[#This Row],[Item]],Calories[Name],Calories[Unit]))</f>
        <v/>
      </c>
      <c r="F919" s="65" t="str">
        <f>IF(ISBLANK(Log[[#This Row],[Item]]),"",_xlfn.XLOOKUP(Log[[#This Row],[Item]],Calories[Name],Calories[Cals])*Log[[#This Row],[Qty]])</f>
        <v/>
      </c>
      <c r="G919" s="71" t="str">
        <f>IF(ISBLANK(Log[[#This Row],[Item]]),"",_xlfn.XLOOKUP(Log[[#This Row],[Item]],Calories[Name],Calories[Carbs])*Log[[#This Row],[Qty]])</f>
        <v/>
      </c>
      <c r="H919" s="71" t="str">
        <f>IF(ISBLANK(Log[[#This Row],[Item]]),"",_xlfn.XLOOKUP(Log[[#This Row],[Item]],Calories[Name],Calories[Fibre])*Log[[#This Row],[Qty]])</f>
        <v/>
      </c>
      <c r="I919" s="71" t="str">
        <f>IF(ISBLANK(Log[[#This Row],[Item]]),"",(Log[[#This Row],[Carbs]]-Log[[#This Row],[Fibre]]))</f>
        <v/>
      </c>
      <c r="J919" s="103" t="str">
        <f>IF(ISBLANK(Log[[#This Row],[Item]]),"",_xlfn.XLOOKUP(Log[[#This Row],[Item]],Calories[Name],Calories[Sodium])*Log[[#This Row],[Qty]])</f>
        <v/>
      </c>
      <c r="K919" s="71" t="str">
        <f>IF(ISBLANK(Log[[#This Row],[Item]]),"",_xlfn.XLOOKUP(Log[[#This Row],[Item]],Calories[Name],Calories[Protein])*Log[[#This Row],[Qty]])</f>
        <v/>
      </c>
      <c r="L919" s="71" t="str">
        <f>IF(ISBLANK(Log[[#This Row],[Item]]),"",_xlfn.XLOOKUP(Log[[#This Row],[Item]],Calories[Name],Calories[Chol.])*Log[[#This Row],[Qty]])</f>
        <v/>
      </c>
      <c r="M919" s="75"/>
      <c r="N919" s="75"/>
      <c r="O919" s="75"/>
    </row>
    <row r="920" spans="1:15" s="66" customFormat="1" ht="25.15" customHeight="1">
      <c r="A920" s="75"/>
      <c r="B920" s="98"/>
      <c r="C920" s="78"/>
      <c r="D920" s="79"/>
      <c r="E920" s="76" t="str">
        <f>IF(ISBLANK(Log[[#This Row],[Item]]),"",_xlfn.XLOOKUP(Log[[#This Row],[Item]],Calories[Name],Calories[Unit]))</f>
        <v/>
      </c>
      <c r="F920" s="65" t="str">
        <f>IF(ISBLANK(Log[[#This Row],[Item]]),"",_xlfn.XLOOKUP(Log[[#This Row],[Item]],Calories[Name],Calories[Cals])*Log[[#This Row],[Qty]])</f>
        <v/>
      </c>
      <c r="G920" s="71" t="str">
        <f>IF(ISBLANK(Log[[#This Row],[Item]]),"",_xlfn.XLOOKUP(Log[[#This Row],[Item]],Calories[Name],Calories[Carbs])*Log[[#This Row],[Qty]])</f>
        <v/>
      </c>
      <c r="H920" s="71" t="str">
        <f>IF(ISBLANK(Log[[#This Row],[Item]]),"",_xlfn.XLOOKUP(Log[[#This Row],[Item]],Calories[Name],Calories[Fibre])*Log[[#This Row],[Qty]])</f>
        <v/>
      </c>
      <c r="I920" s="71" t="str">
        <f>IF(ISBLANK(Log[[#This Row],[Item]]),"",(Log[[#This Row],[Carbs]]-Log[[#This Row],[Fibre]]))</f>
        <v/>
      </c>
      <c r="J920" s="103" t="str">
        <f>IF(ISBLANK(Log[[#This Row],[Item]]),"",_xlfn.XLOOKUP(Log[[#This Row],[Item]],Calories[Name],Calories[Sodium])*Log[[#This Row],[Qty]])</f>
        <v/>
      </c>
      <c r="K920" s="71" t="str">
        <f>IF(ISBLANK(Log[[#This Row],[Item]]),"",_xlfn.XLOOKUP(Log[[#This Row],[Item]],Calories[Name],Calories[Protein])*Log[[#This Row],[Qty]])</f>
        <v/>
      </c>
      <c r="L920" s="71" t="str">
        <f>IF(ISBLANK(Log[[#This Row],[Item]]),"",_xlfn.XLOOKUP(Log[[#This Row],[Item]],Calories[Name],Calories[Chol.])*Log[[#This Row],[Qty]])</f>
        <v/>
      </c>
      <c r="M920" s="75"/>
      <c r="N920" s="75"/>
      <c r="O920" s="75"/>
    </row>
    <row r="921" spans="1:15" s="66" customFormat="1" ht="25.15" customHeight="1">
      <c r="A921" s="75"/>
      <c r="B921" s="98"/>
      <c r="C921" s="78"/>
      <c r="D921" s="79"/>
      <c r="E921" s="76" t="str">
        <f>IF(ISBLANK(Log[[#This Row],[Item]]),"",_xlfn.XLOOKUP(Log[[#This Row],[Item]],Calories[Name],Calories[Unit]))</f>
        <v/>
      </c>
      <c r="F921" s="65" t="str">
        <f>IF(ISBLANK(Log[[#This Row],[Item]]),"",_xlfn.XLOOKUP(Log[[#This Row],[Item]],Calories[Name],Calories[Cals])*Log[[#This Row],[Qty]])</f>
        <v/>
      </c>
      <c r="G921" s="71" t="str">
        <f>IF(ISBLANK(Log[[#This Row],[Item]]),"",_xlfn.XLOOKUP(Log[[#This Row],[Item]],Calories[Name],Calories[Carbs])*Log[[#This Row],[Qty]])</f>
        <v/>
      </c>
      <c r="H921" s="71" t="str">
        <f>IF(ISBLANK(Log[[#This Row],[Item]]),"",_xlfn.XLOOKUP(Log[[#This Row],[Item]],Calories[Name],Calories[Fibre])*Log[[#This Row],[Qty]])</f>
        <v/>
      </c>
      <c r="I921" s="71" t="str">
        <f>IF(ISBLANK(Log[[#This Row],[Item]]),"",(Log[[#This Row],[Carbs]]-Log[[#This Row],[Fibre]]))</f>
        <v/>
      </c>
      <c r="J921" s="103" t="str">
        <f>IF(ISBLANK(Log[[#This Row],[Item]]),"",_xlfn.XLOOKUP(Log[[#This Row],[Item]],Calories[Name],Calories[Sodium])*Log[[#This Row],[Qty]])</f>
        <v/>
      </c>
      <c r="K921" s="71" t="str">
        <f>IF(ISBLANK(Log[[#This Row],[Item]]),"",_xlfn.XLOOKUP(Log[[#This Row],[Item]],Calories[Name],Calories[Protein])*Log[[#This Row],[Qty]])</f>
        <v/>
      </c>
      <c r="L921" s="71" t="str">
        <f>IF(ISBLANK(Log[[#This Row],[Item]]),"",_xlfn.XLOOKUP(Log[[#This Row],[Item]],Calories[Name],Calories[Chol.])*Log[[#This Row],[Qty]])</f>
        <v/>
      </c>
      <c r="M921" s="75"/>
      <c r="N921" s="75"/>
      <c r="O921" s="75"/>
    </row>
    <row r="922" spans="1:15" s="66" customFormat="1" ht="25.15" customHeight="1">
      <c r="A922" s="75"/>
      <c r="B922" s="98"/>
      <c r="C922" s="78"/>
      <c r="D922" s="79"/>
      <c r="E922" s="76" t="str">
        <f>IF(ISBLANK(Log[[#This Row],[Item]]),"",_xlfn.XLOOKUP(Log[[#This Row],[Item]],Calories[Name],Calories[Unit]))</f>
        <v/>
      </c>
      <c r="F922" s="65" t="str">
        <f>IF(ISBLANK(Log[[#This Row],[Item]]),"",_xlfn.XLOOKUP(Log[[#This Row],[Item]],Calories[Name],Calories[Cals])*Log[[#This Row],[Qty]])</f>
        <v/>
      </c>
      <c r="G922" s="71" t="str">
        <f>IF(ISBLANK(Log[[#This Row],[Item]]),"",_xlfn.XLOOKUP(Log[[#This Row],[Item]],Calories[Name],Calories[Carbs])*Log[[#This Row],[Qty]])</f>
        <v/>
      </c>
      <c r="H922" s="71" t="str">
        <f>IF(ISBLANK(Log[[#This Row],[Item]]),"",_xlfn.XLOOKUP(Log[[#This Row],[Item]],Calories[Name],Calories[Fibre])*Log[[#This Row],[Qty]])</f>
        <v/>
      </c>
      <c r="I922" s="71" t="str">
        <f>IF(ISBLANK(Log[[#This Row],[Item]]),"",(Log[[#This Row],[Carbs]]-Log[[#This Row],[Fibre]]))</f>
        <v/>
      </c>
      <c r="J922" s="103" t="str">
        <f>IF(ISBLANK(Log[[#This Row],[Item]]),"",_xlfn.XLOOKUP(Log[[#This Row],[Item]],Calories[Name],Calories[Sodium])*Log[[#This Row],[Qty]])</f>
        <v/>
      </c>
      <c r="K922" s="71" t="str">
        <f>IF(ISBLANK(Log[[#This Row],[Item]]),"",_xlfn.XLOOKUP(Log[[#This Row],[Item]],Calories[Name],Calories[Protein])*Log[[#This Row],[Qty]])</f>
        <v/>
      </c>
      <c r="L922" s="71" t="str">
        <f>IF(ISBLANK(Log[[#This Row],[Item]]),"",_xlfn.XLOOKUP(Log[[#This Row],[Item]],Calories[Name],Calories[Chol.])*Log[[#This Row],[Qty]])</f>
        <v/>
      </c>
      <c r="M922" s="75"/>
      <c r="N922" s="75"/>
      <c r="O922" s="75"/>
    </row>
    <row r="923" spans="1:15" s="66" customFormat="1" ht="25.15" customHeight="1">
      <c r="A923" s="75"/>
      <c r="B923" s="98"/>
      <c r="C923" s="78"/>
      <c r="D923" s="79"/>
      <c r="E923" s="76" t="str">
        <f>IF(ISBLANK(Log[[#This Row],[Item]]),"",_xlfn.XLOOKUP(Log[[#This Row],[Item]],Calories[Name],Calories[Unit]))</f>
        <v/>
      </c>
      <c r="F923" s="65" t="str">
        <f>IF(ISBLANK(Log[[#This Row],[Item]]),"",_xlfn.XLOOKUP(Log[[#This Row],[Item]],Calories[Name],Calories[Cals])*Log[[#This Row],[Qty]])</f>
        <v/>
      </c>
      <c r="G923" s="71" t="str">
        <f>IF(ISBLANK(Log[[#This Row],[Item]]),"",_xlfn.XLOOKUP(Log[[#This Row],[Item]],Calories[Name],Calories[Carbs])*Log[[#This Row],[Qty]])</f>
        <v/>
      </c>
      <c r="H923" s="71" t="str">
        <f>IF(ISBLANK(Log[[#This Row],[Item]]),"",_xlfn.XLOOKUP(Log[[#This Row],[Item]],Calories[Name],Calories[Fibre])*Log[[#This Row],[Qty]])</f>
        <v/>
      </c>
      <c r="I923" s="71" t="str">
        <f>IF(ISBLANK(Log[[#This Row],[Item]]),"",(Log[[#This Row],[Carbs]]-Log[[#This Row],[Fibre]]))</f>
        <v/>
      </c>
      <c r="J923" s="103" t="str">
        <f>IF(ISBLANK(Log[[#This Row],[Item]]),"",_xlfn.XLOOKUP(Log[[#This Row],[Item]],Calories[Name],Calories[Sodium])*Log[[#This Row],[Qty]])</f>
        <v/>
      </c>
      <c r="K923" s="71" t="str">
        <f>IF(ISBLANK(Log[[#This Row],[Item]]),"",_xlfn.XLOOKUP(Log[[#This Row],[Item]],Calories[Name],Calories[Protein])*Log[[#This Row],[Qty]])</f>
        <v/>
      </c>
      <c r="L923" s="71" t="str">
        <f>IF(ISBLANK(Log[[#This Row],[Item]]),"",_xlfn.XLOOKUP(Log[[#This Row],[Item]],Calories[Name],Calories[Chol.])*Log[[#This Row],[Qty]])</f>
        <v/>
      </c>
      <c r="M923" s="75"/>
      <c r="N923" s="75"/>
      <c r="O923" s="75"/>
    </row>
    <row r="924" spans="1:15" s="66" customFormat="1" ht="25.15" customHeight="1">
      <c r="A924" s="75"/>
      <c r="B924" s="98"/>
      <c r="C924" s="78"/>
      <c r="D924" s="79"/>
      <c r="E924" s="76" t="str">
        <f>IF(ISBLANK(Log[[#This Row],[Item]]),"",_xlfn.XLOOKUP(Log[[#This Row],[Item]],Calories[Name],Calories[Unit]))</f>
        <v/>
      </c>
      <c r="F924" s="65" t="str">
        <f>IF(ISBLANK(Log[[#This Row],[Item]]),"",_xlfn.XLOOKUP(Log[[#This Row],[Item]],Calories[Name],Calories[Cals])*Log[[#This Row],[Qty]])</f>
        <v/>
      </c>
      <c r="G924" s="71" t="str">
        <f>IF(ISBLANK(Log[[#This Row],[Item]]),"",_xlfn.XLOOKUP(Log[[#This Row],[Item]],Calories[Name],Calories[Carbs])*Log[[#This Row],[Qty]])</f>
        <v/>
      </c>
      <c r="H924" s="71" t="str">
        <f>IF(ISBLANK(Log[[#This Row],[Item]]),"",_xlfn.XLOOKUP(Log[[#This Row],[Item]],Calories[Name],Calories[Fibre])*Log[[#This Row],[Qty]])</f>
        <v/>
      </c>
      <c r="I924" s="71" t="str">
        <f>IF(ISBLANK(Log[[#This Row],[Item]]),"",(Log[[#This Row],[Carbs]]-Log[[#This Row],[Fibre]]))</f>
        <v/>
      </c>
      <c r="J924" s="103" t="str">
        <f>IF(ISBLANK(Log[[#This Row],[Item]]),"",_xlfn.XLOOKUP(Log[[#This Row],[Item]],Calories[Name],Calories[Sodium])*Log[[#This Row],[Qty]])</f>
        <v/>
      </c>
      <c r="K924" s="71" t="str">
        <f>IF(ISBLANK(Log[[#This Row],[Item]]),"",_xlfn.XLOOKUP(Log[[#This Row],[Item]],Calories[Name],Calories[Protein])*Log[[#This Row],[Qty]])</f>
        <v/>
      </c>
      <c r="L924" s="71" t="str">
        <f>IF(ISBLANK(Log[[#This Row],[Item]]),"",_xlfn.XLOOKUP(Log[[#This Row],[Item]],Calories[Name],Calories[Chol.])*Log[[#This Row],[Qty]])</f>
        <v/>
      </c>
      <c r="M924" s="75"/>
      <c r="N924" s="75"/>
      <c r="O924" s="75"/>
    </row>
    <row r="925" spans="1:15" s="66" customFormat="1" ht="25.15" customHeight="1">
      <c r="A925" s="75"/>
      <c r="B925" s="98"/>
      <c r="C925" s="78"/>
      <c r="D925" s="79"/>
      <c r="E925" s="76" t="str">
        <f>IF(ISBLANK(Log[[#This Row],[Item]]),"",_xlfn.XLOOKUP(Log[[#This Row],[Item]],Calories[Name],Calories[Unit]))</f>
        <v/>
      </c>
      <c r="F925" s="65" t="str">
        <f>IF(ISBLANK(Log[[#This Row],[Item]]),"",_xlfn.XLOOKUP(Log[[#This Row],[Item]],Calories[Name],Calories[Cals])*Log[[#This Row],[Qty]])</f>
        <v/>
      </c>
      <c r="G925" s="71" t="str">
        <f>IF(ISBLANK(Log[[#This Row],[Item]]),"",_xlfn.XLOOKUP(Log[[#This Row],[Item]],Calories[Name],Calories[Carbs])*Log[[#This Row],[Qty]])</f>
        <v/>
      </c>
      <c r="H925" s="71" t="str">
        <f>IF(ISBLANK(Log[[#This Row],[Item]]),"",_xlfn.XLOOKUP(Log[[#This Row],[Item]],Calories[Name],Calories[Fibre])*Log[[#This Row],[Qty]])</f>
        <v/>
      </c>
      <c r="I925" s="71" t="str">
        <f>IF(ISBLANK(Log[[#This Row],[Item]]),"",(Log[[#This Row],[Carbs]]-Log[[#This Row],[Fibre]]))</f>
        <v/>
      </c>
      <c r="J925" s="103" t="str">
        <f>IF(ISBLANK(Log[[#This Row],[Item]]),"",_xlfn.XLOOKUP(Log[[#This Row],[Item]],Calories[Name],Calories[Sodium])*Log[[#This Row],[Qty]])</f>
        <v/>
      </c>
      <c r="K925" s="71" t="str">
        <f>IF(ISBLANK(Log[[#This Row],[Item]]),"",_xlfn.XLOOKUP(Log[[#This Row],[Item]],Calories[Name],Calories[Protein])*Log[[#This Row],[Qty]])</f>
        <v/>
      </c>
      <c r="L925" s="71" t="str">
        <f>IF(ISBLANK(Log[[#This Row],[Item]]),"",_xlfn.XLOOKUP(Log[[#This Row],[Item]],Calories[Name],Calories[Chol.])*Log[[#This Row],[Qty]])</f>
        <v/>
      </c>
      <c r="M925" s="75"/>
      <c r="N925" s="75"/>
      <c r="O925" s="75"/>
    </row>
    <row r="926" spans="1:15" s="66" customFormat="1" ht="25.15" customHeight="1">
      <c r="A926" s="75"/>
      <c r="B926" s="98"/>
      <c r="C926" s="78"/>
      <c r="D926" s="79"/>
      <c r="E926" s="76" t="str">
        <f>IF(ISBLANK(Log[[#This Row],[Item]]),"",_xlfn.XLOOKUP(Log[[#This Row],[Item]],Calories[Name],Calories[Unit]))</f>
        <v/>
      </c>
      <c r="F926" s="65" t="str">
        <f>IF(ISBLANK(Log[[#This Row],[Item]]),"",_xlfn.XLOOKUP(Log[[#This Row],[Item]],Calories[Name],Calories[Cals])*Log[[#This Row],[Qty]])</f>
        <v/>
      </c>
      <c r="G926" s="71" t="str">
        <f>IF(ISBLANK(Log[[#This Row],[Item]]),"",_xlfn.XLOOKUP(Log[[#This Row],[Item]],Calories[Name],Calories[Carbs])*Log[[#This Row],[Qty]])</f>
        <v/>
      </c>
      <c r="H926" s="71" t="str">
        <f>IF(ISBLANK(Log[[#This Row],[Item]]),"",_xlfn.XLOOKUP(Log[[#This Row],[Item]],Calories[Name],Calories[Fibre])*Log[[#This Row],[Qty]])</f>
        <v/>
      </c>
      <c r="I926" s="71" t="str">
        <f>IF(ISBLANK(Log[[#This Row],[Item]]),"",(Log[[#This Row],[Carbs]]-Log[[#This Row],[Fibre]]))</f>
        <v/>
      </c>
      <c r="J926" s="103" t="str">
        <f>IF(ISBLANK(Log[[#This Row],[Item]]),"",_xlfn.XLOOKUP(Log[[#This Row],[Item]],Calories[Name],Calories[Sodium])*Log[[#This Row],[Qty]])</f>
        <v/>
      </c>
      <c r="K926" s="71" t="str">
        <f>IF(ISBLANK(Log[[#This Row],[Item]]),"",_xlfn.XLOOKUP(Log[[#This Row],[Item]],Calories[Name],Calories[Protein])*Log[[#This Row],[Qty]])</f>
        <v/>
      </c>
      <c r="L926" s="71" t="str">
        <f>IF(ISBLANK(Log[[#This Row],[Item]]),"",_xlfn.XLOOKUP(Log[[#This Row],[Item]],Calories[Name],Calories[Chol.])*Log[[#This Row],[Qty]])</f>
        <v/>
      </c>
      <c r="M926" s="75"/>
      <c r="N926" s="75"/>
      <c r="O926" s="75"/>
    </row>
    <row r="927" spans="1:15" s="66" customFormat="1" ht="25.15" customHeight="1">
      <c r="A927" s="75"/>
      <c r="B927" s="98"/>
      <c r="C927" s="78"/>
      <c r="D927" s="79"/>
      <c r="E927" s="76" t="str">
        <f>IF(ISBLANK(Log[[#This Row],[Item]]),"",_xlfn.XLOOKUP(Log[[#This Row],[Item]],Calories[Name],Calories[Unit]))</f>
        <v/>
      </c>
      <c r="F927" s="65" t="str">
        <f>IF(ISBLANK(Log[[#This Row],[Item]]),"",_xlfn.XLOOKUP(Log[[#This Row],[Item]],Calories[Name],Calories[Cals])*Log[[#This Row],[Qty]])</f>
        <v/>
      </c>
      <c r="G927" s="71" t="str">
        <f>IF(ISBLANK(Log[[#This Row],[Item]]),"",_xlfn.XLOOKUP(Log[[#This Row],[Item]],Calories[Name],Calories[Carbs])*Log[[#This Row],[Qty]])</f>
        <v/>
      </c>
      <c r="H927" s="71" t="str">
        <f>IF(ISBLANK(Log[[#This Row],[Item]]),"",_xlfn.XLOOKUP(Log[[#This Row],[Item]],Calories[Name],Calories[Fibre])*Log[[#This Row],[Qty]])</f>
        <v/>
      </c>
      <c r="I927" s="71" t="str">
        <f>IF(ISBLANK(Log[[#This Row],[Item]]),"",(Log[[#This Row],[Carbs]]-Log[[#This Row],[Fibre]]))</f>
        <v/>
      </c>
      <c r="J927" s="103" t="str">
        <f>IF(ISBLANK(Log[[#This Row],[Item]]),"",_xlfn.XLOOKUP(Log[[#This Row],[Item]],Calories[Name],Calories[Sodium])*Log[[#This Row],[Qty]])</f>
        <v/>
      </c>
      <c r="K927" s="71" t="str">
        <f>IF(ISBLANK(Log[[#This Row],[Item]]),"",_xlfn.XLOOKUP(Log[[#This Row],[Item]],Calories[Name],Calories[Protein])*Log[[#This Row],[Qty]])</f>
        <v/>
      </c>
      <c r="L927" s="71" t="str">
        <f>IF(ISBLANK(Log[[#This Row],[Item]]),"",_xlfn.XLOOKUP(Log[[#This Row],[Item]],Calories[Name],Calories[Chol.])*Log[[#This Row],[Qty]])</f>
        <v/>
      </c>
      <c r="M927" s="75"/>
      <c r="N927" s="75"/>
      <c r="O927" s="75"/>
    </row>
    <row r="928" spans="1:15" s="66" customFormat="1" ht="25.15" customHeight="1">
      <c r="A928" s="75"/>
      <c r="B928" s="98"/>
      <c r="C928" s="78"/>
      <c r="D928" s="79"/>
      <c r="E928" s="76" t="str">
        <f>IF(ISBLANK(Log[[#This Row],[Item]]),"",_xlfn.XLOOKUP(Log[[#This Row],[Item]],Calories[Name],Calories[Unit]))</f>
        <v/>
      </c>
      <c r="F928" s="65" t="str">
        <f>IF(ISBLANK(Log[[#This Row],[Item]]),"",_xlfn.XLOOKUP(Log[[#This Row],[Item]],Calories[Name],Calories[Cals])*Log[[#This Row],[Qty]])</f>
        <v/>
      </c>
      <c r="G928" s="71" t="str">
        <f>IF(ISBLANK(Log[[#This Row],[Item]]),"",_xlfn.XLOOKUP(Log[[#This Row],[Item]],Calories[Name],Calories[Carbs])*Log[[#This Row],[Qty]])</f>
        <v/>
      </c>
      <c r="H928" s="71" t="str">
        <f>IF(ISBLANK(Log[[#This Row],[Item]]),"",_xlfn.XLOOKUP(Log[[#This Row],[Item]],Calories[Name],Calories[Fibre])*Log[[#This Row],[Qty]])</f>
        <v/>
      </c>
      <c r="I928" s="71" t="str">
        <f>IF(ISBLANK(Log[[#This Row],[Item]]),"",(Log[[#This Row],[Carbs]]-Log[[#This Row],[Fibre]]))</f>
        <v/>
      </c>
      <c r="J928" s="103" t="str">
        <f>IF(ISBLANK(Log[[#This Row],[Item]]),"",_xlfn.XLOOKUP(Log[[#This Row],[Item]],Calories[Name],Calories[Sodium])*Log[[#This Row],[Qty]])</f>
        <v/>
      </c>
      <c r="K928" s="71" t="str">
        <f>IF(ISBLANK(Log[[#This Row],[Item]]),"",_xlfn.XLOOKUP(Log[[#This Row],[Item]],Calories[Name],Calories[Protein])*Log[[#This Row],[Qty]])</f>
        <v/>
      </c>
      <c r="L928" s="71" t="str">
        <f>IF(ISBLANK(Log[[#This Row],[Item]]),"",_xlfn.XLOOKUP(Log[[#This Row],[Item]],Calories[Name],Calories[Chol.])*Log[[#This Row],[Qty]])</f>
        <v/>
      </c>
      <c r="M928" s="75"/>
      <c r="N928" s="75"/>
      <c r="O928" s="75"/>
    </row>
    <row r="929" spans="1:15" s="66" customFormat="1" ht="25.15" customHeight="1">
      <c r="A929" s="75"/>
      <c r="B929" s="98"/>
      <c r="C929" s="78"/>
      <c r="D929" s="79"/>
      <c r="E929" s="76" t="str">
        <f>IF(ISBLANK(Log[[#This Row],[Item]]),"",_xlfn.XLOOKUP(Log[[#This Row],[Item]],Calories[Name],Calories[Unit]))</f>
        <v/>
      </c>
      <c r="F929" s="65" t="str">
        <f>IF(ISBLANK(Log[[#This Row],[Item]]),"",_xlfn.XLOOKUP(Log[[#This Row],[Item]],Calories[Name],Calories[Cals])*Log[[#This Row],[Qty]])</f>
        <v/>
      </c>
      <c r="G929" s="71" t="str">
        <f>IF(ISBLANK(Log[[#This Row],[Item]]),"",_xlfn.XLOOKUP(Log[[#This Row],[Item]],Calories[Name],Calories[Carbs])*Log[[#This Row],[Qty]])</f>
        <v/>
      </c>
      <c r="H929" s="71" t="str">
        <f>IF(ISBLANK(Log[[#This Row],[Item]]),"",_xlfn.XLOOKUP(Log[[#This Row],[Item]],Calories[Name],Calories[Fibre])*Log[[#This Row],[Qty]])</f>
        <v/>
      </c>
      <c r="I929" s="71" t="str">
        <f>IF(ISBLANK(Log[[#This Row],[Item]]),"",(Log[[#This Row],[Carbs]]-Log[[#This Row],[Fibre]]))</f>
        <v/>
      </c>
      <c r="J929" s="103" t="str">
        <f>IF(ISBLANK(Log[[#This Row],[Item]]),"",_xlfn.XLOOKUP(Log[[#This Row],[Item]],Calories[Name],Calories[Sodium])*Log[[#This Row],[Qty]])</f>
        <v/>
      </c>
      <c r="K929" s="71" t="str">
        <f>IF(ISBLANK(Log[[#This Row],[Item]]),"",_xlfn.XLOOKUP(Log[[#This Row],[Item]],Calories[Name],Calories[Protein])*Log[[#This Row],[Qty]])</f>
        <v/>
      </c>
      <c r="L929" s="71" t="str">
        <f>IF(ISBLANK(Log[[#This Row],[Item]]),"",_xlfn.XLOOKUP(Log[[#This Row],[Item]],Calories[Name],Calories[Chol.])*Log[[#This Row],[Qty]])</f>
        <v/>
      </c>
      <c r="M929" s="75"/>
      <c r="N929" s="75"/>
      <c r="O929" s="75"/>
    </row>
    <row r="930" spans="1:15" s="66" customFormat="1" ht="25.15" customHeight="1">
      <c r="A930" s="75"/>
      <c r="B930" s="98"/>
      <c r="C930" s="78"/>
      <c r="D930" s="79"/>
      <c r="E930" s="76" t="str">
        <f>IF(ISBLANK(Log[[#This Row],[Item]]),"",_xlfn.XLOOKUP(Log[[#This Row],[Item]],Calories[Name],Calories[Unit]))</f>
        <v/>
      </c>
      <c r="F930" s="65" t="str">
        <f>IF(ISBLANK(Log[[#This Row],[Item]]),"",_xlfn.XLOOKUP(Log[[#This Row],[Item]],Calories[Name],Calories[Cals])*Log[[#This Row],[Qty]])</f>
        <v/>
      </c>
      <c r="G930" s="71" t="str">
        <f>IF(ISBLANK(Log[[#This Row],[Item]]),"",_xlfn.XLOOKUP(Log[[#This Row],[Item]],Calories[Name],Calories[Carbs])*Log[[#This Row],[Qty]])</f>
        <v/>
      </c>
      <c r="H930" s="71" t="str">
        <f>IF(ISBLANK(Log[[#This Row],[Item]]),"",_xlfn.XLOOKUP(Log[[#This Row],[Item]],Calories[Name],Calories[Fibre])*Log[[#This Row],[Qty]])</f>
        <v/>
      </c>
      <c r="I930" s="71" t="str">
        <f>IF(ISBLANK(Log[[#This Row],[Item]]),"",(Log[[#This Row],[Carbs]]-Log[[#This Row],[Fibre]]))</f>
        <v/>
      </c>
      <c r="J930" s="103" t="str">
        <f>IF(ISBLANK(Log[[#This Row],[Item]]),"",_xlfn.XLOOKUP(Log[[#This Row],[Item]],Calories[Name],Calories[Sodium])*Log[[#This Row],[Qty]])</f>
        <v/>
      </c>
      <c r="K930" s="71" t="str">
        <f>IF(ISBLANK(Log[[#This Row],[Item]]),"",_xlfn.XLOOKUP(Log[[#This Row],[Item]],Calories[Name],Calories[Protein])*Log[[#This Row],[Qty]])</f>
        <v/>
      </c>
      <c r="L930" s="71" t="str">
        <f>IF(ISBLANK(Log[[#This Row],[Item]]),"",_xlfn.XLOOKUP(Log[[#This Row],[Item]],Calories[Name],Calories[Chol.])*Log[[#This Row],[Qty]])</f>
        <v/>
      </c>
      <c r="M930" s="75"/>
      <c r="N930" s="75"/>
      <c r="O930" s="75"/>
    </row>
    <row r="931" spans="1:15" s="66" customFormat="1" ht="25.15" customHeight="1">
      <c r="A931" s="75"/>
      <c r="B931" s="98"/>
      <c r="C931" s="78"/>
      <c r="D931" s="79"/>
      <c r="E931" s="76" t="str">
        <f>IF(ISBLANK(Log[[#This Row],[Item]]),"",_xlfn.XLOOKUP(Log[[#This Row],[Item]],Calories[Name],Calories[Unit]))</f>
        <v/>
      </c>
      <c r="F931" s="65" t="str">
        <f>IF(ISBLANK(Log[[#This Row],[Item]]),"",_xlfn.XLOOKUP(Log[[#This Row],[Item]],Calories[Name],Calories[Cals])*Log[[#This Row],[Qty]])</f>
        <v/>
      </c>
      <c r="G931" s="71" t="str">
        <f>IF(ISBLANK(Log[[#This Row],[Item]]),"",_xlfn.XLOOKUP(Log[[#This Row],[Item]],Calories[Name],Calories[Carbs])*Log[[#This Row],[Qty]])</f>
        <v/>
      </c>
      <c r="H931" s="71" t="str">
        <f>IF(ISBLANK(Log[[#This Row],[Item]]),"",_xlfn.XLOOKUP(Log[[#This Row],[Item]],Calories[Name],Calories[Fibre])*Log[[#This Row],[Qty]])</f>
        <v/>
      </c>
      <c r="I931" s="71" t="str">
        <f>IF(ISBLANK(Log[[#This Row],[Item]]),"",(Log[[#This Row],[Carbs]]-Log[[#This Row],[Fibre]]))</f>
        <v/>
      </c>
      <c r="J931" s="103" t="str">
        <f>IF(ISBLANK(Log[[#This Row],[Item]]),"",_xlfn.XLOOKUP(Log[[#This Row],[Item]],Calories[Name],Calories[Sodium])*Log[[#This Row],[Qty]])</f>
        <v/>
      </c>
      <c r="K931" s="71" t="str">
        <f>IF(ISBLANK(Log[[#This Row],[Item]]),"",_xlfn.XLOOKUP(Log[[#This Row],[Item]],Calories[Name],Calories[Protein])*Log[[#This Row],[Qty]])</f>
        <v/>
      </c>
      <c r="L931" s="71" t="str">
        <f>IF(ISBLANK(Log[[#This Row],[Item]]),"",_xlfn.XLOOKUP(Log[[#This Row],[Item]],Calories[Name],Calories[Chol.])*Log[[#This Row],[Qty]])</f>
        <v/>
      </c>
      <c r="M931" s="75"/>
      <c r="N931" s="75"/>
      <c r="O931" s="75"/>
    </row>
    <row r="932" spans="1:15" s="66" customFormat="1" ht="25.15" customHeight="1">
      <c r="A932" s="75"/>
      <c r="B932" s="98"/>
      <c r="C932" s="78"/>
      <c r="D932" s="79"/>
      <c r="E932" s="76" t="str">
        <f>IF(ISBLANK(Log[[#This Row],[Item]]),"",_xlfn.XLOOKUP(Log[[#This Row],[Item]],Calories[Name],Calories[Unit]))</f>
        <v/>
      </c>
      <c r="F932" s="65" t="str">
        <f>IF(ISBLANK(Log[[#This Row],[Item]]),"",_xlfn.XLOOKUP(Log[[#This Row],[Item]],Calories[Name],Calories[Cals])*Log[[#This Row],[Qty]])</f>
        <v/>
      </c>
      <c r="G932" s="71" t="str">
        <f>IF(ISBLANK(Log[[#This Row],[Item]]),"",_xlfn.XLOOKUP(Log[[#This Row],[Item]],Calories[Name],Calories[Carbs])*Log[[#This Row],[Qty]])</f>
        <v/>
      </c>
      <c r="H932" s="71" t="str">
        <f>IF(ISBLANK(Log[[#This Row],[Item]]),"",_xlfn.XLOOKUP(Log[[#This Row],[Item]],Calories[Name],Calories[Fibre])*Log[[#This Row],[Qty]])</f>
        <v/>
      </c>
      <c r="I932" s="71" t="str">
        <f>IF(ISBLANK(Log[[#This Row],[Item]]),"",(Log[[#This Row],[Carbs]]-Log[[#This Row],[Fibre]]))</f>
        <v/>
      </c>
      <c r="J932" s="103" t="str">
        <f>IF(ISBLANK(Log[[#This Row],[Item]]),"",_xlfn.XLOOKUP(Log[[#This Row],[Item]],Calories[Name],Calories[Sodium])*Log[[#This Row],[Qty]])</f>
        <v/>
      </c>
      <c r="K932" s="71" t="str">
        <f>IF(ISBLANK(Log[[#This Row],[Item]]),"",_xlfn.XLOOKUP(Log[[#This Row],[Item]],Calories[Name],Calories[Protein])*Log[[#This Row],[Qty]])</f>
        <v/>
      </c>
      <c r="L932" s="71" t="str">
        <f>IF(ISBLANK(Log[[#This Row],[Item]]),"",_xlfn.XLOOKUP(Log[[#This Row],[Item]],Calories[Name],Calories[Chol.])*Log[[#This Row],[Qty]])</f>
        <v/>
      </c>
      <c r="M932" s="75"/>
      <c r="N932" s="75"/>
      <c r="O932" s="75"/>
    </row>
    <row r="933" spans="1:15" s="66" customFormat="1" ht="25.15" customHeight="1">
      <c r="A933" s="75"/>
      <c r="B933" s="98"/>
      <c r="C933" s="78"/>
      <c r="D933" s="79"/>
      <c r="E933" s="76" t="str">
        <f>IF(ISBLANK(Log[[#This Row],[Item]]),"",_xlfn.XLOOKUP(Log[[#This Row],[Item]],Calories[Name],Calories[Unit]))</f>
        <v/>
      </c>
      <c r="F933" s="65" t="str">
        <f>IF(ISBLANK(Log[[#This Row],[Item]]),"",_xlfn.XLOOKUP(Log[[#This Row],[Item]],Calories[Name],Calories[Cals])*Log[[#This Row],[Qty]])</f>
        <v/>
      </c>
      <c r="G933" s="71" t="str">
        <f>IF(ISBLANK(Log[[#This Row],[Item]]),"",_xlfn.XLOOKUP(Log[[#This Row],[Item]],Calories[Name],Calories[Carbs])*Log[[#This Row],[Qty]])</f>
        <v/>
      </c>
      <c r="H933" s="71" t="str">
        <f>IF(ISBLANK(Log[[#This Row],[Item]]),"",_xlfn.XLOOKUP(Log[[#This Row],[Item]],Calories[Name],Calories[Fibre])*Log[[#This Row],[Qty]])</f>
        <v/>
      </c>
      <c r="I933" s="71" t="str">
        <f>IF(ISBLANK(Log[[#This Row],[Item]]),"",(Log[[#This Row],[Carbs]]-Log[[#This Row],[Fibre]]))</f>
        <v/>
      </c>
      <c r="J933" s="103" t="str">
        <f>IF(ISBLANK(Log[[#This Row],[Item]]),"",_xlfn.XLOOKUP(Log[[#This Row],[Item]],Calories[Name],Calories[Sodium])*Log[[#This Row],[Qty]])</f>
        <v/>
      </c>
      <c r="K933" s="71" t="str">
        <f>IF(ISBLANK(Log[[#This Row],[Item]]),"",_xlfn.XLOOKUP(Log[[#This Row],[Item]],Calories[Name],Calories[Protein])*Log[[#This Row],[Qty]])</f>
        <v/>
      </c>
      <c r="L933" s="71" t="str">
        <f>IF(ISBLANK(Log[[#This Row],[Item]]),"",_xlfn.XLOOKUP(Log[[#This Row],[Item]],Calories[Name],Calories[Chol.])*Log[[#This Row],[Qty]])</f>
        <v/>
      </c>
      <c r="M933" s="75"/>
      <c r="N933" s="75"/>
      <c r="O933" s="75"/>
    </row>
    <row r="934" spans="1:15" s="66" customFormat="1" ht="25.15" customHeight="1">
      <c r="A934" s="75"/>
      <c r="B934" s="98"/>
      <c r="C934" s="78"/>
      <c r="D934" s="79"/>
      <c r="E934" s="76" t="str">
        <f>IF(ISBLANK(Log[[#This Row],[Item]]),"",_xlfn.XLOOKUP(Log[[#This Row],[Item]],Calories[Name],Calories[Unit]))</f>
        <v/>
      </c>
      <c r="F934" s="65" t="str">
        <f>IF(ISBLANK(Log[[#This Row],[Item]]),"",_xlfn.XLOOKUP(Log[[#This Row],[Item]],Calories[Name],Calories[Cals])*Log[[#This Row],[Qty]])</f>
        <v/>
      </c>
      <c r="G934" s="71" t="str">
        <f>IF(ISBLANK(Log[[#This Row],[Item]]),"",_xlfn.XLOOKUP(Log[[#This Row],[Item]],Calories[Name],Calories[Carbs])*Log[[#This Row],[Qty]])</f>
        <v/>
      </c>
      <c r="H934" s="71" t="str">
        <f>IF(ISBLANK(Log[[#This Row],[Item]]),"",_xlfn.XLOOKUP(Log[[#This Row],[Item]],Calories[Name],Calories[Fibre])*Log[[#This Row],[Qty]])</f>
        <v/>
      </c>
      <c r="I934" s="71" t="str">
        <f>IF(ISBLANK(Log[[#This Row],[Item]]),"",(Log[[#This Row],[Carbs]]-Log[[#This Row],[Fibre]]))</f>
        <v/>
      </c>
      <c r="J934" s="103" t="str">
        <f>IF(ISBLANK(Log[[#This Row],[Item]]),"",_xlfn.XLOOKUP(Log[[#This Row],[Item]],Calories[Name],Calories[Sodium])*Log[[#This Row],[Qty]])</f>
        <v/>
      </c>
      <c r="K934" s="71" t="str">
        <f>IF(ISBLANK(Log[[#This Row],[Item]]),"",_xlfn.XLOOKUP(Log[[#This Row],[Item]],Calories[Name],Calories[Protein])*Log[[#This Row],[Qty]])</f>
        <v/>
      </c>
      <c r="L934" s="71" t="str">
        <f>IF(ISBLANK(Log[[#This Row],[Item]]),"",_xlfn.XLOOKUP(Log[[#This Row],[Item]],Calories[Name],Calories[Chol.])*Log[[#This Row],[Qty]])</f>
        <v/>
      </c>
      <c r="M934" s="75"/>
      <c r="N934" s="75"/>
      <c r="O934" s="75"/>
    </row>
    <row r="935" spans="1:15" s="66" customFormat="1" ht="25.15" customHeight="1">
      <c r="A935" s="75"/>
      <c r="B935" s="98"/>
      <c r="C935" s="78"/>
      <c r="D935" s="79"/>
      <c r="E935" s="76" t="str">
        <f>IF(ISBLANK(Log[[#This Row],[Item]]),"",_xlfn.XLOOKUP(Log[[#This Row],[Item]],Calories[Name],Calories[Unit]))</f>
        <v/>
      </c>
      <c r="F935" s="65" t="str">
        <f>IF(ISBLANK(Log[[#This Row],[Item]]),"",_xlfn.XLOOKUP(Log[[#This Row],[Item]],Calories[Name],Calories[Cals])*Log[[#This Row],[Qty]])</f>
        <v/>
      </c>
      <c r="G935" s="71" t="str">
        <f>IF(ISBLANK(Log[[#This Row],[Item]]),"",_xlfn.XLOOKUP(Log[[#This Row],[Item]],Calories[Name],Calories[Carbs])*Log[[#This Row],[Qty]])</f>
        <v/>
      </c>
      <c r="H935" s="71" t="str">
        <f>IF(ISBLANK(Log[[#This Row],[Item]]),"",_xlfn.XLOOKUP(Log[[#This Row],[Item]],Calories[Name],Calories[Fibre])*Log[[#This Row],[Qty]])</f>
        <v/>
      </c>
      <c r="I935" s="71" t="str">
        <f>IF(ISBLANK(Log[[#This Row],[Item]]),"",(Log[[#This Row],[Carbs]]-Log[[#This Row],[Fibre]]))</f>
        <v/>
      </c>
      <c r="J935" s="103" t="str">
        <f>IF(ISBLANK(Log[[#This Row],[Item]]),"",_xlfn.XLOOKUP(Log[[#This Row],[Item]],Calories[Name],Calories[Sodium])*Log[[#This Row],[Qty]])</f>
        <v/>
      </c>
      <c r="K935" s="71" t="str">
        <f>IF(ISBLANK(Log[[#This Row],[Item]]),"",_xlfn.XLOOKUP(Log[[#This Row],[Item]],Calories[Name],Calories[Protein])*Log[[#This Row],[Qty]])</f>
        <v/>
      </c>
      <c r="L935" s="71" t="str">
        <f>IF(ISBLANK(Log[[#This Row],[Item]]),"",_xlfn.XLOOKUP(Log[[#This Row],[Item]],Calories[Name],Calories[Chol.])*Log[[#This Row],[Qty]])</f>
        <v/>
      </c>
      <c r="M935" s="75"/>
      <c r="N935" s="75"/>
      <c r="O935" s="75"/>
    </row>
    <row r="936" spans="1:15" s="66" customFormat="1" ht="25.15" customHeight="1">
      <c r="A936" s="75"/>
      <c r="B936" s="98"/>
      <c r="C936" s="78"/>
      <c r="D936" s="79"/>
      <c r="E936" s="76" t="str">
        <f>IF(ISBLANK(Log[[#This Row],[Item]]),"",_xlfn.XLOOKUP(Log[[#This Row],[Item]],Calories[Name],Calories[Unit]))</f>
        <v/>
      </c>
      <c r="F936" s="65" t="str">
        <f>IF(ISBLANK(Log[[#This Row],[Item]]),"",_xlfn.XLOOKUP(Log[[#This Row],[Item]],Calories[Name],Calories[Cals])*Log[[#This Row],[Qty]])</f>
        <v/>
      </c>
      <c r="G936" s="71" t="str">
        <f>IF(ISBLANK(Log[[#This Row],[Item]]),"",_xlfn.XLOOKUP(Log[[#This Row],[Item]],Calories[Name],Calories[Carbs])*Log[[#This Row],[Qty]])</f>
        <v/>
      </c>
      <c r="H936" s="71" t="str">
        <f>IF(ISBLANK(Log[[#This Row],[Item]]),"",_xlfn.XLOOKUP(Log[[#This Row],[Item]],Calories[Name],Calories[Fibre])*Log[[#This Row],[Qty]])</f>
        <v/>
      </c>
      <c r="I936" s="71" t="str">
        <f>IF(ISBLANK(Log[[#This Row],[Item]]),"",(Log[[#This Row],[Carbs]]-Log[[#This Row],[Fibre]]))</f>
        <v/>
      </c>
      <c r="J936" s="103" t="str">
        <f>IF(ISBLANK(Log[[#This Row],[Item]]),"",_xlfn.XLOOKUP(Log[[#This Row],[Item]],Calories[Name],Calories[Sodium])*Log[[#This Row],[Qty]])</f>
        <v/>
      </c>
      <c r="K936" s="71" t="str">
        <f>IF(ISBLANK(Log[[#This Row],[Item]]),"",_xlfn.XLOOKUP(Log[[#This Row],[Item]],Calories[Name],Calories[Protein])*Log[[#This Row],[Qty]])</f>
        <v/>
      </c>
      <c r="L936" s="71" t="str">
        <f>IF(ISBLANK(Log[[#This Row],[Item]]),"",_xlfn.XLOOKUP(Log[[#This Row],[Item]],Calories[Name],Calories[Chol.])*Log[[#This Row],[Qty]])</f>
        <v/>
      </c>
      <c r="M936" s="75"/>
      <c r="N936" s="75"/>
      <c r="O936" s="75"/>
    </row>
    <row r="937" spans="1:15" s="66" customFormat="1" ht="25.15" customHeight="1">
      <c r="A937" s="75"/>
      <c r="B937" s="98"/>
      <c r="C937" s="78"/>
      <c r="D937" s="79"/>
      <c r="E937" s="76" t="str">
        <f>IF(ISBLANK(Log[[#This Row],[Item]]),"",_xlfn.XLOOKUP(Log[[#This Row],[Item]],Calories[Name],Calories[Unit]))</f>
        <v/>
      </c>
      <c r="F937" s="65" t="str">
        <f>IF(ISBLANK(Log[[#This Row],[Item]]),"",_xlfn.XLOOKUP(Log[[#This Row],[Item]],Calories[Name],Calories[Cals])*Log[[#This Row],[Qty]])</f>
        <v/>
      </c>
      <c r="G937" s="71" t="str">
        <f>IF(ISBLANK(Log[[#This Row],[Item]]),"",_xlfn.XLOOKUP(Log[[#This Row],[Item]],Calories[Name],Calories[Carbs])*Log[[#This Row],[Qty]])</f>
        <v/>
      </c>
      <c r="H937" s="71" t="str">
        <f>IF(ISBLANK(Log[[#This Row],[Item]]),"",_xlfn.XLOOKUP(Log[[#This Row],[Item]],Calories[Name],Calories[Fibre])*Log[[#This Row],[Qty]])</f>
        <v/>
      </c>
      <c r="I937" s="71" t="str">
        <f>IF(ISBLANK(Log[[#This Row],[Item]]),"",(Log[[#This Row],[Carbs]]-Log[[#This Row],[Fibre]]))</f>
        <v/>
      </c>
      <c r="J937" s="103" t="str">
        <f>IF(ISBLANK(Log[[#This Row],[Item]]),"",_xlfn.XLOOKUP(Log[[#This Row],[Item]],Calories[Name],Calories[Sodium])*Log[[#This Row],[Qty]])</f>
        <v/>
      </c>
      <c r="K937" s="71" t="str">
        <f>IF(ISBLANK(Log[[#This Row],[Item]]),"",_xlfn.XLOOKUP(Log[[#This Row],[Item]],Calories[Name],Calories[Protein])*Log[[#This Row],[Qty]])</f>
        <v/>
      </c>
      <c r="L937" s="71" t="str">
        <f>IF(ISBLANK(Log[[#This Row],[Item]]),"",_xlfn.XLOOKUP(Log[[#This Row],[Item]],Calories[Name],Calories[Chol.])*Log[[#This Row],[Qty]])</f>
        <v/>
      </c>
      <c r="M937" s="75"/>
      <c r="N937" s="75"/>
      <c r="O937" s="75"/>
    </row>
    <row r="938" spans="1:15" s="66" customFormat="1" ht="25.15" customHeight="1">
      <c r="A938" s="75"/>
      <c r="B938" s="98"/>
      <c r="C938" s="78"/>
      <c r="D938" s="79"/>
      <c r="E938" s="76" t="str">
        <f>IF(ISBLANK(Log[[#This Row],[Item]]),"",_xlfn.XLOOKUP(Log[[#This Row],[Item]],Calories[Name],Calories[Unit]))</f>
        <v/>
      </c>
      <c r="F938" s="65" t="str">
        <f>IF(ISBLANK(Log[[#This Row],[Item]]),"",_xlfn.XLOOKUP(Log[[#This Row],[Item]],Calories[Name],Calories[Cals])*Log[[#This Row],[Qty]])</f>
        <v/>
      </c>
      <c r="G938" s="71" t="str">
        <f>IF(ISBLANK(Log[[#This Row],[Item]]),"",_xlfn.XLOOKUP(Log[[#This Row],[Item]],Calories[Name],Calories[Carbs])*Log[[#This Row],[Qty]])</f>
        <v/>
      </c>
      <c r="H938" s="71" t="str">
        <f>IF(ISBLANK(Log[[#This Row],[Item]]),"",_xlfn.XLOOKUP(Log[[#This Row],[Item]],Calories[Name],Calories[Fibre])*Log[[#This Row],[Qty]])</f>
        <v/>
      </c>
      <c r="I938" s="71" t="str">
        <f>IF(ISBLANK(Log[[#This Row],[Item]]),"",(Log[[#This Row],[Carbs]]-Log[[#This Row],[Fibre]]))</f>
        <v/>
      </c>
      <c r="J938" s="103" t="str">
        <f>IF(ISBLANK(Log[[#This Row],[Item]]),"",_xlfn.XLOOKUP(Log[[#This Row],[Item]],Calories[Name],Calories[Sodium])*Log[[#This Row],[Qty]])</f>
        <v/>
      </c>
      <c r="K938" s="71" t="str">
        <f>IF(ISBLANK(Log[[#This Row],[Item]]),"",_xlfn.XLOOKUP(Log[[#This Row],[Item]],Calories[Name],Calories[Protein])*Log[[#This Row],[Qty]])</f>
        <v/>
      </c>
      <c r="L938" s="71" t="str">
        <f>IF(ISBLANK(Log[[#This Row],[Item]]),"",_xlfn.XLOOKUP(Log[[#This Row],[Item]],Calories[Name],Calories[Chol.])*Log[[#This Row],[Qty]])</f>
        <v/>
      </c>
      <c r="M938" s="75"/>
      <c r="N938" s="75"/>
      <c r="O938" s="75"/>
    </row>
    <row r="939" spans="1:15" s="66" customFormat="1" ht="25.15" customHeight="1">
      <c r="A939" s="75"/>
      <c r="B939" s="98"/>
      <c r="C939" s="78"/>
      <c r="D939" s="79"/>
      <c r="E939" s="76" t="str">
        <f>IF(ISBLANK(Log[[#This Row],[Item]]),"",_xlfn.XLOOKUP(Log[[#This Row],[Item]],Calories[Name],Calories[Unit]))</f>
        <v/>
      </c>
      <c r="F939" s="65" t="str">
        <f>IF(ISBLANK(Log[[#This Row],[Item]]),"",_xlfn.XLOOKUP(Log[[#This Row],[Item]],Calories[Name],Calories[Cals])*Log[[#This Row],[Qty]])</f>
        <v/>
      </c>
      <c r="G939" s="71" t="str">
        <f>IF(ISBLANK(Log[[#This Row],[Item]]),"",_xlfn.XLOOKUP(Log[[#This Row],[Item]],Calories[Name],Calories[Carbs])*Log[[#This Row],[Qty]])</f>
        <v/>
      </c>
      <c r="H939" s="71" t="str">
        <f>IF(ISBLANK(Log[[#This Row],[Item]]),"",_xlfn.XLOOKUP(Log[[#This Row],[Item]],Calories[Name],Calories[Fibre])*Log[[#This Row],[Qty]])</f>
        <v/>
      </c>
      <c r="I939" s="71" t="str">
        <f>IF(ISBLANK(Log[[#This Row],[Item]]),"",(Log[[#This Row],[Carbs]]-Log[[#This Row],[Fibre]]))</f>
        <v/>
      </c>
      <c r="J939" s="103" t="str">
        <f>IF(ISBLANK(Log[[#This Row],[Item]]),"",_xlfn.XLOOKUP(Log[[#This Row],[Item]],Calories[Name],Calories[Sodium])*Log[[#This Row],[Qty]])</f>
        <v/>
      </c>
      <c r="K939" s="71" t="str">
        <f>IF(ISBLANK(Log[[#This Row],[Item]]),"",_xlfn.XLOOKUP(Log[[#This Row],[Item]],Calories[Name],Calories[Protein])*Log[[#This Row],[Qty]])</f>
        <v/>
      </c>
      <c r="L939" s="71" t="str">
        <f>IF(ISBLANK(Log[[#This Row],[Item]]),"",_xlfn.XLOOKUP(Log[[#This Row],[Item]],Calories[Name],Calories[Chol.])*Log[[#This Row],[Qty]])</f>
        <v/>
      </c>
      <c r="M939" s="75"/>
      <c r="N939" s="75"/>
      <c r="O939" s="75"/>
    </row>
    <row r="940" spans="1:15" s="66" customFormat="1" ht="25.15" customHeight="1">
      <c r="A940" s="75"/>
      <c r="B940" s="98"/>
      <c r="C940" s="78"/>
      <c r="D940" s="79"/>
      <c r="E940" s="76" t="str">
        <f>IF(ISBLANK(Log[[#This Row],[Item]]),"",_xlfn.XLOOKUP(Log[[#This Row],[Item]],Calories[Name],Calories[Unit]))</f>
        <v/>
      </c>
      <c r="F940" s="65" t="str">
        <f>IF(ISBLANK(Log[[#This Row],[Item]]),"",_xlfn.XLOOKUP(Log[[#This Row],[Item]],Calories[Name],Calories[Cals])*Log[[#This Row],[Qty]])</f>
        <v/>
      </c>
      <c r="G940" s="71" t="str">
        <f>IF(ISBLANK(Log[[#This Row],[Item]]),"",_xlfn.XLOOKUP(Log[[#This Row],[Item]],Calories[Name],Calories[Carbs])*Log[[#This Row],[Qty]])</f>
        <v/>
      </c>
      <c r="H940" s="71" t="str">
        <f>IF(ISBLANK(Log[[#This Row],[Item]]),"",_xlfn.XLOOKUP(Log[[#This Row],[Item]],Calories[Name],Calories[Fibre])*Log[[#This Row],[Qty]])</f>
        <v/>
      </c>
      <c r="I940" s="71" t="str">
        <f>IF(ISBLANK(Log[[#This Row],[Item]]),"",(Log[[#This Row],[Carbs]]-Log[[#This Row],[Fibre]]))</f>
        <v/>
      </c>
      <c r="J940" s="103" t="str">
        <f>IF(ISBLANK(Log[[#This Row],[Item]]),"",_xlfn.XLOOKUP(Log[[#This Row],[Item]],Calories[Name],Calories[Sodium])*Log[[#This Row],[Qty]])</f>
        <v/>
      </c>
      <c r="K940" s="71" t="str">
        <f>IF(ISBLANK(Log[[#This Row],[Item]]),"",_xlfn.XLOOKUP(Log[[#This Row],[Item]],Calories[Name],Calories[Protein])*Log[[#This Row],[Qty]])</f>
        <v/>
      </c>
      <c r="L940" s="71" t="str">
        <f>IF(ISBLANK(Log[[#This Row],[Item]]),"",_xlfn.XLOOKUP(Log[[#This Row],[Item]],Calories[Name],Calories[Chol.])*Log[[#This Row],[Qty]])</f>
        <v/>
      </c>
      <c r="M940" s="75"/>
      <c r="N940" s="75"/>
      <c r="O940" s="75"/>
    </row>
    <row r="941" spans="1:15" s="66" customFormat="1" ht="25.15" customHeight="1">
      <c r="A941" s="75"/>
      <c r="B941" s="98"/>
      <c r="C941" s="78"/>
      <c r="D941" s="79"/>
      <c r="E941" s="76" t="str">
        <f>IF(ISBLANK(Log[[#This Row],[Item]]),"",_xlfn.XLOOKUP(Log[[#This Row],[Item]],Calories[Name],Calories[Unit]))</f>
        <v/>
      </c>
      <c r="F941" s="65" t="str">
        <f>IF(ISBLANK(Log[[#This Row],[Item]]),"",_xlfn.XLOOKUP(Log[[#This Row],[Item]],Calories[Name],Calories[Cals])*Log[[#This Row],[Qty]])</f>
        <v/>
      </c>
      <c r="G941" s="71" t="str">
        <f>IF(ISBLANK(Log[[#This Row],[Item]]),"",_xlfn.XLOOKUP(Log[[#This Row],[Item]],Calories[Name],Calories[Carbs])*Log[[#This Row],[Qty]])</f>
        <v/>
      </c>
      <c r="H941" s="71" t="str">
        <f>IF(ISBLANK(Log[[#This Row],[Item]]),"",_xlfn.XLOOKUP(Log[[#This Row],[Item]],Calories[Name],Calories[Fibre])*Log[[#This Row],[Qty]])</f>
        <v/>
      </c>
      <c r="I941" s="71" t="str">
        <f>IF(ISBLANK(Log[[#This Row],[Item]]),"",(Log[[#This Row],[Carbs]]-Log[[#This Row],[Fibre]]))</f>
        <v/>
      </c>
      <c r="J941" s="103" t="str">
        <f>IF(ISBLANK(Log[[#This Row],[Item]]),"",_xlfn.XLOOKUP(Log[[#This Row],[Item]],Calories[Name],Calories[Sodium])*Log[[#This Row],[Qty]])</f>
        <v/>
      </c>
      <c r="K941" s="71" t="str">
        <f>IF(ISBLANK(Log[[#This Row],[Item]]),"",_xlfn.XLOOKUP(Log[[#This Row],[Item]],Calories[Name],Calories[Protein])*Log[[#This Row],[Qty]])</f>
        <v/>
      </c>
      <c r="L941" s="71" t="str">
        <f>IF(ISBLANK(Log[[#This Row],[Item]]),"",_xlfn.XLOOKUP(Log[[#This Row],[Item]],Calories[Name],Calories[Chol.])*Log[[#This Row],[Qty]])</f>
        <v/>
      </c>
      <c r="M941" s="75"/>
      <c r="N941" s="75"/>
      <c r="O941" s="75"/>
    </row>
    <row r="942" spans="1:15" s="66" customFormat="1" ht="25.15" customHeight="1">
      <c r="A942" s="75"/>
      <c r="B942" s="98"/>
      <c r="C942" s="78"/>
      <c r="D942" s="79"/>
      <c r="E942" s="76" t="str">
        <f>IF(ISBLANK(Log[[#This Row],[Item]]),"",_xlfn.XLOOKUP(Log[[#This Row],[Item]],Calories[Name],Calories[Unit]))</f>
        <v/>
      </c>
      <c r="F942" s="65" t="str">
        <f>IF(ISBLANK(Log[[#This Row],[Item]]),"",_xlfn.XLOOKUP(Log[[#This Row],[Item]],Calories[Name],Calories[Cals])*Log[[#This Row],[Qty]])</f>
        <v/>
      </c>
      <c r="G942" s="71" t="str">
        <f>IF(ISBLANK(Log[[#This Row],[Item]]),"",_xlfn.XLOOKUP(Log[[#This Row],[Item]],Calories[Name],Calories[Carbs])*Log[[#This Row],[Qty]])</f>
        <v/>
      </c>
      <c r="H942" s="71" t="str">
        <f>IF(ISBLANK(Log[[#This Row],[Item]]),"",_xlfn.XLOOKUP(Log[[#This Row],[Item]],Calories[Name],Calories[Fibre])*Log[[#This Row],[Qty]])</f>
        <v/>
      </c>
      <c r="I942" s="71" t="str">
        <f>IF(ISBLANK(Log[[#This Row],[Item]]),"",(Log[[#This Row],[Carbs]]-Log[[#This Row],[Fibre]]))</f>
        <v/>
      </c>
      <c r="J942" s="103" t="str">
        <f>IF(ISBLANK(Log[[#This Row],[Item]]),"",_xlfn.XLOOKUP(Log[[#This Row],[Item]],Calories[Name],Calories[Sodium])*Log[[#This Row],[Qty]])</f>
        <v/>
      </c>
      <c r="K942" s="71" t="str">
        <f>IF(ISBLANK(Log[[#This Row],[Item]]),"",_xlfn.XLOOKUP(Log[[#This Row],[Item]],Calories[Name],Calories[Protein])*Log[[#This Row],[Qty]])</f>
        <v/>
      </c>
      <c r="L942" s="71" t="str">
        <f>IF(ISBLANK(Log[[#This Row],[Item]]),"",_xlfn.XLOOKUP(Log[[#This Row],[Item]],Calories[Name],Calories[Chol.])*Log[[#This Row],[Qty]])</f>
        <v/>
      </c>
      <c r="M942" s="75"/>
      <c r="N942" s="75"/>
      <c r="O942" s="75"/>
    </row>
    <row r="943" spans="1:15" s="66" customFormat="1" ht="25.15" customHeight="1">
      <c r="A943" s="75"/>
      <c r="B943" s="98"/>
      <c r="C943" s="78"/>
      <c r="D943" s="79"/>
      <c r="E943" s="76" t="str">
        <f>IF(ISBLANK(Log[[#This Row],[Item]]),"",_xlfn.XLOOKUP(Log[[#This Row],[Item]],Calories[Name],Calories[Unit]))</f>
        <v/>
      </c>
      <c r="F943" s="65" t="str">
        <f>IF(ISBLANK(Log[[#This Row],[Item]]),"",_xlfn.XLOOKUP(Log[[#This Row],[Item]],Calories[Name],Calories[Cals])*Log[[#This Row],[Qty]])</f>
        <v/>
      </c>
      <c r="G943" s="71" t="str">
        <f>IF(ISBLANK(Log[[#This Row],[Item]]),"",_xlfn.XLOOKUP(Log[[#This Row],[Item]],Calories[Name],Calories[Carbs])*Log[[#This Row],[Qty]])</f>
        <v/>
      </c>
      <c r="H943" s="71" t="str">
        <f>IF(ISBLANK(Log[[#This Row],[Item]]),"",_xlfn.XLOOKUP(Log[[#This Row],[Item]],Calories[Name],Calories[Fibre])*Log[[#This Row],[Qty]])</f>
        <v/>
      </c>
      <c r="I943" s="71" t="str">
        <f>IF(ISBLANK(Log[[#This Row],[Item]]),"",(Log[[#This Row],[Carbs]]-Log[[#This Row],[Fibre]]))</f>
        <v/>
      </c>
      <c r="J943" s="103" t="str">
        <f>IF(ISBLANK(Log[[#This Row],[Item]]),"",_xlfn.XLOOKUP(Log[[#This Row],[Item]],Calories[Name],Calories[Sodium])*Log[[#This Row],[Qty]])</f>
        <v/>
      </c>
      <c r="K943" s="71" t="str">
        <f>IF(ISBLANK(Log[[#This Row],[Item]]),"",_xlfn.XLOOKUP(Log[[#This Row],[Item]],Calories[Name],Calories[Protein])*Log[[#This Row],[Qty]])</f>
        <v/>
      </c>
      <c r="L943" s="71" t="str">
        <f>IF(ISBLANK(Log[[#This Row],[Item]]),"",_xlfn.XLOOKUP(Log[[#This Row],[Item]],Calories[Name],Calories[Chol.])*Log[[#This Row],[Qty]])</f>
        <v/>
      </c>
      <c r="M943" s="75"/>
      <c r="N943" s="75"/>
      <c r="O943" s="75"/>
    </row>
    <row r="944" spans="1:15" s="66" customFormat="1" ht="25.15" customHeight="1">
      <c r="A944" s="75"/>
      <c r="B944" s="98"/>
      <c r="C944" s="78"/>
      <c r="D944" s="79"/>
      <c r="E944" s="76" t="str">
        <f>IF(ISBLANK(Log[[#This Row],[Item]]),"",_xlfn.XLOOKUP(Log[[#This Row],[Item]],Calories[Name],Calories[Unit]))</f>
        <v/>
      </c>
      <c r="F944" s="65" t="str">
        <f>IF(ISBLANK(Log[[#This Row],[Item]]),"",_xlfn.XLOOKUP(Log[[#This Row],[Item]],Calories[Name],Calories[Cals])*Log[[#This Row],[Qty]])</f>
        <v/>
      </c>
      <c r="G944" s="71" t="str">
        <f>IF(ISBLANK(Log[[#This Row],[Item]]),"",_xlfn.XLOOKUP(Log[[#This Row],[Item]],Calories[Name],Calories[Carbs])*Log[[#This Row],[Qty]])</f>
        <v/>
      </c>
      <c r="H944" s="71" t="str">
        <f>IF(ISBLANK(Log[[#This Row],[Item]]),"",_xlfn.XLOOKUP(Log[[#This Row],[Item]],Calories[Name],Calories[Fibre])*Log[[#This Row],[Qty]])</f>
        <v/>
      </c>
      <c r="I944" s="71" t="str">
        <f>IF(ISBLANK(Log[[#This Row],[Item]]),"",(Log[[#This Row],[Carbs]]-Log[[#This Row],[Fibre]]))</f>
        <v/>
      </c>
      <c r="J944" s="103" t="str">
        <f>IF(ISBLANK(Log[[#This Row],[Item]]),"",_xlfn.XLOOKUP(Log[[#This Row],[Item]],Calories[Name],Calories[Sodium])*Log[[#This Row],[Qty]])</f>
        <v/>
      </c>
      <c r="K944" s="71" t="str">
        <f>IF(ISBLANK(Log[[#This Row],[Item]]),"",_xlfn.XLOOKUP(Log[[#This Row],[Item]],Calories[Name],Calories[Protein])*Log[[#This Row],[Qty]])</f>
        <v/>
      </c>
      <c r="L944" s="71" t="str">
        <f>IF(ISBLANK(Log[[#This Row],[Item]]),"",_xlfn.XLOOKUP(Log[[#This Row],[Item]],Calories[Name],Calories[Chol.])*Log[[#This Row],[Qty]])</f>
        <v/>
      </c>
      <c r="M944" s="75"/>
      <c r="N944" s="75"/>
      <c r="O944" s="75"/>
    </row>
    <row r="945" spans="1:15" s="66" customFormat="1" ht="25.15" customHeight="1">
      <c r="A945" s="75"/>
      <c r="B945" s="98"/>
      <c r="C945" s="78"/>
      <c r="D945" s="79"/>
      <c r="E945" s="76" t="str">
        <f>IF(ISBLANK(Log[[#This Row],[Item]]),"",_xlfn.XLOOKUP(Log[[#This Row],[Item]],Calories[Name],Calories[Unit]))</f>
        <v/>
      </c>
      <c r="F945" s="65" t="str">
        <f>IF(ISBLANK(Log[[#This Row],[Item]]),"",_xlfn.XLOOKUP(Log[[#This Row],[Item]],Calories[Name],Calories[Cals])*Log[[#This Row],[Qty]])</f>
        <v/>
      </c>
      <c r="G945" s="71" t="str">
        <f>IF(ISBLANK(Log[[#This Row],[Item]]),"",_xlfn.XLOOKUP(Log[[#This Row],[Item]],Calories[Name],Calories[Carbs])*Log[[#This Row],[Qty]])</f>
        <v/>
      </c>
      <c r="H945" s="71" t="str">
        <f>IF(ISBLANK(Log[[#This Row],[Item]]),"",_xlfn.XLOOKUP(Log[[#This Row],[Item]],Calories[Name],Calories[Fibre])*Log[[#This Row],[Qty]])</f>
        <v/>
      </c>
      <c r="I945" s="71" t="str">
        <f>IF(ISBLANK(Log[[#This Row],[Item]]),"",(Log[[#This Row],[Carbs]]-Log[[#This Row],[Fibre]]))</f>
        <v/>
      </c>
      <c r="J945" s="103" t="str">
        <f>IF(ISBLANK(Log[[#This Row],[Item]]),"",_xlfn.XLOOKUP(Log[[#This Row],[Item]],Calories[Name],Calories[Sodium])*Log[[#This Row],[Qty]])</f>
        <v/>
      </c>
      <c r="K945" s="71" t="str">
        <f>IF(ISBLANK(Log[[#This Row],[Item]]),"",_xlfn.XLOOKUP(Log[[#This Row],[Item]],Calories[Name],Calories[Protein])*Log[[#This Row],[Qty]])</f>
        <v/>
      </c>
      <c r="L945" s="71" t="str">
        <f>IF(ISBLANK(Log[[#This Row],[Item]]),"",_xlfn.XLOOKUP(Log[[#This Row],[Item]],Calories[Name],Calories[Chol.])*Log[[#This Row],[Qty]])</f>
        <v/>
      </c>
      <c r="M945" s="75"/>
      <c r="N945" s="75"/>
      <c r="O945" s="75"/>
    </row>
    <row r="946" spans="1:15" s="66" customFormat="1" ht="25.15" customHeight="1">
      <c r="A946" s="75"/>
      <c r="B946" s="98"/>
      <c r="C946" s="78"/>
      <c r="D946" s="79"/>
      <c r="E946" s="76" t="str">
        <f>IF(ISBLANK(Log[[#This Row],[Item]]),"",_xlfn.XLOOKUP(Log[[#This Row],[Item]],Calories[Name],Calories[Unit]))</f>
        <v/>
      </c>
      <c r="F946" s="65" t="str">
        <f>IF(ISBLANK(Log[[#This Row],[Item]]),"",_xlfn.XLOOKUP(Log[[#This Row],[Item]],Calories[Name],Calories[Cals])*Log[[#This Row],[Qty]])</f>
        <v/>
      </c>
      <c r="G946" s="71" t="str">
        <f>IF(ISBLANK(Log[[#This Row],[Item]]),"",_xlfn.XLOOKUP(Log[[#This Row],[Item]],Calories[Name],Calories[Carbs])*Log[[#This Row],[Qty]])</f>
        <v/>
      </c>
      <c r="H946" s="71" t="str">
        <f>IF(ISBLANK(Log[[#This Row],[Item]]),"",_xlfn.XLOOKUP(Log[[#This Row],[Item]],Calories[Name],Calories[Fibre])*Log[[#This Row],[Qty]])</f>
        <v/>
      </c>
      <c r="I946" s="71" t="str">
        <f>IF(ISBLANK(Log[[#This Row],[Item]]),"",(Log[[#This Row],[Carbs]]-Log[[#This Row],[Fibre]]))</f>
        <v/>
      </c>
      <c r="J946" s="103" t="str">
        <f>IF(ISBLANK(Log[[#This Row],[Item]]),"",_xlfn.XLOOKUP(Log[[#This Row],[Item]],Calories[Name],Calories[Sodium])*Log[[#This Row],[Qty]])</f>
        <v/>
      </c>
      <c r="K946" s="71" t="str">
        <f>IF(ISBLANK(Log[[#This Row],[Item]]),"",_xlfn.XLOOKUP(Log[[#This Row],[Item]],Calories[Name],Calories[Protein])*Log[[#This Row],[Qty]])</f>
        <v/>
      </c>
      <c r="L946" s="71" t="str">
        <f>IF(ISBLANK(Log[[#This Row],[Item]]),"",_xlfn.XLOOKUP(Log[[#This Row],[Item]],Calories[Name],Calories[Chol.])*Log[[#This Row],[Qty]])</f>
        <v/>
      </c>
      <c r="M946" s="75"/>
      <c r="N946" s="75"/>
      <c r="O946" s="75"/>
    </row>
    <row r="947" spans="1:15" s="66" customFormat="1" ht="25.15" customHeight="1">
      <c r="A947" s="75"/>
      <c r="B947" s="98"/>
      <c r="C947" s="78"/>
      <c r="D947" s="79"/>
      <c r="E947" s="76" t="str">
        <f>IF(ISBLANK(Log[[#This Row],[Item]]),"",_xlfn.XLOOKUP(Log[[#This Row],[Item]],Calories[Name],Calories[Unit]))</f>
        <v/>
      </c>
      <c r="F947" s="65" t="str">
        <f>IF(ISBLANK(Log[[#This Row],[Item]]),"",_xlfn.XLOOKUP(Log[[#This Row],[Item]],Calories[Name],Calories[Cals])*Log[[#This Row],[Qty]])</f>
        <v/>
      </c>
      <c r="G947" s="71" t="str">
        <f>IF(ISBLANK(Log[[#This Row],[Item]]),"",_xlfn.XLOOKUP(Log[[#This Row],[Item]],Calories[Name],Calories[Carbs])*Log[[#This Row],[Qty]])</f>
        <v/>
      </c>
      <c r="H947" s="71" t="str">
        <f>IF(ISBLANK(Log[[#This Row],[Item]]),"",_xlfn.XLOOKUP(Log[[#This Row],[Item]],Calories[Name],Calories[Fibre])*Log[[#This Row],[Qty]])</f>
        <v/>
      </c>
      <c r="I947" s="71" t="str">
        <f>IF(ISBLANK(Log[[#This Row],[Item]]),"",(Log[[#This Row],[Carbs]]-Log[[#This Row],[Fibre]]))</f>
        <v/>
      </c>
      <c r="J947" s="103" t="str">
        <f>IF(ISBLANK(Log[[#This Row],[Item]]),"",_xlfn.XLOOKUP(Log[[#This Row],[Item]],Calories[Name],Calories[Sodium])*Log[[#This Row],[Qty]])</f>
        <v/>
      </c>
      <c r="K947" s="71" t="str">
        <f>IF(ISBLANK(Log[[#This Row],[Item]]),"",_xlfn.XLOOKUP(Log[[#This Row],[Item]],Calories[Name],Calories[Protein])*Log[[#This Row],[Qty]])</f>
        <v/>
      </c>
      <c r="L947" s="71" t="str">
        <f>IF(ISBLANK(Log[[#This Row],[Item]]),"",_xlfn.XLOOKUP(Log[[#This Row],[Item]],Calories[Name],Calories[Chol.])*Log[[#This Row],[Qty]])</f>
        <v/>
      </c>
      <c r="M947" s="75"/>
      <c r="N947" s="75"/>
      <c r="O947" s="75"/>
    </row>
    <row r="948" spans="1:15" s="66" customFormat="1" ht="25.15" customHeight="1">
      <c r="A948" s="75"/>
      <c r="B948" s="98"/>
      <c r="C948" s="78"/>
      <c r="D948" s="79"/>
      <c r="E948" s="76" t="str">
        <f>IF(ISBLANK(Log[[#This Row],[Item]]),"",_xlfn.XLOOKUP(Log[[#This Row],[Item]],Calories[Name],Calories[Unit]))</f>
        <v/>
      </c>
      <c r="F948" s="65" t="str">
        <f>IF(ISBLANK(Log[[#This Row],[Item]]),"",_xlfn.XLOOKUP(Log[[#This Row],[Item]],Calories[Name],Calories[Cals])*Log[[#This Row],[Qty]])</f>
        <v/>
      </c>
      <c r="G948" s="71" t="str">
        <f>IF(ISBLANK(Log[[#This Row],[Item]]),"",_xlfn.XLOOKUP(Log[[#This Row],[Item]],Calories[Name],Calories[Carbs])*Log[[#This Row],[Qty]])</f>
        <v/>
      </c>
      <c r="H948" s="71" t="str">
        <f>IF(ISBLANK(Log[[#This Row],[Item]]),"",_xlfn.XLOOKUP(Log[[#This Row],[Item]],Calories[Name],Calories[Fibre])*Log[[#This Row],[Qty]])</f>
        <v/>
      </c>
      <c r="I948" s="71" t="str">
        <f>IF(ISBLANK(Log[[#This Row],[Item]]),"",(Log[[#This Row],[Carbs]]-Log[[#This Row],[Fibre]]))</f>
        <v/>
      </c>
      <c r="J948" s="103" t="str">
        <f>IF(ISBLANK(Log[[#This Row],[Item]]),"",_xlfn.XLOOKUP(Log[[#This Row],[Item]],Calories[Name],Calories[Sodium])*Log[[#This Row],[Qty]])</f>
        <v/>
      </c>
      <c r="K948" s="71" t="str">
        <f>IF(ISBLANK(Log[[#This Row],[Item]]),"",_xlfn.XLOOKUP(Log[[#This Row],[Item]],Calories[Name],Calories[Protein])*Log[[#This Row],[Qty]])</f>
        <v/>
      </c>
      <c r="L948" s="71" t="str">
        <f>IF(ISBLANK(Log[[#This Row],[Item]]),"",_xlfn.XLOOKUP(Log[[#This Row],[Item]],Calories[Name],Calories[Chol.])*Log[[#This Row],[Qty]])</f>
        <v/>
      </c>
      <c r="M948" s="75"/>
      <c r="N948" s="75"/>
      <c r="O948" s="75"/>
    </row>
    <row r="949" spans="1:15" s="66" customFormat="1" ht="25.15" customHeight="1">
      <c r="A949" s="75"/>
      <c r="B949" s="98"/>
      <c r="C949" s="78"/>
      <c r="D949" s="79"/>
      <c r="E949" s="76" t="str">
        <f>IF(ISBLANK(Log[[#This Row],[Item]]),"",_xlfn.XLOOKUP(Log[[#This Row],[Item]],Calories[Name],Calories[Unit]))</f>
        <v/>
      </c>
      <c r="F949" s="65" t="str">
        <f>IF(ISBLANK(Log[[#This Row],[Item]]),"",_xlfn.XLOOKUP(Log[[#This Row],[Item]],Calories[Name],Calories[Cals])*Log[[#This Row],[Qty]])</f>
        <v/>
      </c>
      <c r="G949" s="71" t="str">
        <f>IF(ISBLANK(Log[[#This Row],[Item]]),"",_xlfn.XLOOKUP(Log[[#This Row],[Item]],Calories[Name],Calories[Carbs])*Log[[#This Row],[Qty]])</f>
        <v/>
      </c>
      <c r="H949" s="71" t="str">
        <f>IF(ISBLANK(Log[[#This Row],[Item]]),"",_xlfn.XLOOKUP(Log[[#This Row],[Item]],Calories[Name],Calories[Fibre])*Log[[#This Row],[Qty]])</f>
        <v/>
      </c>
      <c r="I949" s="71" t="str">
        <f>IF(ISBLANK(Log[[#This Row],[Item]]),"",(Log[[#This Row],[Carbs]]-Log[[#This Row],[Fibre]]))</f>
        <v/>
      </c>
      <c r="J949" s="103" t="str">
        <f>IF(ISBLANK(Log[[#This Row],[Item]]),"",_xlfn.XLOOKUP(Log[[#This Row],[Item]],Calories[Name],Calories[Sodium])*Log[[#This Row],[Qty]])</f>
        <v/>
      </c>
      <c r="K949" s="71" t="str">
        <f>IF(ISBLANK(Log[[#This Row],[Item]]),"",_xlfn.XLOOKUP(Log[[#This Row],[Item]],Calories[Name],Calories[Protein])*Log[[#This Row],[Qty]])</f>
        <v/>
      </c>
      <c r="L949" s="71" t="str">
        <f>IF(ISBLANK(Log[[#This Row],[Item]]),"",_xlfn.XLOOKUP(Log[[#This Row],[Item]],Calories[Name],Calories[Chol.])*Log[[#This Row],[Qty]])</f>
        <v/>
      </c>
      <c r="M949" s="75"/>
      <c r="N949" s="75"/>
      <c r="O949" s="75"/>
    </row>
    <row r="950" spans="1:15" s="66" customFormat="1" ht="25.15" customHeight="1">
      <c r="A950" s="75"/>
      <c r="B950" s="98"/>
      <c r="C950" s="78"/>
      <c r="D950" s="79"/>
      <c r="E950" s="76" t="str">
        <f>IF(ISBLANK(Log[[#This Row],[Item]]),"",_xlfn.XLOOKUP(Log[[#This Row],[Item]],Calories[Name],Calories[Unit]))</f>
        <v/>
      </c>
      <c r="F950" s="65" t="str">
        <f>IF(ISBLANK(Log[[#This Row],[Item]]),"",_xlfn.XLOOKUP(Log[[#This Row],[Item]],Calories[Name],Calories[Cals])*Log[[#This Row],[Qty]])</f>
        <v/>
      </c>
      <c r="G950" s="71" t="str">
        <f>IF(ISBLANK(Log[[#This Row],[Item]]),"",_xlfn.XLOOKUP(Log[[#This Row],[Item]],Calories[Name],Calories[Carbs])*Log[[#This Row],[Qty]])</f>
        <v/>
      </c>
      <c r="H950" s="71" t="str">
        <f>IF(ISBLANK(Log[[#This Row],[Item]]),"",_xlfn.XLOOKUP(Log[[#This Row],[Item]],Calories[Name],Calories[Fibre])*Log[[#This Row],[Qty]])</f>
        <v/>
      </c>
      <c r="I950" s="71" t="str">
        <f>IF(ISBLANK(Log[[#This Row],[Item]]),"",(Log[[#This Row],[Carbs]]-Log[[#This Row],[Fibre]]))</f>
        <v/>
      </c>
      <c r="J950" s="103" t="str">
        <f>IF(ISBLANK(Log[[#This Row],[Item]]),"",_xlfn.XLOOKUP(Log[[#This Row],[Item]],Calories[Name],Calories[Sodium])*Log[[#This Row],[Qty]])</f>
        <v/>
      </c>
      <c r="K950" s="71" t="str">
        <f>IF(ISBLANK(Log[[#This Row],[Item]]),"",_xlfn.XLOOKUP(Log[[#This Row],[Item]],Calories[Name],Calories[Protein])*Log[[#This Row],[Qty]])</f>
        <v/>
      </c>
      <c r="L950" s="71" t="str">
        <f>IF(ISBLANK(Log[[#This Row],[Item]]),"",_xlfn.XLOOKUP(Log[[#This Row],[Item]],Calories[Name],Calories[Chol.])*Log[[#This Row],[Qty]])</f>
        <v/>
      </c>
      <c r="M950" s="75"/>
      <c r="N950" s="75"/>
      <c r="O950" s="75"/>
    </row>
    <row r="951" spans="1:15" s="66" customFormat="1" ht="25.15" customHeight="1">
      <c r="A951" s="75"/>
      <c r="B951" s="98"/>
      <c r="C951" s="78"/>
      <c r="D951" s="79"/>
      <c r="E951" s="76" t="str">
        <f>IF(ISBLANK(Log[[#This Row],[Item]]),"",_xlfn.XLOOKUP(Log[[#This Row],[Item]],Calories[Name],Calories[Unit]))</f>
        <v/>
      </c>
      <c r="F951" s="65" t="str">
        <f>IF(ISBLANK(Log[[#This Row],[Item]]),"",_xlfn.XLOOKUP(Log[[#This Row],[Item]],Calories[Name],Calories[Cals])*Log[[#This Row],[Qty]])</f>
        <v/>
      </c>
      <c r="G951" s="71" t="str">
        <f>IF(ISBLANK(Log[[#This Row],[Item]]),"",_xlfn.XLOOKUP(Log[[#This Row],[Item]],Calories[Name],Calories[Carbs])*Log[[#This Row],[Qty]])</f>
        <v/>
      </c>
      <c r="H951" s="71" t="str">
        <f>IF(ISBLANK(Log[[#This Row],[Item]]),"",_xlfn.XLOOKUP(Log[[#This Row],[Item]],Calories[Name],Calories[Fibre])*Log[[#This Row],[Qty]])</f>
        <v/>
      </c>
      <c r="I951" s="71" t="str">
        <f>IF(ISBLANK(Log[[#This Row],[Item]]),"",(Log[[#This Row],[Carbs]]-Log[[#This Row],[Fibre]]))</f>
        <v/>
      </c>
      <c r="J951" s="103" t="str">
        <f>IF(ISBLANK(Log[[#This Row],[Item]]),"",_xlfn.XLOOKUP(Log[[#This Row],[Item]],Calories[Name],Calories[Sodium])*Log[[#This Row],[Qty]])</f>
        <v/>
      </c>
      <c r="K951" s="71" t="str">
        <f>IF(ISBLANK(Log[[#This Row],[Item]]),"",_xlfn.XLOOKUP(Log[[#This Row],[Item]],Calories[Name],Calories[Protein])*Log[[#This Row],[Qty]])</f>
        <v/>
      </c>
      <c r="L951" s="71" t="str">
        <f>IF(ISBLANK(Log[[#This Row],[Item]]),"",_xlfn.XLOOKUP(Log[[#This Row],[Item]],Calories[Name],Calories[Chol.])*Log[[#This Row],[Qty]])</f>
        <v/>
      </c>
      <c r="M951" s="75"/>
      <c r="N951" s="75"/>
      <c r="O951" s="75"/>
    </row>
    <row r="952" spans="1:15" s="66" customFormat="1" ht="25.15" customHeight="1">
      <c r="A952" s="75"/>
      <c r="B952" s="98"/>
      <c r="C952" s="78"/>
      <c r="D952" s="79"/>
      <c r="E952" s="76" t="str">
        <f>IF(ISBLANK(Log[[#This Row],[Item]]),"",_xlfn.XLOOKUP(Log[[#This Row],[Item]],Calories[Name],Calories[Unit]))</f>
        <v/>
      </c>
      <c r="F952" s="65" t="str">
        <f>IF(ISBLANK(Log[[#This Row],[Item]]),"",_xlfn.XLOOKUP(Log[[#This Row],[Item]],Calories[Name],Calories[Cals])*Log[[#This Row],[Qty]])</f>
        <v/>
      </c>
      <c r="G952" s="71" t="str">
        <f>IF(ISBLANK(Log[[#This Row],[Item]]),"",_xlfn.XLOOKUP(Log[[#This Row],[Item]],Calories[Name],Calories[Carbs])*Log[[#This Row],[Qty]])</f>
        <v/>
      </c>
      <c r="H952" s="71" t="str">
        <f>IF(ISBLANK(Log[[#This Row],[Item]]),"",_xlfn.XLOOKUP(Log[[#This Row],[Item]],Calories[Name],Calories[Fibre])*Log[[#This Row],[Qty]])</f>
        <v/>
      </c>
      <c r="I952" s="71" t="str">
        <f>IF(ISBLANK(Log[[#This Row],[Item]]),"",(Log[[#This Row],[Carbs]]-Log[[#This Row],[Fibre]]))</f>
        <v/>
      </c>
      <c r="J952" s="103" t="str">
        <f>IF(ISBLANK(Log[[#This Row],[Item]]),"",_xlfn.XLOOKUP(Log[[#This Row],[Item]],Calories[Name],Calories[Sodium])*Log[[#This Row],[Qty]])</f>
        <v/>
      </c>
      <c r="K952" s="71" t="str">
        <f>IF(ISBLANK(Log[[#This Row],[Item]]),"",_xlfn.XLOOKUP(Log[[#This Row],[Item]],Calories[Name],Calories[Protein])*Log[[#This Row],[Qty]])</f>
        <v/>
      </c>
      <c r="L952" s="71" t="str">
        <f>IF(ISBLANK(Log[[#This Row],[Item]]),"",_xlfn.XLOOKUP(Log[[#This Row],[Item]],Calories[Name],Calories[Chol.])*Log[[#This Row],[Qty]])</f>
        <v/>
      </c>
      <c r="M952" s="75"/>
      <c r="N952" s="75"/>
      <c r="O952" s="75"/>
    </row>
    <row r="953" spans="1:15" s="66" customFormat="1" ht="25.15" customHeight="1">
      <c r="A953" s="75"/>
      <c r="B953" s="98"/>
      <c r="C953" s="78"/>
      <c r="D953" s="79"/>
      <c r="E953" s="76" t="str">
        <f>IF(ISBLANK(Log[[#This Row],[Item]]),"",_xlfn.XLOOKUP(Log[[#This Row],[Item]],Calories[Name],Calories[Unit]))</f>
        <v/>
      </c>
      <c r="F953" s="65" t="str">
        <f>IF(ISBLANK(Log[[#This Row],[Item]]),"",_xlfn.XLOOKUP(Log[[#This Row],[Item]],Calories[Name],Calories[Cals])*Log[[#This Row],[Qty]])</f>
        <v/>
      </c>
      <c r="G953" s="71" t="str">
        <f>IF(ISBLANK(Log[[#This Row],[Item]]),"",_xlfn.XLOOKUP(Log[[#This Row],[Item]],Calories[Name],Calories[Carbs])*Log[[#This Row],[Qty]])</f>
        <v/>
      </c>
      <c r="H953" s="71" t="str">
        <f>IF(ISBLANK(Log[[#This Row],[Item]]),"",_xlfn.XLOOKUP(Log[[#This Row],[Item]],Calories[Name],Calories[Fibre])*Log[[#This Row],[Qty]])</f>
        <v/>
      </c>
      <c r="I953" s="71" t="str">
        <f>IF(ISBLANK(Log[[#This Row],[Item]]),"",(Log[[#This Row],[Carbs]]-Log[[#This Row],[Fibre]]))</f>
        <v/>
      </c>
      <c r="J953" s="103" t="str">
        <f>IF(ISBLANK(Log[[#This Row],[Item]]),"",_xlfn.XLOOKUP(Log[[#This Row],[Item]],Calories[Name],Calories[Sodium])*Log[[#This Row],[Qty]])</f>
        <v/>
      </c>
      <c r="K953" s="71" t="str">
        <f>IF(ISBLANK(Log[[#This Row],[Item]]),"",_xlfn.XLOOKUP(Log[[#This Row],[Item]],Calories[Name],Calories[Protein])*Log[[#This Row],[Qty]])</f>
        <v/>
      </c>
      <c r="L953" s="71" t="str">
        <f>IF(ISBLANK(Log[[#This Row],[Item]]),"",_xlfn.XLOOKUP(Log[[#This Row],[Item]],Calories[Name],Calories[Chol.])*Log[[#This Row],[Qty]])</f>
        <v/>
      </c>
      <c r="M953" s="75"/>
      <c r="N953" s="75"/>
      <c r="O953" s="75"/>
    </row>
    <row r="954" spans="1:15" s="66" customFormat="1" ht="25.15" customHeight="1">
      <c r="A954" s="75"/>
      <c r="B954" s="98"/>
      <c r="C954" s="78"/>
      <c r="D954" s="79"/>
      <c r="E954" s="76" t="str">
        <f>IF(ISBLANK(Log[[#This Row],[Item]]),"",_xlfn.XLOOKUP(Log[[#This Row],[Item]],Calories[Name],Calories[Unit]))</f>
        <v/>
      </c>
      <c r="F954" s="65" t="str">
        <f>IF(ISBLANK(Log[[#This Row],[Item]]),"",_xlfn.XLOOKUP(Log[[#This Row],[Item]],Calories[Name],Calories[Cals])*Log[[#This Row],[Qty]])</f>
        <v/>
      </c>
      <c r="G954" s="71" t="str">
        <f>IF(ISBLANK(Log[[#This Row],[Item]]),"",_xlfn.XLOOKUP(Log[[#This Row],[Item]],Calories[Name],Calories[Carbs])*Log[[#This Row],[Qty]])</f>
        <v/>
      </c>
      <c r="H954" s="71" t="str">
        <f>IF(ISBLANK(Log[[#This Row],[Item]]),"",_xlfn.XLOOKUP(Log[[#This Row],[Item]],Calories[Name],Calories[Fibre])*Log[[#This Row],[Qty]])</f>
        <v/>
      </c>
      <c r="I954" s="71" t="str">
        <f>IF(ISBLANK(Log[[#This Row],[Item]]),"",(Log[[#This Row],[Carbs]]-Log[[#This Row],[Fibre]]))</f>
        <v/>
      </c>
      <c r="J954" s="103" t="str">
        <f>IF(ISBLANK(Log[[#This Row],[Item]]),"",_xlfn.XLOOKUP(Log[[#This Row],[Item]],Calories[Name],Calories[Sodium])*Log[[#This Row],[Qty]])</f>
        <v/>
      </c>
      <c r="K954" s="71" t="str">
        <f>IF(ISBLANK(Log[[#This Row],[Item]]),"",_xlfn.XLOOKUP(Log[[#This Row],[Item]],Calories[Name],Calories[Protein])*Log[[#This Row],[Qty]])</f>
        <v/>
      </c>
      <c r="L954" s="71" t="str">
        <f>IF(ISBLANK(Log[[#This Row],[Item]]),"",_xlfn.XLOOKUP(Log[[#This Row],[Item]],Calories[Name],Calories[Chol.])*Log[[#This Row],[Qty]])</f>
        <v/>
      </c>
      <c r="M954" s="75"/>
      <c r="N954" s="75"/>
      <c r="O954" s="75"/>
    </row>
    <row r="955" spans="1:15" s="66" customFormat="1" ht="25.15" customHeight="1">
      <c r="A955" s="75"/>
      <c r="B955" s="98"/>
      <c r="C955" s="78"/>
      <c r="D955" s="79"/>
      <c r="E955" s="76" t="str">
        <f>IF(ISBLANK(Log[[#This Row],[Item]]),"",_xlfn.XLOOKUP(Log[[#This Row],[Item]],Calories[Name],Calories[Unit]))</f>
        <v/>
      </c>
      <c r="F955" s="65" t="str">
        <f>IF(ISBLANK(Log[[#This Row],[Item]]),"",_xlfn.XLOOKUP(Log[[#This Row],[Item]],Calories[Name],Calories[Cals])*Log[[#This Row],[Qty]])</f>
        <v/>
      </c>
      <c r="G955" s="71" t="str">
        <f>IF(ISBLANK(Log[[#This Row],[Item]]),"",_xlfn.XLOOKUP(Log[[#This Row],[Item]],Calories[Name],Calories[Carbs])*Log[[#This Row],[Qty]])</f>
        <v/>
      </c>
      <c r="H955" s="71" t="str">
        <f>IF(ISBLANK(Log[[#This Row],[Item]]),"",_xlfn.XLOOKUP(Log[[#This Row],[Item]],Calories[Name],Calories[Fibre])*Log[[#This Row],[Qty]])</f>
        <v/>
      </c>
      <c r="I955" s="71" t="str">
        <f>IF(ISBLANK(Log[[#This Row],[Item]]),"",(Log[[#This Row],[Carbs]]-Log[[#This Row],[Fibre]]))</f>
        <v/>
      </c>
      <c r="J955" s="103" t="str">
        <f>IF(ISBLANK(Log[[#This Row],[Item]]),"",_xlfn.XLOOKUP(Log[[#This Row],[Item]],Calories[Name],Calories[Sodium])*Log[[#This Row],[Qty]])</f>
        <v/>
      </c>
      <c r="K955" s="71" t="str">
        <f>IF(ISBLANK(Log[[#This Row],[Item]]),"",_xlfn.XLOOKUP(Log[[#This Row],[Item]],Calories[Name],Calories[Protein])*Log[[#This Row],[Qty]])</f>
        <v/>
      </c>
      <c r="L955" s="71" t="str">
        <f>IF(ISBLANK(Log[[#This Row],[Item]]),"",_xlfn.XLOOKUP(Log[[#This Row],[Item]],Calories[Name],Calories[Chol.])*Log[[#This Row],[Qty]])</f>
        <v/>
      </c>
      <c r="M955" s="75"/>
      <c r="N955" s="75"/>
      <c r="O955" s="75"/>
    </row>
    <row r="956" spans="1:15" s="66" customFormat="1" ht="25.15" customHeight="1">
      <c r="A956" s="75"/>
      <c r="B956" s="98"/>
      <c r="C956" s="78"/>
      <c r="D956" s="79"/>
      <c r="E956" s="76" t="str">
        <f>IF(ISBLANK(Log[[#This Row],[Item]]),"",_xlfn.XLOOKUP(Log[[#This Row],[Item]],Calories[Name],Calories[Unit]))</f>
        <v/>
      </c>
      <c r="F956" s="65" t="str">
        <f>IF(ISBLANK(Log[[#This Row],[Item]]),"",_xlfn.XLOOKUP(Log[[#This Row],[Item]],Calories[Name],Calories[Cals])*Log[[#This Row],[Qty]])</f>
        <v/>
      </c>
      <c r="G956" s="71" t="str">
        <f>IF(ISBLANK(Log[[#This Row],[Item]]),"",_xlfn.XLOOKUP(Log[[#This Row],[Item]],Calories[Name],Calories[Carbs])*Log[[#This Row],[Qty]])</f>
        <v/>
      </c>
      <c r="H956" s="71" t="str">
        <f>IF(ISBLANK(Log[[#This Row],[Item]]),"",_xlfn.XLOOKUP(Log[[#This Row],[Item]],Calories[Name],Calories[Fibre])*Log[[#This Row],[Qty]])</f>
        <v/>
      </c>
      <c r="I956" s="71" t="str">
        <f>IF(ISBLANK(Log[[#This Row],[Item]]),"",(Log[[#This Row],[Carbs]]-Log[[#This Row],[Fibre]]))</f>
        <v/>
      </c>
      <c r="J956" s="103" t="str">
        <f>IF(ISBLANK(Log[[#This Row],[Item]]),"",_xlfn.XLOOKUP(Log[[#This Row],[Item]],Calories[Name],Calories[Sodium])*Log[[#This Row],[Qty]])</f>
        <v/>
      </c>
      <c r="K956" s="71" t="str">
        <f>IF(ISBLANK(Log[[#This Row],[Item]]),"",_xlfn.XLOOKUP(Log[[#This Row],[Item]],Calories[Name],Calories[Protein])*Log[[#This Row],[Qty]])</f>
        <v/>
      </c>
      <c r="L956" s="71" t="str">
        <f>IF(ISBLANK(Log[[#This Row],[Item]]),"",_xlfn.XLOOKUP(Log[[#This Row],[Item]],Calories[Name],Calories[Chol.])*Log[[#This Row],[Qty]])</f>
        <v/>
      </c>
      <c r="M956" s="75"/>
      <c r="N956" s="75"/>
      <c r="O956" s="75"/>
    </row>
    <row r="957" spans="1:15" s="66" customFormat="1" ht="25.15" customHeight="1">
      <c r="A957" s="75"/>
      <c r="B957" s="98"/>
      <c r="C957" s="78"/>
      <c r="D957" s="79"/>
      <c r="E957" s="76" t="str">
        <f>IF(ISBLANK(Log[[#This Row],[Item]]),"",_xlfn.XLOOKUP(Log[[#This Row],[Item]],Calories[Name],Calories[Unit]))</f>
        <v/>
      </c>
      <c r="F957" s="65" t="str">
        <f>IF(ISBLANK(Log[[#This Row],[Item]]),"",_xlfn.XLOOKUP(Log[[#This Row],[Item]],Calories[Name],Calories[Cals])*Log[[#This Row],[Qty]])</f>
        <v/>
      </c>
      <c r="G957" s="71" t="str">
        <f>IF(ISBLANK(Log[[#This Row],[Item]]),"",_xlfn.XLOOKUP(Log[[#This Row],[Item]],Calories[Name],Calories[Carbs])*Log[[#This Row],[Qty]])</f>
        <v/>
      </c>
      <c r="H957" s="71" t="str">
        <f>IF(ISBLANK(Log[[#This Row],[Item]]),"",_xlfn.XLOOKUP(Log[[#This Row],[Item]],Calories[Name],Calories[Fibre])*Log[[#This Row],[Qty]])</f>
        <v/>
      </c>
      <c r="I957" s="71" t="str">
        <f>IF(ISBLANK(Log[[#This Row],[Item]]),"",(Log[[#This Row],[Carbs]]-Log[[#This Row],[Fibre]]))</f>
        <v/>
      </c>
      <c r="J957" s="103" t="str">
        <f>IF(ISBLANK(Log[[#This Row],[Item]]),"",_xlfn.XLOOKUP(Log[[#This Row],[Item]],Calories[Name],Calories[Sodium])*Log[[#This Row],[Qty]])</f>
        <v/>
      </c>
      <c r="K957" s="71" t="str">
        <f>IF(ISBLANK(Log[[#This Row],[Item]]),"",_xlfn.XLOOKUP(Log[[#This Row],[Item]],Calories[Name],Calories[Protein])*Log[[#This Row],[Qty]])</f>
        <v/>
      </c>
      <c r="L957" s="71" t="str">
        <f>IF(ISBLANK(Log[[#This Row],[Item]]),"",_xlfn.XLOOKUP(Log[[#This Row],[Item]],Calories[Name],Calories[Chol.])*Log[[#This Row],[Qty]])</f>
        <v/>
      </c>
      <c r="M957" s="75"/>
      <c r="N957" s="75"/>
      <c r="O957" s="75"/>
    </row>
    <row r="958" spans="1:15" s="66" customFormat="1" ht="25.15" customHeight="1">
      <c r="A958" s="75"/>
      <c r="B958" s="98"/>
      <c r="C958" s="78"/>
      <c r="D958" s="79"/>
      <c r="E958" s="76" t="str">
        <f>IF(ISBLANK(Log[[#This Row],[Item]]),"",_xlfn.XLOOKUP(Log[[#This Row],[Item]],Calories[Name],Calories[Unit]))</f>
        <v/>
      </c>
      <c r="F958" s="65" t="str">
        <f>IF(ISBLANK(Log[[#This Row],[Item]]),"",_xlfn.XLOOKUP(Log[[#This Row],[Item]],Calories[Name],Calories[Cals])*Log[[#This Row],[Qty]])</f>
        <v/>
      </c>
      <c r="G958" s="71" t="str">
        <f>IF(ISBLANK(Log[[#This Row],[Item]]),"",_xlfn.XLOOKUP(Log[[#This Row],[Item]],Calories[Name],Calories[Carbs])*Log[[#This Row],[Qty]])</f>
        <v/>
      </c>
      <c r="H958" s="71" t="str">
        <f>IF(ISBLANK(Log[[#This Row],[Item]]),"",_xlfn.XLOOKUP(Log[[#This Row],[Item]],Calories[Name],Calories[Fibre])*Log[[#This Row],[Qty]])</f>
        <v/>
      </c>
      <c r="I958" s="71" t="str">
        <f>IF(ISBLANK(Log[[#This Row],[Item]]),"",(Log[[#This Row],[Carbs]]-Log[[#This Row],[Fibre]]))</f>
        <v/>
      </c>
      <c r="J958" s="103" t="str">
        <f>IF(ISBLANK(Log[[#This Row],[Item]]),"",_xlfn.XLOOKUP(Log[[#This Row],[Item]],Calories[Name],Calories[Sodium])*Log[[#This Row],[Qty]])</f>
        <v/>
      </c>
      <c r="K958" s="71" t="str">
        <f>IF(ISBLANK(Log[[#This Row],[Item]]),"",_xlfn.XLOOKUP(Log[[#This Row],[Item]],Calories[Name],Calories[Protein])*Log[[#This Row],[Qty]])</f>
        <v/>
      </c>
      <c r="L958" s="71" t="str">
        <f>IF(ISBLANK(Log[[#This Row],[Item]]),"",_xlfn.XLOOKUP(Log[[#This Row],[Item]],Calories[Name],Calories[Chol.])*Log[[#This Row],[Qty]])</f>
        <v/>
      </c>
      <c r="M958" s="75"/>
      <c r="N958" s="75"/>
      <c r="O958" s="75"/>
    </row>
    <row r="959" spans="1:15" s="66" customFormat="1" ht="25.15" customHeight="1">
      <c r="A959" s="75"/>
      <c r="B959" s="98"/>
      <c r="C959" s="78"/>
      <c r="D959" s="79"/>
      <c r="E959" s="76" t="str">
        <f>IF(ISBLANK(Log[[#This Row],[Item]]),"",_xlfn.XLOOKUP(Log[[#This Row],[Item]],Calories[Name],Calories[Unit]))</f>
        <v/>
      </c>
      <c r="F959" s="65" t="str">
        <f>IF(ISBLANK(Log[[#This Row],[Item]]),"",_xlfn.XLOOKUP(Log[[#This Row],[Item]],Calories[Name],Calories[Cals])*Log[[#This Row],[Qty]])</f>
        <v/>
      </c>
      <c r="G959" s="71" t="str">
        <f>IF(ISBLANK(Log[[#This Row],[Item]]),"",_xlfn.XLOOKUP(Log[[#This Row],[Item]],Calories[Name],Calories[Carbs])*Log[[#This Row],[Qty]])</f>
        <v/>
      </c>
      <c r="H959" s="71" t="str">
        <f>IF(ISBLANK(Log[[#This Row],[Item]]),"",_xlfn.XLOOKUP(Log[[#This Row],[Item]],Calories[Name],Calories[Fibre])*Log[[#This Row],[Qty]])</f>
        <v/>
      </c>
      <c r="I959" s="71" t="str">
        <f>IF(ISBLANK(Log[[#This Row],[Item]]),"",(Log[[#This Row],[Carbs]]-Log[[#This Row],[Fibre]]))</f>
        <v/>
      </c>
      <c r="J959" s="103" t="str">
        <f>IF(ISBLANK(Log[[#This Row],[Item]]),"",_xlfn.XLOOKUP(Log[[#This Row],[Item]],Calories[Name],Calories[Sodium])*Log[[#This Row],[Qty]])</f>
        <v/>
      </c>
      <c r="K959" s="71" t="str">
        <f>IF(ISBLANK(Log[[#This Row],[Item]]),"",_xlfn.XLOOKUP(Log[[#This Row],[Item]],Calories[Name],Calories[Protein])*Log[[#This Row],[Qty]])</f>
        <v/>
      </c>
      <c r="L959" s="71" t="str">
        <f>IF(ISBLANK(Log[[#This Row],[Item]]),"",_xlfn.XLOOKUP(Log[[#This Row],[Item]],Calories[Name],Calories[Chol.])*Log[[#This Row],[Qty]])</f>
        <v/>
      </c>
      <c r="M959" s="75"/>
      <c r="N959" s="75"/>
      <c r="O959" s="75"/>
    </row>
    <row r="960" spans="1:15" s="66" customFormat="1" ht="25.15" customHeight="1">
      <c r="A960" s="75"/>
      <c r="B960" s="98"/>
      <c r="C960" s="78"/>
      <c r="D960" s="79"/>
      <c r="E960" s="76" t="str">
        <f>IF(ISBLANK(Log[[#This Row],[Item]]),"",_xlfn.XLOOKUP(Log[[#This Row],[Item]],Calories[Name],Calories[Unit]))</f>
        <v/>
      </c>
      <c r="F960" s="65" t="str">
        <f>IF(ISBLANK(Log[[#This Row],[Item]]),"",_xlfn.XLOOKUP(Log[[#This Row],[Item]],Calories[Name],Calories[Cals])*Log[[#This Row],[Qty]])</f>
        <v/>
      </c>
      <c r="G960" s="71" t="str">
        <f>IF(ISBLANK(Log[[#This Row],[Item]]),"",_xlfn.XLOOKUP(Log[[#This Row],[Item]],Calories[Name],Calories[Carbs])*Log[[#This Row],[Qty]])</f>
        <v/>
      </c>
      <c r="H960" s="71" t="str">
        <f>IF(ISBLANK(Log[[#This Row],[Item]]),"",_xlfn.XLOOKUP(Log[[#This Row],[Item]],Calories[Name],Calories[Fibre])*Log[[#This Row],[Qty]])</f>
        <v/>
      </c>
      <c r="I960" s="71" t="str">
        <f>IF(ISBLANK(Log[[#This Row],[Item]]),"",(Log[[#This Row],[Carbs]]-Log[[#This Row],[Fibre]]))</f>
        <v/>
      </c>
      <c r="J960" s="103" t="str">
        <f>IF(ISBLANK(Log[[#This Row],[Item]]),"",_xlfn.XLOOKUP(Log[[#This Row],[Item]],Calories[Name],Calories[Sodium])*Log[[#This Row],[Qty]])</f>
        <v/>
      </c>
      <c r="K960" s="71" t="str">
        <f>IF(ISBLANK(Log[[#This Row],[Item]]),"",_xlfn.XLOOKUP(Log[[#This Row],[Item]],Calories[Name],Calories[Protein])*Log[[#This Row],[Qty]])</f>
        <v/>
      </c>
      <c r="L960" s="71" t="str">
        <f>IF(ISBLANK(Log[[#This Row],[Item]]),"",_xlfn.XLOOKUP(Log[[#This Row],[Item]],Calories[Name],Calories[Chol.])*Log[[#This Row],[Qty]])</f>
        <v/>
      </c>
      <c r="M960" s="75"/>
      <c r="N960" s="75"/>
      <c r="O960" s="75"/>
    </row>
    <row r="961" spans="1:15" s="66" customFormat="1" ht="25.15" customHeight="1">
      <c r="A961" s="75"/>
      <c r="B961" s="98"/>
      <c r="C961" s="78"/>
      <c r="D961" s="79"/>
      <c r="E961" s="76" t="str">
        <f>IF(ISBLANK(Log[[#This Row],[Item]]),"",_xlfn.XLOOKUP(Log[[#This Row],[Item]],Calories[Name],Calories[Unit]))</f>
        <v/>
      </c>
      <c r="F961" s="65" t="str">
        <f>IF(ISBLANK(Log[[#This Row],[Item]]),"",_xlfn.XLOOKUP(Log[[#This Row],[Item]],Calories[Name],Calories[Cals])*Log[[#This Row],[Qty]])</f>
        <v/>
      </c>
      <c r="G961" s="71" t="str">
        <f>IF(ISBLANK(Log[[#This Row],[Item]]),"",_xlfn.XLOOKUP(Log[[#This Row],[Item]],Calories[Name],Calories[Carbs])*Log[[#This Row],[Qty]])</f>
        <v/>
      </c>
      <c r="H961" s="71" t="str">
        <f>IF(ISBLANK(Log[[#This Row],[Item]]),"",_xlfn.XLOOKUP(Log[[#This Row],[Item]],Calories[Name],Calories[Fibre])*Log[[#This Row],[Qty]])</f>
        <v/>
      </c>
      <c r="I961" s="71" t="str">
        <f>IF(ISBLANK(Log[[#This Row],[Item]]),"",(Log[[#This Row],[Carbs]]-Log[[#This Row],[Fibre]]))</f>
        <v/>
      </c>
      <c r="J961" s="103" t="str">
        <f>IF(ISBLANK(Log[[#This Row],[Item]]),"",_xlfn.XLOOKUP(Log[[#This Row],[Item]],Calories[Name],Calories[Sodium])*Log[[#This Row],[Qty]])</f>
        <v/>
      </c>
      <c r="K961" s="71" t="str">
        <f>IF(ISBLANK(Log[[#This Row],[Item]]),"",_xlfn.XLOOKUP(Log[[#This Row],[Item]],Calories[Name],Calories[Protein])*Log[[#This Row],[Qty]])</f>
        <v/>
      </c>
      <c r="L961" s="71" t="str">
        <f>IF(ISBLANK(Log[[#This Row],[Item]]),"",_xlfn.XLOOKUP(Log[[#This Row],[Item]],Calories[Name],Calories[Chol.])*Log[[#This Row],[Qty]])</f>
        <v/>
      </c>
      <c r="M961" s="75"/>
      <c r="N961" s="75"/>
      <c r="O961" s="75"/>
    </row>
    <row r="962" spans="1:15" s="66" customFormat="1" ht="25.15" customHeight="1">
      <c r="A962" s="75"/>
      <c r="B962" s="98"/>
      <c r="C962" s="78"/>
      <c r="D962" s="79"/>
      <c r="E962" s="76" t="str">
        <f>IF(ISBLANK(Log[[#This Row],[Item]]),"",_xlfn.XLOOKUP(Log[[#This Row],[Item]],Calories[Name],Calories[Unit]))</f>
        <v/>
      </c>
      <c r="F962" s="65" t="str">
        <f>IF(ISBLANK(Log[[#This Row],[Item]]),"",_xlfn.XLOOKUP(Log[[#This Row],[Item]],Calories[Name],Calories[Cals])*Log[[#This Row],[Qty]])</f>
        <v/>
      </c>
      <c r="G962" s="71" t="str">
        <f>IF(ISBLANK(Log[[#This Row],[Item]]),"",_xlfn.XLOOKUP(Log[[#This Row],[Item]],Calories[Name],Calories[Carbs])*Log[[#This Row],[Qty]])</f>
        <v/>
      </c>
      <c r="H962" s="71" t="str">
        <f>IF(ISBLANK(Log[[#This Row],[Item]]),"",_xlfn.XLOOKUP(Log[[#This Row],[Item]],Calories[Name],Calories[Fibre])*Log[[#This Row],[Qty]])</f>
        <v/>
      </c>
      <c r="I962" s="71" t="str">
        <f>IF(ISBLANK(Log[[#This Row],[Item]]),"",(Log[[#This Row],[Carbs]]-Log[[#This Row],[Fibre]]))</f>
        <v/>
      </c>
      <c r="J962" s="103" t="str">
        <f>IF(ISBLANK(Log[[#This Row],[Item]]),"",_xlfn.XLOOKUP(Log[[#This Row],[Item]],Calories[Name],Calories[Sodium])*Log[[#This Row],[Qty]])</f>
        <v/>
      </c>
      <c r="K962" s="71" t="str">
        <f>IF(ISBLANK(Log[[#This Row],[Item]]),"",_xlfn.XLOOKUP(Log[[#This Row],[Item]],Calories[Name],Calories[Protein])*Log[[#This Row],[Qty]])</f>
        <v/>
      </c>
      <c r="L962" s="71" t="str">
        <f>IF(ISBLANK(Log[[#This Row],[Item]]),"",_xlfn.XLOOKUP(Log[[#This Row],[Item]],Calories[Name],Calories[Chol.])*Log[[#This Row],[Qty]])</f>
        <v/>
      </c>
      <c r="M962" s="75"/>
      <c r="N962" s="75"/>
      <c r="O962" s="75"/>
    </row>
    <row r="963" spans="1:15" s="66" customFormat="1" ht="25.15" customHeight="1">
      <c r="A963" s="75"/>
      <c r="B963" s="98"/>
      <c r="C963" s="78"/>
      <c r="D963" s="79"/>
      <c r="E963" s="76" t="str">
        <f>IF(ISBLANK(Log[[#This Row],[Item]]),"",_xlfn.XLOOKUP(Log[[#This Row],[Item]],Calories[Name],Calories[Unit]))</f>
        <v/>
      </c>
      <c r="F963" s="65" t="str">
        <f>IF(ISBLANK(Log[[#This Row],[Item]]),"",_xlfn.XLOOKUP(Log[[#This Row],[Item]],Calories[Name],Calories[Cals])*Log[[#This Row],[Qty]])</f>
        <v/>
      </c>
      <c r="G963" s="71" t="str">
        <f>IF(ISBLANK(Log[[#This Row],[Item]]),"",_xlfn.XLOOKUP(Log[[#This Row],[Item]],Calories[Name],Calories[Carbs])*Log[[#This Row],[Qty]])</f>
        <v/>
      </c>
      <c r="H963" s="71" t="str">
        <f>IF(ISBLANK(Log[[#This Row],[Item]]),"",_xlfn.XLOOKUP(Log[[#This Row],[Item]],Calories[Name],Calories[Fibre])*Log[[#This Row],[Qty]])</f>
        <v/>
      </c>
      <c r="I963" s="71" t="str">
        <f>IF(ISBLANK(Log[[#This Row],[Item]]),"",(Log[[#This Row],[Carbs]]-Log[[#This Row],[Fibre]]))</f>
        <v/>
      </c>
      <c r="J963" s="103" t="str">
        <f>IF(ISBLANK(Log[[#This Row],[Item]]),"",_xlfn.XLOOKUP(Log[[#This Row],[Item]],Calories[Name],Calories[Sodium])*Log[[#This Row],[Qty]])</f>
        <v/>
      </c>
      <c r="K963" s="71" t="str">
        <f>IF(ISBLANK(Log[[#This Row],[Item]]),"",_xlfn.XLOOKUP(Log[[#This Row],[Item]],Calories[Name],Calories[Protein])*Log[[#This Row],[Qty]])</f>
        <v/>
      </c>
      <c r="L963" s="71" t="str">
        <f>IF(ISBLANK(Log[[#This Row],[Item]]),"",_xlfn.XLOOKUP(Log[[#This Row],[Item]],Calories[Name],Calories[Chol.])*Log[[#This Row],[Qty]])</f>
        <v/>
      </c>
      <c r="M963" s="75"/>
      <c r="N963" s="75"/>
      <c r="O963" s="75"/>
    </row>
    <row r="964" spans="1:15" s="66" customFormat="1" ht="25.15" customHeight="1">
      <c r="A964" s="75"/>
      <c r="B964" s="98"/>
      <c r="C964" s="78"/>
      <c r="D964" s="79"/>
      <c r="E964" s="76" t="str">
        <f>IF(ISBLANK(Log[[#This Row],[Item]]),"",_xlfn.XLOOKUP(Log[[#This Row],[Item]],Calories[Name],Calories[Unit]))</f>
        <v/>
      </c>
      <c r="F964" s="65" t="str">
        <f>IF(ISBLANK(Log[[#This Row],[Item]]),"",_xlfn.XLOOKUP(Log[[#This Row],[Item]],Calories[Name],Calories[Cals])*Log[[#This Row],[Qty]])</f>
        <v/>
      </c>
      <c r="G964" s="71" t="str">
        <f>IF(ISBLANK(Log[[#This Row],[Item]]),"",_xlfn.XLOOKUP(Log[[#This Row],[Item]],Calories[Name],Calories[Carbs])*Log[[#This Row],[Qty]])</f>
        <v/>
      </c>
      <c r="H964" s="71" t="str">
        <f>IF(ISBLANK(Log[[#This Row],[Item]]),"",_xlfn.XLOOKUP(Log[[#This Row],[Item]],Calories[Name],Calories[Fibre])*Log[[#This Row],[Qty]])</f>
        <v/>
      </c>
      <c r="I964" s="71" t="str">
        <f>IF(ISBLANK(Log[[#This Row],[Item]]),"",(Log[[#This Row],[Carbs]]-Log[[#This Row],[Fibre]]))</f>
        <v/>
      </c>
      <c r="J964" s="103" t="str">
        <f>IF(ISBLANK(Log[[#This Row],[Item]]),"",_xlfn.XLOOKUP(Log[[#This Row],[Item]],Calories[Name],Calories[Sodium])*Log[[#This Row],[Qty]])</f>
        <v/>
      </c>
      <c r="K964" s="71" t="str">
        <f>IF(ISBLANK(Log[[#This Row],[Item]]),"",_xlfn.XLOOKUP(Log[[#This Row],[Item]],Calories[Name],Calories[Protein])*Log[[#This Row],[Qty]])</f>
        <v/>
      </c>
      <c r="L964" s="71" t="str">
        <f>IF(ISBLANK(Log[[#This Row],[Item]]),"",_xlfn.XLOOKUP(Log[[#This Row],[Item]],Calories[Name],Calories[Chol.])*Log[[#This Row],[Qty]])</f>
        <v/>
      </c>
      <c r="M964" s="75"/>
      <c r="N964" s="75"/>
      <c r="O964" s="75"/>
    </row>
    <row r="965" spans="1:15" s="66" customFormat="1" ht="25.15" customHeight="1">
      <c r="A965" s="75"/>
      <c r="B965" s="98"/>
      <c r="C965" s="78"/>
      <c r="D965" s="79"/>
      <c r="E965" s="76" t="str">
        <f>IF(ISBLANK(Log[[#This Row],[Item]]),"",_xlfn.XLOOKUP(Log[[#This Row],[Item]],Calories[Name],Calories[Unit]))</f>
        <v/>
      </c>
      <c r="F965" s="65" t="str">
        <f>IF(ISBLANK(Log[[#This Row],[Item]]),"",_xlfn.XLOOKUP(Log[[#This Row],[Item]],Calories[Name],Calories[Cals])*Log[[#This Row],[Qty]])</f>
        <v/>
      </c>
      <c r="G965" s="71" t="str">
        <f>IF(ISBLANK(Log[[#This Row],[Item]]),"",_xlfn.XLOOKUP(Log[[#This Row],[Item]],Calories[Name],Calories[Carbs])*Log[[#This Row],[Qty]])</f>
        <v/>
      </c>
      <c r="H965" s="71" t="str">
        <f>IF(ISBLANK(Log[[#This Row],[Item]]),"",_xlfn.XLOOKUP(Log[[#This Row],[Item]],Calories[Name],Calories[Fibre])*Log[[#This Row],[Qty]])</f>
        <v/>
      </c>
      <c r="I965" s="71" t="str">
        <f>IF(ISBLANK(Log[[#This Row],[Item]]),"",(Log[[#This Row],[Carbs]]-Log[[#This Row],[Fibre]]))</f>
        <v/>
      </c>
      <c r="J965" s="103" t="str">
        <f>IF(ISBLANK(Log[[#This Row],[Item]]),"",_xlfn.XLOOKUP(Log[[#This Row],[Item]],Calories[Name],Calories[Sodium])*Log[[#This Row],[Qty]])</f>
        <v/>
      </c>
      <c r="K965" s="71" t="str">
        <f>IF(ISBLANK(Log[[#This Row],[Item]]),"",_xlfn.XLOOKUP(Log[[#This Row],[Item]],Calories[Name],Calories[Protein])*Log[[#This Row],[Qty]])</f>
        <v/>
      </c>
      <c r="L965" s="71" t="str">
        <f>IF(ISBLANK(Log[[#This Row],[Item]]),"",_xlfn.XLOOKUP(Log[[#This Row],[Item]],Calories[Name],Calories[Chol.])*Log[[#This Row],[Qty]])</f>
        <v/>
      </c>
      <c r="M965" s="75"/>
      <c r="N965" s="75"/>
      <c r="O965" s="75"/>
    </row>
    <row r="966" spans="1:15" s="66" customFormat="1" ht="25.15" customHeight="1">
      <c r="A966" s="75"/>
      <c r="B966" s="98"/>
      <c r="C966" s="78"/>
      <c r="D966" s="79"/>
      <c r="E966" s="76" t="str">
        <f>IF(ISBLANK(Log[[#This Row],[Item]]),"",_xlfn.XLOOKUP(Log[[#This Row],[Item]],Calories[Name],Calories[Unit]))</f>
        <v/>
      </c>
      <c r="F966" s="65" t="str">
        <f>IF(ISBLANK(Log[[#This Row],[Item]]),"",_xlfn.XLOOKUP(Log[[#This Row],[Item]],Calories[Name],Calories[Cals])*Log[[#This Row],[Qty]])</f>
        <v/>
      </c>
      <c r="G966" s="71" t="str">
        <f>IF(ISBLANK(Log[[#This Row],[Item]]),"",_xlfn.XLOOKUP(Log[[#This Row],[Item]],Calories[Name],Calories[Carbs])*Log[[#This Row],[Qty]])</f>
        <v/>
      </c>
      <c r="H966" s="71" t="str">
        <f>IF(ISBLANK(Log[[#This Row],[Item]]),"",_xlfn.XLOOKUP(Log[[#This Row],[Item]],Calories[Name],Calories[Fibre])*Log[[#This Row],[Qty]])</f>
        <v/>
      </c>
      <c r="I966" s="71" t="str">
        <f>IF(ISBLANK(Log[[#This Row],[Item]]),"",(Log[[#This Row],[Carbs]]-Log[[#This Row],[Fibre]]))</f>
        <v/>
      </c>
      <c r="J966" s="103" t="str">
        <f>IF(ISBLANK(Log[[#This Row],[Item]]),"",_xlfn.XLOOKUP(Log[[#This Row],[Item]],Calories[Name],Calories[Sodium])*Log[[#This Row],[Qty]])</f>
        <v/>
      </c>
      <c r="K966" s="71" t="str">
        <f>IF(ISBLANK(Log[[#This Row],[Item]]),"",_xlfn.XLOOKUP(Log[[#This Row],[Item]],Calories[Name],Calories[Protein])*Log[[#This Row],[Qty]])</f>
        <v/>
      </c>
      <c r="L966" s="71" t="str">
        <f>IF(ISBLANK(Log[[#This Row],[Item]]),"",_xlfn.XLOOKUP(Log[[#This Row],[Item]],Calories[Name],Calories[Chol.])*Log[[#This Row],[Qty]])</f>
        <v/>
      </c>
      <c r="M966" s="75"/>
      <c r="N966" s="75"/>
      <c r="O966" s="75"/>
    </row>
    <row r="967" spans="1:15" s="66" customFormat="1" ht="25.15" customHeight="1">
      <c r="A967" s="75"/>
      <c r="B967" s="98"/>
      <c r="C967" s="78"/>
      <c r="D967" s="79"/>
      <c r="E967" s="76" t="str">
        <f>IF(ISBLANK(Log[[#This Row],[Item]]),"",_xlfn.XLOOKUP(Log[[#This Row],[Item]],Calories[Name],Calories[Unit]))</f>
        <v/>
      </c>
      <c r="F967" s="65" t="str">
        <f>IF(ISBLANK(Log[[#This Row],[Item]]),"",_xlfn.XLOOKUP(Log[[#This Row],[Item]],Calories[Name],Calories[Cals])*Log[[#This Row],[Qty]])</f>
        <v/>
      </c>
      <c r="G967" s="71" t="str">
        <f>IF(ISBLANK(Log[[#This Row],[Item]]),"",_xlfn.XLOOKUP(Log[[#This Row],[Item]],Calories[Name],Calories[Carbs])*Log[[#This Row],[Qty]])</f>
        <v/>
      </c>
      <c r="H967" s="71" t="str">
        <f>IF(ISBLANK(Log[[#This Row],[Item]]),"",_xlfn.XLOOKUP(Log[[#This Row],[Item]],Calories[Name],Calories[Fibre])*Log[[#This Row],[Qty]])</f>
        <v/>
      </c>
      <c r="I967" s="71" t="str">
        <f>IF(ISBLANK(Log[[#This Row],[Item]]),"",(Log[[#This Row],[Carbs]]-Log[[#This Row],[Fibre]]))</f>
        <v/>
      </c>
      <c r="J967" s="103" t="str">
        <f>IF(ISBLANK(Log[[#This Row],[Item]]),"",_xlfn.XLOOKUP(Log[[#This Row],[Item]],Calories[Name],Calories[Sodium])*Log[[#This Row],[Qty]])</f>
        <v/>
      </c>
      <c r="K967" s="71" t="str">
        <f>IF(ISBLANK(Log[[#This Row],[Item]]),"",_xlfn.XLOOKUP(Log[[#This Row],[Item]],Calories[Name],Calories[Protein])*Log[[#This Row],[Qty]])</f>
        <v/>
      </c>
      <c r="L967" s="71" t="str">
        <f>IF(ISBLANK(Log[[#This Row],[Item]]),"",_xlfn.XLOOKUP(Log[[#This Row],[Item]],Calories[Name],Calories[Chol.])*Log[[#This Row],[Qty]])</f>
        <v/>
      </c>
      <c r="M967" s="75"/>
      <c r="N967" s="75"/>
      <c r="O967" s="75"/>
    </row>
    <row r="968" spans="1:15" s="66" customFormat="1" ht="25.15" customHeight="1">
      <c r="A968" s="75"/>
      <c r="B968" s="98"/>
      <c r="C968" s="78"/>
      <c r="D968" s="79"/>
      <c r="E968" s="76" t="str">
        <f>IF(ISBLANK(Log[[#This Row],[Item]]),"",_xlfn.XLOOKUP(Log[[#This Row],[Item]],Calories[Name],Calories[Unit]))</f>
        <v/>
      </c>
      <c r="F968" s="65" t="str">
        <f>IF(ISBLANK(Log[[#This Row],[Item]]),"",_xlfn.XLOOKUP(Log[[#This Row],[Item]],Calories[Name],Calories[Cals])*Log[[#This Row],[Qty]])</f>
        <v/>
      </c>
      <c r="G968" s="71" t="str">
        <f>IF(ISBLANK(Log[[#This Row],[Item]]),"",_xlfn.XLOOKUP(Log[[#This Row],[Item]],Calories[Name],Calories[Carbs])*Log[[#This Row],[Qty]])</f>
        <v/>
      </c>
      <c r="H968" s="71" t="str">
        <f>IF(ISBLANK(Log[[#This Row],[Item]]),"",_xlfn.XLOOKUP(Log[[#This Row],[Item]],Calories[Name],Calories[Fibre])*Log[[#This Row],[Qty]])</f>
        <v/>
      </c>
      <c r="I968" s="71" t="str">
        <f>IF(ISBLANK(Log[[#This Row],[Item]]),"",(Log[[#This Row],[Carbs]]-Log[[#This Row],[Fibre]]))</f>
        <v/>
      </c>
      <c r="J968" s="103" t="str">
        <f>IF(ISBLANK(Log[[#This Row],[Item]]),"",_xlfn.XLOOKUP(Log[[#This Row],[Item]],Calories[Name],Calories[Sodium])*Log[[#This Row],[Qty]])</f>
        <v/>
      </c>
      <c r="K968" s="71" t="str">
        <f>IF(ISBLANK(Log[[#This Row],[Item]]),"",_xlfn.XLOOKUP(Log[[#This Row],[Item]],Calories[Name],Calories[Protein])*Log[[#This Row],[Qty]])</f>
        <v/>
      </c>
      <c r="L968" s="71" t="str">
        <f>IF(ISBLANK(Log[[#This Row],[Item]]),"",_xlfn.XLOOKUP(Log[[#This Row],[Item]],Calories[Name],Calories[Chol.])*Log[[#This Row],[Qty]])</f>
        <v/>
      </c>
      <c r="M968" s="75"/>
      <c r="N968" s="75"/>
      <c r="O968" s="75"/>
    </row>
    <row r="969" spans="1:15" s="66" customFormat="1" ht="25.15" customHeight="1">
      <c r="A969" s="75"/>
      <c r="B969" s="98"/>
      <c r="C969" s="78"/>
      <c r="D969" s="79"/>
      <c r="E969" s="76" t="str">
        <f>IF(ISBLANK(Log[[#This Row],[Item]]),"",_xlfn.XLOOKUP(Log[[#This Row],[Item]],Calories[Name],Calories[Unit]))</f>
        <v/>
      </c>
      <c r="F969" s="65" t="str">
        <f>IF(ISBLANK(Log[[#This Row],[Item]]),"",_xlfn.XLOOKUP(Log[[#This Row],[Item]],Calories[Name],Calories[Cals])*Log[[#This Row],[Qty]])</f>
        <v/>
      </c>
      <c r="G969" s="71" t="str">
        <f>IF(ISBLANK(Log[[#This Row],[Item]]),"",_xlfn.XLOOKUP(Log[[#This Row],[Item]],Calories[Name],Calories[Carbs])*Log[[#This Row],[Qty]])</f>
        <v/>
      </c>
      <c r="H969" s="71" t="str">
        <f>IF(ISBLANK(Log[[#This Row],[Item]]),"",_xlfn.XLOOKUP(Log[[#This Row],[Item]],Calories[Name],Calories[Fibre])*Log[[#This Row],[Qty]])</f>
        <v/>
      </c>
      <c r="I969" s="71" t="str">
        <f>IF(ISBLANK(Log[[#This Row],[Item]]),"",(Log[[#This Row],[Carbs]]-Log[[#This Row],[Fibre]]))</f>
        <v/>
      </c>
      <c r="J969" s="103" t="str">
        <f>IF(ISBLANK(Log[[#This Row],[Item]]),"",_xlfn.XLOOKUP(Log[[#This Row],[Item]],Calories[Name],Calories[Sodium])*Log[[#This Row],[Qty]])</f>
        <v/>
      </c>
      <c r="K969" s="71" t="str">
        <f>IF(ISBLANK(Log[[#This Row],[Item]]),"",_xlfn.XLOOKUP(Log[[#This Row],[Item]],Calories[Name],Calories[Protein])*Log[[#This Row],[Qty]])</f>
        <v/>
      </c>
      <c r="L969" s="71" t="str">
        <f>IF(ISBLANK(Log[[#This Row],[Item]]),"",_xlfn.XLOOKUP(Log[[#This Row],[Item]],Calories[Name],Calories[Chol.])*Log[[#This Row],[Qty]])</f>
        <v/>
      </c>
      <c r="M969" s="75"/>
      <c r="N969" s="75"/>
      <c r="O969" s="75"/>
    </row>
    <row r="970" spans="1:15" s="66" customFormat="1" ht="25.15" customHeight="1">
      <c r="A970" s="75"/>
      <c r="B970" s="98"/>
      <c r="C970" s="78"/>
      <c r="D970" s="79"/>
      <c r="E970" s="76" t="str">
        <f>IF(ISBLANK(Log[[#This Row],[Item]]),"",_xlfn.XLOOKUP(Log[[#This Row],[Item]],Calories[Name],Calories[Unit]))</f>
        <v/>
      </c>
      <c r="F970" s="65" t="str">
        <f>IF(ISBLANK(Log[[#This Row],[Item]]),"",_xlfn.XLOOKUP(Log[[#This Row],[Item]],Calories[Name],Calories[Cals])*Log[[#This Row],[Qty]])</f>
        <v/>
      </c>
      <c r="G970" s="71" t="str">
        <f>IF(ISBLANK(Log[[#This Row],[Item]]),"",_xlfn.XLOOKUP(Log[[#This Row],[Item]],Calories[Name],Calories[Carbs])*Log[[#This Row],[Qty]])</f>
        <v/>
      </c>
      <c r="H970" s="71" t="str">
        <f>IF(ISBLANK(Log[[#This Row],[Item]]),"",_xlfn.XLOOKUP(Log[[#This Row],[Item]],Calories[Name],Calories[Fibre])*Log[[#This Row],[Qty]])</f>
        <v/>
      </c>
      <c r="I970" s="71" t="str">
        <f>IF(ISBLANK(Log[[#This Row],[Item]]),"",(Log[[#This Row],[Carbs]]-Log[[#This Row],[Fibre]]))</f>
        <v/>
      </c>
      <c r="J970" s="103" t="str">
        <f>IF(ISBLANK(Log[[#This Row],[Item]]),"",_xlfn.XLOOKUP(Log[[#This Row],[Item]],Calories[Name],Calories[Sodium])*Log[[#This Row],[Qty]])</f>
        <v/>
      </c>
      <c r="K970" s="71" t="str">
        <f>IF(ISBLANK(Log[[#This Row],[Item]]),"",_xlfn.XLOOKUP(Log[[#This Row],[Item]],Calories[Name],Calories[Protein])*Log[[#This Row],[Qty]])</f>
        <v/>
      </c>
      <c r="L970" s="71" t="str">
        <f>IF(ISBLANK(Log[[#This Row],[Item]]),"",_xlfn.XLOOKUP(Log[[#This Row],[Item]],Calories[Name],Calories[Chol.])*Log[[#This Row],[Qty]])</f>
        <v/>
      </c>
      <c r="M970" s="75"/>
      <c r="N970" s="75"/>
      <c r="O970" s="75"/>
    </row>
    <row r="971" spans="1:15" s="66" customFormat="1" ht="25.15" customHeight="1">
      <c r="A971" s="75"/>
      <c r="B971" s="98"/>
      <c r="C971" s="78"/>
      <c r="D971" s="79"/>
      <c r="E971" s="76" t="str">
        <f>IF(ISBLANK(Log[[#This Row],[Item]]),"",_xlfn.XLOOKUP(Log[[#This Row],[Item]],Calories[Name],Calories[Unit]))</f>
        <v/>
      </c>
      <c r="F971" s="65" t="str">
        <f>IF(ISBLANK(Log[[#This Row],[Item]]),"",_xlfn.XLOOKUP(Log[[#This Row],[Item]],Calories[Name],Calories[Cals])*Log[[#This Row],[Qty]])</f>
        <v/>
      </c>
      <c r="G971" s="71" t="str">
        <f>IF(ISBLANK(Log[[#This Row],[Item]]),"",_xlfn.XLOOKUP(Log[[#This Row],[Item]],Calories[Name],Calories[Carbs])*Log[[#This Row],[Qty]])</f>
        <v/>
      </c>
      <c r="H971" s="71" t="str">
        <f>IF(ISBLANK(Log[[#This Row],[Item]]),"",_xlfn.XLOOKUP(Log[[#This Row],[Item]],Calories[Name],Calories[Fibre])*Log[[#This Row],[Qty]])</f>
        <v/>
      </c>
      <c r="I971" s="71" t="str">
        <f>IF(ISBLANK(Log[[#This Row],[Item]]),"",(Log[[#This Row],[Carbs]]-Log[[#This Row],[Fibre]]))</f>
        <v/>
      </c>
      <c r="J971" s="103" t="str">
        <f>IF(ISBLANK(Log[[#This Row],[Item]]),"",_xlfn.XLOOKUP(Log[[#This Row],[Item]],Calories[Name],Calories[Sodium])*Log[[#This Row],[Qty]])</f>
        <v/>
      </c>
      <c r="K971" s="71" t="str">
        <f>IF(ISBLANK(Log[[#This Row],[Item]]),"",_xlfn.XLOOKUP(Log[[#This Row],[Item]],Calories[Name],Calories[Protein])*Log[[#This Row],[Qty]])</f>
        <v/>
      </c>
      <c r="L971" s="71" t="str">
        <f>IF(ISBLANK(Log[[#This Row],[Item]]),"",_xlfn.XLOOKUP(Log[[#This Row],[Item]],Calories[Name],Calories[Chol.])*Log[[#This Row],[Qty]])</f>
        <v/>
      </c>
      <c r="M971" s="75"/>
      <c r="N971" s="75"/>
      <c r="O971" s="75"/>
    </row>
    <row r="972" spans="1:15" s="66" customFormat="1" ht="25.15" customHeight="1">
      <c r="A972" s="75"/>
      <c r="B972" s="98"/>
      <c r="C972" s="78"/>
      <c r="D972" s="79"/>
      <c r="E972" s="76" t="str">
        <f>IF(ISBLANK(Log[[#This Row],[Item]]),"",_xlfn.XLOOKUP(Log[[#This Row],[Item]],Calories[Name],Calories[Unit]))</f>
        <v/>
      </c>
      <c r="F972" s="65" t="str">
        <f>IF(ISBLANK(Log[[#This Row],[Item]]),"",_xlfn.XLOOKUP(Log[[#This Row],[Item]],Calories[Name],Calories[Cals])*Log[[#This Row],[Qty]])</f>
        <v/>
      </c>
      <c r="G972" s="71" t="str">
        <f>IF(ISBLANK(Log[[#This Row],[Item]]),"",_xlfn.XLOOKUP(Log[[#This Row],[Item]],Calories[Name],Calories[Carbs])*Log[[#This Row],[Qty]])</f>
        <v/>
      </c>
      <c r="H972" s="71" t="str">
        <f>IF(ISBLANK(Log[[#This Row],[Item]]),"",_xlfn.XLOOKUP(Log[[#This Row],[Item]],Calories[Name],Calories[Fibre])*Log[[#This Row],[Qty]])</f>
        <v/>
      </c>
      <c r="I972" s="71" t="str">
        <f>IF(ISBLANK(Log[[#This Row],[Item]]),"",(Log[[#This Row],[Carbs]]-Log[[#This Row],[Fibre]]))</f>
        <v/>
      </c>
      <c r="J972" s="103" t="str">
        <f>IF(ISBLANK(Log[[#This Row],[Item]]),"",_xlfn.XLOOKUP(Log[[#This Row],[Item]],Calories[Name],Calories[Sodium])*Log[[#This Row],[Qty]])</f>
        <v/>
      </c>
      <c r="K972" s="71" t="str">
        <f>IF(ISBLANK(Log[[#This Row],[Item]]),"",_xlfn.XLOOKUP(Log[[#This Row],[Item]],Calories[Name],Calories[Protein])*Log[[#This Row],[Qty]])</f>
        <v/>
      </c>
      <c r="L972" s="71" t="str">
        <f>IF(ISBLANK(Log[[#This Row],[Item]]),"",_xlfn.XLOOKUP(Log[[#This Row],[Item]],Calories[Name],Calories[Chol.])*Log[[#This Row],[Qty]])</f>
        <v/>
      </c>
      <c r="M972" s="75"/>
      <c r="N972" s="75"/>
      <c r="O972" s="75"/>
    </row>
    <row r="973" spans="1:15" s="66" customFormat="1" ht="25.15" customHeight="1">
      <c r="A973" s="75"/>
      <c r="B973" s="98"/>
      <c r="C973" s="78"/>
      <c r="D973" s="79"/>
      <c r="E973" s="76" t="str">
        <f>IF(ISBLANK(Log[[#This Row],[Item]]),"",_xlfn.XLOOKUP(Log[[#This Row],[Item]],Calories[Name],Calories[Unit]))</f>
        <v/>
      </c>
      <c r="F973" s="65" t="str">
        <f>IF(ISBLANK(Log[[#This Row],[Item]]),"",_xlfn.XLOOKUP(Log[[#This Row],[Item]],Calories[Name],Calories[Cals])*Log[[#This Row],[Qty]])</f>
        <v/>
      </c>
      <c r="G973" s="71" t="str">
        <f>IF(ISBLANK(Log[[#This Row],[Item]]),"",_xlfn.XLOOKUP(Log[[#This Row],[Item]],Calories[Name],Calories[Carbs])*Log[[#This Row],[Qty]])</f>
        <v/>
      </c>
      <c r="H973" s="71" t="str">
        <f>IF(ISBLANK(Log[[#This Row],[Item]]),"",_xlfn.XLOOKUP(Log[[#This Row],[Item]],Calories[Name],Calories[Fibre])*Log[[#This Row],[Qty]])</f>
        <v/>
      </c>
      <c r="I973" s="71" t="str">
        <f>IF(ISBLANK(Log[[#This Row],[Item]]),"",(Log[[#This Row],[Carbs]]-Log[[#This Row],[Fibre]]))</f>
        <v/>
      </c>
      <c r="J973" s="103" t="str">
        <f>IF(ISBLANK(Log[[#This Row],[Item]]),"",_xlfn.XLOOKUP(Log[[#This Row],[Item]],Calories[Name],Calories[Sodium])*Log[[#This Row],[Qty]])</f>
        <v/>
      </c>
      <c r="K973" s="71" t="str">
        <f>IF(ISBLANK(Log[[#This Row],[Item]]),"",_xlfn.XLOOKUP(Log[[#This Row],[Item]],Calories[Name],Calories[Protein])*Log[[#This Row],[Qty]])</f>
        <v/>
      </c>
      <c r="L973" s="71" t="str">
        <f>IF(ISBLANK(Log[[#This Row],[Item]]),"",_xlfn.XLOOKUP(Log[[#This Row],[Item]],Calories[Name],Calories[Chol.])*Log[[#This Row],[Qty]])</f>
        <v/>
      </c>
      <c r="M973" s="75"/>
      <c r="N973" s="75"/>
      <c r="O973" s="75"/>
    </row>
    <row r="974" spans="1:15" s="66" customFormat="1" ht="25.15" customHeight="1">
      <c r="A974" s="75"/>
      <c r="B974" s="98"/>
      <c r="C974" s="78"/>
      <c r="D974" s="79"/>
      <c r="E974" s="76" t="str">
        <f>IF(ISBLANK(Log[[#This Row],[Item]]),"",_xlfn.XLOOKUP(Log[[#This Row],[Item]],Calories[Name],Calories[Unit]))</f>
        <v/>
      </c>
      <c r="F974" s="65" t="str">
        <f>IF(ISBLANK(Log[[#This Row],[Item]]),"",_xlfn.XLOOKUP(Log[[#This Row],[Item]],Calories[Name],Calories[Cals])*Log[[#This Row],[Qty]])</f>
        <v/>
      </c>
      <c r="G974" s="71" t="str">
        <f>IF(ISBLANK(Log[[#This Row],[Item]]),"",_xlfn.XLOOKUP(Log[[#This Row],[Item]],Calories[Name],Calories[Carbs])*Log[[#This Row],[Qty]])</f>
        <v/>
      </c>
      <c r="H974" s="71" t="str">
        <f>IF(ISBLANK(Log[[#This Row],[Item]]),"",_xlfn.XLOOKUP(Log[[#This Row],[Item]],Calories[Name],Calories[Fibre])*Log[[#This Row],[Qty]])</f>
        <v/>
      </c>
      <c r="I974" s="71" t="str">
        <f>IF(ISBLANK(Log[[#This Row],[Item]]),"",(Log[[#This Row],[Carbs]]-Log[[#This Row],[Fibre]]))</f>
        <v/>
      </c>
      <c r="J974" s="103" t="str">
        <f>IF(ISBLANK(Log[[#This Row],[Item]]),"",_xlfn.XLOOKUP(Log[[#This Row],[Item]],Calories[Name],Calories[Sodium])*Log[[#This Row],[Qty]])</f>
        <v/>
      </c>
      <c r="K974" s="71" t="str">
        <f>IF(ISBLANK(Log[[#This Row],[Item]]),"",_xlfn.XLOOKUP(Log[[#This Row],[Item]],Calories[Name],Calories[Protein])*Log[[#This Row],[Qty]])</f>
        <v/>
      </c>
      <c r="L974" s="71" t="str">
        <f>IF(ISBLANK(Log[[#This Row],[Item]]),"",_xlfn.XLOOKUP(Log[[#This Row],[Item]],Calories[Name],Calories[Chol.])*Log[[#This Row],[Qty]])</f>
        <v/>
      </c>
      <c r="M974" s="75"/>
      <c r="N974" s="75"/>
      <c r="O974" s="75"/>
    </row>
    <row r="975" spans="1:15" s="66" customFormat="1" ht="25.15" customHeight="1">
      <c r="A975" s="75"/>
      <c r="B975" s="98"/>
      <c r="C975" s="78"/>
      <c r="D975" s="79"/>
      <c r="E975" s="76" t="str">
        <f>IF(ISBLANK(Log[[#This Row],[Item]]),"",_xlfn.XLOOKUP(Log[[#This Row],[Item]],Calories[Name],Calories[Unit]))</f>
        <v/>
      </c>
      <c r="F975" s="65" t="str">
        <f>IF(ISBLANK(Log[[#This Row],[Item]]),"",_xlfn.XLOOKUP(Log[[#This Row],[Item]],Calories[Name],Calories[Cals])*Log[[#This Row],[Qty]])</f>
        <v/>
      </c>
      <c r="G975" s="71" t="str">
        <f>IF(ISBLANK(Log[[#This Row],[Item]]),"",_xlfn.XLOOKUP(Log[[#This Row],[Item]],Calories[Name],Calories[Carbs])*Log[[#This Row],[Qty]])</f>
        <v/>
      </c>
      <c r="H975" s="71" t="str">
        <f>IF(ISBLANK(Log[[#This Row],[Item]]),"",_xlfn.XLOOKUP(Log[[#This Row],[Item]],Calories[Name],Calories[Fibre])*Log[[#This Row],[Qty]])</f>
        <v/>
      </c>
      <c r="I975" s="71" t="str">
        <f>IF(ISBLANK(Log[[#This Row],[Item]]),"",(Log[[#This Row],[Carbs]]-Log[[#This Row],[Fibre]]))</f>
        <v/>
      </c>
      <c r="J975" s="103" t="str">
        <f>IF(ISBLANK(Log[[#This Row],[Item]]),"",_xlfn.XLOOKUP(Log[[#This Row],[Item]],Calories[Name],Calories[Sodium])*Log[[#This Row],[Qty]])</f>
        <v/>
      </c>
      <c r="K975" s="71" t="str">
        <f>IF(ISBLANK(Log[[#This Row],[Item]]),"",_xlfn.XLOOKUP(Log[[#This Row],[Item]],Calories[Name],Calories[Protein])*Log[[#This Row],[Qty]])</f>
        <v/>
      </c>
      <c r="L975" s="71" t="str">
        <f>IF(ISBLANK(Log[[#This Row],[Item]]),"",_xlfn.XLOOKUP(Log[[#This Row],[Item]],Calories[Name],Calories[Chol.])*Log[[#This Row],[Qty]])</f>
        <v/>
      </c>
      <c r="M975" s="75"/>
      <c r="N975" s="75"/>
      <c r="O975" s="75"/>
    </row>
    <row r="976" spans="1:15" s="66" customFormat="1" ht="25.15" customHeight="1">
      <c r="A976" s="75"/>
      <c r="B976" s="98"/>
      <c r="C976" s="78"/>
      <c r="D976" s="79"/>
      <c r="E976" s="76" t="str">
        <f>IF(ISBLANK(Log[[#This Row],[Item]]),"",_xlfn.XLOOKUP(Log[[#This Row],[Item]],Calories[Name],Calories[Unit]))</f>
        <v/>
      </c>
      <c r="F976" s="65" t="str">
        <f>IF(ISBLANK(Log[[#This Row],[Item]]),"",_xlfn.XLOOKUP(Log[[#This Row],[Item]],Calories[Name],Calories[Cals])*Log[[#This Row],[Qty]])</f>
        <v/>
      </c>
      <c r="G976" s="71" t="str">
        <f>IF(ISBLANK(Log[[#This Row],[Item]]),"",_xlfn.XLOOKUP(Log[[#This Row],[Item]],Calories[Name],Calories[Carbs])*Log[[#This Row],[Qty]])</f>
        <v/>
      </c>
      <c r="H976" s="71" t="str">
        <f>IF(ISBLANK(Log[[#This Row],[Item]]),"",_xlfn.XLOOKUP(Log[[#This Row],[Item]],Calories[Name],Calories[Fibre])*Log[[#This Row],[Qty]])</f>
        <v/>
      </c>
      <c r="I976" s="71" t="str">
        <f>IF(ISBLANK(Log[[#This Row],[Item]]),"",(Log[[#This Row],[Carbs]]-Log[[#This Row],[Fibre]]))</f>
        <v/>
      </c>
      <c r="J976" s="103" t="str">
        <f>IF(ISBLANK(Log[[#This Row],[Item]]),"",_xlfn.XLOOKUP(Log[[#This Row],[Item]],Calories[Name],Calories[Sodium])*Log[[#This Row],[Qty]])</f>
        <v/>
      </c>
      <c r="K976" s="71" t="str">
        <f>IF(ISBLANK(Log[[#This Row],[Item]]),"",_xlfn.XLOOKUP(Log[[#This Row],[Item]],Calories[Name],Calories[Protein])*Log[[#This Row],[Qty]])</f>
        <v/>
      </c>
      <c r="L976" s="71" t="str">
        <f>IF(ISBLANK(Log[[#This Row],[Item]]),"",_xlfn.XLOOKUP(Log[[#This Row],[Item]],Calories[Name],Calories[Chol.])*Log[[#This Row],[Qty]])</f>
        <v/>
      </c>
      <c r="M976" s="75"/>
      <c r="N976" s="75"/>
      <c r="O976" s="75"/>
    </row>
    <row r="977" spans="1:15" s="66" customFormat="1" ht="25.15" customHeight="1">
      <c r="A977" s="75"/>
      <c r="B977" s="98"/>
      <c r="C977" s="78"/>
      <c r="D977" s="79"/>
      <c r="E977" s="76" t="str">
        <f>IF(ISBLANK(Log[[#This Row],[Item]]),"",_xlfn.XLOOKUP(Log[[#This Row],[Item]],Calories[Name],Calories[Unit]))</f>
        <v/>
      </c>
      <c r="F977" s="65" t="str">
        <f>IF(ISBLANK(Log[[#This Row],[Item]]),"",_xlfn.XLOOKUP(Log[[#This Row],[Item]],Calories[Name],Calories[Cals])*Log[[#This Row],[Qty]])</f>
        <v/>
      </c>
      <c r="G977" s="71" t="str">
        <f>IF(ISBLANK(Log[[#This Row],[Item]]),"",_xlfn.XLOOKUP(Log[[#This Row],[Item]],Calories[Name],Calories[Carbs])*Log[[#This Row],[Qty]])</f>
        <v/>
      </c>
      <c r="H977" s="71" t="str">
        <f>IF(ISBLANK(Log[[#This Row],[Item]]),"",_xlfn.XLOOKUP(Log[[#This Row],[Item]],Calories[Name],Calories[Fibre])*Log[[#This Row],[Qty]])</f>
        <v/>
      </c>
      <c r="I977" s="71" t="str">
        <f>IF(ISBLANK(Log[[#This Row],[Item]]),"",(Log[[#This Row],[Carbs]]-Log[[#This Row],[Fibre]]))</f>
        <v/>
      </c>
      <c r="J977" s="103" t="str">
        <f>IF(ISBLANK(Log[[#This Row],[Item]]),"",_xlfn.XLOOKUP(Log[[#This Row],[Item]],Calories[Name],Calories[Sodium])*Log[[#This Row],[Qty]])</f>
        <v/>
      </c>
      <c r="K977" s="71" t="str">
        <f>IF(ISBLANK(Log[[#This Row],[Item]]),"",_xlfn.XLOOKUP(Log[[#This Row],[Item]],Calories[Name],Calories[Protein])*Log[[#This Row],[Qty]])</f>
        <v/>
      </c>
      <c r="L977" s="71" t="str">
        <f>IF(ISBLANK(Log[[#This Row],[Item]]),"",_xlfn.XLOOKUP(Log[[#This Row],[Item]],Calories[Name],Calories[Chol.])*Log[[#This Row],[Qty]])</f>
        <v/>
      </c>
      <c r="M977" s="75"/>
      <c r="N977" s="75"/>
      <c r="O977" s="75"/>
    </row>
    <row r="978" spans="1:15" s="66" customFormat="1" ht="25.15" customHeight="1">
      <c r="A978" s="75"/>
      <c r="B978" s="98"/>
      <c r="C978" s="78"/>
      <c r="D978" s="79"/>
      <c r="E978" s="76" t="str">
        <f>IF(ISBLANK(Log[[#This Row],[Item]]),"",_xlfn.XLOOKUP(Log[[#This Row],[Item]],Calories[Name],Calories[Unit]))</f>
        <v/>
      </c>
      <c r="F978" s="65" t="str">
        <f>IF(ISBLANK(Log[[#This Row],[Item]]),"",_xlfn.XLOOKUP(Log[[#This Row],[Item]],Calories[Name],Calories[Cals])*Log[[#This Row],[Qty]])</f>
        <v/>
      </c>
      <c r="G978" s="71" t="str">
        <f>IF(ISBLANK(Log[[#This Row],[Item]]),"",_xlfn.XLOOKUP(Log[[#This Row],[Item]],Calories[Name],Calories[Carbs])*Log[[#This Row],[Qty]])</f>
        <v/>
      </c>
      <c r="H978" s="71" t="str">
        <f>IF(ISBLANK(Log[[#This Row],[Item]]),"",_xlfn.XLOOKUP(Log[[#This Row],[Item]],Calories[Name],Calories[Fibre])*Log[[#This Row],[Qty]])</f>
        <v/>
      </c>
      <c r="I978" s="71" t="str">
        <f>IF(ISBLANK(Log[[#This Row],[Item]]),"",(Log[[#This Row],[Carbs]]-Log[[#This Row],[Fibre]]))</f>
        <v/>
      </c>
      <c r="J978" s="103" t="str">
        <f>IF(ISBLANK(Log[[#This Row],[Item]]),"",_xlfn.XLOOKUP(Log[[#This Row],[Item]],Calories[Name],Calories[Sodium])*Log[[#This Row],[Qty]])</f>
        <v/>
      </c>
      <c r="K978" s="71" t="str">
        <f>IF(ISBLANK(Log[[#This Row],[Item]]),"",_xlfn.XLOOKUP(Log[[#This Row],[Item]],Calories[Name],Calories[Protein])*Log[[#This Row],[Qty]])</f>
        <v/>
      </c>
      <c r="L978" s="71" t="str">
        <f>IF(ISBLANK(Log[[#This Row],[Item]]),"",_xlfn.XLOOKUP(Log[[#This Row],[Item]],Calories[Name],Calories[Chol.])*Log[[#This Row],[Qty]])</f>
        <v/>
      </c>
      <c r="M978" s="75"/>
      <c r="N978" s="75"/>
      <c r="O978" s="75"/>
    </row>
    <row r="979" spans="1:15" s="66" customFormat="1" ht="25.15" customHeight="1">
      <c r="A979" s="75"/>
      <c r="B979" s="98"/>
      <c r="C979" s="78"/>
      <c r="D979" s="79"/>
      <c r="E979" s="76" t="str">
        <f>IF(ISBLANK(Log[[#This Row],[Item]]),"",_xlfn.XLOOKUP(Log[[#This Row],[Item]],Calories[Name],Calories[Unit]))</f>
        <v/>
      </c>
      <c r="F979" s="65" t="str">
        <f>IF(ISBLANK(Log[[#This Row],[Item]]),"",_xlfn.XLOOKUP(Log[[#This Row],[Item]],Calories[Name],Calories[Cals])*Log[[#This Row],[Qty]])</f>
        <v/>
      </c>
      <c r="G979" s="71" t="str">
        <f>IF(ISBLANK(Log[[#This Row],[Item]]),"",_xlfn.XLOOKUP(Log[[#This Row],[Item]],Calories[Name],Calories[Carbs])*Log[[#This Row],[Qty]])</f>
        <v/>
      </c>
      <c r="H979" s="71" t="str">
        <f>IF(ISBLANK(Log[[#This Row],[Item]]),"",_xlfn.XLOOKUP(Log[[#This Row],[Item]],Calories[Name],Calories[Fibre])*Log[[#This Row],[Qty]])</f>
        <v/>
      </c>
      <c r="I979" s="71" t="str">
        <f>IF(ISBLANK(Log[[#This Row],[Item]]),"",(Log[[#This Row],[Carbs]]-Log[[#This Row],[Fibre]]))</f>
        <v/>
      </c>
      <c r="J979" s="103" t="str">
        <f>IF(ISBLANK(Log[[#This Row],[Item]]),"",_xlfn.XLOOKUP(Log[[#This Row],[Item]],Calories[Name],Calories[Sodium])*Log[[#This Row],[Qty]])</f>
        <v/>
      </c>
      <c r="K979" s="71" t="str">
        <f>IF(ISBLANK(Log[[#This Row],[Item]]),"",_xlfn.XLOOKUP(Log[[#This Row],[Item]],Calories[Name],Calories[Protein])*Log[[#This Row],[Qty]])</f>
        <v/>
      </c>
      <c r="L979" s="71" t="str">
        <f>IF(ISBLANK(Log[[#This Row],[Item]]),"",_xlfn.XLOOKUP(Log[[#This Row],[Item]],Calories[Name],Calories[Chol.])*Log[[#This Row],[Qty]])</f>
        <v/>
      </c>
      <c r="M979" s="75"/>
      <c r="N979" s="75"/>
      <c r="O979" s="75"/>
    </row>
    <row r="980" spans="1:15" s="66" customFormat="1" ht="25.15" customHeight="1">
      <c r="A980" s="75"/>
      <c r="B980" s="98"/>
      <c r="C980" s="78"/>
      <c r="D980" s="79"/>
      <c r="E980" s="76" t="str">
        <f>IF(ISBLANK(Log[[#This Row],[Item]]),"",_xlfn.XLOOKUP(Log[[#This Row],[Item]],Calories[Name],Calories[Unit]))</f>
        <v/>
      </c>
      <c r="F980" s="65" t="str">
        <f>IF(ISBLANK(Log[[#This Row],[Item]]),"",_xlfn.XLOOKUP(Log[[#This Row],[Item]],Calories[Name],Calories[Cals])*Log[[#This Row],[Qty]])</f>
        <v/>
      </c>
      <c r="G980" s="71" t="str">
        <f>IF(ISBLANK(Log[[#This Row],[Item]]),"",_xlfn.XLOOKUP(Log[[#This Row],[Item]],Calories[Name],Calories[Carbs])*Log[[#This Row],[Qty]])</f>
        <v/>
      </c>
      <c r="H980" s="71" t="str">
        <f>IF(ISBLANK(Log[[#This Row],[Item]]),"",_xlfn.XLOOKUP(Log[[#This Row],[Item]],Calories[Name],Calories[Fibre])*Log[[#This Row],[Qty]])</f>
        <v/>
      </c>
      <c r="I980" s="71" t="str">
        <f>IF(ISBLANK(Log[[#This Row],[Item]]),"",(Log[[#This Row],[Carbs]]-Log[[#This Row],[Fibre]]))</f>
        <v/>
      </c>
      <c r="J980" s="103" t="str">
        <f>IF(ISBLANK(Log[[#This Row],[Item]]),"",_xlfn.XLOOKUP(Log[[#This Row],[Item]],Calories[Name],Calories[Sodium])*Log[[#This Row],[Qty]])</f>
        <v/>
      </c>
      <c r="K980" s="71" t="str">
        <f>IF(ISBLANK(Log[[#This Row],[Item]]),"",_xlfn.XLOOKUP(Log[[#This Row],[Item]],Calories[Name],Calories[Protein])*Log[[#This Row],[Qty]])</f>
        <v/>
      </c>
      <c r="L980" s="71" t="str">
        <f>IF(ISBLANK(Log[[#This Row],[Item]]),"",_xlfn.XLOOKUP(Log[[#This Row],[Item]],Calories[Name],Calories[Chol.])*Log[[#This Row],[Qty]])</f>
        <v/>
      </c>
      <c r="M980" s="75"/>
      <c r="N980" s="75"/>
      <c r="O980" s="75"/>
    </row>
    <row r="981" spans="1:15" s="66" customFormat="1" ht="25.15" customHeight="1">
      <c r="A981" s="75"/>
      <c r="B981" s="98"/>
      <c r="C981" s="78"/>
      <c r="D981" s="79"/>
      <c r="E981" s="76" t="str">
        <f>IF(ISBLANK(Log[[#This Row],[Item]]),"",_xlfn.XLOOKUP(Log[[#This Row],[Item]],Calories[Name],Calories[Unit]))</f>
        <v/>
      </c>
      <c r="F981" s="65" t="str">
        <f>IF(ISBLANK(Log[[#This Row],[Item]]),"",_xlfn.XLOOKUP(Log[[#This Row],[Item]],Calories[Name],Calories[Cals])*Log[[#This Row],[Qty]])</f>
        <v/>
      </c>
      <c r="G981" s="71" t="str">
        <f>IF(ISBLANK(Log[[#This Row],[Item]]),"",_xlfn.XLOOKUP(Log[[#This Row],[Item]],Calories[Name],Calories[Carbs])*Log[[#This Row],[Qty]])</f>
        <v/>
      </c>
      <c r="H981" s="71" t="str">
        <f>IF(ISBLANK(Log[[#This Row],[Item]]),"",_xlfn.XLOOKUP(Log[[#This Row],[Item]],Calories[Name],Calories[Fibre])*Log[[#This Row],[Qty]])</f>
        <v/>
      </c>
      <c r="I981" s="71" t="str">
        <f>IF(ISBLANK(Log[[#This Row],[Item]]),"",(Log[[#This Row],[Carbs]]-Log[[#This Row],[Fibre]]))</f>
        <v/>
      </c>
      <c r="J981" s="103" t="str">
        <f>IF(ISBLANK(Log[[#This Row],[Item]]),"",_xlfn.XLOOKUP(Log[[#This Row],[Item]],Calories[Name],Calories[Sodium])*Log[[#This Row],[Qty]])</f>
        <v/>
      </c>
      <c r="K981" s="71" t="str">
        <f>IF(ISBLANK(Log[[#This Row],[Item]]),"",_xlfn.XLOOKUP(Log[[#This Row],[Item]],Calories[Name],Calories[Protein])*Log[[#This Row],[Qty]])</f>
        <v/>
      </c>
      <c r="L981" s="71" t="str">
        <f>IF(ISBLANK(Log[[#This Row],[Item]]),"",_xlfn.XLOOKUP(Log[[#This Row],[Item]],Calories[Name],Calories[Chol.])*Log[[#This Row],[Qty]])</f>
        <v/>
      </c>
      <c r="M981" s="75"/>
      <c r="N981" s="75"/>
      <c r="O981" s="75"/>
    </row>
    <row r="982" spans="1:15" s="66" customFormat="1" ht="25.15" customHeight="1">
      <c r="A982" s="75"/>
      <c r="B982" s="98"/>
      <c r="C982" s="78"/>
      <c r="D982" s="79"/>
      <c r="E982" s="76" t="str">
        <f>IF(ISBLANK(Log[[#This Row],[Item]]),"",_xlfn.XLOOKUP(Log[[#This Row],[Item]],Calories[Name],Calories[Unit]))</f>
        <v/>
      </c>
      <c r="F982" s="65" t="str">
        <f>IF(ISBLANK(Log[[#This Row],[Item]]),"",_xlfn.XLOOKUP(Log[[#This Row],[Item]],Calories[Name],Calories[Cals])*Log[[#This Row],[Qty]])</f>
        <v/>
      </c>
      <c r="G982" s="71" t="str">
        <f>IF(ISBLANK(Log[[#This Row],[Item]]),"",_xlfn.XLOOKUP(Log[[#This Row],[Item]],Calories[Name],Calories[Carbs])*Log[[#This Row],[Qty]])</f>
        <v/>
      </c>
      <c r="H982" s="71" t="str">
        <f>IF(ISBLANK(Log[[#This Row],[Item]]),"",_xlfn.XLOOKUP(Log[[#This Row],[Item]],Calories[Name],Calories[Fibre])*Log[[#This Row],[Qty]])</f>
        <v/>
      </c>
      <c r="I982" s="71" t="str">
        <f>IF(ISBLANK(Log[[#This Row],[Item]]),"",(Log[[#This Row],[Carbs]]-Log[[#This Row],[Fibre]]))</f>
        <v/>
      </c>
      <c r="J982" s="103" t="str">
        <f>IF(ISBLANK(Log[[#This Row],[Item]]),"",_xlfn.XLOOKUP(Log[[#This Row],[Item]],Calories[Name],Calories[Sodium])*Log[[#This Row],[Qty]])</f>
        <v/>
      </c>
      <c r="K982" s="71" t="str">
        <f>IF(ISBLANK(Log[[#This Row],[Item]]),"",_xlfn.XLOOKUP(Log[[#This Row],[Item]],Calories[Name],Calories[Protein])*Log[[#This Row],[Qty]])</f>
        <v/>
      </c>
      <c r="L982" s="71" t="str">
        <f>IF(ISBLANK(Log[[#This Row],[Item]]),"",_xlfn.XLOOKUP(Log[[#This Row],[Item]],Calories[Name],Calories[Chol.])*Log[[#This Row],[Qty]])</f>
        <v/>
      </c>
      <c r="M982" s="75"/>
      <c r="N982" s="75"/>
      <c r="O982" s="75"/>
    </row>
    <row r="983" spans="1:15" s="66" customFormat="1" ht="25.15" customHeight="1">
      <c r="A983" s="75"/>
      <c r="B983" s="98"/>
      <c r="C983" s="78"/>
      <c r="D983" s="79"/>
      <c r="E983" s="76" t="str">
        <f>IF(ISBLANK(Log[[#This Row],[Item]]),"",_xlfn.XLOOKUP(Log[[#This Row],[Item]],Calories[Name],Calories[Unit]))</f>
        <v/>
      </c>
      <c r="F983" s="65" t="str">
        <f>IF(ISBLANK(Log[[#This Row],[Item]]),"",_xlfn.XLOOKUP(Log[[#This Row],[Item]],Calories[Name],Calories[Cals])*Log[[#This Row],[Qty]])</f>
        <v/>
      </c>
      <c r="G983" s="71" t="str">
        <f>IF(ISBLANK(Log[[#This Row],[Item]]),"",_xlfn.XLOOKUP(Log[[#This Row],[Item]],Calories[Name],Calories[Carbs])*Log[[#This Row],[Qty]])</f>
        <v/>
      </c>
      <c r="H983" s="71" t="str">
        <f>IF(ISBLANK(Log[[#This Row],[Item]]),"",_xlfn.XLOOKUP(Log[[#This Row],[Item]],Calories[Name],Calories[Fibre])*Log[[#This Row],[Qty]])</f>
        <v/>
      </c>
      <c r="I983" s="71" t="str">
        <f>IF(ISBLANK(Log[[#This Row],[Item]]),"",(Log[[#This Row],[Carbs]]-Log[[#This Row],[Fibre]]))</f>
        <v/>
      </c>
      <c r="J983" s="103" t="str">
        <f>IF(ISBLANK(Log[[#This Row],[Item]]),"",_xlfn.XLOOKUP(Log[[#This Row],[Item]],Calories[Name],Calories[Sodium])*Log[[#This Row],[Qty]])</f>
        <v/>
      </c>
      <c r="K983" s="71" t="str">
        <f>IF(ISBLANK(Log[[#This Row],[Item]]),"",_xlfn.XLOOKUP(Log[[#This Row],[Item]],Calories[Name],Calories[Protein])*Log[[#This Row],[Qty]])</f>
        <v/>
      </c>
      <c r="L983" s="71" t="str">
        <f>IF(ISBLANK(Log[[#This Row],[Item]]),"",_xlfn.XLOOKUP(Log[[#This Row],[Item]],Calories[Name],Calories[Chol.])*Log[[#This Row],[Qty]])</f>
        <v/>
      </c>
      <c r="M983" s="75"/>
      <c r="N983" s="75"/>
      <c r="O983" s="75"/>
    </row>
    <row r="984" spans="1:15" s="66" customFormat="1" ht="25.15" customHeight="1">
      <c r="A984" s="75"/>
      <c r="B984" s="98"/>
      <c r="C984" s="78"/>
      <c r="D984" s="79"/>
      <c r="E984" s="76" t="str">
        <f>IF(ISBLANK(Log[[#This Row],[Item]]),"",_xlfn.XLOOKUP(Log[[#This Row],[Item]],Calories[Name],Calories[Unit]))</f>
        <v/>
      </c>
      <c r="F984" s="65" t="str">
        <f>IF(ISBLANK(Log[[#This Row],[Item]]),"",_xlfn.XLOOKUP(Log[[#This Row],[Item]],Calories[Name],Calories[Cals])*Log[[#This Row],[Qty]])</f>
        <v/>
      </c>
      <c r="G984" s="71" t="str">
        <f>IF(ISBLANK(Log[[#This Row],[Item]]),"",_xlfn.XLOOKUP(Log[[#This Row],[Item]],Calories[Name],Calories[Carbs])*Log[[#This Row],[Qty]])</f>
        <v/>
      </c>
      <c r="H984" s="71" t="str">
        <f>IF(ISBLANK(Log[[#This Row],[Item]]),"",_xlfn.XLOOKUP(Log[[#This Row],[Item]],Calories[Name],Calories[Fibre])*Log[[#This Row],[Qty]])</f>
        <v/>
      </c>
      <c r="I984" s="71" t="str">
        <f>IF(ISBLANK(Log[[#This Row],[Item]]),"",(Log[[#This Row],[Carbs]]-Log[[#This Row],[Fibre]]))</f>
        <v/>
      </c>
      <c r="J984" s="103" t="str">
        <f>IF(ISBLANK(Log[[#This Row],[Item]]),"",_xlfn.XLOOKUP(Log[[#This Row],[Item]],Calories[Name],Calories[Sodium])*Log[[#This Row],[Qty]])</f>
        <v/>
      </c>
      <c r="K984" s="71" t="str">
        <f>IF(ISBLANK(Log[[#This Row],[Item]]),"",_xlfn.XLOOKUP(Log[[#This Row],[Item]],Calories[Name],Calories[Protein])*Log[[#This Row],[Qty]])</f>
        <v/>
      </c>
      <c r="L984" s="71" t="str">
        <f>IF(ISBLANK(Log[[#This Row],[Item]]),"",_xlfn.XLOOKUP(Log[[#This Row],[Item]],Calories[Name],Calories[Chol.])*Log[[#This Row],[Qty]])</f>
        <v/>
      </c>
      <c r="M984" s="75"/>
      <c r="N984" s="75"/>
      <c r="O984" s="75"/>
    </row>
    <row r="985" spans="1:15" s="66" customFormat="1" ht="25.15" customHeight="1">
      <c r="A985" s="75"/>
      <c r="B985" s="98"/>
      <c r="C985" s="78"/>
      <c r="D985" s="79"/>
      <c r="E985" s="76" t="str">
        <f>IF(ISBLANK(Log[[#This Row],[Item]]),"",_xlfn.XLOOKUP(Log[[#This Row],[Item]],Calories[Name],Calories[Unit]))</f>
        <v/>
      </c>
      <c r="F985" s="65" t="str">
        <f>IF(ISBLANK(Log[[#This Row],[Item]]),"",_xlfn.XLOOKUP(Log[[#This Row],[Item]],Calories[Name],Calories[Cals])*Log[[#This Row],[Qty]])</f>
        <v/>
      </c>
      <c r="G985" s="71" t="str">
        <f>IF(ISBLANK(Log[[#This Row],[Item]]),"",_xlfn.XLOOKUP(Log[[#This Row],[Item]],Calories[Name],Calories[Carbs])*Log[[#This Row],[Qty]])</f>
        <v/>
      </c>
      <c r="H985" s="71" t="str">
        <f>IF(ISBLANK(Log[[#This Row],[Item]]),"",_xlfn.XLOOKUP(Log[[#This Row],[Item]],Calories[Name],Calories[Fibre])*Log[[#This Row],[Qty]])</f>
        <v/>
      </c>
      <c r="I985" s="71" t="str">
        <f>IF(ISBLANK(Log[[#This Row],[Item]]),"",(Log[[#This Row],[Carbs]]-Log[[#This Row],[Fibre]]))</f>
        <v/>
      </c>
      <c r="J985" s="103" t="str">
        <f>IF(ISBLANK(Log[[#This Row],[Item]]),"",_xlfn.XLOOKUP(Log[[#This Row],[Item]],Calories[Name],Calories[Sodium])*Log[[#This Row],[Qty]])</f>
        <v/>
      </c>
      <c r="K985" s="71" t="str">
        <f>IF(ISBLANK(Log[[#This Row],[Item]]),"",_xlfn.XLOOKUP(Log[[#This Row],[Item]],Calories[Name],Calories[Protein])*Log[[#This Row],[Qty]])</f>
        <v/>
      </c>
      <c r="L985" s="71" t="str">
        <f>IF(ISBLANK(Log[[#This Row],[Item]]),"",_xlfn.XLOOKUP(Log[[#This Row],[Item]],Calories[Name],Calories[Chol.])*Log[[#This Row],[Qty]])</f>
        <v/>
      </c>
      <c r="M985" s="75"/>
      <c r="N985" s="75"/>
      <c r="O985" s="75"/>
    </row>
    <row r="986" spans="1:15" s="66" customFormat="1" ht="25.15" customHeight="1">
      <c r="A986" s="75"/>
      <c r="B986" s="98"/>
      <c r="C986" s="78"/>
      <c r="D986" s="79"/>
      <c r="E986" s="76" t="str">
        <f>IF(ISBLANK(Log[[#This Row],[Item]]),"",_xlfn.XLOOKUP(Log[[#This Row],[Item]],Calories[Name],Calories[Unit]))</f>
        <v/>
      </c>
      <c r="F986" s="65" t="str">
        <f>IF(ISBLANK(Log[[#This Row],[Item]]),"",_xlfn.XLOOKUP(Log[[#This Row],[Item]],Calories[Name],Calories[Cals])*Log[[#This Row],[Qty]])</f>
        <v/>
      </c>
      <c r="G986" s="71" t="str">
        <f>IF(ISBLANK(Log[[#This Row],[Item]]),"",_xlfn.XLOOKUP(Log[[#This Row],[Item]],Calories[Name],Calories[Carbs])*Log[[#This Row],[Qty]])</f>
        <v/>
      </c>
      <c r="H986" s="71" t="str">
        <f>IF(ISBLANK(Log[[#This Row],[Item]]),"",_xlfn.XLOOKUP(Log[[#This Row],[Item]],Calories[Name],Calories[Fibre])*Log[[#This Row],[Qty]])</f>
        <v/>
      </c>
      <c r="I986" s="71" t="str">
        <f>IF(ISBLANK(Log[[#This Row],[Item]]),"",(Log[[#This Row],[Carbs]]-Log[[#This Row],[Fibre]]))</f>
        <v/>
      </c>
      <c r="J986" s="103" t="str">
        <f>IF(ISBLANK(Log[[#This Row],[Item]]),"",_xlfn.XLOOKUP(Log[[#This Row],[Item]],Calories[Name],Calories[Sodium])*Log[[#This Row],[Qty]])</f>
        <v/>
      </c>
      <c r="K986" s="71" t="str">
        <f>IF(ISBLANK(Log[[#This Row],[Item]]),"",_xlfn.XLOOKUP(Log[[#This Row],[Item]],Calories[Name],Calories[Protein])*Log[[#This Row],[Qty]])</f>
        <v/>
      </c>
      <c r="L986" s="71" t="str">
        <f>IF(ISBLANK(Log[[#This Row],[Item]]),"",_xlfn.XLOOKUP(Log[[#This Row],[Item]],Calories[Name],Calories[Chol.])*Log[[#This Row],[Qty]])</f>
        <v/>
      </c>
      <c r="M986" s="75"/>
      <c r="N986" s="75"/>
      <c r="O986" s="75"/>
    </row>
    <row r="987" spans="1:15" s="66" customFormat="1" ht="25.15" customHeight="1">
      <c r="A987" s="75"/>
      <c r="B987" s="98"/>
      <c r="C987" s="78"/>
      <c r="D987" s="79"/>
      <c r="E987" s="76" t="str">
        <f>IF(ISBLANK(Log[[#This Row],[Item]]),"",_xlfn.XLOOKUP(Log[[#This Row],[Item]],Calories[Name],Calories[Unit]))</f>
        <v/>
      </c>
      <c r="F987" s="65" t="str">
        <f>IF(ISBLANK(Log[[#This Row],[Item]]),"",_xlfn.XLOOKUP(Log[[#This Row],[Item]],Calories[Name],Calories[Cals])*Log[[#This Row],[Qty]])</f>
        <v/>
      </c>
      <c r="G987" s="71" t="str">
        <f>IF(ISBLANK(Log[[#This Row],[Item]]),"",_xlfn.XLOOKUP(Log[[#This Row],[Item]],Calories[Name],Calories[Carbs])*Log[[#This Row],[Qty]])</f>
        <v/>
      </c>
      <c r="H987" s="71" t="str">
        <f>IF(ISBLANK(Log[[#This Row],[Item]]),"",_xlfn.XLOOKUP(Log[[#This Row],[Item]],Calories[Name],Calories[Fibre])*Log[[#This Row],[Qty]])</f>
        <v/>
      </c>
      <c r="I987" s="71" t="str">
        <f>IF(ISBLANK(Log[[#This Row],[Item]]),"",(Log[[#This Row],[Carbs]]-Log[[#This Row],[Fibre]]))</f>
        <v/>
      </c>
      <c r="J987" s="103" t="str">
        <f>IF(ISBLANK(Log[[#This Row],[Item]]),"",_xlfn.XLOOKUP(Log[[#This Row],[Item]],Calories[Name],Calories[Sodium])*Log[[#This Row],[Qty]])</f>
        <v/>
      </c>
      <c r="K987" s="71" t="str">
        <f>IF(ISBLANK(Log[[#This Row],[Item]]),"",_xlfn.XLOOKUP(Log[[#This Row],[Item]],Calories[Name],Calories[Protein])*Log[[#This Row],[Qty]])</f>
        <v/>
      </c>
      <c r="L987" s="71" t="str">
        <f>IF(ISBLANK(Log[[#This Row],[Item]]),"",_xlfn.XLOOKUP(Log[[#This Row],[Item]],Calories[Name],Calories[Chol.])*Log[[#This Row],[Qty]])</f>
        <v/>
      </c>
      <c r="M987" s="75"/>
      <c r="N987" s="75"/>
      <c r="O987" s="75"/>
    </row>
    <row r="988" spans="1:15" s="66" customFormat="1" ht="25.15" customHeight="1">
      <c r="A988" s="75"/>
      <c r="B988" s="98"/>
      <c r="C988" s="78"/>
      <c r="D988" s="79"/>
      <c r="E988" s="76" t="str">
        <f>IF(ISBLANK(Log[[#This Row],[Item]]),"",_xlfn.XLOOKUP(Log[[#This Row],[Item]],Calories[Name],Calories[Unit]))</f>
        <v/>
      </c>
      <c r="F988" s="65" t="str">
        <f>IF(ISBLANK(Log[[#This Row],[Item]]),"",_xlfn.XLOOKUP(Log[[#This Row],[Item]],Calories[Name],Calories[Cals])*Log[[#This Row],[Qty]])</f>
        <v/>
      </c>
      <c r="G988" s="71" t="str">
        <f>IF(ISBLANK(Log[[#This Row],[Item]]),"",_xlfn.XLOOKUP(Log[[#This Row],[Item]],Calories[Name],Calories[Carbs])*Log[[#This Row],[Qty]])</f>
        <v/>
      </c>
      <c r="H988" s="71" t="str">
        <f>IF(ISBLANK(Log[[#This Row],[Item]]),"",_xlfn.XLOOKUP(Log[[#This Row],[Item]],Calories[Name],Calories[Fibre])*Log[[#This Row],[Qty]])</f>
        <v/>
      </c>
      <c r="I988" s="71" t="str">
        <f>IF(ISBLANK(Log[[#This Row],[Item]]),"",(Log[[#This Row],[Carbs]]-Log[[#This Row],[Fibre]]))</f>
        <v/>
      </c>
      <c r="J988" s="103" t="str">
        <f>IF(ISBLANK(Log[[#This Row],[Item]]),"",_xlfn.XLOOKUP(Log[[#This Row],[Item]],Calories[Name],Calories[Sodium])*Log[[#This Row],[Qty]])</f>
        <v/>
      </c>
      <c r="K988" s="71" t="str">
        <f>IF(ISBLANK(Log[[#This Row],[Item]]),"",_xlfn.XLOOKUP(Log[[#This Row],[Item]],Calories[Name],Calories[Protein])*Log[[#This Row],[Qty]])</f>
        <v/>
      </c>
      <c r="L988" s="71" t="str">
        <f>IF(ISBLANK(Log[[#This Row],[Item]]),"",_xlfn.XLOOKUP(Log[[#This Row],[Item]],Calories[Name],Calories[Chol.])*Log[[#This Row],[Qty]])</f>
        <v/>
      </c>
      <c r="M988" s="75"/>
      <c r="N988" s="75"/>
      <c r="O988" s="75"/>
    </row>
    <row r="989" spans="1:15" s="66" customFormat="1" ht="25.15" customHeight="1">
      <c r="A989" s="75"/>
      <c r="B989" s="98"/>
      <c r="C989" s="78"/>
      <c r="D989" s="79"/>
      <c r="E989" s="76" t="str">
        <f>IF(ISBLANK(Log[[#This Row],[Item]]),"",_xlfn.XLOOKUP(Log[[#This Row],[Item]],Calories[Name],Calories[Unit]))</f>
        <v/>
      </c>
      <c r="F989" s="65" t="str">
        <f>IF(ISBLANK(Log[[#This Row],[Item]]),"",_xlfn.XLOOKUP(Log[[#This Row],[Item]],Calories[Name],Calories[Cals])*Log[[#This Row],[Qty]])</f>
        <v/>
      </c>
      <c r="G989" s="71" t="str">
        <f>IF(ISBLANK(Log[[#This Row],[Item]]),"",_xlfn.XLOOKUP(Log[[#This Row],[Item]],Calories[Name],Calories[Carbs])*Log[[#This Row],[Qty]])</f>
        <v/>
      </c>
      <c r="H989" s="71" t="str">
        <f>IF(ISBLANK(Log[[#This Row],[Item]]),"",_xlfn.XLOOKUP(Log[[#This Row],[Item]],Calories[Name],Calories[Fibre])*Log[[#This Row],[Qty]])</f>
        <v/>
      </c>
      <c r="I989" s="71" t="str">
        <f>IF(ISBLANK(Log[[#This Row],[Item]]),"",(Log[[#This Row],[Carbs]]-Log[[#This Row],[Fibre]]))</f>
        <v/>
      </c>
      <c r="J989" s="103" t="str">
        <f>IF(ISBLANK(Log[[#This Row],[Item]]),"",_xlfn.XLOOKUP(Log[[#This Row],[Item]],Calories[Name],Calories[Sodium])*Log[[#This Row],[Qty]])</f>
        <v/>
      </c>
      <c r="K989" s="71" t="str">
        <f>IF(ISBLANK(Log[[#This Row],[Item]]),"",_xlfn.XLOOKUP(Log[[#This Row],[Item]],Calories[Name],Calories[Protein])*Log[[#This Row],[Qty]])</f>
        <v/>
      </c>
      <c r="L989" s="71" t="str">
        <f>IF(ISBLANK(Log[[#This Row],[Item]]),"",_xlfn.XLOOKUP(Log[[#This Row],[Item]],Calories[Name],Calories[Chol.])*Log[[#This Row],[Qty]])</f>
        <v/>
      </c>
      <c r="M989" s="75"/>
      <c r="N989" s="75"/>
      <c r="O989" s="75"/>
    </row>
    <row r="990" spans="1:15" s="66" customFormat="1" ht="25.15" customHeight="1">
      <c r="A990" s="75"/>
      <c r="B990" s="98"/>
      <c r="C990" s="78"/>
      <c r="D990" s="79"/>
      <c r="E990" s="76" t="str">
        <f>IF(ISBLANK(Log[[#This Row],[Item]]),"",_xlfn.XLOOKUP(Log[[#This Row],[Item]],Calories[Name],Calories[Unit]))</f>
        <v/>
      </c>
      <c r="F990" s="65" t="str">
        <f>IF(ISBLANK(Log[[#This Row],[Item]]),"",_xlfn.XLOOKUP(Log[[#This Row],[Item]],Calories[Name],Calories[Cals])*Log[[#This Row],[Qty]])</f>
        <v/>
      </c>
      <c r="G990" s="71" t="str">
        <f>IF(ISBLANK(Log[[#This Row],[Item]]),"",_xlfn.XLOOKUP(Log[[#This Row],[Item]],Calories[Name],Calories[Carbs])*Log[[#This Row],[Qty]])</f>
        <v/>
      </c>
      <c r="H990" s="71" t="str">
        <f>IF(ISBLANK(Log[[#This Row],[Item]]),"",_xlfn.XLOOKUP(Log[[#This Row],[Item]],Calories[Name],Calories[Fibre])*Log[[#This Row],[Qty]])</f>
        <v/>
      </c>
      <c r="I990" s="71" t="str">
        <f>IF(ISBLANK(Log[[#This Row],[Item]]),"",(Log[[#This Row],[Carbs]]-Log[[#This Row],[Fibre]]))</f>
        <v/>
      </c>
      <c r="J990" s="103" t="str">
        <f>IF(ISBLANK(Log[[#This Row],[Item]]),"",_xlfn.XLOOKUP(Log[[#This Row],[Item]],Calories[Name],Calories[Sodium])*Log[[#This Row],[Qty]])</f>
        <v/>
      </c>
      <c r="K990" s="71" t="str">
        <f>IF(ISBLANK(Log[[#This Row],[Item]]),"",_xlfn.XLOOKUP(Log[[#This Row],[Item]],Calories[Name],Calories[Protein])*Log[[#This Row],[Qty]])</f>
        <v/>
      </c>
      <c r="L990" s="71" t="str">
        <f>IF(ISBLANK(Log[[#This Row],[Item]]),"",_xlfn.XLOOKUP(Log[[#This Row],[Item]],Calories[Name],Calories[Chol.])*Log[[#This Row],[Qty]])</f>
        <v/>
      </c>
      <c r="M990" s="75"/>
      <c r="N990" s="75"/>
      <c r="O990" s="75"/>
    </row>
    <row r="991" spans="1:15" s="66" customFormat="1" ht="25.15" customHeight="1">
      <c r="A991" s="75"/>
      <c r="B991" s="98"/>
      <c r="C991" s="78"/>
      <c r="D991" s="79"/>
      <c r="E991" s="76" t="str">
        <f>IF(ISBLANK(Log[[#This Row],[Item]]),"",_xlfn.XLOOKUP(Log[[#This Row],[Item]],Calories[Name],Calories[Unit]))</f>
        <v/>
      </c>
      <c r="F991" s="65" t="str">
        <f>IF(ISBLANK(Log[[#This Row],[Item]]),"",_xlfn.XLOOKUP(Log[[#This Row],[Item]],Calories[Name],Calories[Cals])*Log[[#This Row],[Qty]])</f>
        <v/>
      </c>
      <c r="G991" s="71" t="str">
        <f>IF(ISBLANK(Log[[#This Row],[Item]]),"",_xlfn.XLOOKUP(Log[[#This Row],[Item]],Calories[Name],Calories[Carbs])*Log[[#This Row],[Qty]])</f>
        <v/>
      </c>
      <c r="H991" s="71" t="str">
        <f>IF(ISBLANK(Log[[#This Row],[Item]]),"",_xlfn.XLOOKUP(Log[[#This Row],[Item]],Calories[Name],Calories[Fibre])*Log[[#This Row],[Qty]])</f>
        <v/>
      </c>
      <c r="I991" s="71" t="str">
        <f>IF(ISBLANK(Log[[#This Row],[Item]]),"",(Log[[#This Row],[Carbs]]-Log[[#This Row],[Fibre]]))</f>
        <v/>
      </c>
      <c r="J991" s="103" t="str">
        <f>IF(ISBLANK(Log[[#This Row],[Item]]),"",_xlfn.XLOOKUP(Log[[#This Row],[Item]],Calories[Name],Calories[Sodium])*Log[[#This Row],[Qty]])</f>
        <v/>
      </c>
      <c r="K991" s="71" t="str">
        <f>IF(ISBLANK(Log[[#This Row],[Item]]),"",_xlfn.XLOOKUP(Log[[#This Row],[Item]],Calories[Name],Calories[Protein])*Log[[#This Row],[Qty]])</f>
        <v/>
      </c>
      <c r="L991" s="71" t="str">
        <f>IF(ISBLANK(Log[[#This Row],[Item]]),"",_xlfn.XLOOKUP(Log[[#This Row],[Item]],Calories[Name],Calories[Chol.])*Log[[#This Row],[Qty]])</f>
        <v/>
      </c>
      <c r="M991" s="75"/>
      <c r="N991" s="75"/>
      <c r="O991" s="75"/>
    </row>
    <row r="992" spans="1:15" s="66" customFormat="1" ht="25.15" customHeight="1">
      <c r="A992" s="75"/>
      <c r="B992" s="98"/>
      <c r="C992" s="78"/>
      <c r="D992" s="79"/>
      <c r="E992" s="76" t="str">
        <f>IF(ISBLANK(Log[[#This Row],[Item]]),"",_xlfn.XLOOKUP(Log[[#This Row],[Item]],Calories[Name],Calories[Unit]))</f>
        <v/>
      </c>
      <c r="F992" s="65" t="str">
        <f>IF(ISBLANK(Log[[#This Row],[Item]]),"",_xlfn.XLOOKUP(Log[[#This Row],[Item]],Calories[Name],Calories[Cals])*Log[[#This Row],[Qty]])</f>
        <v/>
      </c>
      <c r="G992" s="71" t="str">
        <f>IF(ISBLANK(Log[[#This Row],[Item]]),"",_xlfn.XLOOKUP(Log[[#This Row],[Item]],Calories[Name],Calories[Carbs])*Log[[#This Row],[Qty]])</f>
        <v/>
      </c>
      <c r="H992" s="71" t="str">
        <f>IF(ISBLANK(Log[[#This Row],[Item]]),"",_xlfn.XLOOKUP(Log[[#This Row],[Item]],Calories[Name],Calories[Fibre])*Log[[#This Row],[Qty]])</f>
        <v/>
      </c>
      <c r="I992" s="71" t="str">
        <f>IF(ISBLANK(Log[[#This Row],[Item]]),"",(Log[[#This Row],[Carbs]]-Log[[#This Row],[Fibre]]))</f>
        <v/>
      </c>
      <c r="J992" s="103" t="str">
        <f>IF(ISBLANK(Log[[#This Row],[Item]]),"",_xlfn.XLOOKUP(Log[[#This Row],[Item]],Calories[Name],Calories[Sodium])*Log[[#This Row],[Qty]])</f>
        <v/>
      </c>
      <c r="K992" s="71" t="str">
        <f>IF(ISBLANK(Log[[#This Row],[Item]]),"",_xlfn.XLOOKUP(Log[[#This Row],[Item]],Calories[Name],Calories[Protein])*Log[[#This Row],[Qty]])</f>
        <v/>
      </c>
      <c r="L992" s="71" t="str">
        <f>IF(ISBLANK(Log[[#This Row],[Item]]),"",_xlfn.XLOOKUP(Log[[#This Row],[Item]],Calories[Name],Calories[Chol.])*Log[[#This Row],[Qty]])</f>
        <v/>
      </c>
      <c r="M992" s="75"/>
      <c r="N992" s="75"/>
      <c r="O992" s="75"/>
    </row>
    <row r="993" spans="1:15" s="66" customFormat="1" ht="25.15" customHeight="1">
      <c r="A993" s="75"/>
      <c r="B993" s="98"/>
      <c r="C993" s="78"/>
      <c r="D993" s="79"/>
      <c r="E993" s="76" t="str">
        <f>IF(ISBLANK(Log[[#This Row],[Item]]),"",_xlfn.XLOOKUP(Log[[#This Row],[Item]],Calories[Name],Calories[Unit]))</f>
        <v/>
      </c>
      <c r="F993" s="65" t="str">
        <f>IF(ISBLANK(Log[[#This Row],[Item]]),"",_xlfn.XLOOKUP(Log[[#This Row],[Item]],Calories[Name],Calories[Cals])*Log[[#This Row],[Qty]])</f>
        <v/>
      </c>
      <c r="G993" s="71" t="str">
        <f>IF(ISBLANK(Log[[#This Row],[Item]]),"",_xlfn.XLOOKUP(Log[[#This Row],[Item]],Calories[Name],Calories[Carbs])*Log[[#This Row],[Qty]])</f>
        <v/>
      </c>
      <c r="H993" s="71" t="str">
        <f>IF(ISBLANK(Log[[#This Row],[Item]]),"",_xlfn.XLOOKUP(Log[[#This Row],[Item]],Calories[Name],Calories[Fibre])*Log[[#This Row],[Qty]])</f>
        <v/>
      </c>
      <c r="I993" s="71" t="str">
        <f>IF(ISBLANK(Log[[#This Row],[Item]]),"",(Log[[#This Row],[Carbs]]-Log[[#This Row],[Fibre]]))</f>
        <v/>
      </c>
      <c r="J993" s="103" t="str">
        <f>IF(ISBLANK(Log[[#This Row],[Item]]),"",_xlfn.XLOOKUP(Log[[#This Row],[Item]],Calories[Name],Calories[Sodium])*Log[[#This Row],[Qty]])</f>
        <v/>
      </c>
      <c r="K993" s="71" t="str">
        <f>IF(ISBLANK(Log[[#This Row],[Item]]),"",_xlfn.XLOOKUP(Log[[#This Row],[Item]],Calories[Name],Calories[Protein])*Log[[#This Row],[Qty]])</f>
        <v/>
      </c>
      <c r="L993" s="71" t="str">
        <f>IF(ISBLANK(Log[[#This Row],[Item]]),"",_xlfn.XLOOKUP(Log[[#This Row],[Item]],Calories[Name],Calories[Chol.])*Log[[#This Row],[Qty]])</f>
        <v/>
      </c>
      <c r="M993" s="75"/>
      <c r="N993" s="75"/>
      <c r="O993" s="75"/>
    </row>
    <row r="994" spans="1:15" s="66" customFormat="1" ht="25.15" customHeight="1">
      <c r="A994" s="75"/>
      <c r="B994" s="98"/>
      <c r="C994" s="78"/>
      <c r="D994" s="79"/>
      <c r="E994" s="76" t="str">
        <f>IF(ISBLANK(Log[[#This Row],[Item]]),"",_xlfn.XLOOKUP(Log[[#This Row],[Item]],Calories[Name],Calories[Unit]))</f>
        <v/>
      </c>
      <c r="F994" s="65" t="str">
        <f>IF(ISBLANK(Log[[#This Row],[Item]]),"",_xlfn.XLOOKUP(Log[[#This Row],[Item]],Calories[Name],Calories[Cals])*Log[[#This Row],[Qty]])</f>
        <v/>
      </c>
      <c r="G994" s="71" t="str">
        <f>IF(ISBLANK(Log[[#This Row],[Item]]),"",_xlfn.XLOOKUP(Log[[#This Row],[Item]],Calories[Name],Calories[Carbs])*Log[[#This Row],[Qty]])</f>
        <v/>
      </c>
      <c r="H994" s="71" t="str">
        <f>IF(ISBLANK(Log[[#This Row],[Item]]),"",_xlfn.XLOOKUP(Log[[#This Row],[Item]],Calories[Name],Calories[Fibre])*Log[[#This Row],[Qty]])</f>
        <v/>
      </c>
      <c r="I994" s="71" t="str">
        <f>IF(ISBLANK(Log[[#This Row],[Item]]),"",(Log[[#This Row],[Carbs]]-Log[[#This Row],[Fibre]]))</f>
        <v/>
      </c>
      <c r="J994" s="103" t="str">
        <f>IF(ISBLANK(Log[[#This Row],[Item]]),"",_xlfn.XLOOKUP(Log[[#This Row],[Item]],Calories[Name],Calories[Sodium])*Log[[#This Row],[Qty]])</f>
        <v/>
      </c>
      <c r="K994" s="71" t="str">
        <f>IF(ISBLANK(Log[[#This Row],[Item]]),"",_xlfn.XLOOKUP(Log[[#This Row],[Item]],Calories[Name],Calories[Protein])*Log[[#This Row],[Qty]])</f>
        <v/>
      </c>
      <c r="L994" s="71" t="str">
        <f>IF(ISBLANK(Log[[#This Row],[Item]]),"",_xlfn.XLOOKUP(Log[[#This Row],[Item]],Calories[Name],Calories[Chol.])*Log[[#This Row],[Qty]])</f>
        <v/>
      </c>
      <c r="M994" s="75"/>
      <c r="N994" s="75"/>
      <c r="O994" s="75"/>
    </row>
    <row r="995" spans="1:15" s="66" customFormat="1" ht="25.15" customHeight="1">
      <c r="A995" s="75"/>
      <c r="B995" s="98"/>
      <c r="C995" s="78"/>
      <c r="D995" s="79"/>
      <c r="E995" s="76" t="str">
        <f>IF(ISBLANK(Log[[#This Row],[Item]]),"",_xlfn.XLOOKUP(Log[[#This Row],[Item]],Calories[Name],Calories[Unit]))</f>
        <v/>
      </c>
      <c r="F995" s="65" t="str">
        <f>IF(ISBLANK(Log[[#This Row],[Item]]),"",_xlfn.XLOOKUP(Log[[#This Row],[Item]],Calories[Name],Calories[Cals])*Log[[#This Row],[Qty]])</f>
        <v/>
      </c>
      <c r="G995" s="71" t="str">
        <f>IF(ISBLANK(Log[[#This Row],[Item]]),"",_xlfn.XLOOKUP(Log[[#This Row],[Item]],Calories[Name],Calories[Carbs])*Log[[#This Row],[Qty]])</f>
        <v/>
      </c>
      <c r="H995" s="71" t="str">
        <f>IF(ISBLANK(Log[[#This Row],[Item]]),"",_xlfn.XLOOKUP(Log[[#This Row],[Item]],Calories[Name],Calories[Fibre])*Log[[#This Row],[Qty]])</f>
        <v/>
      </c>
      <c r="I995" s="71" t="str">
        <f>IF(ISBLANK(Log[[#This Row],[Item]]),"",(Log[[#This Row],[Carbs]]-Log[[#This Row],[Fibre]]))</f>
        <v/>
      </c>
      <c r="J995" s="103" t="str">
        <f>IF(ISBLANK(Log[[#This Row],[Item]]),"",_xlfn.XLOOKUP(Log[[#This Row],[Item]],Calories[Name],Calories[Sodium])*Log[[#This Row],[Qty]])</f>
        <v/>
      </c>
      <c r="K995" s="71" t="str">
        <f>IF(ISBLANK(Log[[#This Row],[Item]]),"",_xlfn.XLOOKUP(Log[[#This Row],[Item]],Calories[Name],Calories[Protein])*Log[[#This Row],[Qty]])</f>
        <v/>
      </c>
      <c r="L995" s="71" t="str">
        <f>IF(ISBLANK(Log[[#This Row],[Item]]),"",_xlfn.XLOOKUP(Log[[#This Row],[Item]],Calories[Name],Calories[Chol.])*Log[[#This Row],[Qty]])</f>
        <v/>
      </c>
      <c r="M995" s="75"/>
      <c r="N995" s="75"/>
      <c r="O995" s="75"/>
    </row>
    <row r="996" spans="1:15" s="66" customFormat="1" ht="25.15" customHeight="1">
      <c r="A996" s="75"/>
      <c r="B996" s="98"/>
      <c r="C996" s="78"/>
      <c r="D996" s="79"/>
      <c r="E996" s="76" t="str">
        <f>IF(ISBLANK(Log[[#This Row],[Item]]),"",_xlfn.XLOOKUP(Log[[#This Row],[Item]],Calories[Name],Calories[Unit]))</f>
        <v/>
      </c>
      <c r="F996" s="65" t="str">
        <f>IF(ISBLANK(Log[[#This Row],[Item]]),"",_xlfn.XLOOKUP(Log[[#This Row],[Item]],Calories[Name],Calories[Cals])*Log[[#This Row],[Qty]])</f>
        <v/>
      </c>
      <c r="G996" s="71" t="str">
        <f>IF(ISBLANK(Log[[#This Row],[Item]]),"",_xlfn.XLOOKUP(Log[[#This Row],[Item]],Calories[Name],Calories[Carbs])*Log[[#This Row],[Qty]])</f>
        <v/>
      </c>
      <c r="H996" s="71" t="str">
        <f>IF(ISBLANK(Log[[#This Row],[Item]]),"",_xlfn.XLOOKUP(Log[[#This Row],[Item]],Calories[Name],Calories[Fibre])*Log[[#This Row],[Qty]])</f>
        <v/>
      </c>
      <c r="I996" s="71" t="str">
        <f>IF(ISBLANK(Log[[#This Row],[Item]]),"",(Log[[#This Row],[Carbs]]-Log[[#This Row],[Fibre]]))</f>
        <v/>
      </c>
      <c r="J996" s="103" t="str">
        <f>IF(ISBLANK(Log[[#This Row],[Item]]),"",_xlfn.XLOOKUP(Log[[#This Row],[Item]],Calories[Name],Calories[Sodium])*Log[[#This Row],[Qty]])</f>
        <v/>
      </c>
      <c r="K996" s="71" t="str">
        <f>IF(ISBLANK(Log[[#This Row],[Item]]),"",_xlfn.XLOOKUP(Log[[#This Row],[Item]],Calories[Name],Calories[Protein])*Log[[#This Row],[Qty]])</f>
        <v/>
      </c>
      <c r="L996" s="71" t="str">
        <f>IF(ISBLANK(Log[[#This Row],[Item]]),"",_xlfn.XLOOKUP(Log[[#This Row],[Item]],Calories[Name],Calories[Chol.])*Log[[#This Row],[Qty]])</f>
        <v/>
      </c>
      <c r="M996" s="75"/>
      <c r="N996" s="75"/>
      <c r="O996" s="75"/>
    </row>
    <row r="997" spans="1:15" s="66" customFormat="1" ht="25.15" customHeight="1">
      <c r="A997" s="75"/>
      <c r="B997" s="98"/>
      <c r="C997" s="78"/>
      <c r="D997" s="79"/>
      <c r="E997" s="76" t="str">
        <f>IF(ISBLANK(Log[[#This Row],[Item]]),"",_xlfn.XLOOKUP(Log[[#This Row],[Item]],Calories[Name],Calories[Unit]))</f>
        <v/>
      </c>
      <c r="F997" s="65" t="str">
        <f>IF(ISBLANK(Log[[#This Row],[Item]]),"",_xlfn.XLOOKUP(Log[[#This Row],[Item]],Calories[Name],Calories[Cals])*Log[[#This Row],[Qty]])</f>
        <v/>
      </c>
      <c r="G997" s="71" t="str">
        <f>IF(ISBLANK(Log[[#This Row],[Item]]),"",_xlfn.XLOOKUP(Log[[#This Row],[Item]],Calories[Name],Calories[Carbs])*Log[[#This Row],[Qty]])</f>
        <v/>
      </c>
      <c r="H997" s="71" t="str">
        <f>IF(ISBLANK(Log[[#This Row],[Item]]),"",_xlfn.XLOOKUP(Log[[#This Row],[Item]],Calories[Name],Calories[Fibre])*Log[[#This Row],[Qty]])</f>
        <v/>
      </c>
      <c r="I997" s="71" t="str">
        <f>IF(ISBLANK(Log[[#This Row],[Item]]),"",(Log[[#This Row],[Carbs]]-Log[[#This Row],[Fibre]]))</f>
        <v/>
      </c>
      <c r="J997" s="103" t="str">
        <f>IF(ISBLANK(Log[[#This Row],[Item]]),"",_xlfn.XLOOKUP(Log[[#This Row],[Item]],Calories[Name],Calories[Sodium])*Log[[#This Row],[Qty]])</f>
        <v/>
      </c>
      <c r="K997" s="71" t="str">
        <f>IF(ISBLANK(Log[[#This Row],[Item]]),"",_xlfn.XLOOKUP(Log[[#This Row],[Item]],Calories[Name],Calories[Protein])*Log[[#This Row],[Qty]])</f>
        <v/>
      </c>
      <c r="L997" s="71" t="str">
        <f>IF(ISBLANK(Log[[#This Row],[Item]]),"",_xlfn.XLOOKUP(Log[[#This Row],[Item]],Calories[Name],Calories[Chol.])*Log[[#This Row],[Qty]])</f>
        <v/>
      </c>
      <c r="M997" s="75"/>
      <c r="N997" s="75"/>
      <c r="O997" s="75"/>
    </row>
    <row r="998" spans="1:15" s="66" customFormat="1" ht="25.15" customHeight="1">
      <c r="A998" s="75"/>
      <c r="B998" s="98"/>
      <c r="C998" s="78"/>
      <c r="D998" s="79"/>
      <c r="E998" s="76" t="str">
        <f>IF(ISBLANK(Log[[#This Row],[Item]]),"",_xlfn.XLOOKUP(Log[[#This Row],[Item]],Calories[Name],Calories[Unit]))</f>
        <v/>
      </c>
      <c r="F998" s="65" t="str">
        <f>IF(ISBLANK(Log[[#This Row],[Item]]),"",_xlfn.XLOOKUP(Log[[#This Row],[Item]],Calories[Name],Calories[Cals])*Log[[#This Row],[Qty]])</f>
        <v/>
      </c>
      <c r="G998" s="71" t="str">
        <f>IF(ISBLANK(Log[[#This Row],[Item]]),"",_xlfn.XLOOKUP(Log[[#This Row],[Item]],Calories[Name],Calories[Carbs])*Log[[#This Row],[Qty]])</f>
        <v/>
      </c>
      <c r="H998" s="71" t="str">
        <f>IF(ISBLANK(Log[[#This Row],[Item]]),"",_xlfn.XLOOKUP(Log[[#This Row],[Item]],Calories[Name],Calories[Fibre])*Log[[#This Row],[Qty]])</f>
        <v/>
      </c>
      <c r="I998" s="71" t="str">
        <f>IF(ISBLANK(Log[[#This Row],[Item]]),"",(Log[[#This Row],[Carbs]]-Log[[#This Row],[Fibre]]))</f>
        <v/>
      </c>
      <c r="J998" s="103" t="str">
        <f>IF(ISBLANK(Log[[#This Row],[Item]]),"",_xlfn.XLOOKUP(Log[[#This Row],[Item]],Calories[Name],Calories[Sodium])*Log[[#This Row],[Qty]])</f>
        <v/>
      </c>
      <c r="K998" s="71" t="str">
        <f>IF(ISBLANK(Log[[#This Row],[Item]]),"",_xlfn.XLOOKUP(Log[[#This Row],[Item]],Calories[Name],Calories[Protein])*Log[[#This Row],[Qty]])</f>
        <v/>
      </c>
      <c r="L998" s="71" t="str">
        <f>IF(ISBLANK(Log[[#This Row],[Item]]),"",_xlfn.XLOOKUP(Log[[#This Row],[Item]],Calories[Name],Calories[Chol.])*Log[[#This Row],[Qty]])</f>
        <v/>
      </c>
      <c r="M998" s="75"/>
      <c r="N998" s="75"/>
      <c r="O998" s="75"/>
    </row>
    <row r="999" spans="1:15" s="66" customFormat="1" ht="25.15" customHeight="1">
      <c r="A999" s="75"/>
      <c r="B999" s="98"/>
      <c r="C999" s="78"/>
      <c r="D999" s="79"/>
      <c r="E999" s="76" t="str">
        <f>IF(ISBLANK(Log[[#This Row],[Item]]),"",_xlfn.XLOOKUP(Log[[#This Row],[Item]],Calories[Name],Calories[Unit]))</f>
        <v/>
      </c>
      <c r="F999" s="65" t="str">
        <f>IF(ISBLANK(Log[[#This Row],[Item]]),"",_xlfn.XLOOKUP(Log[[#This Row],[Item]],Calories[Name],Calories[Cals])*Log[[#This Row],[Qty]])</f>
        <v/>
      </c>
      <c r="G999" s="71" t="str">
        <f>IF(ISBLANK(Log[[#This Row],[Item]]),"",_xlfn.XLOOKUP(Log[[#This Row],[Item]],Calories[Name],Calories[Carbs])*Log[[#This Row],[Qty]])</f>
        <v/>
      </c>
      <c r="H999" s="71" t="str">
        <f>IF(ISBLANK(Log[[#This Row],[Item]]),"",_xlfn.XLOOKUP(Log[[#This Row],[Item]],Calories[Name],Calories[Fibre])*Log[[#This Row],[Qty]])</f>
        <v/>
      </c>
      <c r="I999" s="71" t="str">
        <f>IF(ISBLANK(Log[[#This Row],[Item]]),"",(Log[[#This Row],[Carbs]]-Log[[#This Row],[Fibre]]))</f>
        <v/>
      </c>
      <c r="J999" s="103" t="str">
        <f>IF(ISBLANK(Log[[#This Row],[Item]]),"",_xlfn.XLOOKUP(Log[[#This Row],[Item]],Calories[Name],Calories[Sodium])*Log[[#This Row],[Qty]])</f>
        <v/>
      </c>
      <c r="K999" s="71" t="str">
        <f>IF(ISBLANK(Log[[#This Row],[Item]]),"",_xlfn.XLOOKUP(Log[[#This Row],[Item]],Calories[Name],Calories[Protein])*Log[[#This Row],[Qty]])</f>
        <v/>
      </c>
      <c r="L999" s="71" t="str">
        <f>IF(ISBLANK(Log[[#This Row],[Item]]),"",_xlfn.XLOOKUP(Log[[#This Row],[Item]],Calories[Name],Calories[Chol.])*Log[[#This Row],[Qty]])</f>
        <v/>
      </c>
      <c r="M999" s="75"/>
      <c r="N999" s="75"/>
      <c r="O999" s="75"/>
    </row>
    <row r="1000" spans="1:15" s="66" customFormat="1" ht="25.15" customHeight="1">
      <c r="A1000" s="75"/>
      <c r="B1000" s="98"/>
      <c r="C1000" s="78"/>
      <c r="D1000" s="79"/>
      <c r="E1000" s="76" t="str">
        <f>IF(ISBLANK(Log[[#This Row],[Item]]),"",_xlfn.XLOOKUP(Log[[#This Row],[Item]],Calories[Name],Calories[Unit]))</f>
        <v/>
      </c>
      <c r="F1000" s="65" t="str">
        <f>IF(ISBLANK(Log[[#This Row],[Item]]),"",_xlfn.XLOOKUP(Log[[#This Row],[Item]],Calories[Name],Calories[Cals])*Log[[#This Row],[Qty]])</f>
        <v/>
      </c>
      <c r="G1000" s="71" t="str">
        <f>IF(ISBLANK(Log[[#This Row],[Item]]),"",_xlfn.XLOOKUP(Log[[#This Row],[Item]],Calories[Name],Calories[Carbs])*Log[[#This Row],[Qty]])</f>
        <v/>
      </c>
      <c r="H1000" s="71" t="str">
        <f>IF(ISBLANK(Log[[#This Row],[Item]]),"",_xlfn.XLOOKUP(Log[[#This Row],[Item]],Calories[Name],Calories[Fibre])*Log[[#This Row],[Qty]])</f>
        <v/>
      </c>
      <c r="I1000" s="71" t="str">
        <f>IF(ISBLANK(Log[[#This Row],[Item]]),"",(Log[[#This Row],[Carbs]]-Log[[#This Row],[Fibre]]))</f>
        <v/>
      </c>
      <c r="J1000" s="103" t="str">
        <f>IF(ISBLANK(Log[[#This Row],[Item]]),"",_xlfn.XLOOKUP(Log[[#This Row],[Item]],Calories[Name],Calories[Sodium])*Log[[#This Row],[Qty]])</f>
        <v/>
      </c>
      <c r="K1000" s="71" t="str">
        <f>IF(ISBLANK(Log[[#This Row],[Item]]),"",_xlfn.XLOOKUP(Log[[#This Row],[Item]],Calories[Name],Calories[Protein])*Log[[#This Row],[Qty]])</f>
        <v/>
      </c>
      <c r="L1000" s="71" t="str">
        <f>IF(ISBLANK(Log[[#This Row],[Item]]),"",_xlfn.XLOOKUP(Log[[#This Row],[Item]],Calories[Name],Calories[Chol.])*Log[[#This Row],[Qty]])</f>
        <v/>
      </c>
      <c r="M1000" s="75"/>
      <c r="N1000" s="75"/>
      <c r="O1000" s="75"/>
    </row>
    <row r="1001" spans="1:15" s="66" customFormat="1" ht="25.15" customHeight="1">
      <c r="A1001" s="75"/>
      <c r="B1001" s="98"/>
      <c r="C1001" s="78"/>
      <c r="D1001" s="79"/>
      <c r="E1001" s="76" t="str">
        <f>IF(ISBLANK(Log[[#This Row],[Item]]),"",_xlfn.XLOOKUP(Log[[#This Row],[Item]],Calories[Name],Calories[Unit]))</f>
        <v/>
      </c>
      <c r="F1001" s="65" t="str">
        <f>IF(ISBLANK(Log[[#This Row],[Item]]),"",_xlfn.XLOOKUP(Log[[#This Row],[Item]],Calories[Name],Calories[Cals])*Log[[#This Row],[Qty]])</f>
        <v/>
      </c>
      <c r="G1001" s="71" t="str">
        <f>IF(ISBLANK(Log[[#This Row],[Item]]),"",_xlfn.XLOOKUP(Log[[#This Row],[Item]],Calories[Name],Calories[Carbs])*Log[[#This Row],[Qty]])</f>
        <v/>
      </c>
      <c r="H1001" s="71" t="str">
        <f>IF(ISBLANK(Log[[#This Row],[Item]]),"",_xlfn.XLOOKUP(Log[[#This Row],[Item]],Calories[Name],Calories[Fibre])*Log[[#This Row],[Qty]])</f>
        <v/>
      </c>
      <c r="I1001" s="71" t="str">
        <f>IF(ISBLANK(Log[[#This Row],[Item]]),"",(Log[[#This Row],[Carbs]]-Log[[#This Row],[Fibre]]))</f>
        <v/>
      </c>
      <c r="J1001" s="103" t="str">
        <f>IF(ISBLANK(Log[[#This Row],[Item]]),"",_xlfn.XLOOKUP(Log[[#This Row],[Item]],Calories[Name],Calories[Sodium])*Log[[#This Row],[Qty]])</f>
        <v/>
      </c>
      <c r="K1001" s="71" t="str">
        <f>IF(ISBLANK(Log[[#This Row],[Item]]),"",_xlfn.XLOOKUP(Log[[#This Row],[Item]],Calories[Name],Calories[Protein])*Log[[#This Row],[Qty]])</f>
        <v/>
      </c>
      <c r="L1001" s="71" t="str">
        <f>IF(ISBLANK(Log[[#This Row],[Item]]),"",_xlfn.XLOOKUP(Log[[#This Row],[Item]],Calories[Name],Calories[Chol.])*Log[[#This Row],[Qty]])</f>
        <v/>
      </c>
      <c r="M1001" s="75"/>
      <c r="N1001" s="75"/>
      <c r="O1001" s="75"/>
    </row>
    <row r="1002" spans="1:15" s="66" customFormat="1" ht="25.15" customHeight="1">
      <c r="A1002" s="75"/>
      <c r="B1002" s="98"/>
      <c r="C1002" s="78"/>
      <c r="D1002" s="79"/>
      <c r="E1002" s="76" t="str">
        <f>IF(ISBLANK(Log[[#This Row],[Item]]),"",_xlfn.XLOOKUP(Log[[#This Row],[Item]],Calories[Name],Calories[Unit]))</f>
        <v/>
      </c>
      <c r="F1002" s="65" t="str">
        <f>IF(ISBLANK(Log[[#This Row],[Item]]),"",_xlfn.XLOOKUP(Log[[#This Row],[Item]],Calories[Name],Calories[Cals])*Log[[#This Row],[Qty]])</f>
        <v/>
      </c>
      <c r="G1002" s="71" t="str">
        <f>IF(ISBLANK(Log[[#This Row],[Item]]),"",_xlfn.XLOOKUP(Log[[#This Row],[Item]],Calories[Name],Calories[Carbs])*Log[[#This Row],[Qty]])</f>
        <v/>
      </c>
      <c r="H1002" s="71" t="str">
        <f>IF(ISBLANK(Log[[#This Row],[Item]]),"",_xlfn.XLOOKUP(Log[[#This Row],[Item]],Calories[Name],Calories[Fibre])*Log[[#This Row],[Qty]])</f>
        <v/>
      </c>
      <c r="I1002" s="71" t="str">
        <f>IF(ISBLANK(Log[[#This Row],[Item]]),"",(Log[[#This Row],[Carbs]]-Log[[#This Row],[Fibre]]))</f>
        <v/>
      </c>
      <c r="J1002" s="103" t="str">
        <f>IF(ISBLANK(Log[[#This Row],[Item]]),"",_xlfn.XLOOKUP(Log[[#This Row],[Item]],Calories[Name],Calories[Sodium])*Log[[#This Row],[Qty]])</f>
        <v/>
      </c>
      <c r="K1002" s="71" t="str">
        <f>IF(ISBLANK(Log[[#This Row],[Item]]),"",_xlfn.XLOOKUP(Log[[#This Row],[Item]],Calories[Name],Calories[Protein])*Log[[#This Row],[Qty]])</f>
        <v/>
      </c>
      <c r="L1002" s="71" t="str">
        <f>IF(ISBLANK(Log[[#This Row],[Item]]),"",_xlfn.XLOOKUP(Log[[#This Row],[Item]],Calories[Name],Calories[Chol.])*Log[[#This Row],[Qty]])</f>
        <v/>
      </c>
      <c r="M1002" s="75"/>
      <c r="N1002" s="75"/>
      <c r="O1002" s="75"/>
    </row>
    <row r="1003" spans="1:15" s="66" customFormat="1" ht="25.15" customHeight="1">
      <c r="A1003" s="75"/>
      <c r="B1003" s="98"/>
      <c r="C1003" s="78"/>
      <c r="D1003" s="79"/>
      <c r="E1003" s="76" t="str">
        <f>IF(ISBLANK(Log[[#This Row],[Item]]),"",_xlfn.XLOOKUP(Log[[#This Row],[Item]],Calories[Name],Calories[Unit]))</f>
        <v/>
      </c>
      <c r="F1003" s="65" t="str">
        <f>IF(ISBLANK(Log[[#This Row],[Item]]),"",_xlfn.XLOOKUP(Log[[#This Row],[Item]],Calories[Name],Calories[Cals])*Log[[#This Row],[Qty]])</f>
        <v/>
      </c>
      <c r="G1003" s="71" t="str">
        <f>IF(ISBLANK(Log[[#This Row],[Item]]),"",_xlfn.XLOOKUP(Log[[#This Row],[Item]],Calories[Name],Calories[Carbs])*Log[[#This Row],[Qty]])</f>
        <v/>
      </c>
      <c r="H1003" s="71" t="str">
        <f>IF(ISBLANK(Log[[#This Row],[Item]]),"",_xlfn.XLOOKUP(Log[[#This Row],[Item]],Calories[Name],Calories[Fibre])*Log[[#This Row],[Qty]])</f>
        <v/>
      </c>
      <c r="I1003" s="71" t="str">
        <f>IF(ISBLANK(Log[[#This Row],[Item]]),"",(Log[[#This Row],[Carbs]]-Log[[#This Row],[Fibre]]))</f>
        <v/>
      </c>
      <c r="J1003" s="103" t="str">
        <f>IF(ISBLANK(Log[[#This Row],[Item]]),"",_xlfn.XLOOKUP(Log[[#This Row],[Item]],Calories[Name],Calories[Sodium])*Log[[#This Row],[Qty]])</f>
        <v/>
      </c>
      <c r="K1003" s="71" t="str">
        <f>IF(ISBLANK(Log[[#This Row],[Item]]),"",_xlfn.XLOOKUP(Log[[#This Row],[Item]],Calories[Name],Calories[Protein])*Log[[#This Row],[Qty]])</f>
        <v/>
      </c>
      <c r="L1003" s="71" t="str">
        <f>IF(ISBLANK(Log[[#This Row],[Item]]),"",_xlfn.XLOOKUP(Log[[#This Row],[Item]],Calories[Name],Calories[Chol.])*Log[[#This Row],[Qty]])</f>
        <v/>
      </c>
      <c r="M1003" s="75"/>
      <c r="N1003" s="75"/>
      <c r="O1003" s="75"/>
    </row>
    <row r="1004" spans="1:15" s="66" customFormat="1" ht="25.15" customHeight="1">
      <c r="A1004" s="75"/>
      <c r="B1004" s="98"/>
      <c r="C1004" s="78"/>
      <c r="D1004" s="79"/>
      <c r="E1004" s="76" t="str">
        <f>IF(ISBLANK(Log[[#This Row],[Item]]),"",_xlfn.XLOOKUP(Log[[#This Row],[Item]],Calories[Name],Calories[Unit]))</f>
        <v/>
      </c>
      <c r="F1004" s="65" t="str">
        <f>IF(ISBLANK(Log[[#This Row],[Item]]),"",_xlfn.XLOOKUP(Log[[#This Row],[Item]],Calories[Name],Calories[Cals])*Log[[#This Row],[Qty]])</f>
        <v/>
      </c>
      <c r="G1004" s="71" t="str">
        <f>IF(ISBLANK(Log[[#This Row],[Item]]),"",_xlfn.XLOOKUP(Log[[#This Row],[Item]],Calories[Name],Calories[Carbs])*Log[[#This Row],[Qty]])</f>
        <v/>
      </c>
      <c r="H1004" s="71" t="str">
        <f>IF(ISBLANK(Log[[#This Row],[Item]]),"",_xlfn.XLOOKUP(Log[[#This Row],[Item]],Calories[Name],Calories[Fibre])*Log[[#This Row],[Qty]])</f>
        <v/>
      </c>
      <c r="I1004" s="71" t="str">
        <f>IF(ISBLANK(Log[[#This Row],[Item]]),"",(Log[[#This Row],[Carbs]]-Log[[#This Row],[Fibre]]))</f>
        <v/>
      </c>
      <c r="J1004" s="103" t="str">
        <f>IF(ISBLANK(Log[[#This Row],[Item]]),"",_xlfn.XLOOKUP(Log[[#This Row],[Item]],Calories[Name],Calories[Sodium])*Log[[#This Row],[Qty]])</f>
        <v/>
      </c>
      <c r="K1004" s="71" t="str">
        <f>IF(ISBLANK(Log[[#This Row],[Item]]),"",_xlfn.XLOOKUP(Log[[#This Row],[Item]],Calories[Name],Calories[Protein])*Log[[#This Row],[Qty]])</f>
        <v/>
      </c>
      <c r="L1004" s="71" t="str">
        <f>IF(ISBLANK(Log[[#This Row],[Item]]),"",_xlfn.XLOOKUP(Log[[#This Row],[Item]],Calories[Name],Calories[Chol.])*Log[[#This Row],[Qty]])</f>
        <v/>
      </c>
      <c r="M1004" s="75"/>
      <c r="N1004" s="75"/>
      <c r="O1004" s="75"/>
    </row>
    <row r="1005" spans="1:15" s="66" customFormat="1" ht="25.15" customHeight="1">
      <c r="A1005" s="75"/>
      <c r="B1005" s="98"/>
      <c r="C1005" s="78"/>
      <c r="D1005" s="79"/>
      <c r="E1005" s="76" t="str">
        <f>IF(ISBLANK(Log[[#This Row],[Item]]),"",_xlfn.XLOOKUP(Log[[#This Row],[Item]],Calories[Name],Calories[Unit]))</f>
        <v/>
      </c>
      <c r="F1005" s="65" t="str">
        <f>IF(ISBLANK(Log[[#This Row],[Item]]),"",_xlfn.XLOOKUP(Log[[#This Row],[Item]],Calories[Name],Calories[Cals])*Log[[#This Row],[Qty]])</f>
        <v/>
      </c>
      <c r="G1005" s="71" t="str">
        <f>IF(ISBLANK(Log[[#This Row],[Item]]),"",_xlfn.XLOOKUP(Log[[#This Row],[Item]],Calories[Name],Calories[Carbs])*Log[[#This Row],[Qty]])</f>
        <v/>
      </c>
      <c r="H1005" s="71" t="str">
        <f>IF(ISBLANK(Log[[#This Row],[Item]]),"",_xlfn.XLOOKUP(Log[[#This Row],[Item]],Calories[Name],Calories[Fibre])*Log[[#This Row],[Qty]])</f>
        <v/>
      </c>
      <c r="I1005" s="71" t="str">
        <f>IF(ISBLANK(Log[[#This Row],[Item]]),"",(Log[[#This Row],[Carbs]]-Log[[#This Row],[Fibre]]))</f>
        <v/>
      </c>
      <c r="J1005" s="103" t="str">
        <f>IF(ISBLANK(Log[[#This Row],[Item]]),"",_xlfn.XLOOKUP(Log[[#This Row],[Item]],Calories[Name],Calories[Sodium])*Log[[#This Row],[Qty]])</f>
        <v/>
      </c>
      <c r="K1005" s="71" t="str">
        <f>IF(ISBLANK(Log[[#This Row],[Item]]),"",_xlfn.XLOOKUP(Log[[#This Row],[Item]],Calories[Name],Calories[Protein])*Log[[#This Row],[Qty]])</f>
        <v/>
      </c>
      <c r="L1005" s="71" t="str">
        <f>IF(ISBLANK(Log[[#This Row],[Item]]),"",_xlfn.XLOOKUP(Log[[#This Row],[Item]],Calories[Name],Calories[Chol.])*Log[[#This Row],[Qty]])</f>
        <v/>
      </c>
      <c r="M1005" s="75"/>
      <c r="N1005" s="75"/>
      <c r="O1005" s="75"/>
    </row>
    <row r="1006" spans="1:15" s="66" customFormat="1" ht="25.15" customHeight="1">
      <c r="A1006" s="75"/>
      <c r="B1006" s="98"/>
      <c r="C1006" s="78"/>
      <c r="D1006" s="79"/>
      <c r="E1006" s="76" t="str">
        <f>IF(ISBLANK(Log[[#This Row],[Item]]),"",_xlfn.XLOOKUP(Log[[#This Row],[Item]],Calories[Name],Calories[Unit]))</f>
        <v/>
      </c>
      <c r="F1006" s="65" t="str">
        <f>IF(ISBLANK(Log[[#This Row],[Item]]),"",_xlfn.XLOOKUP(Log[[#This Row],[Item]],Calories[Name],Calories[Cals])*Log[[#This Row],[Qty]])</f>
        <v/>
      </c>
      <c r="G1006" s="71" t="str">
        <f>IF(ISBLANK(Log[[#This Row],[Item]]),"",_xlfn.XLOOKUP(Log[[#This Row],[Item]],Calories[Name],Calories[Carbs])*Log[[#This Row],[Qty]])</f>
        <v/>
      </c>
      <c r="H1006" s="71" t="str">
        <f>IF(ISBLANK(Log[[#This Row],[Item]]),"",_xlfn.XLOOKUP(Log[[#This Row],[Item]],Calories[Name],Calories[Fibre])*Log[[#This Row],[Qty]])</f>
        <v/>
      </c>
      <c r="I1006" s="71" t="str">
        <f>IF(ISBLANK(Log[[#This Row],[Item]]),"",(Log[[#This Row],[Carbs]]-Log[[#This Row],[Fibre]]))</f>
        <v/>
      </c>
      <c r="J1006" s="103" t="str">
        <f>IF(ISBLANK(Log[[#This Row],[Item]]),"",_xlfn.XLOOKUP(Log[[#This Row],[Item]],Calories[Name],Calories[Sodium])*Log[[#This Row],[Qty]])</f>
        <v/>
      </c>
      <c r="K1006" s="71" t="str">
        <f>IF(ISBLANK(Log[[#This Row],[Item]]),"",_xlfn.XLOOKUP(Log[[#This Row],[Item]],Calories[Name],Calories[Protein])*Log[[#This Row],[Qty]])</f>
        <v/>
      </c>
      <c r="L1006" s="71" t="str">
        <f>IF(ISBLANK(Log[[#This Row],[Item]]),"",_xlfn.XLOOKUP(Log[[#This Row],[Item]],Calories[Name],Calories[Chol.])*Log[[#This Row],[Qty]])</f>
        <v/>
      </c>
      <c r="M1006" s="75"/>
      <c r="N1006" s="75"/>
      <c r="O1006" s="75"/>
    </row>
    <row r="1007" spans="1:15" s="66" customFormat="1" ht="25.15" customHeight="1">
      <c r="A1007" s="75"/>
      <c r="B1007" s="98"/>
      <c r="C1007" s="78"/>
      <c r="D1007" s="79"/>
      <c r="E1007" s="76" t="str">
        <f>IF(ISBLANK(Log[[#This Row],[Item]]),"",_xlfn.XLOOKUP(Log[[#This Row],[Item]],Calories[Name],Calories[Unit]))</f>
        <v/>
      </c>
      <c r="F1007" s="65" t="str">
        <f>IF(ISBLANK(Log[[#This Row],[Item]]),"",_xlfn.XLOOKUP(Log[[#This Row],[Item]],Calories[Name],Calories[Cals])*Log[[#This Row],[Qty]])</f>
        <v/>
      </c>
      <c r="G1007" s="71" t="str">
        <f>IF(ISBLANK(Log[[#This Row],[Item]]),"",_xlfn.XLOOKUP(Log[[#This Row],[Item]],Calories[Name],Calories[Carbs])*Log[[#This Row],[Qty]])</f>
        <v/>
      </c>
      <c r="H1007" s="71" t="str">
        <f>IF(ISBLANK(Log[[#This Row],[Item]]),"",_xlfn.XLOOKUP(Log[[#This Row],[Item]],Calories[Name],Calories[Fibre])*Log[[#This Row],[Qty]])</f>
        <v/>
      </c>
      <c r="I1007" s="71" t="str">
        <f>IF(ISBLANK(Log[[#This Row],[Item]]),"",(Log[[#This Row],[Carbs]]-Log[[#This Row],[Fibre]]))</f>
        <v/>
      </c>
      <c r="J1007" s="103" t="str">
        <f>IF(ISBLANK(Log[[#This Row],[Item]]),"",_xlfn.XLOOKUP(Log[[#This Row],[Item]],Calories[Name],Calories[Sodium])*Log[[#This Row],[Qty]])</f>
        <v/>
      </c>
      <c r="K1007" s="71" t="str">
        <f>IF(ISBLANK(Log[[#This Row],[Item]]),"",_xlfn.XLOOKUP(Log[[#This Row],[Item]],Calories[Name],Calories[Protein])*Log[[#This Row],[Qty]])</f>
        <v/>
      </c>
      <c r="L1007" s="71" t="str">
        <f>IF(ISBLANK(Log[[#This Row],[Item]]),"",_xlfn.XLOOKUP(Log[[#This Row],[Item]],Calories[Name],Calories[Chol.])*Log[[#This Row],[Qty]])</f>
        <v/>
      </c>
      <c r="M1007" s="75"/>
      <c r="N1007" s="75"/>
      <c r="O1007" s="75"/>
    </row>
    <row r="1008" spans="1:15" s="66" customFormat="1" ht="25.15" customHeight="1">
      <c r="A1008" s="75"/>
      <c r="B1008" s="98"/>
      <c r="C1008" s="78"/>
      <c r="D1008" s="79"/>
      <c r="E1008" s="76" t="str">
        <f>IF(ISBLANK(Log[[#This Row],[Item]]),"",_xlfn.XLOOKUP(Log[[#This Row],[Item]],Calories[Name],Calories[Unit]))</f>
        <v/>
      </c>
      <c r="F1008" s="65" t="str">
        <f>IF(ISBLANK(Log[[#This Row],[Item]]),"",_xlfn.XLOOKUP(Log[[#This Row],[Item]],Calories[Name],Calories[Cals])*Log[[#This Row],[Qty]])</f>
        <v/>
      </c>
      <c r="G1008" s="71" t="str">
        <f>IF(ISBLANK(Log[[#This Row],[Item]]),"",_xlfn.XLOOKUP(Log[[#This Row],[Item]],Calories[Name],Calories[Carbs])*Log[[#This Row],[Qty]])</f>
        <v/>
      </c>
      <c r="H1008" s="71" t="str">
        <f>IF(ISBLANK(Log[[#This Row],[Item]]),"",_xlfn.XLOOKUP(Log[[#This Row],[Item]],Calories[Name],Calories[Fibre])*Log[[#This Row],[Qty]])</f>
        <v/>
      </c>
      <c r="I1008" s="71" t="str">
        <f>IF(ISBLANK(Log[[#This Row],[Item]]),"",(Log[[#This Row],[Carbs]]-Log[[#This Row],[Fibre]]))</f>
        <v/>
      </c>
      <c r="J1008" s="103" t="str">
        <f>IF(ISBLANK(Log[[#This Row],[Item]]),"",_xlfn.XLOOKUP(Log[[#This Row],[Item]],Calories[Name],Calories[Sodium])*Log[[#This Row],[Qty]])</f>
        <v/>
      </c>
      <c r="K1008" s="71" t="str">
        <f>IF(ISBLANK(Log[[#This Row],[Item]]),"",_xlfn.XLOOKUP(Log[[#This Row],[Item]],Calories[Name],Calories[Protein])*Log[[#This Row],[Qty]])</f>
        <v/>
      </c>
      <c r="L1008" s="71" t="str">
        <f>IF(ISBLANK(Log[[#This Row],[Item]]),"",_xlfn.XLOOKUP(Log[[#This Row],[Item]],Calories[Name],Calories[Chol.])*Log[[#This Row],[Qty]])</f>
        <v/>
      </c>
      <c r="M1008" s="75"/>
      <c r="N1008" s="75"/>
      <c r="O1008" s="75"/>
    </row>
    <row r="1009" spans="1:15" s="66" customFormat="1" ht="25.15" customHeight="1">
      <c r="A1009" s="75"/>
      <c r="B1009" s="98"/>
      <c r="C1009" s="78"/>
      <c r="D1009" s="79"/>
      <c r="E1009" s="76" t="str">
        <f>IF(ISBLANK(Log[[#This Row],[Item]]),"",_xlfn.XLOOKUP(Log[[#This Row],[Item]],Calories[Name],Calories[Unit]))</f>
        <v/>
      </c>
      <c r="F1009" s="65" t="str">
        <f>IF(ISBLANK(Log[[#This Row],[Item]]),"",_xlfn.XLOOKUP(Log[[#This Row],[Item]],Calories[Name],Calories[Cals])*Log[[#This Row],[Qty]])</f>
        <v/>
      </c>
      <c r="G1009" s="71" t="str">
        <f>IF(ISBLANK(Log[[#This Row],[Item]]),"",_xlfn.XLOOKUP(Log[[#This Row],[Item]],Calories[Name],Calories[Carbs])*Log[[#This Row],[Qty]])</f>
        <v/>
      </c>
      <c r="H1009" s="71" t="str">
        <f>IF(ISBLANK(Log[[#This Row],[Item]]),"",_xlfn.XLOOKUP(Log[[#This Row],[Item]],Calories[Name],Calories[Fibre])*Log[[#This Row],[Qty]])</f>
        <v/>
      </c>
      <c r="I1009" s="71" t="str">
        <f>IF(ISBLANK(Log[[#This Row],[Item]]),"",(Log[[#This Row],[Carbs]]-Log[[#This Row],[Fibre]]))</f>
        <v/>
      </c>
      <c r="J1009" s="103" t="str">
        <f>IF(ISBLANK(Log[[#This Row],[Item]]),"",_xlfn.XLOOKUP(Log[[#This Row],[Item]],Calories[Name],Calories[Sodium])*Log[[#This Row],[Qty]])</f>
        <v/>
      </c>
      <c r="K1009" s="71" t="str">
        <f>IF(ISBLANK(Log[[#This Row],[Item]]),"",_xlfn.XLOOKUP(Log[[#This Row],[Item]],Calories[Name],Calories[Protein])*Log[[#This Row],[Qty]])</f>
        <v/>
      </c>
      <c r="L1009" s="71" t="str">
        <f>IF(ISBLANK(Log[[#This Row],[Item]]),"",_xlfn.XLOOKUP(Log[[#This Row],[Item]],Calories[Name],Calories[Chol.])*Log[[#This Row],[Qty]])</f>
        <v/>
      </c>
      <c r="M1009" s="75"/>
      <c r="N1009" s="75"/>
      <c r="O1009" s="75"/>
    </row>
    <row r="1010" spans="1:15" s="66" customFormat="1" ht="25.15" customHeight="1">
      <c r="A1010" s="75"/>
      <c r="B1010" s="98"/>
      <c r="C1010" s="78"/>
      <c r="D1010" s="79"/>
      <c r="E1010" s="76" t="str">
        <f>IF(ISBLANK(Log[[#This Row],[Item]]),"",_xlfn.XLOOKUP(Log[[#This Row],[Item]],Calories[Name],Calories[Unit]))</f>
        <v/>
      </c>
      <c r="F1010" s="65" t="str">
        <f>IF(ISBLANK(Log[[#This Row],[Item]]),"",_xlfn.XLOOKUP(Log[[#This Row],[Item]],Calories[Name],Calories[Cals])*Log[[#This Row],[Qty]])</f>
        <v/>
      </c>
      <c r="G1010" s="71" t="str">
        <f>IF(ISBLANK(Log[[#This Row],[Item]]),"",_xlfn.XLOOKUP(Log[[#This Row],[Item]],Calories[Name],Calories[Carbs])*Log[[#This Row],[Qty]])</f>
        <v/>
      </c>
      <c r="H1010" s="71" t="str">
        <f>IF(ISBLANK(Log[[#This Row],[Item]]),"",_xlfn.XLOOKUP(Log[[#This Row],[Item]],Calories[Name],Calories[Fibre])*Log[[#This Row],[Qty]])</f>
        <v/>
      </c>
      <c r="I1010" s="71" t="str">
        <f>IF(ISBLANK(Log[[#This Row],[Item]]),"",(Log[[#This Row],[Carbs]]-Log[[#This Row],[Fibre]]))</f>
        <v/>
      </c>
      <c r="J1010" s="103" t="str">
        <f>IF(ISBLANK(Log[[#This Row],[Item]]),"",_xlfn.XLOOKUP(Log[[#This Row],[Item]],Calories[Name],Calories[Sodium])*Log[[#This Row],[Qty]])</f>
        <v/>
      </c>
      <c r="K1010" s="71" t="str">
        <f>IF(ISBLANK(Log[[#This Row],[Item]]),"",_xlfn.XLOOKUP(Log[[#This Row],[Item]],Calories[Name],Calories[Protein])*Log[[#This Row],[Qty]])</f>
        <v/>
      </c>
      <c r="L1010" s="71" t="str">
        <f>IF(ISBLANK(Log[[#This Row],[Item]]),"",_xlfn.XLOOKUP(Log[[#This Row],[Item]],Calories[Name],Calories[Chol.])*Log[[#This Row],[Qty]])</f>
        <v/>
      </c>
      <c r="M1010" s="75"/>
      <c r="N1010" s="75"/>
      <c r="O1010" s="75"/>
    </row>
    <row r="1011" spans="1:15" s="66" customFormat="1" ht="25.15" customHeight="1">
      <c r="A1011" s="75"/>
      <c r="B1011" s="98"/>
      <c r="C1011" s="78"/>
      <c r="D1011" s="79"/>
      <c r="E1011" s="76" t="str">
        <f>IF(ISBLANK(Log[[#This Row],[Item]]),"",_xlfn.XLOOKUP(Log[[#This Row],[Item]],Calories[Name],Calories[Unit]))</f>
        <v/>
      </c>
      <c r="F1011" s="65" t="str">
        <f>IF(ISBLANK(Log[[#This Row],[Item]]),"",_xlfn.XLOOKUP(Log[[#This Row],[Item]],Calories[Name],Calories[Cals])*Log[[#This Row],[Qty]])</f>
        <v/>
      </c>
      <c r="G1011" s="71" t="str">
        <f>IF(ISBLANK(Log[[#This Row],[Item]]),"",_xlfn.XLOOKUP(Log[[#This Row],[Item]],Calories[Name],Calories[Carbs])*Log[[#This Row],[Qty]])</f>
        <v/>
      </c>
      <c r="H1011" s="71" t="str">
        <f>IF(ISBLANK(Log[[#This Row],[Item]]),"",_xlfn.XLOOKUP(Log[[#This Row],[Item]],Calories[Name],Calories[Fibre])*Log[[#This Row],[Qty]])</f>
        <v/>
      </c>
      <c r="I1011" s="71" t="str">
        <f>IF(ISBLANK(Log[[#This Row],[Item]]),"",(Log[[#This Row],[Carbs]]-Log[[#This Row],[Fibre]]))</f>
        <v/>
      </c>
      <c r="J1011" s="103" t="str">
        <f>IF(ISBLANK(Log[[#This Row],[Item]]),"",_xlfn.XLOOKUP(Log[[#This Row],[Item]],Calories[Name],Calories[Sodium])*Log[[#This Row],[Qty]])</f>
        <v/>
      </c>
      <c r="K1011" s="71" t="str">
        <f>IF(ISBLANK(Log[[#This Row],[Item]]),"",_xlfn.XLOOKUP(Log[[#This Row],[Item]],Calories[Name],Calories[Protein])*Log[[#This Row],[Qty]])</f>
        <v/>
      </c>
      <c r="L1011" s="71" t="str">
        <f>IF(ISBLANK(Log[[#This Row],[Item]]),"",_xlfn.XLOOKUP(Log[[#This Row],[Item]],Calories[Name],Calories[Chol.])*Log[[#This Row],[Qty]])</f>
        <v/>
      </c>
      <c r="M1011" s="75"/>
      <c r="N1011" s="75"/>
      <c r="O1011" s="75"/>
    </row>
    <row r="1012" spans="1:15" s="66" customFormat="1" ht="25.15" customHeight="1">
      <c r="A1012" s="75"/>
      <c r="B1012" s="98"/>
      <c r="C1012" s="78"/>
      <c r="D1012" s="79"/>
      <c r="E1012" s="76" t="str">
        <f>IF(ISBLANK(Log[[#This Row],[Item]]),"",_xlfn.XLOOKUP(Log[[#This Row],[Item]],Calories[Name],Calories[Unit]))</f>
        <v/>
      </c>
      <c r="F1012" s="65" t="str">
        <f>IF(ISBLANK(Log[[#This Row],[Item]]),"",_xlfn.XLOOKUP(Log[[#This Row],[Item]],Calories[Name],Calories[Cals])*Log[[#This Row],[Qty]])</f>
        <v/>
      </c>
      <c r="G1012" s="71" t="str">
        <f>IF(ISBLANK(Log[[#This Row],[Item]]),"",_xlfn.XLOOKUP(Log[[#This Row],[Item]],Calories[Name],Calories[Carbs])*Log[[#This Row],[Qty]])</f>
        <v/>
      </c>
      <c r="H1012" s="71" t="str">
        <f>IF(ISBLANK(Log[[#This Row],[Item]]),"",_xlfn.XLOOKUP(Log[[#This Row],[Item]],Calories[Name],Calories[Fibre])*Log[[#This Row],[Qty]])</f>
        <v/>
      </c>
      <c r="I1012" s="71" t="str">
        <f>IF(ISBLANK(Log[[#This Row],[Item]]),"",(Log[[#This Row],[Carbs]]-Log[[#This Row],[Fibre]]))</f>
        <v/>
      </c>
      <c r="J1012" s="103" t="str">
        <f>IF(ISBLANK(Log[[#This Row],[Item]]),"",_xlfn.XLOOKUP(Log[[#This Row],[Item]],Calories[Name],Calories[Sodium])*Log[[#This Row],[Qty]])</f>
        <v/>
      </c>
      <c r="K1012" s="71" t="str">
        <f>IF(ISBLANK(Log[[#This Row],[Item]]),"",_xlfn.XLOOKUP(Log[[#This Row],[Item]],Calories[Name],Calories[Protein])*Log[[#This Row],[Qty]])</f>
        <v/>
      </c>
      <c r="L1012" s="71" t="str">
        <f>IF(ISBLANK(Log[[#This Row],[Item]]),"",_xlfn.XLOOKUP(Log[[#This Row],[Item]],Calories[Name],Calories[Chol.])*Log[[#This Row],[Qty]])</f>
        <v/>
      </c>
      <c r="M1012" s="75"/>
      <c r="N1012" s="75"/>
      <c r="O1012" s="75"/>
    </row>
    <row r="1013" spans="1:15" s="66" customFormat="1" ht="25.15" customHeight="1">
      <c r="A1013" s="75"/>
      <c r="B1013" s="98"/>
      <c r="C1013" s="78"/>
      <c r="D1013" s="79"/>
      <c r="E1013" s="76" t="str">
        <f>IF(ISBLANK(Log[[#This Row],[Item]]),"",_xlfn.XLOOKUP(Log[[#This Row],[Item]],Calories[Name],Calories[Unit]))</f>
        <v/>
      </c>
      <c r="F1013" s="65" t="str">
        <f>IF(ISBLANK(Log[[#This Row],[Item]]),"",_xlfn.XLOOKUP(Log[[#This Row],[Item]],Calories[Name],Calories[Cals])*Log[[#This Row],[Qty]])</f>
        <v/>
      </c>
      <c r="G1013" s="71" t="str">
        <f>IF(ISBLANK(Log[[#This Row],[Item]]),"",_xlfn.XLOOKUP(Log[[#This Row],[Item]],Calories[Name],Calories[Carbs])*Log[[#This Row],[Qty]])</f>
        <v/>
      </c>
      <c r="H1013" s="71" t="str">
        <f>IF(ISBLANK(Log[[#This Row],[Item]]),"",_xlfn.XLOOKUP(Log[[#This Row],[Item]],Calories[Name],Calories[Fibre])*Log[[#This Row],[Qty]])</f>
        <v/>
      </c>
      <c r="I1013" s="71" t="str">
        <f>IF(ISBLANK(Log[[#This Row],[Item]]),"",(Log[[#This Row],[Carbs]]-Log[[#This Row],[Fibre]]))</f>
        <v/>
      </c>
      <c r="J1013" s="103" t="str">
        <f>IF(ISBLANK(Log[[#This Row],[Item]]),"",_xlfn.XLOOKUP(Log[[#This Row],[Item]],Calories[Name],Calories[Sodium])*Log[[#This Row],[Qty]])</f>
        <v/>
      </c>
      <c r="K1013" s="71" t="str">
        <f>IF(ISBLANK(Log[[#This Row],[Item]]),"",_xlfn.XLOOKUP(Log[[#This Row],[Item]],Calories[Name],Calories[Protein])*Log[[#This Row],[Qty]])</f>
        <v/>
      </c>
      <c r="L1013" s="71" t="str">
        <f>IF(ISBLANK(Log[[#This Row],[Item]]),"",_xlfn.XLOOKUP(Log[[#This Row],[Item]],Calories[Name],Calories[Chol.])*Log[[#This Row],[Qty]])</f>
        <v/>
      </c>
      <c r="M1013" s="75"/>
      <c r="N1013" s="75"/>
      <c r="O1013" s="75"/>
    </row>
    <row r="1014" spans="1:15" s="66" customFormat="1" ht="25.15" customHeight="1">
      <c r="A1014" s="75"/>
      <c r="B1014" s="98"/>
      <c r="C1014" s="78"/>
      <c r="D1014" s="79"/>
      <c r="E1014" s="76" t="str">
        <f>IF(ISBLANK(Log[[#This Row],[Item]]),"",_xlfn.XLOOKUP(Log[[#This Row],[Item]],Calories[Name],Calories[Unit]))</f>
        <v/>
      </c>
      <c r="F1014" s="65" t="str">
        <f>IF(ISBLANK(Log[[#This Row],[Item]]),"",_xlfn.XLOOKUP(Log[[#This Row],[Item]],Calories[Name],Calories[Cals])*Log[[#This Row],[Qty]])</f>
        <v/>
      </c>
      <c r="G1014" s="71" t="str">
        <f>IF(ISBLANK(Log[[#This Row],[Item]]),"",_xlfn.XLOOKUP(Log[[#This Row],[Item]],Calories[Name],Calories[Carbs])*Log[[#This Row],[Qty]])</f>
        <v/>
      </c>
      <c r="H1014" s="71" t="str">
        <f>IF(ISBLANK(Log[[#This Row],[Item]]),"",_xlfn.XLOOKUP(Log[[#This Row],[Item]],Calories[Name],Calories[Fibre])*Log[[#This Row],[Qty]])</f>
        <v/>
      </c>
      <c r="I1014" s="71" t="str">
        <f>IF(ISBLANK(Log[[#This Row],[Item]]),"",(Log[[#This Row],[Carbs]]-Log[[#This Row],[Fibre]]))</f>
        <v/>
      </c>
      <c r="J1014" s="103" t="str">
        <f>IF(ISBLANK(Log[[#This Row],[Item]]),"",_xlfn.XLOOKUP(Log[[#This Row],[Item]],Calories[Name],Calories[Sodium])*Log[[#This Row],[Qty]])</f>
        <v/>
      </c>
      <c r="K1014" s="71" t="str">
        <f>IF(ISBLANK(Log[[#This Row],[Item]]),"",_xlfn.XLOOKUP(Log[[#This Row],[Item]],Calories[Name],Calories[Protein])*Log[[#This Row],[Qty]])</f>
        <v/>
      </c>
      <c r="L1014" s="71" t="str">
        <f>IF(ISBLANK(Log[[#This Row],[Item]]),"",_xlfn.XLOOKUP(Log[[#This Row],[Item]],Calories[Name],Calories[Chol.])*Log[[#This Row],[Qty]])</f>
        <v/>
      </c>
      <c r="M1014" s="75"/>
      <c r="N1014" s="75"/>
      <c r="O1014" s="75"/>
    </row>
    <row r="1015" spans="1:15" s="66" customFormat="1" ht="25.15" customHeight="1">
      <c r="A1015" s="75"/>
      <c r="B1015" s="98"/>
      <c r="C1015" s="78"/>
      <c r="D1015" s="79"/>
      <c r="E1015" s="76" t="str">
        <f>IF(ISBLANK(Log[[#This Row],[Item]]),"",_xlfn.XLOOKUP(Log[[#This Row],[Item]],Calories[Name],Calories[Unit]))</f>
        <v/>
      </c>
      <c r="F1015" s="65" t="str">
        <f>IF(ISBLANK(Log[[#This Row],[Item]]),"",_xlfn.XLOOKUP(Log[[#This Row],[Item]],Calories[Name],Calories[Cals])*Log[[#This Row],[Qty]])</f>
        <v/>
      </c>
      <c r="G1015" s="71" t="str">
        <f>IF(ISBLANK(Log[[#This Row],[Item]]),"",_xlfn.XLOOKUP(Log[[#This Row],[Item]],Calories[Name],Calories[Carbs])*Log[[#This Row],[Qty]])</f>
        <v/>
      </c>
      <c r="H1015" s="71" t="str">
        <f>IF(ISBLANK(Log[[#This Row],[Item]]),"",_xlfn.XLOOKUP(Log[[#This Row],[Item]],Calories[Name],Calories[Fibre])*Log[[#This Row],[Qty]])</f>
        <v/>
      </c>
      <c r="I1015" s="71" t="str">
        <f>IF(ISBLANK(Log[[#This Row],[Item]]),"",(Log[[#This Row],[Carbs]]-Log[[#This Row],[Fibre]]))</f>
        <v/>
      </c>
      <c r="J1015" s="103" t="str">
        <f>IF(ISBLANK(Log[[#This Row],[Item]]),"",_xlfn.XLOOKUP(Log[[#This Row],[Item]],Calories[Name],Calories[Sodium])*Log[[#This Row],[Qty]])</f>
        <v/>
      </c>
      <c r="K1015" s="71" t="str">
        <f>IF(ISBLANK(Log[[#This Row],[Item]]),"",_xlfn.XLOOKUP(Log[[#This Row],[Item]],Calories[Name],Calories[Protein])*Log[[#This Row],[Qty]])</f>
        <v/>
      </c>
      <c r="L1015" s="71" t="str">
        <f>IF(ISBLANK(Log[[#This Row],[Item]]),"",_xlfn.XLOOKUP(Log[[#This Row],[Item]],Calories[Name],Calories[Chol.])*Log[[#This Row],[Qty]])</f>
        <v/>
      </c>
      <c r="M1015" s="75"/>
      <c r="N1015" s="75"/>
      <c r="O1015" s="75"/>
    </row>
    <row r="1016" spans="1:15" s="66" customFormat="1" ht="25.15" customHeight="1">
      <c r="A1016" s="75"/>
      <c r="B1016" s="98"/>
      <c r="C1016" s="78"/>
      <c r="D1016" s="79"/>
      <c r="E1016" s="76" t="str">
        <f>IF(ISBLANK(Log[[#This Row],[Item]]),"",_xlfn.XLOOKUP(Log[[#This Row],[Item]],Calories[Name],Calories[Unit]))</f>
        <v/>
      </c>
      <c r="F1016" s="65" t="str">
        <f>IF(ISBLANK(Log[[#This Row],[Item]]),"",_xlfn.XLOOKUP(Log[[#This Row],[Item]],Calories[Name],Calories[Cals])*Log[[#This Row],[Qty]])</f>
        <v/>
      </c>
      <c r="G1016" s="71" t="str">
        <f>IF(ISBLANK(Log[[#This Row],[Item]]),"",_xlfn.XLOOKUP(Log[[#This Row],[Item]],Calories[Name],Calories[Carbs])*Log[[#This Row],[Qty]])</f>
        <v/>
      </c>
      <c r="H1016" s="71" t="str">
        <f>IF(ISBLANK(Log[[#This Row],[Item]]),"",_xlfn.XLOOKUP(Log[[#This Row],[Item]],Calories[Name],Calories[Fibre])*Log[[#This Row],[Qty]])</f>
        <v/>
      </c>
      <c r="I1016" s="71" t="str">
        <f>IF(ISBLANK(Log[[#This Row],[Item]]),"",(Log[[#This Row],[Carbs]]-Log[[#This Row],[Fibre]]))</f>
        <v/>
      </c>
      <c r="J1016" s="103" t="str">
        <f>IF(ISBLANK(Log[[#This Row],[Item]]),"",_xlfn.XLOOKUP(Log[[#This Row],[Item]],Calories[Name],Calories[Sodium])*Log[[#This Row],[Qty]])</f>
        <v/>
      </c>
      <c r="K1016" s="71" t="str">
        <f>IF(ISBLANK(Log[[#This Row],[Item]]),"",_xlfn.XLOOKUP(Log[[#This Row],[Item]],Calories[Name],Calories[Protein])*Log[[#This Row],[Qty]])</f>
        <v/>
      </c>
      <c r="L1016" s="71" t="str">
        <f>IF(ISBLANK(Log[[#This Row],[Item]]),"",_xlfn.XLOOKUP(Log[[#This Row],[Item]],Calories[Name],Calories[Chol.])*Log[[#This Row],[Qty]])</f>
        <v/>
      </c>
      <c r="M1016" s="75"/>
      <c r="N1016" s="75"/>
      <c r="O1016" s="75"/>
    </row>
    <row r="1017" spans="1:15" s="66" customFormat="1" ht="25.15" customHeight="1">
      <c r="A1017" s="75"/>
      <c r="B1017" s="98"/>
      <c r="C1017" s="78"/>
      <c r="D1017" s="79"/>
      <c r="E1017" s="76" t="str">
        <f>IF(ISBLANK(Log[[#This Row],[Item]]),"",_xlfn.XLOOKUP(Log[[#This Row],[Item]],Calories[Name],Calories[Unit]))</f>
        <v/>
      </c>
      <c r="F1017" s="65" t="str">
        <f>IF(ISBLANK(Log[[#This Row],[Item]]),"",_xlfn.XLOOKUP(Log[[#This Row],[Item]],Calories[Name],Calories[Cals])*Log[[#This Row],[Qty]])</f>
        <v/>
      </c>
      <c r="G1017" s="71" t="str">
        <f>IF(ISBLANK(Log[[#This Row],[Item]]),"",_xlfn.XLOOKUP(Log[[#This Row],[Item]],Calories[Name],Calories[Carbs])*Log[[#This Row],[Qty]])</f>
        <v/>
      </c>
      <c r="H1017" s="71" t="str">
        <f>IF(ISBLANK(Log[[#This Row],[Item]]),"",_xlfn.XLOOKUP(Log[[#This Row],[Item]],Calories[Name],Calories[Fibre])*Log[[#This Row],[Qty]])</f>
        <v/>
      </c>
      <c r="I1017" s="71" t="str">
        <f>IF(ISBLANK(Log[[#This Row],[Item]]),"",(Log[[#This Row],[Carbs]]-Log[[#This Row],[Fibre]]))</f>
        <v/>
      </c>
      <c r="J1017" s="103" t="str">
        <f>IF(ISBLANK(Log[[#This Row],[Item]]),"",_xlfn.XLOOKUP(Log[[#This Row],[Item]],Calories[Name],Calories[Sodium])*Log[[#This Row],[Qty]])</f>
        <v/>
      </c>
      <c r="K1017" s="71" t="str">
        <f>IF(ISBLANK(Log[[#This Row],[Item]]),"",_xlfn.XLOOKUP(Log[[#This Row],[Item]],Calories[Name],Calories[Protein])*Log[[#This Row],[Qty]])</f>
        <v/>
      </c>
      <c r="L1017" s="71" t="str">
        <f>IF(ISBLANK(Log[[#This Row],[Item]]),"",_xlfn.XLOOKUP(Log[[#This Row],[Item]],Calories[Name],Calories[Chol.])*Log[[#This Row],[Qty]])</f>
        <v/>
      </c>
      <c r="M1017" s="75"/>
      <c r="N1017" s="75"/>
      <c r="O1017" s="75"/>
    </row>
    <row r="1018" spans="1:15" s="66" customFormat="1" ht="25.15" customHeight="1">
      <c r="A1018" s="75"/>
      <c r="B1018" s="98"/>
      <c r="C1018" s="78"/>
      <c r="D1018" s="79"/>
      <c r="E1018" s="76" t="str">
        <f>IF(ISBLANK(Log[[#This Row],[Item]]),"",_xlfn.XLOOKUP(Log[[#This Row],[Item]],Calories[Name],Calories[Unit]))</f>
        <v/>
      </c>
      <c r="F1018" s="65" t="str">
        <f>IF(ISBLANK(Log[[#This Row],[Item]]),"",_xlfn.XLOOKUP(Log[[#This Row],[Item]],Calories[Name],Calories[Cals])*Log[[#This Row],[Qty]])</f>
        <v/>
      </c>
      <c r="G1018" s="71" t="str">
        <f>IF(ISBLANK(Log[[#This Row],[Item]]),"",_xlfn.XLOOKUP(Log[[#This Row],[Item]],Calories[Name],Calories[Carbs])*Log[[#This Row],[Qty]])</f>
        <v/>
      </c>
      <c r="H1018" s="71" t="str">
        <f>IF(ISBLANK(Log[[#This Row],[Item]]),"",_xlfn.XLOOKUP(Log[[#This Row],[Item]],Calories[Name],Calories[Fibre])*Log[[#This Row],[Qty]])</f>
        <v/>
      </c>
      <c r="I1018" s="71" t="str">
        <f>IF(ISBLANK(Log[[#This Row],[Item]]),"",(Log[[#This Row],[Carbs]]-Log[[#This Row],[Fibre]]))</f>
        <v/>
      </c>
      <c r="J1018" s="103" t="str">
        <f>IF(ISBLANK(Log[[#This Row],[Item]]),"",_xlfn.XLOOKUP(Log[[#This Row],[Item]],Calories[Name],Calories[Sodium])*Log[[#This Row],[Qty]])</f>
        <v/>
      </c>
      <c r="K1018" s="71" t="str">
        <f>IF(ISBLANK(Log[[#This Row],[Item]]),"",_xlfn.XLOOKUP(Log[[#This Row],[Item]],Calories[Name],Calories[Protein])*Log[[#This Row],[Qty]])</f>
        <v/>
      </c>
      <c r="L1018" s="71" t="str">
        <f>IF(ISBLANK(Log[[#This Row],[Item]]),"",_xlfn.XLOOKUP(Log[[#This Row],[Item]],Calories[Name],Calories[Chol.])*Log[[#This Row],[Qty]])</f>
        <v/>
      </c>
      <c r="M1018" s="75"/>
      <c r="N1018" s="75"/>
      <c r="O1018" s="75"/>
    </row>
    <row r="1019" spans="1:15" s="66" customFormat="1" ht="25.15" customHeight="1">
      <c r="A1019" s="75"/>
      <c r="B1019" s="98"/>
      <c r="C1019" s="78"/>
      <c r="D1019" s="79"/>
      <c r="E1019" s="76" t="str">
        <f>IF(ISBLANK(Log[[#This Row],[Item]]),"",_xlfn.XLOOKUP(Log[[#This Row],[Item]],Calories[Name],Calories[Unit]))</f>
        <v/>
      </c>
      <c r="F1019" s="65" t="str">
        <f>IF(ISBLANK(Log[[#This Row],[Item]]),"",_xlfn.XLOOKUP(Log[[#This Row],[Item]],Calories[Name],Calories[Cals])*Log[[#This Row],[Qty]])</f>
        <v/>
      </c>
      <c r="G1019" s="71" t="str">
        <f>IF(ISBLANK(Log[[#This Row],[Item]]),"",_xlfn.XLOOKUP(Log[[#This Row],[Item]],Calories[Name],Calories[Carbs])*Log[[#This Row],[Qty]])</f>
        <v/>
      </c>
      <c r="H1019" s="71" t="str">
        <f>IF(ISBLANK(Log[[#This Row],[Item]]),"",_xlfn.XLOOKUP(Log[[#This Row],[Item]],Calories[Name],Calories[Fibre])*Log[[#This Row],[Qty]])</f>
        <v/>
      </c>
      <c r="I1019" s="71" t="str">
        <f>IF(ISBLANK(Log[[#This Row],[Item]]),"",(Log[[#This Row],[Carbs]]-Log[[#This Row],[Fibre]]))</f>
        <v/>
      </c>
      <c r="J1019" s="103" t="str">
        <f>IF(ISBLANK(Log[[#This Row],[Item]]),"",_xlfn.XLOOKUP(Log[[#This Row],[Item]],Calories[Name],Calories[Sodium])*Log[[#This Row],[Qty]])</f>
        <v/>
      </c>
      <c r="K1019" s="71" t="str">
        <f>IF(ISBLANK(Log[[#This Row],[Item]]),"",_xlfn.XLOOKUP(Log[[#This Row],[Item]],Calories[Name],Calories[Protein])*Log[[#This Row],[Qty]])</f>
        <v/>
      </c>
      <c r="L1019" s="71" t="str">
        <f>IF(ISBLANK(Log[[#This Row],[Item]]),"",_xlfn.XLOOKUP(Log[[#This Row],[Item]],Calories[Name],Calories[Chol.])*Log[[#This Row],[Qty]])</f>
        <v/>
      </c>
      <c r="M1019" s="75"/>
      <c r="N1019" s="75"/>
      <c r="O1019" s="75"/>
    </row>
    <row r="1020" spans="1:15" s="66" customFormat="1" ht="25.15" customHeight="1">
      <c r="A1020" s="75"/>
      <c r="B1020" s="98"/>
      <c r="C1020" s="78"/>
      <c r="D1020" s="79"/>
      <c r="E1020" s="76" t="str">
        <f>IF(ISBLANK(Log[[#This Row],[Item]]),"",_xlfn.XLOOKUP(Log[[#This Row],[Item]],Calories[Name],Calories[Unit]))</f>
        <v/>
      </c>
      <c r="F1020" s="65" t="str">
        <f>IF(ISBLANK(Log[[#This Row],[Item]]),"",_xlfn.XLOOKUP(Log[[#This Row],[Item]],Calories[Name],Calories[Cals])*Log[[#This Row],[Qty]])</f>
        <v/>
      </c>
      <c r="G1020" s="71" t="str">
        <f>IF(ISBLANK(Log[[#This Row],[Item]]),"",_xlfn.XLOOKUP(Log[[#This Row],[Item]],Calories[Name],Calories[Carbs])*Log[[#This Row],[Qty]])</f>
        <v/>
      </c>
      <c r="H1020" s="71" t="str">
        <f>IF(ISBLANK(Log[[#This Row],[Item]]),"",_xlfn.XLOOKUP(Log[[#This Row],[Item]],Calories[Name],Calories[Fibre])*Log[[#This Row],[Qty]])</f>
        <v/>
      </c>
      <c r="I1020" s="71" t="str">
        <f>IF(ISBLANK(Log[[#This Row],[Item]]),"",(Log[[#This Row],[Carbs]]-Log[[#This Row],[Fibre]]))</f>
        <v/>
      </c>
      <c r="J1020" s="103" t="str">
        <f>IF(ISBLANK(Log[[#This Row],[Item]]),"",_xlfn.XLOOKUP(Log[[#This Row],[Item]],Calories[Name],Calories[Sodium])*Log[[#This Row],[Qty]])</f>
        <v/>
      </c>
      <c r="K1020" s="71" t="str">
        <f>IF(ISBLANK(Log[[#This Row],[Item]]),"",_xlfn.XLOOKUP(Log[[#This Row],[Item]],Calories[Name],Calories[Protein])*Log[[#This Row],[Qty]])</f>
        <v/>
      </c>
      <c r="L1020" s="71" t="str">
        <f>IF(ISBLANK(Log[[#This Row],[Item]]),"",_xlfn.XLOOKUP(Log[[#This Row],[Item]],Calories[Name],Calories[Chol.])*Log[[#This Row],[Qty]])</f>
        <v/>
      </c>
      <c r="M1020" s="75"/>
      <c r="N1020" s="75"/>
      <c r="O1020" s="75"/>
    </row>
    <row r="1021" spans="1:15" s="66" customFormat="1" ht="25.15" customHeight="1">
      <c r="A1021" s="75"/>
      <c r="B1021" s="98"/>
      <c r="C1021" s="78"/>
      <c r="D1021" s="79"/>
      <c r="E1021" s="76" t="str">
        <f>IF(ISBLANK(Log[[#This Row],[Item]]),"",_xlfn.XLOOKUP(Log[[#This Row],[Item]],Calories[Name],Calories[Unit]))</f>
        <v/>
      </c>
      <c r="F1021" s="65" t="str">
        <f>IF(ISBLANK(Log[[#This Row],[Item]]),"",_xlfn.XLOOKUP(Log[[#This Row],[Item]],Calories[Name],Calories[Cals])*Log[[#This Row],[Qty]])</f>
        <v/>
      </c>
      <c r="G1021" s="71" t="str">
        <f>IF(ISBLANK(Log[[#This Row],[Item]]),"",_xlfn.XLOOKUP(Log[[#This Row],[Item]],Calories[Name],Calories[Carbs])*Log[[#This Row],[Qty]])</f>
        <v/>
      </c>
      <c r="H1021" s="71" t="str">
        <f>IF(ISBLANK(Log[[#This Row],[Item]]),"",_xlfn.XLOOKUP(Log[[#This Row],[Item]],Calories[Name],Calories[Fibre])*Log[[#This Row],[Qty]])</f>
        <v/>
      </c>
      <c r="I1021" s="71" t="str">
        <f>IF(ISBLANK(Log[[#This Row],[Item]]),"",(Log[[#This Row],[Carbs]]-Log[[#This Row],[Fibre]]))</f>
        <v/>
      </c>
      <c r="J1021" s="103" t="str">
        <f>IF(ISBLANK(Log[[#This Row],[Item]]),"",_xlfn.XLOOKUP(Log[[#This Row],[Item]],Calories[Name],Calories[Sodium])*Log[[#This Row],[Qty]])</f>
        <v/>
      </c>
      <c r="K1021" s="71" t="str">
        <f>IF(ISBLANK(Log[[#This Row],[Item]]),"",_xlfn.XLOOKUP(Log[[#This Row],[Item]],Calories[Name],Calories[Protein])*Log[[#This Row],[Qty]])</f>
        <v/>
      </c>
      <c r="L1021" s="71" t="str">
        <f>IF(ISBLANK(Log[[#This Row],[Item]]),"",_xlfn.XLOOKUP(Log[[#This Row],[Item]],Calories[Name],Calories[Chol.])*Log[[#This Row],[Qty]])</f>
        <v/>
      </c>
      <c r="M1021" s="75"/>
      <c r="N1021" s="75"/>
      <c r="O1021" s="75"/>
    </row>
    <row r="1022" spans="1:15" s="66" customFormat="1" ht="25.15" customHeight="1">
      <c r="A1022" s="75"/>
      <c r="B1022" s="98"/>
      <c r="C1022" s="78"/>
      <c r="D1022" s="79"/>
      <c r="E1022" s="76" t="str">
        <f>IF(ISBLANK(Log[[#This Row],[Item]]),"",_xlfn.XLOOKUP(Log[[#This Row],[Item]],Calories[Name],Calories[Unit]))</f>
        <v/>
      </c>
      <c r="F1022" s="65" t="str">
        <f>IF(ISBLANK(Log[[#This Row],[Item]]),"",_xlfn.XLOOKUP(Log[[#This Row],[Item]],Calories[Name],Calories[Cals])*Log[[#This Row],[Qty]])</f>
        <v/>
      </c>
      <c r="G1022" s="71" t="str">
        <f>IF(ISBLANK(Log[[#This Row],[Item]]),"",_xlfn.XLOOKUP(Log[[#This Row],[Item]],Calories[Name],Calories[Carbs])*Log[[#This Row],[Qty]])</f>
        <v/>
      </c>
      <c r="H1022" s="71" t="str">
        <f>IF(ISBLANK(Log[[#This Row],[Item]]),"",_xlfn.XLOOKUP(Log[[#This Row],[Item]],Calories[Name],Calories[Fibre])*Log[[#This Row],[Qty]])</f>
        <v/>
      </c>
      <c r="I1022" s="71" t="str">
        <f>IF(ISBLANK(Log[[#This Row],[Item]]),"",(Log[[#This Row],[Carbs]]-Log[[#This Row],[Fibre]]))</f>
        <v/>
      </c>
      <c r="J1022" s="103" t="str">
        <f>IF(ISBLANK(Log[[#This Row],[Item]]),"",_xlfn.XLOOKUP(Log[[#This Row],[Item]],Calories[Name],Calories[Sodium])*Log[[#This Row],[Qty]])</f>
        <v/>
      </c>
      <c r="K1022" s="71" t="str">
        <f>IF(ISBLANK(Log[[#This Row],[Item]]),"",_xlfn.XLOOKUP(Log[[#This Row],[Item]],Calories[Name],Calories[Protein])*Log[[#This Row],[Qty]])</f>
        <v/>
      </c>
      <c r="L1022" s="71" t="str">
        <f>IF(ISBLANK(Log[[#This Row],[Item]]),"",_xlfn.XLOOKUP(Log[[#This Row],[Item]],Calories[Name],Calories[Chol.])*Log[[#This Row],[Qty]])</f>
        <v/>
      </c>
      <c r="M1022" s="75"/>
      <c r="N1022" s="75"/>
      <c r="O1022" s="75"/>
    </row>
    <row r="1023" spans="1:15" s="66" customFormat="1" ht="25.15" customHeight="1">
      <c r="A1023" s="75"/>
      <c r="B1023" s="98"/>
      <c r="C1023" s="78"/>
      <c r="D1023" s="79"/>
      <c r="E1023" s="76" t="str">
        <f>IF(ISBLANK(Log[[#This Row],[Item]]),"",_xlfn.XLOOKUP(Log[[#This Row],[Item]],Calories[Name],Calories[Unit]))</f>
        <v/>
      </c>
      <c r="F1023" s="65" t="str">
        <f>IF(ISBLANK(Log[[#This Row],[Item]]),"",_xlfn.XLOOKUP(Log[[#This Row],[Item]],Calories[Name],Calories[Cals])*Log[[#This Row],[Qty]])</f>
        <v/>
      </c>
      <c r="G1023" s="71" t="str">
        <f>IF(ISBLANK(Log[[#This Row],[Item]]),"",_xlfn.XLOOKUP(Log[[#This Row],[Item]],Calories[Name],Calories[Carbs])*Log[[#This Row],[Qty]])</f>
        <v/>
      </c>
      <c r="H1023" s="71" t="str">
        <f>IF(ISBLANK(Log[[#This Row],[Item]]),"",_xlfn.XLOOKUP(Log[[#This Row],[Item]],Calories[Name],Calories[Fibre])*Log[[#This Row],[Qty]])</f>
        <v/>
      </c>
      <c r="I1023" s="71" t="str">
        <f>IF(ISBLANK(Log[[#This Row],[Item]]),"",(Log[[#This Row],[Carbs]]-Log[[#This Row],[Fibre]]))</f>
        <v/>
      </c>
      <c r="J1023" s="103" t="str">
        <f>IF(ISBLANK(Log[[#This Row],[Item]]),"",_xlfn.XLOOKUP(Log[[#This Row],[Item]],Calories[Name],Calories[Sodium])*Log[[#This Row],[Qty]])</f>
        <v/>
      </c>
      <c r="K1023" s="71" t="str">
        <f>IF(ISBLANK(Log[[#This Row],[Item]]),"",_xlfn.XLOOKUP(Log[[#This Row],[Item]],Calories[Name],Calories[Protein])*Log[[#This Row],[Qty]])</f>
        <v/>
      </c>
      <c r="L1023" s="71" t="str">
        <f>IF(ISBLANK(Log[[#This Row],[Item]]),"",_xlfn.XLOOKUP(Log[[#This Row],[Item]],Calories[Name],Calories[Chol.])*Log[[#This Row],[Qty]])</f>
        <v/>
      </c>
      <c r="M1023" s="75"/>
      <c r="N1023" s="75"/>
      <c r="O1023" s="75"/>
    </row>
    <row r="1024" spans="1:15" s="66" customFormat="1" ht="25.15" customHeight="1">
      <c r="A1024" s="75"/>
      <c r="B1024" s="98"/>
      <c r="C1024" s="78"/>
      <c r="D1024" s="79"/>
      <c r="E1024" s="76" t="str">
        <f>IF(ISBLANK(Log[[#This Row],[Item]]),"",_xlfn.XLOOKUP(Log[[#This Row],[Item]],Calories[Name],Calories[Unit]))</f>
        <v/>
      </c>
      <c r="F1024" s="65" t="str">
        <f>IF(ISBLANK(Log[[#This Row],[Item]]),"",_xlfn.XLOOKUP(Log[[#This Row],[Item]],Calories[Name],Calories[Cals])*Log[[#This Row],[Qty]])</f>
        <v/>
      </c>
      <c r="G1024" s="71" t="str">
        <f>IF(ISBLANK(Log[[#This Row],[Item]]),"",_xlfn.XLOOKUP(Log[[#This Row],[Item]],Calories[Name],Calories[Carbs])*Log[[#This Row],[Qty]])</f>
        <v/>
      </c>
      <c r="H1024" s="71" t="str">
        <f>IF(ISBLANK(Log[[#This Row],[Item]]),"",_xlfn.XLOOKUP(Log[[#This Row],[Item]],Calories[Name],Calories[Fibre])*Log[[#This Row],[Qty]])</f>
        <v/>
      </c>
      <c r="I1024" s="71" t="str">
        <f>IF(ISBLANK(Log[[#This Row],[Item]]),"",(Log[[#This Row],[Carbs]]-Log[[#This Row],[Fibre]]))</f>
        <v/>
      </c>
      <c r="J1024" s="103" t="str">
        <f>IF(ISBLANK(Log[[#This Row],[Item]]),"",_xlfn.XLOOKUP(Log[[#This Row],[Item]],Calories[Name],Calories[Sodium])*Log[[#This Row],[Qty]])</f>
        <v/>
      </c>
      <c r="K1024" s="71" t="str">
        <f>IF(ISBLANK(Log[[#This Row],[Item]]),"",_xlfn.XLOOKUP(Log[[#This Row],[Item]],Calories[Name],Calories[Protein])*Log[[#This Row],[Qty]])</f>
        <v/>
      </c>
      <c r="L1024" s="71" t="str">
        <f>IF(ISBLANK(Log[[#This Row],[Item]]),"",_xlfn.XLOOKUP(Log[[#This Row],[Item]],Calories[Name],Calories[Chol.])*Log[[#This Row],[Qty]])</f>
        <v/>
      </c>
      <c r="M1024" s="75"/>
      <c r="N1024" s="75"/>
      <c r="O1024" s="75"/>
    </row>
    <row r="1025" spans="1:15" s="66" customFormat="1" ht="25.15" customHeight="1">
      <c r="A1025" s="75"/>
      <c r="B1025" s="98"/>
      <c r="C1025" s="78"/>
      <c r="D1025" s="79"/>
      <c r="E1025" s="76" t="str">
        <f>IF(ISBLANK(Log[[#This Row],[Item]]),"",_xlfn.XLOOKUP(Log[[#This Row],[Item]],Calories[Name],Calories[Unit]))</f>
        <v/>
      </c>
      <c r="F1025" s="65" t="str">
        <f>IF(ISBLANK(Log[[#This Row],[Item]]),"",_xlfn.XLOOKUP(Log[[#This Row],[Item]],Calories[Name],Calories[Cals])*Log[[#This Row],[Qty]])</f>
        <v/>
      </c>
      <c r="G1025" s="71" t="str">
        <f>IF(ISBLANK(Log[[#This Row],[Item]]),"",_xlfn.XLOOKUP(Log[[#This Row],[Item]],Calories[Name],Calories[Carbs])*Log[[#This Row],[Qty]])</f>
        <v/>
      </c>
      <c r="H1025" s="71" t="str">
        <f>IF(ISBLANK(Log[[#This Row],[Item]]),"",_xlfn.XLOOKUP(Log[[#This Row],[Item]],Calories[Name],Calories[Fibre])*Log[[#This Row],[Qty]])</f>
        <v/>
      </c>
      <c r="I1025" s="71" t="str">
        <f>IF(ISBLANK(Log[[#This Row],[Item]]),"",(Log[[#This Row],[Carbs]]-Log[[#This Row],[Fibre]]))</f>
        <v/>
      </c>
      <c r="J1025" s="103" t="str">
        <f>IF(ISBLANK(Log[[#This Row],[Item]]),"",_xlfn.XLOOKUP(Log[[#This Row],[Item]],Calories[Name],Calories[Sodium])*Log[[#This Row],[Qty]])</f>
        <v/>
      </c>
      <c r="K1025" s="71" t="str">
        <f>IF(ISBLANK(Log[[#This Row],[Item]]),"",_xlfn.XLOOKUP(Log[[#This Row],[Item]],Calories[Name],Calories[Protein])*Log[[#This Row],[Qty]])</f>
        <v/>
      </c>
      <c r="L1025" s="71" t="str">
        <f>IF(ISBLANK(Log[[#This Row],[Item]]),"",_xlfn.XLOOKUP(Log[[#This Row],[Item]],Calories[Name],Calories[Chol.])*Log[[#This Row],[Qty]])</f>
        <v/>
      </c>
      <c r="M1025" s="75"/>
      <c r="N1025" s="75"/>
      <c r="O1025" s="75"/>
    </row>
    <row r="1026" spans="1:15" s="66" customFormat="1" ht="25.15" customHeight="1">
      <c r="A1026" s="75"/>
      <c r="B1026" s="98"/>
      <c r="C1026" s="78"/>
      <c r="D1026" s="79"/>
      <c r="E1026" s="76" t="str">
        <f>IF(ISBLANK(Log[[#This Row],[Item]]),"",_xlfn.XLOOKUP(Log[[#This Row],[Item]],Calories[Name],Calories[Unit]))</f>
        <v/>
      </c>
      <c r="F1026" s="65" t="str">
        <f>IF(ISBLANK(Log[[#This Row],[Item]]),"",_xlfn.XLOOKUP(Log[[#This Row],[Item]],Calories[Name],Calories[Cals])*Log[[#This Row],[Qty]])</f>
        <v/>
      </c>
      <c r="G1026" s="71" t="str">
        <f>IF(ISBLANK(Log[[#This Row],[Item]]),"",_xlfn.XLOOKUP(Log[[#This Row],[Item]],Calories[Name],Calories[Carbs])*Log[[#This Row],[Qty]])</f>
        <v/>
      </c>
      <c r="H1026" s="71" t="str">
        <f>IF(ISBLANK(Log[[#This Row],[Item]]),"",_xlfn.XLOOKUP(Log[[#This Row],[Item]],Calories[Name],Calories[Fibre])*Log[[#This Row],[Qty]])</f>
        <v/>
      </c>
      <c r="I1026" s="71" t="str">
        <f>IF(ISBLANK(Log[[#This Row],[Item]]),"",(Log[[#This Row],[Carbs]]-Log[[#This Row],[Fibre]]))</f>
        <v/>
      </c>
      <c r="J1026" s="103" t="str">
        <f>IF(ISBLANK(Log[[#This Row],[Item]]),"",_xlfn.XLOOKUP(Log[[#This Row],[Item]],Calories[Name],Calories[Sodium])*Log[[#This Row],[Qty]])</f>
        <v/>
      </c>
      <c r="K1026" s="71" t="str">
        <f>IF(ISBLANK(Log[[#This Row],[Item]]),"",_xlfn.XLOOKUP(Log[[#This Row],[Item]],Calories[Name],Calories[Protein])*Log[[#This Row],[Qty]])</f>
        <v/>
      </c>
      <c r="L1026" s="71" t="str">
        <f>IF(ISBLANK(Log[[#This Row],[Item]]),"",_xlfn.XLOOKUP(Log[[#This Row],[Item]],Calories[Name],Calories[Chol.])*Log[[#This Row],[Qty]])</f>
        <v/>
      </c>
      <c r="M1026" s="75"/>
      <c r="N1026" s="75"/>
      <c r="O1026" s="75"/>
    </row>
    <row r="1027" spans="1:15" s="66" customFormat="1" ht="25.15" customHeight="1">
      <c r="A1027" s="75"/>
      <c r="B1027" s="98"/>
      <c r="C1027" s="78"/>
      <c r="D1027" s="79"/>
      <c r="E1027" s="76" t="str">
        <f>IF(ISBLANK(Log[[#This Row],[Item]]),"",_xlfn.XLOOKUP(Log[[#This Row],[Item]],Calories[Name],Calories[Unit]))</f>
        <v/>
      </c>
      <c r="F1027" s="65" t="str">
        <f>IF(ISBLANK(Log[[#This Row],[Item]]),"",_xlfn.XLOOKUP(Log[[#This Row],[Item]],Calories[Name],Calories[Cals])*Log[[#This Row],[Qty]])</f>
        <v/>
      </c>
      <c r="G1027" s="71" t="str">
        <f>IF(ISBLANK(Log[[#This Row],[Item]]),"",_xlfn.XLOOKUP(Log[[#This Row],[Item]],Calories[Name],Calories[Carbs])*Log[[#This Row],[Qty]])</f>
        <v/>
      </c>
      <c r="H1027" s="71" t="str">
        <f>IF(ISBLANK(Log[[#This Row],[Item]]),"",_xlfn.XLOOKUP(Log[[#This Row],[Item]],Calories[Name],Calories[Fibre])*Log[[#This Row],[Qty]])</f>
        <v/>
      </c>
      <c r="I1027" s="71" t="str">
        <f>IF(ISBLANK(Log[[#This Row],[Item]]),"",(Log[[#This Row],[Carbs]]-Log[[#This Row],[Fibre]]))</f>
        <v/>
      </c>
      <c r="J1027" s="103" t="str">
        <f>IF(ISBLANK(Log[[#This Row],[Item]]),"",_xlfn.XLOOKUP(Log[[#This Row],[Item]],Calories[Name],Calories[Sodium])*Log[[#This Row],[Qty]])</f>
        <v/>
      </c>
      <c r="K1027" s="71" t="str">
        <f>IF(ISBLANK(Log[[#This Row],[Item]]),"",_xlfn.XLOOKUP(Log[[#This Row],[Item]],Calories[Name],Calories[Protein])*Log[[#This Row],[Qty]])</f>
        <v/>
      </c>
      <c r="L1027" s="71" t="str">
        <f>IF(ISBLANK(Log[[#This Row],[Item]]),"",_xlfn.XLOOKUP(Log[[#This Row],[Item]],Calories[Name],Calories[Chol.])*Log[[#This Row],[Qty]])</f>
        <v/>
      </c>
      <c r="M1027" s="75"/>
      <c r="N1027" s="75"/>
      <c r="O1027" s="75"/>
    </row>
    <row r="1028" spans="1:15" s="66" customFormat="1" ht="25.15" customHeight="1">
      <c r="A1028" s="75"/>
      <c r="B1028" s="98"/>
      <c r="C1028" s="78"/>
      <c r="D1028" s="79"/>
      <c r="E1028" s="76" t="str">
        <f>IF(ISBLANK(Log[[#This Row],[Item]]),"",_xlfn.XLOOKUP(Log[[#This Row],[Item]],Calories[Name],Calories[Unit]))</f>
        <v/>
      </c>
      <c r="F1028" s="65" t="str">
        <f>IF(ISBLANK(Log[[#This Row],[Item]]),"",_xlfn.XLOOKUP(Log[[#This Row],[Item]],Calories[Name],Calories[Cals])*Log[[#This Row],[Qty]])</f>
        <v/>
      </c>
      <c r="G1028" s="71" t="str">
        <f>IF(ISBLANK(Log[[#This Row],[Item]]),"",_xlfn.XLOOKUP(Log[[#This Row],[Item]],Calories[Name],Calories[Carbs])*Log[[#This Row],[Qty]])</f>
        <v/>
      </c>
      <c r="H1028" s="71" t="str">
        <f>IF(ISBLANK(Log[[#This Row],[Item]]),"",_xlfn.XLOOKUP(Log[[#This Row],[Item]],Calories[Name],Calories[Fibre])*Log[[#This Row],[Qty]])</f>
        <v/>
      </c>
      <c r="I1028" s="71" t="str">
        <f>IF(ISBLANK(Log[[#This Row],[Item]]),"",(Log[[#This Row],[Carbs]]-Log[[#This Row],[Fibre]]))</f>
        <v/>
      </c>
      <c r="J1028" s="103" t="str">
        <f>IF(ISBLANK(Log[[#This Row],[Item]]),"",_xlfn.XLOOKUP(Log[[#This Row],[Item]],Calories[Name],Calories[Sodium])*Log[[#This Row],[Qty]])</f>
        <v/>
      </c>
      <c r="K1028" s="71" t="str">
        <f>IF(ISBLANK(Log[[#This Row],[Item]]),"",_xlfn.XLOOKUP(Log[[#This Row],[Item]],Calories[Name],Calories[Protein])*Log[[#This Row],[Qty]])</f>
        <v/>
      </c>
      <c r="L1028" s="71" t="str">
        <f>IF(ISBLANK(Log[[#This Row],[Item]]),"",_xlfn.XLOOKUP(Log[[#This Row],[Item]],Calories[Name],Calories[Chol.])*Log[[#This Row],[Qty]])</f>
        <v/>
      </c>
      <c r="M1028" s="75"/>
      <c r="N1028" s="75"/>
      <c r="O1028" s="75"/>
    </row>
    <row r="1029" spans="1:15" s="66" customFormat="1" ht="25.15" customHeight="1">
      <c r="A1029" s="75"/>
      <c r="B1029" s="98"/>
      <c r="C1029" s="78"/>
      <c r="D1029" s="79"/>
      <c r="E1029" s="76" t="str">
        <f>IF(ISBLANK(Log[[#This Row],[Item]]),"",_xlfn.XLOOKUP(Log[[#This Row],[Item]],Calories[Name],Calories[Unit]))</f>
        <v/>
      </c>
      <c r="F1029" s="65" t="str">
        <f>IF(ISBLANK(Log[[#This Row],[Item]]),"",_xlfn.XLOOKUP(Log[[#This Row],[Item]],Calories[Name],Calories[Cals])*Log[[#This Row],[Qty]])</f>
        <v/>
      </c>
      <c r="G1029" s="71" t="str">
        <f>IF(ISBLANK(Log[[#This Row],[Item]]),"",_xlfn.XLOOKUP(Log[[#This Row],[Item]],Calories[Name],Calories[Carbs])*Log[[#This Row],[Qty]])</f>
        <v/>
      </c>
      <c r="H1029" s="71" t="str">
        <f>IF(ISBLANK(Log[[#This Row],[Item]]),"",_xlfn.XLOOKUP(Log[[#This Row],[Item]],Calories[Name],Calories[Fibre])*Log[[#This Row],[Qty]])</f>
        <v/>
      </c>
      <c r="I1029" s="71" t="str">
        <f>IF(ISBLANK(Log[[#This Row],[Item]]),"",(Log[[#This Row],[Carbs]]-Log[[#This Row],[Fibre]]))</f>
        <v/>
      </c>
      <c r="J1029" s="103" t="str">
        <f>IF(ISBLANK(Log[[#This Row],[Item]]),"",_xlfn.XLOOKUP(Log[[#This Row],[Item]],Calories[Name],Calories[Sodium])*Log[[#This Row],[Qty]])</f>
        <v/>
      </c>
      <c r="K1029" s="71" t="str">
        <f>IF(ISBLANK(Log[[#This Row],[Item]]),"",_xlfn.XLOOKUP(Log[[#This Row],[Item]],Calories[Name],Calories[Protein])*Log[[#This Row],[Qty]])</f>
        <v/>
      </c>
      <c r="L1029" s="71" t="str">
        <f>IF(ISBLANK(Log[[#This Row],[Item]]),"",_xlfn.XLOOKUP(Log[[#This Row],[Item]],Calories[Name],Calories[Chol.])*Log[[#This Row],[Qty]])</f>
        <v/>
      </c>
      <c r="M1029" s="75"/>
      <c r="N1029" s="75"/>
      <c r="O1029" s="75"/>
    </row>
    <row r="1030" spans="1:15" s="66" customFormat="1" ht="25.15" customHeight="1">
      <c r="A1030" s="75"/>
      <c r="B1030" s="98"/>
      <c r="C1030" s="78"/>
      <c r="D1030" s="79"/>
      <c r="E1030" s="76" t="str">
        <f>IF(ISBLANK(Log[[#This Row],[Item]]),"",_xlfn.XLOOKUP(Log[[#This Row],[Item]],Calories[Name],Calories[Unit]))</f>
        <v/>
      </c>
      <c r="F1030" s="65" t="str">
        <f>IF(ISBLANK(Log[[#This Row],[Item]]),"",_xlfn.XLOOKUP(Log[[#This Row],[Item]],Calories[Name],Calories[Cals])*Log[[#This Row],[Qty]])</f>
        <v/>
      </c>
      <c r="G1030" s="71" t="str">
        <f>IF(ISBLANK(Log[[#This Row],[Item]]),"",_xlfn.XLOOKUP(Log[[#This Row],[Item]],Calories[Name],Calories[Carbs])*Log[[#This Row],[Qty]])</f>
        <v/>
      </c>
      <c r="H1030" s="71" t="str">
        <f>IF(ISBLANK(Log[[#This Row],[Item]]),"",_xlfn.XLOOKUP(Log[[#This Row],[Item]],Calories[Name],Calories[Fibre])*Log[[#This Row],[Qty]])</f>
        <v/>
      </c>
      <c r="I1030" s="71" t="str">
        <f>IF(ISBLANK(Log[[#This Row],[Item]]),"",(Log[[#This Row],[Carbs]]-Log[[#This Row],[Fibre]]))</f>
        <v/>
      </c>
      <c r="J1030" s="103" t="str">
        <f>IF(ISBLANK(Log[[#This Row],[Item]]),"",_xlfn.XLOOKUP(Log[[#This Row],[Item]],Calories[Name],Calories[Sodium])*Log[[#This Row],[Qty]])</f>
        <v/>
      </c>
      <c r="K1030" s="71" t="str">
        <f>IF(ISBLANK(Log[[#This Row],[Item]]),"",_xlfn.XLOOKUP(Log[[#This Row],[Item]],Calories[Name],Calories[Protein])*Log[[#This Row],[Qty]])</f>
        <v/>
      </c>
      <c r="L1030" s="71" t="str">
        <f>IF(ISBLANK(Log[[#This Row],[Item]]),"",_xlfn.XLOOKUP(Log[[#This Row],[Item]],Calories[Name],Calories[Chol.])*Log[[#This Row],[Qty]])</f>
        <v/>
      </c>
      <c r="M1030" s="75"/>
      <c r="N1030" s="75"/>
      <c r="O1030" s="75"/>
    </row>
    <row r="1031" spans="1:15" s="66" customFormat="1" ht="25.15" customHeight="1">
      <c r="A1031" s="75"/>
      <c r="B1031" s="98"/>
      <c r="C1031" s="78"/>
      <c r="D1031" s="79"/>
      <c r="E1031" s="76" t="str">
        <f>IF(ISBLANK(Log[[#This Row],[Item]]),"",_xlfn.XLOOKUP(Log[[#This Row],[Item]],Calories[Name],Calories[Unit]))</f>
        <v/>
      </c>
      <c r="F1031" s="65" t="str">
        <f>IF(ISBLANK(Log[[#This Row],[Item]]),"",_xlfn.XLOOKUP(Log[[#This Row],[Item]],Calories[Name],Calories[Cals])*Log[[#This Row],[Qty]])</f>
        <v/>
      </c>
      <c r="G1031" s="71" t="str">
        <f>IF(ISBLANK(Log[[#This Row],[Item]]),"",_xlfn.XLOOKUP(Log[[#This Row],[Item]],Calories[Name],Calories[Carbs])*Log[[#This Row],[Qty]])</f>
        <v/>
      </c>
      <c r="H1031" s="71" t="str">
        <f>IF(ISBLANK(Log[[#This Row],[Item]]),"",_xlfn.XLOOKUP(Log[[#This Row],[Item]],Calories[Name],Calories[Fibre])*Log[[#This Row],[Qty]])</f>
        <v/>
      </c>
      <c r="I1031" s="71" t="str">
        <f>IF(ISBLANK(Log[[#This Row],[Item]]),"",(Log[[#This Row],[Carbs]]-Log[[#This Row],[Fibre]]))</f>
        <v/>
      </c>
      <c r="J1031" s="103" t="str">
        <f>IF(ISBLANK(Log[[#This Row],[Item]]),"",_xlfn.XLOOKUP(Log[[#This Row],[Item]],Calories[Name],Calories[Sodium])*Log[[#This Row],[Qty]])</f>
        <v/>
      </c>
      <c r="K1031" s="71" t="str">
        <f>IF(ISBLANK(Log[[#This Row],[Item]]),"",_xlfn.XLOOKUP(Log[[#This Row],[Item]],Calories[Name],Calories[Protein])*Log[[#This Row],[Qty]])</f>
        <v/>
      </c>
      <c r="L1031" s="71" t="str">
        <f>IF(ISBLANK(Log[[#This Row],[Item]]),"",_xlfn.XLOOKUP(Log[[#This Row],[Item]],Calories[Name],Calories[Chol.])*Log[[#This Row],[Qty]])</f>
        <v/>
      </c>
      <c r="M1031" s="75"/>
      <c r="N1031" s="75"/>
      <c r="O1031" s="75"/>
    </row>
    <row r="1032" spans="1:15" s="66" customFormat="1" ht="25.15" customHeight="1">
      <c r="A1032" s="75"/>
      <c r="B1032" s="98"/>
      <c r="C1032" s="78"/>
      <c r="D1032" s="79"/>
      <c r="E1032" s="76" t="str">
        <f>IF(ISBLANK(Log[[#This Row],[Item]]),"",_xlfn.XLOOKUP(Log[[#This Row],[Item]],Calories[Name],Calories[Unit]))</f>
        <v/>
      </c>
      <c r="F1032" s="65" t="str">
        <f>IF(ISBLANK(Log[[#This Row],[Item]]),"",_xlfn.XLOOKUP(Log[[#This Row],[Item]],Calories[Name],Calories[Cals])*Log[[#This Row],[Qty]])</f>
        <v/>
      </c>
      <c r="G1032" s="71" t="str">
        <f>IF(ISBLANK(Log[[#This Row],[Item]]),"",_xlfn.XLOOKUP(Log[[#This Row],[Item]],Calories[Name],Calories[Carbs])*Log[[#This Row],[Qty]])</f>
        <v/>
      </c>
      <c r="H1032" s="71" t="str">
        <f>IF(ISBLANK(Log[[#This Row],[Item]]),"",_xlfn.XLOOKUP(Log[[#This Row],[Item]],Calories[Name],Calories[Fibre])*Log[[#This Row],[Qty]])</f>
        <v/>
      </c>
      <c r="I1032" s="71" t="str">
        <f>IF(ISBLANK(Log[[#This Row],[Item]]),"",(Log[[#This Row],[Carbs]]-Log[[#This Row],[Fibre]]))</f>
        <v/>
      </c>
      <c r="J1032" s="103" t="str">
        <f>IF(ISBLANK(Log[[#This Row],[Item]]),"",_xlfn.XLOOKUP(Log[[#This Row],[Item]],Calories[Name],Calories[Sodium])*Log[[#This Row],[Qty]])</f>
        <v/>
      </c>
      <c r="K1032" s="71" t="str">
        <f>IF(ISBLANK(Log[[#This Row],[Item]]),"",_xlfn.XLOOKUP(Log[[#This Row],[Item]],Calories[Name],Calories[Protein])*Log[[#This Row],[Qty]])</f>
        <v/>
      </c>
      <c r="L1032" s="71" t="str">
        <f>IF(ISBLANK(Log[[#This Row],[Item]]),"",_xlfn.XLOOKUP(Log[[#This Row],[Item]],Calories[Name],Calories[Chol.])*Log[[#This Row],[Qty]])</f>
        <v/>
      </c>
      <c r="M1032" s="75"/>
      <c r="N1032" s="75"/>
      <c r="O1032" s="75"/>
    </row>
    <row r="1033" spans="1:15" s="66" customFormat="1" ht="25.15" customHeight="1">
      <c r="A1033" s="75"/>
      <c r="B1033" s="98"/>
      <c r="C1033" s="78"/>
      <c r="D1033" s="79"/>
      <c r="E1033" s="76" t="str">
        <f>IF(ISBLANK(Log[[#This Row],[Item]]),"",_xlfn.XLOOKUP(Log[[#This Row],[Item]],Calories[Name],Calories[Unit]))</f>
        <v/>
      </c>
      <c r="F1033" s="65" t="str">
        <f>IF(ISBLANK(Log[[#This Row],[Item]]),"",_xlfn.XLOOKUP(Log[[#This Row],[Item]],Calories[Name],Calories[Cals])*Log[[#This Row],[Qty]])</f>
        <v/>
      </c>
      <c r="G1033" s="71" t="str">
        <f>IF(ISBLANK(Log[[#This Row],[Item]]),"",_xlfn.XLOOKUP(Log[[#This Row],[Item]],Calories[Name],Calories[Carbs])*Log[[#This Row],[Qty]])</f>
        <v/>
      </c>
      <c r="H1033" s="71" t="str">
        <f>IF(ISBLANK(Log[[#This Row],[Item]]),"",_xlfn.XLOOKUP(Log[[#This Row],[Item]],Calories[Name],Calories[Fibre])*Log[[#This Row],[Qty]])</f>
        <v/>
      </c>
      <c r="I1033" s="71" t="str">
        <f>IF(ISBLANK(Log[[#This Row],[Item]]),"",(Log[[#This Row],[Carbs]]-Log[[#This Row],[Fibre]]))</f>
        <v/>
      </c>
      <c r="J1033" s="103" t="str">
        <f>IF(ISBLANK(Log[[#This Row],[Item]]),"",_xlfn.XLOOKUP(Log[[#This Row],[Item]],Calories[Name],Calories[Sodium])*Log[[#This Row],[Qty]])</f>
        <v/>
      </c>
      <c r="K1033" s="71" t="str">
        <f>IF(ISBLANK(Log[[#This Row],[Item]]),"",_xlfn.XLOOKUP(Log[[#This Row],[Item]],Calories[Name],Calories[Protein])*Log[[#This Row],[Qty]])</f>
        <v/>
      </c>
      <c r="L1033" s="71" t="str">
        <f>IF(ISBLANK(Log[[#This Row],[Item]]),"",_xlfn.XLOOKUP(Log[[#This Row],[Item]],Calories[Name],Calories[Chol.])*Log[[#This Row],[Qty]])</f>
        <v/>
      </c>
      <c r="M1033" s="75"/>
      <c r="N1033" s="75"/>
      <c r="O1033" s="75"/>
    </row>
    <row r="1034" spans="1:15" s="66" customFormat="1" ht="25.15" customHeight="1">
      <c r="A1034" s="75"/>
      <c r="B1034" s="98"/>
      <c r="C1034" s="78"/>
      <c r="D1034" s="79"/>
      <c r="E1034" s="76" t="str">
        <f>IF(ISBLANK(Log[[#This Row],[Item]]),"",_xlfn.XLOOKUP(Log[[#This Row],[Item]],Calories[Name],Calories[Unit]))</f>
        <v/>
      </c>
      <c r="F1034" s="65" t="str">
        <f>IF(ISBLANK(Log[[#This Row],[Item]]),"",_xlfn.XLOOKUP(Log[[#This Row],[Item]],Calories[Name],Calories[Cals])*Log[[#This Row],[Qty]])</f>
        <v/>
      </c>
      <c r="G1034" s="71" t="str">
        <f>IF(ISBLANK(Log[[#This Row],[Item]]),"",_xlfn.XLOOKUP(Log[[#This Row],[Item]],Calories[Name],Calories[Carbs])*Log[[#This Row],[Qty]])</f>
        <v/>
      </c>
      <c r="H1034" s="71" t="str">
        <f>IF(ISBLANK(Log[[#This Row],[Item]]),"",_xlfn.XLOOKUP(Log[[#This Row],[Item]],Calories[Name],Calories[Fibre])*Log[[#This Row],[Qty]])</f>
        <v/>
      </c>
      <c r="I1034" s="71" t="str">
        <f>IF(ISBLANK(Log[[#This Row],[Item]]),"",(Log[[#This Row],[Carbs]]-Log[[#This Row],[Fibre]]))</f>
        <v/>
      </c>
      <c r="J1034" s="103" t="str">
        <f>IF(ISBLANK(Log[[#This Row],[Item]]),"",_xlfn.XLOOKUP(Log[[#This Row],[Item]],Calories[Name],Calories[Sodium])*Log[[#This Row],[Qty]])</f>
        <v/>
      </c>
      <c r="K1034" s="71" t="str">
        <f>IF(ISBLANK(Log[[#This Row],[Item]]),"",_xlfn.XLOOKUP(Log[[#This Row],[Item]],Calories[Name],Calories[Protein])*Log[[#This Row],[Qty]])</f>
        <v/>
      </c>
      <c r="L1034" s="71" t="str">
        <f>IF(ISBLANK(Log[[#This Row],[Item]]),"",_xlfn.XLOOKUP(Log[[#This Row],[Item]],Calories[Name],Calories[Chol.])*Log[[#This Row],[Qty]])</f>
        <v/>
      </c>
      <c r="M1034" s="75"/>
      <c r="N1034" s="75"/>
      <c r="O1034" s="75"/>
    </row>
    <row r="1035" spans="1:15" s="66" customFormat="1" ht="25.15" customHeight="1">
      <c r="A1035" s="75"/>
      <c r="B1035" s="98"/>
      <c r="C1035" s="78"/>
      <c r="D1035" s="79"/>
      <c r="E1035" s="76" t="str">
        <f>IF(ISBLANK(Log[[#This Row],[Item]]),"",_xlfn.XLOOKUP(Log[[#This Row],[Item]],Calories[Name],Calories[Unit]))</f>
        <v/>
      </c>
      <c r="F1035" s="65" t="str">
        <f>IF(ISBLANK(Log[[#This Row],[Item]]),"",_xlfn.XLOOKUP(Log[[#This Row],[Item]],Calories[Name],Calories[Cals])*Log[[#This Row],[Qty]])</f>
        <v/>
      </c>
      <c r="G1035" s="71" t="str">
        <f>IF(ISBLANK(Log[[#This Row],[Item]]),"",_xlfn.XLOOKUP(Log[[#This Row],[Item]],Calories[Name],Calories[Carbs])*Log[[#This Row],[Qty]])</f>
        <v/>
      </c>
      <c r="H1035" s="71" t="str">
        <f>IF(ISBLANK(Log[[#This Row],[Item]]),"",_xlfn.XLOOKUP(Log[[#This Row],[Item]],Calories[Name],Calories[Fibre])*Log[[#This Row],[Qty]])</f>
        <v/>
      </c>
      <c r="I1035" s="71" t="str">
        <f>IF(ISBLANK(Log[[#This Row],[Item]]),"",(Log[[#This Row],[Carbs]]-Log[[#This Row],[Fibre]]))</f>
        <v/>
      </c>
      <c r="J1035" s="103" t="str">
        <f>IF(ISBLANK(Log[[#This Row],[Item]]),"",_xlfn.XLOOKUP(Log[[#This Row],[Item]],Calories[Name],Calories[Sodium])*Log[[#This Row],[Qty]])</f>
        <v/>
      </c>
      <c r="K1035" s="71" t="str">
        <f>IF(ISBLANK(Log[[#This Row],[Item]]),"",_xlfn.XLOOKUP(Log[[#This Row],[Item]],Calories[Name],Calories[Protein])*Log[[#This Row],[Qty]])</f>
        <v/>
      </c>
      <c r="L1035" s="71" t="str">
        <f>IF(ISBLANK(Log[[#This Row],[Item]]),"",_xlfn.XLOOKUP(Log[[#This Row],[Item]],Calories[Name],Calories[Chol.])*Log[[#This Row],[Qty]])</f>
        <v/>
      </c>
      <c r="M1035" s="75"/>
      <c r="N1035" s="75"/>
      <c r="O1035" s="75"/>
    </row>
    <row r="1036" spans="1:15" s="66" customFormat="1" ht="25.15" customHeight="1">
      <c r="A1036" s="75"/>
      <c r="B1036" s="98"/>
      <c r="C1036" s="78"/>
      <c r="D1036" s="79"/>
      <c r="E1036" s="76" t="str">
        <f>IF(ISBLANK(Log[[#This Row],[Item]]),"",_xlfn.XLOOKUP(Log[[#This Row],[Item]],Calories[Name],Calories[Unit]))</f>
        <v/>
      </c>
      <c r="F1036" s="65" t="str">
        <f>IF(ISBLANK(Log[[#This Row],[Item]]),"",_xlfn.XLOOKUP(Log[[#This Row],[Item]],Calories[Name],Calories[Cals])*Log[[#This Row],[Qty]])</f>
        <v/>
      </c>
      <c r="G1036" s="71" t="str">
        <f>IF(ISBLANK(Log[[#This Row],[Item]]),"",_xlfn.XLOOKUP(Log[[#This Row],[Item]],Calories[Name],Calories[Carbs])*Log[[#This Row],[Qty]])</f>
        <v/>
      </c>
      <c r="H1036" s="71" t="str">
        <f>IF(ISBLANK(Log[[#This Row],[Item]]),"",_xlfn.XLOOKUP(Log[[#This Row],[Item]],Calories[Name],Calories[Fibre])*Log[[#This Row],[Qty]])</f>
        <v/>
      </c>
      <c r="I1036" s="71" t="str">
        <f>IF(ISBLANK(Log[[#This Row],[Item]]),"",(Log[[#This Row],[Carbs]]-Log[[#This Row],[Fibre]]))</f>
        <v/>
      </c>
      <c r="J1036" s="103" t="str">
        <f>IF(ISBLANK(Log[[#This Row],[Item]]),"",_xlfn.XLOOKUP(Log[[#This Row],[Item]],Calories[Name],Calories[Sodium])*Log[[#This Row],[Qty]])</f>
        <v/>
      </c>
      <c r="K1036" s="71" t="str">
        <f>IF(ISBLANK(Log[[#This Row],[Item]]),"",_xlfn.XLOOKUP(Log[[#This Row],[Item]],Calories[Name],Calories[Protein])*Log[[#This Row],[Qty]])</f>
        <v/>
      </c>
      <c r="L1036" s="71" t="str">
        <f>IF(ISBLANK(Log[[#This Row],[Item]]),"",_xlfn.XLOOKUP(Log[[#This Row],[Item]],Calories[Name],Calories[Chol.])*Log[[#This Row],[Qty]])</f>
        <v/>
      </c>
      <c r="M1036" s="75"/>
      <c r="N1036" s="75"/>
      <c r="O1036" s="75"/>
    </row>
    <row r="1037" spans="1:15" s="66" customFormat="1" ht="25.15" customHeight="1">
      <c r="A1037" s="75"/>
      <c r="B1037" s="98"/>
      <c r="C1037" s="78"/>
      <c r="D1037" s="79"/>
      <c r="E1037" s="76" t="str">
        <f>IF(ISBLANK(Log[[#This Row],[Item]]),"",_xlfn.XLOOKUP(Log[[#This Row],[Item]],Calories[Name],Calories[Unit]))</f>
        <v/>
      </c>
      <c r="F1037" s="65" t="str">
        <f>IF(ISBLANK(Log[[#This Row],[Item]]),"",_xlfn.XLOOKUP(Log[[#This Row],[Item]],Calories[Name],Calories[Cals])*Log[[#This Row],[Qty]])</f>
        <v/>
      </c>
      <c r="G1037" s="71" t="str">
        <f>IF(ISBLANK(Log[[#This Row],[Item]]),"",_xlfn.XLOOKUP(Log[[#This Row],[Item]],Calories[Name],Calories[Carbs])*Log[[#This Row],[Qty]])</f>
        <v/>
      </c>
      <c r="H1037" s="71" t="str">
        <f>IF(ISBLANK(Log[[#This Row],[Item]]),"",_xlfn.XLOOKUP(Log[[#This Row],[Item]],Calories[Name],Calories[Fibre])*Log[[#This Row],[Qty]])</f>
        <v/>
      </c>
      <c r="I1037" s="71" t="str">
        <f>IF(ISBLANK(Log[[#This Row],[Item]]),"",(Log[[#This Row],[Carbs]]-Log[[#This Row],[Fibre]]))</f>
        <v/>
      </c>
      <c r="J1037" s="103" t="str">
        <f>IF(ISBLANK(Log[[#This Row],[Item]]),"",_xlfn.XLOOKUP(Log[[#This Row],[Item]],Calories[Name],Calories[Sodium])*Log[[#This Row],[Qty]])</f>
        <v/>
      </c>
      <c r="K1037" s="71" t="str">
        <f>IF(ISBLANK(Log[[#This Row],[Item]]),"",_xlfn.XLOOKUP(Log[[#This Row],[Item]],Calories[Name],Calories[Protein])*Log[[#This Row],[Qty]])</f>
        <v/>
      </c>
      <c r="L1037" s="71" t="str">
        <f>IF(ISBLANK(Log[[#This Row],[Item]]),"",_xlfn.XLOOKUP(Log[[#This Row],[Item]],Calories[Name],Calories[Chol.])*Log[[#This Row],[Qty]])</f>
        <v/>
      </c>
      <c r="M1037" s="75"/>
      <c r="N1037" s="75"/>
      <c r="O1037" s="75"/>
    </row>
    <row r="1038" spans="1:15" s="66" customFormat="1" ht="25.15" customHeight="1">
      <c r="A1038" s="75"/>
      <c r="B1038" s="98"/>
      <c r="C1038" s="78"/>
      <c r="D1038" s="79"/>
      <c r="E1038" s="76" t="str">
        <f>IF(ISBLANK(Log[[#This Row],[Item]]),"",_xlfn.XLOOKUP(Log[[#This Row],[Item]],Calories[Name],Calories[Unit]))</f>
        <v/>
      </c>
      <c r="F1038" s="65" t="str">
        <f>IF(ISBLANK(Log[[#This Row],[Item]]),"",_xlfn.XLOOKUP(Log[[#This Row],[Item]],Calories[Name],Calories[Cals])*Log[[#This Row],[Qty]])</f>
        <v/>
      </c>
      <c r="G1038" s="71" t="str">
        <f>IF(ISBLANK(Log[[#This Row],[Item]]),"",_xlfn.XLOOKUP(Log[[#This Row],[Item]],Calories[Name],Calories[Carbs])*Log[[#This Row],[Qty]])</f>
        <v/>
      </c>
      <c r="H1038" s="71" t="str">
        <f>IF(ISBLANK(Log[[#This Row],[Item]]),"",_xlfn.XLOOKUP(Log[[#This Row],[Item]],Calories[Name],Calories[Fibre])*Log[[#This Row],[Qty]])</f>
        <v/>
      </c>
      <c r="I1038" s="71" t="str">
        <f>IF(ISBLANK(Log[[#This Row],[Item]]),"",(Log[[#This Row],[Carbs]]-Log[[#This Row],[Fibre]]))</f>
        <v/>
      </c>
      <c r="J1038" s="103" t="str">
        <f>IF(ISBLANK(Log[[#This Row],[Item]]),"",_xlfn.XLOOKUP(Log[[#This Row],[Item]],Calories[Name],Calories[Sodium])*Log[[#This Row],[Qty]])</f>
        <v/>
      </c>
      <c r="K1038" s="71" t="str">
        <f>IF(ISBLANK(Log[[#This Row],[Item]]),"",_xlfn.XLOOKUP(Log[[#This Row],[Item]],Calories[Name],Calories[Protein])*Log[[#This Row],[Qty]])</f>
        <v/>
      </c>
      <c r="L1038" s="71" t="str">
        <f>IF(ISBLANK(Log[[#This Row],[Item]]),"",_xlfn.XLOOKUP(Log[[#This Row],[Item]],Calories[Name],Calories[Chol.])*Log[[#This Row],[Qty]])</f>
        <v/>
      </c>
      <c r="M1038" s="75"/>
      <c r="N1038" s="75"/>
      <c r="O1038" s="75"/>
    </row>
    <row r="1039" spans="1:15" s="66" customFormat="1" ht="25.15" customHeight="1">
      <c r="A1039" s="75"/>
      <c r="B1039" s="98"/>
      <c r="C1039" s="78"/>
      <c r="D1039" s="79"/>
      <c r="E1039" s="76" t="str">
        <f>IF(ISBLANK(Log[[#This Row],[Item]]),"",_xlfn.XLOOKUP(Log[[#This Row],[Item]],Calories[Name],Calories[Unit]))</f>
        <v/>
      </c>
      <c r="F1039" s="65" t="str">
        <f>IF(ISBLANK(Log[[#This Row],[Item]]),"",_xlfn.XLOOKUP(Log[[#This Row],[Item]],Calories[Name],Calories[Cals])*Log[[#This Row],[Qty]])</f>
        <v/>
      </c>
      <c r="G1039" s="71" t="str">
        <f>IF(ISBLANK(Log[[#This Row],[Item]]),"",_xlfn.XLOOKUP(Log[[#This Row],[Item]],Calories[Name],Calories[Carbs])*Log[[#This Row],[Qty]])</f>
        <v/>
      </c>
      <c r="H1039" s="71" t="str">
        <f>IF(ISBLANK(Log[[#This Row],[Item]]),"",_xlfn.XLOOKUP(Log[[#This Row],[Item]],Calories[Name],Calories[Fibre])*Log[[#This Row],[Qty]])</f>
        <v/>
      </c>
      <c r="I1039" s="71" t="str">
        <f>IF(ISBLANK(Log[[#This Row],[Item]]),"",(Log[[#This Row],[Carbs]]-Log[[#This Row],[Fibre]]))</f>
        <v/>
      </c>
      <c r="J1039" s="103" t="str">
        <f>IF(ISBLANK(Log[[#This Row],[Item]]),"",_xlfn.XLOOKUP(Log[[#This Row],[Item]],Calories[Name],Calories[Sodium])*Log[[#This Row],[Qty]])</f>
        <v/>
      </c>
      <c r="K1039" s="71" t="str">
        <f>IF(ISBLANK(Log[[#This Row],[Item]]),"",_xlfn.XLOOKUP(Log[[#This Row],[Item]],Calories[Name],Calories[Protein])*Log[[#This Row],[Qty]])</f>
        <v/>
      </c>
      <c r="L1039" s="71" t="str">
        <f>IF(ISBLANK(Log[[#This Row],[Item]]),"",_xlfn.XLOOKUP(Log[[#This Row],[Item]],Calories[Name],Calories[Chol.])*Log[[#This Row],[Qty]])</f>
        <v/>
      </c>
      <c r="M1039" s="75"/>
      <c r="N1039" s="75"/>
      <c r="O1039" s="75"/>
    </row>
    <row r="1040" spans="1:15" s="66" customFormat="1" ht="25.15" customHeight="1">
      <c r="A1040" s="75"/>
      <c r="B1040" s="98"/>
      <c r="C1040" s="78"/>
      <c r="D1040" s="79"/>
      <c r="E1040" s="76" t="str">
        <f>IF(ISBLANK(Log[[#This Row],[Item]]),"",_xlfn.XLOOKUP(Log[[#This Row],[Item]],Calories[Name],Calories[Unit]))</f>
        <v/>
      </c>
      <c r="F1040" s="65" t="str">
        <f>IF(ISBLANK(Log[[#This Row],[Item]]),"",_xlfn.XLOOKUP(Log[[#This Row],[Item]],Calories[Name],Calories[Cals])*Log[[#This Row],[Qty]])</f>
        <v/>
      </c>
      <c r="G1040" s="71" t="str">
        <f>IF(ISBLANK(Log[[#This Row],[Item]]),"",_xlfn.XLOOKUP(Log[[#This Row],[Item]],Calories[Name],Calories[Carbs])*Log[[#This Row],[Qty]])</f>
        <v/>
      </c>
      <c r="H1040" s="71" t="str">
        <f>IF(ISBLANK(Log[[#This Row],[Item]]),"",_xlfn.XLOOKUP(Log[[#This Row],[Item]],Calories[Name],Calories[Fibre])*Log[[#This Row],[Qty]])</f>
        <v/>
      </c>
      <c r="I1040" s="71" t="str">
        <f>IF(ISBLANK(Log[[#This Row],[Item]]),"",(Log[[#This Row],[Carbs]]-Log[[#This Row],[Fibre]]))</f>
        <v/>
      </c>
      <c r="J1040" s="103" t="str">
        <f>IF(ISBLANK(Log[[#This Row],[Item]]),"",_xlfn.XLOOKUP(Log[[#This Row],[Item]],Calories[Name],Calories[Sodium])*Log[[#This Row],[Qty]])</f>
        <v/>
      </c>
      <c r="K1040" s="71" t="str">
        <f>IF(ISBLANK(Log[[#This Row],[Item]]),"",_xlfn.XLOOKUP(Log[[#This Row],[Item]],Calories[Name],Calories[Protein])*Log[[#This Row],[Qty]])</f>
        <v/>
      </c>
      <c r="L1040" s="71" t="str">
        <f>IF(ISBLANK(Log[[#This Row],[Item]]),"",_xlfn.XLOOKUP(Log[[#This Row],[Item]],Calories[Name],Calories[Chol.])*Log[[#This Row],[Qty]])</f>
        <v/>
      </c>
      <c r="M1040" s="75"/>
      <c r="N1040" s="75"/>
      <c r="O1040" s="75"/>
    </row>
    <row r="1041" spans="1:15" s="66" customFormat="1" ht="25.15" customHeight="1">
      <c r="A1041" s="75"/>
      <c r="B1041" s="98"/>
      <c r="C1041" s="78"/>
      <c r="D1041" s="79"/>
      <c r="E1041" s="76" t="str">
        <f>IF(ISBLANK(Log[[#This Row],[Item]]),"",_xlfn.XLOOKUP(Log[[#This Row],[Item]],Calories[Name],Calories[Unit]))</f>
        <v/>
      </c>
      <c r="F1041" s="65" t="str">
        <f>IF(ISBLANK(Log[[#This Row],[Item]]),"",_xlfn.XLOOKUP(Log[[#This Row],[Item]],Calories[Name],Calories[Cals])*Log[[#This Row],[Qty]])</f>
        <v/>
      </c>
      <c r="G1041" s="71" t="str">
        <f>IF(ISBLANK(Log[[#This Row],[Item]]),"",_xlfn.XLOOKUP(Log[[#This Row],[Item]],Calories[Name],Calories[Carbs])*Log[[#This Row],[Qty]])</f>
        <v/>
      </c>
      <c r="H1041" s="71" t="str">
        <f>IF(ISBLANK(Log[[#This Row],[Item]]),"",_xlfn.XLOOKUP(Log[[#This Row],[Item]],Calories[Name],Calories[Fibre])*Log[[#This Row],[Qty]])</f>
        <v/>
      </c>
      <c r="I1041" s="71" t="str">
        <f>IF(ISBLANK(Log[[#This Row],[Item]]),"",(Log[[#This Row],[Carbs]]-Log[[#This Row],[Fibre]]))</f>
        <v/>
      </c>
      <c r="J1041" s="103" t="str">
        <f>IF(ISBLANK(Log[[#This Row],[Item]]),"",_xlfn.XLOOKUP(Log[[#This Row],[Item]],Calories[Name],Calories[Sodium])*Log[[#This Row],[Qty]])</f>
        <v/>
      </c>
      <c r="K1041" s="71" t="str">
        <f>IF(ISBLANK(Log[[#This Row],[Item]]),"",_xlfn.XLOOKUP(Log[[#This Row],[Item]],Calories[Name],Calories[Protein])*Log[[#This Row],[Qty]])</f>
        <v/>
      </c>
      <c r="L1041" s="71" t="str">
        <f>IF(ISBLANK(Log[[#This Row],[Item]]),"",_xlfn.XLOOKUP(Log[[#This Row],[Item]],Calories[Name],Calories[Chol.])*Log[[#This Row],[Qty]])</f>
        <v/>
      </c>
      <c r="M1041" s="75"/>
      <c r="N1041" s="75"/>
      <c r="O1041" s="75"/>
    </row>
    <row r="1042" spans="1:15" s="66" customFormat="1" ht="25.15" customHeight="1">
      <c r="A1042" s="75"/>
      <c r="B1042" s="98"/>
      <c r="C1042" s="78"/>
      <c r="D1042" s="79"/>
      <c r="E1042" s="76" t="str">
        <f>IF(ISBLANK(Log[[#This Row],[Item]]),"",_xlfn.XLOOKUP(Log[[#This Row],[Item]],Calories[Name],Calories[Unit]))</f>
        <v/>
      </c>
      <c r="F1042" s="65" t="str">
        <f>IF(ISBLANK(Log[[#This Row],[Item]]),"",_xlfn.XLOOKUP(Log[[#This Row],[Item]],Calories[Name],Calories[Cals])*Log[[#This Row],[Qty]])</f>
        <v/>
      </c>
      <c r="G1042" s="71" t="str">
        <f>IF(ISBLANK(Log[[#This Row],[Item]]),"",_xlfn.XLOOKUP(Log[[#This Row],[Item]],Calories[Name],Calories[Carbs])*Log[[#This Row],[Qty]])</f>
        <v/>
      </c>
      <c r="H1042" s="71" t="str">
        <f>IF(ISBLANK(Log[[#This Row],[Item]]),"",_xlfn.XLOOKUP(Log[[#This Row],[Item]],Calories[Name],Calories[Fibre])*Log[[#This Row],[Qty]])</f>
        <v/>
      </c>
      <c r="I1042" s="71" t="str">
        <f>IF(ISBLANK(Log[[#This Row],[Item]]),"",(Log[[#This Row],[Carbs]]-Log[[#This Row],[Fibre]]))</f>
        <v/>
      </c>
      <c r="J1042" s="103" t="str">
        <f>IF(ISBLANK(Log[[#This Row],[Item]]),"",_xlfn.XLOOKUP(Log[[#This Row],[Item]],Calories[Name],Calories[Sodium])*Log[[#This Row],[Qty]])</f>
        <v/>
      </c>
      <c r="K1042" s="71" t="str">
        <f>IF(ISBLANK(Log[[#This Row],[Item]]),"",_xlfn.XLOOKUP(Log[[#This Row],[Item]],Calories[Name],Calories[Protein])*Log[[#This Row],[Qty]])</f>
        <v/>
      </c>
      <c r="L1042" s="71" t="str">
        <f>IF(ISBLANK(Log[[#This Row],[Item]]),"",_xlfn.XLOOKUP(Log[[#This Row],[Item]],Calories[Name],Calories[Chol.])*Log[[#This Row],[Qty]])</f>
        <v/>
      </c>
      <c r="M1042" s="75"/>
      <c r="N1042" s="75"/>
      <c r="O1042" s="75"/>
    </row>
    <row r="1043" spans="1:15" s="66" customFormat="1" ht="25.15" customHeight="1">
      <c r="A1043" s="75"/>
      <c r="B1043" s="98"/>
      <c r="C1043" s="78"/>
      <c r="D1043" s="79"/>
      <c r="E1043" s="76" t="str">
        <f>IF(ISBLANK(Log[[#This Row],[Item]]),"",_xlfn.XLOOKUP(Log[[#This Row],[Item]],Calories[Name],Calories[Unit]))</f>
        <v/>
      </c>
      <c r="F1043" s="65" t="str">
        <f>IF(ISBLANK(Log[[#This Row],[Item]]),"",_xlfn.XLOOKUP(Log[[#This Row],[Item]],Calories[Name],Calories[Cals])*Log[[#This Row],[Qty]])</f>
        <v/>
      </c>
      <c r="G1043" s="71" t="str">
        <f>IF(ISBLANK(Log[[#This Row],[Item]]),"",_xlfn.XLOOKUP(Log[[#This Row],[Item]],Calories[Name],Calories[Carbs])*Log[[#This Row],[Qty]])</f>
        <v/>
      </c>
      <c r="H1043" s="71" t="str">
        <f>IF(ISBLANK(Log[[#This Row],[Item]]),"",_xlfn.XLOOKUP(Log[[#This Row],[Item]],Calories[Name],Calories[Fibre])*Log[[#This Row],[Qty]])</f>
        <v/>
      </c>
      <c r="I1043" s="71" t="str">
        <f>IF(ISBLANK(Log[[#This Row],[Item]]),"",(Log[[#This Row],[Carbs]]-Log[[#This Row],[Fibre]]))</f>
        <v/>
      </c>
      <c r="J1043" s="103" t="str">
        <f>IF(ISBLANK(Log[[#This Row],[Item]]),"",_xlfn.XLOOKUP(Log[[#This Row],[Item]],Calories[Name],Calories[Sodium])*Log[[#This Row],[Qty]])</f>
        <v/>
      </c>
      <c r="K1043" s="71" t="str">
        <f>IF(ISBLANK(Log[[#This Row],[Item]]),"",_xlfn.XLOOKUP(Log[[#This Row],[Item]],Calories[Name],Calories[Protein])*Log[[#This Row],[Qty]])</f>
        <v/>
      </c>
      <c r="L1043" s="71" t="str">
        <f>IF(ISBLANK(Log[[#This Row],[Item]]),"",_xlfn.XLOOKUP(Log[[#This Row],[Item]],Calories[Name],Calories[Chol.])*Log[[#This Row],[Qty]])</f>
        <v/>
      </c>
      <c r="M1043" s="75"/>
      <c r="N1043" s="75"/>
      <c r="O1043" s="75"/>
    </row>
    <row r="1044" spans="1:15" s="66" customFormat="1" ht="25.15" customHeight="1">
      <c r="A1044" s="75"/>
      <c r="B1044" s="98"/>
      <c r="C1044" s="78"/>
      <c r="D1044" s="79"/>
      <c r="E1044" s="76" t="str">
        <f>IF(ISBLANK(Log[[#This Row],[Item]]),"",_xlfn.XLOOKUP(Log[[#This Row],[Item]],Calories[Name],Calories[Unit]))</f>
        <v/>
      </c>
      <c r="F1044" s="65" t="str">
        <f>IF(ISBLANK(Log[[#This Row],[Item]]),"",_xlfn.XLOOKUP(Log[[#This Row],[Item]],Calories[Name],Calories[Cals])*Log[[#This Row],[Qty]])</f>
        <v/>
      </c>
      <c r="G1044" s="71" t="str">
        <f>IF(ISBLANK(Log[[#This Row],[Item]]),"",_xlfn.XLOOKUP(Log[[#This Row],[Item]],Calories[Name],Calories[Carbs])*Log[[#This Row],[Qty]])</f>
        <v/>
      </c>
      <c r="H1044" s="71" t="str">
        <f>IF(ISBLANK(Log[[#This Row],[Item]]),"",_xlfn.XLOOKUP(Log[[#This Row],[Item]],Calories[Name],Calories[Fibre])*Log[[#This Row],[Qty]])</f>
        <v/>
      </c>
      <c r="I1044" s="71" t="str">
        <f>IF(ISBLANK(Log[[#This Row],[Item]]),"",(Log[[#This Row],[Carbs]]-Log[[#This Row],[Fibre]]))</f>
        <v/>
      </c>
      <c r="J1044" s="103" t="str">
        <f>IF(ISBLANK(Log[[#This Row],[Item]]),"",_xlfn.XLOOKUP(Log[[#This Row],[Item]],Calories[Name],Calories[Sodium])*Log[[#This Row],[Qty]])</f>
        <v/>
      </c>
      <c r="K1044" s="71" t="str">
        <f>IF(ISBLANK(Log[[#This Row],[Item]]),"",_xlfn.XLOOKUP(Log[[#This Row],[Item]],Calories[Name],Calories[Protein])*Log[[#This Row],[Qty]])</f>
        <v/>
      </c>
      <c r="L1044" s="71" t="str">
        <f>IF(ISBLANK(Log[[#This Row],[Item]]),"",_xlfn.XLOOKUP(Log[[#This Row],[Item]],Calories[Name],Calories[Chol.])*Log[[#This Row],[Qty]])</f>
        <v/>
      </c>
      <c r="M1044" s="75"/>
      <c r="N1044" s="75"/>
      <c r="O1044" s="75"/>
    </row>
    <row r="1045" spans="1:15" s="66" customFormat="1" ht="25.15" customHeight="1">
      <c r="A1045" s="75"/>
      <c r="B1045" s="98"/>
      <c r="C1045" s="78"/>
      <c r="D1045" s="79"/>
      <c r="E1045" s="76" t="str">
        <f>IF(ISBLANK(Log[[#This Row],[Item]]),"",_xlfn.XLOOKUP(Log[[#This Row],[Item]],Calories[Name],Calories[Unit]))</f>
        <v/>
      </c>
      <c r="F1045" s="65" t="str">
        <f>IF(ISBLANK(Log[[#This Row],[Item]]),"",_xlfn.XLOOKUP(Log[[#This Row],[Item]],Calories[Name],Calories[Cals])*Log[[#This Row],[Qty]])</f>
        <v/>
      </c>
      <c r="G1045" s="71" t="str">
        <f>IF(ISBLANK(Log[[#This Row],[Item]]),"",_xlfn.XLOOKUP(Log[[#This Row],[Item]],Calories[Name],Calories[Carbs])*Log[[#This Row],[Qty]])</f>
        <v/>
      </c>
      <c r="H1045" s="71" t="str">
        <f>IF(ISBLANK(Log[[#This Row],[Item]]),"",_xlfn.XLOOKUP(Log[[#This Row],[Item]],Calories[Name],Calories[Fibre])*Log[[#This Row],[Qty]])</f>
        <v/>
      </c>
      <c r="I1045" s="71" t="str">
        <f>IF(ISBLANK(Log[[#This Row],[Item]]),"",(Log[[#This Row],[Carbs]]-Log[[#This Row],[Fibre]]))</f>
        <v/>
      </c>
      <c r="J1045" s="103" t="str">
        <f>IF(ISBLANK(Log[[#This Row],[Item]]),"",_xlfn.XLOOKUP(Log[[#This Row],[Item]],Calories[Name],Calories[Sodium])*Log[[#This Row],[Qty]])</f>
        <v/>
      </c>
      <c r="K1045" s="71" t="str">
        <f>IF(ISBLANK(Log[[#This Row],[Item]]),"",_xlfn.XLOOKUP(Log[[#This Row],[Item]],Calories[Name],Calories[Protein])*Log[[#This Row],[Qty]])</f>
        <v/>
      </c>
      <c r="L1045" s="71" t="str">
        <f>IF(ISBLANK(Log[[#This Row],[Item]]),"",_xlfn.XLOOKUP(Log[[#This Row],[Item]],Calories[Name],Calories[Chol.])*Log[[#This Row],[Qty]])</f>
        <v/>
      </c>
      <c r="M1045" s="75"/>
      <c r="N1045" s="75"/>
      <c r="O1045" s="75"/>
    </row>
    <row r="1046" spans="1:15" s="66" customFormat="1" ht="25.15" customHeight="1">
      <c r="A1046" s="75"/>
      <c r="B1046" s="98"/>
      <c r="C1046" s="78"/>
      <c r="D1046" s="79"/>
      <c r="E1046" s="76" t="str">
        <f>IF(ISBLANK(Log[[#This Row],[Item]]),"",_xlfn.XLOOKUP(Log[[#This Row],[Item]],Calories[Name],Calories[Unit]))</f>
        <v/>
      </c>
      <c r="F1046" s="65" t="str">
        <f>IF(ISBLANK(Log[[#This Row],[Item]]),"",_xlfn.XLOOKUP(Log[[#This Row],[Item]],Calories[Name],Calories[Cals])*Log[[#This Row],[Qty]])</f>
        <v/>
      </c>
      <c r="G1046" s="71" t="str">
        <f>IF(ISBLANK(Log[[#This Row],[Item]]),"",_xlfn.XLOOKUP(Log[[#This Row],[Item]],Calories[Name],Calories[Carbs])*Log[[#This Row],[Qty]])</f>
        <v/>
      </c>
      <c r="H1046" s="71" t="str">
        <f>IF(ISBLANK(Log[[#This Row],[Item]]),"",_xlfn.XLOOKUP(Log[[#This Row],[Item]],Calories[Name],Calories[Fibre])*Log[[#This Row],[Qty]])</f>
        <v/>
      </c>
      <c r="I1046" s="71" t="str">
        <f>IF(ISBLANK(Log[[#This Row],[Item]]),"",(Log[[#This Row],[Carbs]]-Log[[#This Row],[Fibre]]))</f>
        <v/>
      </c>
      <c r="J1046" s="103" t="str">
        <f>IF(ISBLANK(Log[[#This Row],[Item]]),"",_xlfn.XLOOKUP(Log[[#This Row],[Item]],Calories[Name],Calories[Sodium])*Log[[#This Row],[Qty]])</f>
        <v/>
      </c>
      <c r="K1046" s="71" t="str">
        <f>IF(ISBLANK(Log[[#This Row],[Item]]),"",_xlfn.XLOOKUP(Log[[#This Row],[Item]],Calories[Name],Calories[Protein])*Log[[#This Row],[Qty]])</f>
        <v/>
      </c>
      <c r="L1046" s="71" t="str">
        <f>IF(ISBLANK(Log[[#This Row],[Item]]),"",_xlfn.XLOOKUP(Log[[#This Row],[Item]],Calories[Name],Calories[Chol.])*Log[[#This Row],[Qty]])</f>
        <v/>
      </c>
      <c r="M1046" s="75"/>
      <c r="N1046" s="75"/>
      <c r="O1046" s="75"/>
    </row>
    <row r="1047" spans="1:15" s="66" customFormat="1" ht="25.15" customHeight="1">
      <c r="A1047" s="75"/>
      <c r="B1047" s="98"/>
      <c r="C1047" s="78"/>
      <c r="D1047" s="79"/>
      <c r="E1047" s="76" t="str">
        <f>IF(ISBLANK(Log[[#This Row],[Item]]),"",_xlfn.XLOOKUP(Log[[#This Row],[Item]],Calories[Name],Calories[Unit]))</f>
        <v/>
      </c>
      <c r="F1047" s="65" t="str">
        <f>IF(ISBLANK(Log[[#This Row],[Item]]),"",_xlfn.XLOOKUP(Log[[#This Row],[Item]],Calories[Name],Calories[Cals])*Log[[#This Row],[Qty]])</f>
        <v/>
      </c>
      <c r="G1047" s="71" t="str">
        <f>IF(ISBLANK(Log[[#This Row],[Item]]),"",_xlfn.XLOOKUP(Log[[#This Row],[Item]],Calories[Name],Calories[Carbs])*Log[[#This Row],[Qty]])</f>
        <v/>
      </c>
      <c r="H1047" s="71" t="str">
        <f>IF(ISBLANK(Log[[#This Row],[Item]]),"",_xlfn.XLOOKUP(Log[[#This Row],[Item]],Calories[Name],Calories[Fibre])*Log[[#This Row],[Qty]])</f>
        <v/>
      </c>
      <c r="I1047" s="71" t="str">
        <f>IF(ISBLANK(Log[[#This Row],[Item]]),"",(Log[[#This Row],[Carbs]]-Log[[#This Row],[Fibre]]))</f>
        <v/>
      </c>
      <c r="J1047" s="103" t="str">
        <f>IF(ISBLANK(Log[[#This Row],[Item]]),"",_xlfn.XLOOKUP(Log[[#This Row],[Item]],Calories[Name],Calories[Sodium])*Log[[#This Row],[Qty]])</f>
        <v/>
      </c>
      <c r="K1047" s="71" t="str">
        <f>IF(ISBLANK(Log[[#This Row],[Item]]),"",_xlfn.XLOOKUP(Log[[#This Row],[Item]],Calories[Name],Calories[Protein])*Log[[#This Row],[Qty]])</f>
        <v/>
      </c>
      <c r="L1047" s="71" t="str">
        <f>IF(ISBLANK(Log[[#This Row],[Item]]),"",_xlfn.XLOOKUP(Log[[#This Row],[Item]],Calories[Name],Calories[Chol.])*Log[[#This Row],[Qty]])</f>
        <v/>
      </c>
      <c r="M1047" s="75"/>
      <c r="N1047" s="75"/>
      <c r="O1047" s="75"/>
    </row>
    <row r="1048" spans="1:15" s="66" customFormat="1" ht="25.15" customHeight="1">
      <c r="A1048" s="75"/>
      <c r="B1048" s="98"/>
      <c r="C1048" s="78"/>
      <c r="D1048" s="79"/>
      <c r="E1048" s="76" t="str">
        <f>IF(ISBLANK(Log[[#This Row],[Item]]),"",_xlfn.XLOOKUP(Log[[#This Row],[Item]],Calories[Name],Calories[Unit]))</f>
        <v/>
      </c>
      <c r="F1048" s="65" t="str">
        <f>IF(ISBLANK(Log[[#This Row],[Item]]),"",_xlfn.XLOOKUP(Log[[#This Row],[Item]],Calories[Name],Calories[Cals])*Log[[#This Row],[Qty]])</f>
        <v/>
      </c>
      <c r="G1048" s="71" t="str">
        <f>IF(ISBLANK(Log[[#This Row],[Item]]),"",_xlfn.XLOOKUP(Log[[#This Row],[Item]],Calories[Name],Calories[Carbs])*Log[[#This Row],[Qty]])</f>
        <v/>
      </c>
      <c r="H1048" s="71" t="str">
        <f>IF(ISBLANK(Log[[#This Row],[Item]]),"",_xlfn.XLOOKUP(Log[[#This Row],[Item]],Calories[Name],Calories[Fibre])*Log[[#This Row],[Qty]])</f>
        <v/>
      </c>
      <c r="I1048" s="71" t="str">
        <f>IF(ISBLANK(Log[[#This Row],[Item]]),"",(Log[[#This Row],[Carbs]]-Log[[#This Row],[Fibre]]))</f>
        <v/>
      </c>
      <c r="J1048" s="103" t="str">
        <f>IF(ISBLANK(Log[[#This Row],[Item]]),"",_xlfn.XLOOKUP(Log[[#This Row],[Item]],Calories[Name],Calories[Sodium])*Log[[#This Row],[Qty]])</f>
        <v/>
      </c>
      <c r="K1048" s="71" t="str">
        <f>IF(ISBLANK(Log[[#This Row],[Item]]),"",_xlfn.XLOOKUP(Log[[#This Row],[Item]],Calories[Name],Calories[Protein])*Log[[#This Row],[Qty]])</f>
        <v/>
      </c>
      <c r="L1048" s="71" t="str">
        <f>IF(ISBLANK(Log[[#This Row],[Item]]),"",_xlfn.XLOOKUP(Log[[#This Row],[Item]],Calories[Name],Calories[Chol.])*Log[[#This Row],[Qty]])</f>
        <v/>
      </c>
      <c r="M1048" s="75"/>
      <c r="N1048" s="75"/>
      <c r="O1048" s="75"/>
    </row>
    <row r="1049" spans="1:15" s="66" customFormat="1" ht="25.15" customHeight="1">
      <c r="A1049" s="75"/>
      <c r="B1049" s="98"/>
      <c r="C1049" s="78"/>
      <c r="D1049" s="79"/>
      <c r="E1049" s="76" t="str">
        <f>IF(ISBLANK(Log[[#This Row],[Item]]),"",_xlfn.XLOOKUP(Log[[#This Row],[Item]],Calories[Name],Calories[Unit]))</f>
        <v/>
      </c>
      <c r="F1049" s="65" t="str">
        <f>IF(ISBLANK(Log[[#This Row],[Item]]),"",_xlfn.XLOOKUP(Log[[#This Row],[Item]],Calories[Name],Calories[Cals])*Log[[#This Row],[Qty]])</f>
        <v/>
      </c>
      <c r="G1049" s="71" t="str">
        <f>IF(ISBLANK(Log[[#This Row],[Item]]),"",_xlfn.XLOOKUP(Log[[#This Row],[Item]],Calories[Name],Calories[Carbs])*Log[[#This Row],[Qty]])</f>
        <v/>
      </c>
      <c r="H1049" s="71" t="str">
        <f>IF(ISBLANK(Log[[#This Row],[Item]]),"",_xlfn.XLOOKUP(Log[[#This Row],[Item]],Calories[Name],Calories[Fibre])*Log[[#This Row],[Qty]])</f>
        <v/>
      </c>
      <c r="I1049" s="71" t="str">
        <f>IF(ISBLANK(Log[[#This Row],[Item]]),"",(Log[[#This Row],[Carbs]]-Log[[#This Row],[Fibre]]))</f>
        <v/>
      </c>
      <c r="J1049" s="103" t="str">
        <f>IF(ISBLANK(Log[[#This Row],[Item]]),"",_xlfn.XLOOKUP(Log[[#This Row],[Item]],Calories[Name],Calories[Sodium])*Log[[#This Row],[Qty]])</f>
        <v/>
      </c>
      <c r="K1049" s="71" t="str">
        <f>IF(ISBLANK(Log[[#This Row],[Item]]),"",_xlfn.XLOOKUP(Log[[#This Row],[Item]],Calories[Name],Calories[Protein])*Log[[#This Row],[Qty]])</f>
        <v/>
      </c>
      <c r="L1049" s="71" t="str">
        <f>IF(ISBLANK(Log[[#This Row],[Item]]),"",_xlfn.XLOOKUP(Log[[#This Row],[Item]],Calories[Name],Calories[Chol.])*Log[[#This Row],[Qty]])</f>
        <v/>
      </c>
      <c r="M1049" s="75"/>
      <c r="N1049" s="75"/>
      <c r="O1049" s="75"/>
    </row>
    <row r="1050" spans="1:15" s="66" customFormat="1" ht="25.15" customHeight="1">
      <c r="A1050" s="75"/>
      <c r="B1050" s="98"/>
      <c r="C1050" s="78"/>
      <c r="D1050" s="79"/>
      <c r="E1050" s="76" t="str">
        <f>IF(ISBLANK(Log[[#This Row],[Item]]),"",_xlfn.XLOOKUP(Log[[#This Row],[Item]],Calories[Name],Calories[Unit]))</f>
        <v/>
      </c>
      <c r="F1050" s="65" t="str">
        <f>IF(ISBLANK(Log[[#This Row],[Item]]),"",_xlfn.XLOOKUP(Log[[#This Row],[Item]],Calories[Name],Calories[Cals])*Log[[#This Row],[Qty]])</f>
        <v/>
      </c>
      <c r="G1050" s="71" t="str">
        <f>IF(ISBLANK(Log[[#This Row],[Item]]),"",_xlfn.XLOOKUP(Log[[#This Row],[Item]],Calories[Name],Calories[Carbs])*Log[[#This Row],[Qty]])</f>
        <v/>
      </c>
      <c r="H1050" s="71" t="str">
        <f>IF(ISBLANK(Log[[#This Row],[Item]]),"",_xlfn.XLOOKUP(Log[[#This Row],[Item]],Calories[Name],Calories[Fibre])*Log[[#This Row],[Qty]])</f>
        <v/>
      </c>
      <c r="I1050" s="71" t="str">
        <f>IF(ISBLANK(Log[[#This Row],[Item]]),"",(Log[[#This Row],[Carbs]]-Log[[#This Row],[Fibre]]))</f>
        <v/>
      </c>
      <c r="J1050" s="103" t="str">
        <f>IF(ISBLANK(Log[[#This Row],[Item]]),"",_xlfn.XLOOKUP(Log[[#This Row],[Item]],Calories[Name],Calories[Sodium])*Log[[#This Row],[Qty]])</f>
        <v/>
      </c>
      <c r="K1050" s="71" t="str">
        <f>IF(ISBLANK(Log[[#This Row],[Item]]),"",_xlfn.XLOOKUP(Log[[#This Row],[Item]],Calories[Name],Calories[Protein])*Log[[#This Row],[Qty]])</f>
        <v/>
      </c>
      <c r="L1050" s="71" t="str">
        <f>IF(ISBLANK(Log[[#This Row],[Item]]),"",_xlfn.XLOOKUP(Log[[#This Row],[Item]],Calories[Name],Calories[Chol.])*Log[[#This Row],[Qty]])</f>
        <v/>
      </c>
      <c r="M1050" s="75"/>
      <c r="N1050" s="75"/>
      <c r="O1050" s="75"/>
    </row>
    <row r="1051" spans="1:15" s="66" customFormat="1" ht="25.15" customHeight="1">
      <c r="A1051" s="75"/>
      <c r="B1051" s="98"/>
      <c r="C1051" s="78"/>
      <c r="D1051" s="79"/>
      <c r="E1051" s="76" t="str">
        <f>IF(ISBLANK(Log[[#This Row],[Item]]),"",_xlfn.XLOOKUP(Log[[#This Row],[Item]],Calories[Name],Calories[Unit]))</f>
        <v/>
      </c>
      <c r="F1051" s="65" t="str">
        <f>IF(ISBLANK(Log[[#This Row],[Item]]),"",_xlfn.XLOOKUP(Log[[#This Row],[Item]],Calories[Name],Calories[Cals])*Log[[#This Row],[Qty]])</f>
        <v/>
      </c>
      <c r="G1051" s="71" t="str">
        <f>IF(ISBLANK(Log[[#This Row],[Item]]),"",_xlfn.XLOOKUP(Log[[#This Row],[Item]],Calories[Name],Calories[Carbs])*Log[[#This Row],[Qty]])</f>
        <v/>
      </c>
      <c r="H1051" s="71" t="str">
        <f>IF(ISBLANK(Log[[#This Row],[Item]]),"",_xlfn.XLOOKUP(Log[[#This Row],[Item]],Calories[Name],Calories[Fibre])*Log[[#This Row],[Qty]])</f>
        <v/>
      </c>
      <c r="I1051" s="71" t="str">
        <f>IF(ISBLANK(Log[[#This Row],[Item]]),"",(Log[[#This Row],[Carbs]]-Log[[#This Row],[Fibre]]))</f>
        <v/>
      </c>
      <c r="J1051" s="103" t="str">
        <f>IF(ISBLANK(Log[[#This Row],[Item]]),"",_xlfn.XLOOKUP(Log[[#This Row],[Item]],Calories[Name],Calories[Sodium])*Log[[#This Row],[Qty]])</f>
        <v/>
      </c>
      <c r="K1051" s="71" t="str">
        <f>IF(ISBLANK(Log[[#This Row],[Item]]),"",_xlfn.XLOOKUP(Log[[#This Row],[Item]],Calories[Name],Calories[Protein])*Log[[#This Row],[Qty]])</f>
        <v/>
      </c>
      <c r="L1051" s="71" t="str">
        <f>IF(ISBLANK(Log[[#This Row],[Item]]),"",_xlfn.XLOOKUP(Log[[#This Row],[Item]],Calories[Name],Calories[Chol.])*Log[[#This Row],[Qty]])</f>
        <v/>
      </c>
      <c r="M1051" s="75"/>
      <c r="N1051" s="75"/>
      <c r="O1051" s="75"/>
    </row>
    <row r="1052" spans="1:15" s="66" customFormat="1" ht="25.15" customHeight="1">
      <c r="A1052" s="75"/>
      <c r="B1052" s="98"/>
      <c r="C1052" s="78"/>
      <c r="D1052" s="79"/>
      <c r="E1052" s="76" t="str">
        <f>IF(ISBLANK(Log[[#This Row],[Item]]),"",_xlfn.XLOOKUP(Log[[#This Row],[Item]],Calories[Name],Calories[Unit]))</f>
        <v/>
      </c>
      <c r="F1052" s="65" t="str">
        <f>IF(ISBLANK(Log[[#This Row],[Item]]),"",_xlfn.XLOOKUP(Log[[#This Row],[Item]],Calories[Name],Calories[Cals])*Log[[#This Row],[Qty]])</f>
        <v/>
      </c>
      <c r="G1052" s="71" t="str">
        <f>IF(ISBLANK(Log[[#This Row],[Item]]),"",_xlfn.XLOOKUP(Log[[#This Row],[Item]],Calories[Name],Calories[Carbs])*Log[[#This Row],[Qty]])</f>
        <v/>
      </c>
      <c r="H1052" s="71" t="str">
        <f>IF(ISBLANK(Log[[#This Row],[Item]]),"",_xlfn.XLOOKUP(Log[[#This Row],[Item]],Calories[Name],Calories[Fibre])*Log[[#This Row],[Qty]])</f>
        <v/>
      </c>
      <c r="I1052" s="71" t="str">
        <f>IF(ISBLANK(Log[[#This Row],[Item]]),"",(Log[[#This Row],[Carbs]]-Log[[#This Row],[Fibre]]))</f>
        <v/>
      </c>
      <c r="J1052" s="103" t="str">
        <f>IF(ISBLANK(Log[[#This Row],[Item]]),"",_xlfn.XLOOKUP(Log[[#This Row],[Item]],Calories[Name],Calories[Sodium])*Log[[#This Row],[Qty]])</f>
        <v/>
      </c>
      <c r="K1052" s="71" t="str">
        <f>IF(ISBLANK(Log[[#This Row],[Item]]),"",_xlfn.XLOOKUP(Log[[#This Row],[Item]],Calories[Name],Calories[Protein])*Log[[#This Row],[Qty]])</f>
        <v/>
      </c>
      <c r="L1052" s="71" t="str">
        <f>IF(ISBLANK(Log[[#This Row],[Item]]),"",_xlfn.XLOOKUP(Log[[#This Row],[Item]],Calories[Name],Calories[Chol.])*Log[[#This Row],[Qty]])</f>
        <v/>
      </c>
      <c r="M1052" s="75"/>
      <c r="N1052" s="75"/>
      <c r="O1052" s="75"/>
    </row>
    <row r="1053" spans="1:15" s="66" customFormat="1" ht="25.15" customHeight="1">
      <c r="A1053" s="75"/>
      <c r="B1053" s="98"/>
      <c r="C1053" s="78"/>
      <c r="D1053" s="79"/>
      <c r="E1053" s="76" t="str">
        <f>IF(ISBLANK(Log[[#This Row],[Item]]),"",_xlfn.XLOOKUP(Log[[#This Row],[Item]],Calories[Name],Calories[Unit]))</f>
        <v/>
      </c>
      <c r="F1053" s="65" t="str">
        <f>IF(ISBLANK(Log[[#This Row],[Item]]),"",_xlfn.XLOOKUP(Log[[#This Row],[Item]],Calories[Name],Calories[Cals])*Log[[#This Row],[Qty]])</f>
        <v/>
      </c>
      <c r="G1053" s="71" t="str">
        <f>IF(ISBLANK(Log[[#This Row],[Item]]),"",_xlfn.XLOOKUP(Log[[#This Row],[Item]],Calories[Name],Calories[Carbs])*Log[[#This Row],[Qty]])</f>
        <v/>
      </c>
      <c r="H1053" s="71" t="str">
        <f>IF(ISBLANK(Log[[#This Row],[Item]]),"",_xlfn.XLOOKUP(Log[[#This Row],[Item]],Calories[Name],Calories[Fibre])*Log[[#This Row],[Qty]])</f>
        <v/>
      </c>
      <c r="I1053" s="71" t="str">
        <f>IF(ISBLANK(Log[[#This Row],[Item]]),"",(Log[[#This Row],[Carbs]]-Log[[#This Row],[Fibre]]))</f>
        <v/>
      </c>
      <c r="J1053" s="103" t="str">
        <f>IF(ISBLANK(Log[[#This Row],[Item]]),"",_xlfn.XLOOKUP(Log[[#This Row],[Item]],Calories[Name],Calories[Sodium])*Log[[#This Row],[Qty]])</f>
        <v/>
      </c>
      <c r="K1053" s="71" t="str">
        <f>IF(ISBLANK(Log[[#This Row],[Item]]),"",_xlfn.XLOOKUP(Log[[#This Row],[Item]],Calories[Name],Calories[Protein])*Log[[#This Row],[Qty]])</f>
        <v/>
      </c>
      <c r="L1053" s="71" t="str">
        <f>IF(ISBLANK(Log[[#This Row],[Item]]),"",_xlfn.XLOOKUP(Log[[#This Row],[Item]],Calories[Name],Calories[Chol.])*Log[[#This Row],[Qty]])</f>
        <v/>
      </c>
      <c r="M1053" s="75"/>
      <c r="N1053" s="75"/>
      <c r="O1053" s="75"/>
    </row>
    <row r="1054" spans="1:15" s="66" customFormat="1" ht="25.15" customHeight="1">
      <c r="A1054" s="75"/>
      <c r="B1054" s="98"/>
      <c r="C1054" s="78"/>
      <c r="D1054" s="79"/>
      <c r="E1054" s="76" t="str">
        <f>IF(ISBLANK(Log[[#This Row],[Item]]),"",_xlfn.XLOOKUP(Log[[#This Row],[Item]],Calories[Name],Calories[Unit]))</f>
        <v/>
      </c>
      <c r="F1054" s="65" t="str">
        <f>IF(ISBLANK(Log[[#This Row],[Item]]),"",_xlfn.XLOOKUP(Log[[#This Row],[Item]],Calories[Name],Calories[Cals])*Log[[#This Row],[Qty]])</f>
        <v/>
      </c>
      <c r="G1054" s="71" t="str">
        <f>IF(ISBLANK(Log[[#This Row],[Item]]),"",_xlfn.XLOOKUP(Log[[#This Row],[Item]],Calories[Name],Calories[Carbs])*Log[[#This Row],[Qty]])</f>
        <v/>
      </c>
      <c r="H1054" s="71" t="str">
        <f>IF(ISBLANK(Log[[#This Row],[Item]]),"",_xlfn.XLOOKUP(Log[[#This Row],[Item]],Calories[Name],Calories[Fibre])*Log[[#This Row],[Qty]])</f>
        <v/>
      </c>
      <c r="I1054" s="71" t="str">
        <f>IF(ISBLANK(Log[[#This Row],[Item]]),"",(Log[[#This Row],[Carbs]]-Log[[#This Row],[Fibre]]))</f>
        <v/>
      </c>
      <c r="J1054" s="103" t="str">
        <f>IF(ISBLANK(Log[[#This Row],[Item]]),"",_xlfn.XLOOKUP(Log[[#This Row],[Item]],Calories[Name],Calories[Sodium])*Log[[#This Row],[Qty]])</f>
        <v/>
      </c>
      <c r="K1054" s="71" t="str">
        <f>IF(ISBLANK(Log[[#This Row],[Item]]),"",_xlfn.XLOOKUP(Log[[#This Row],[Item]],Calories[Name],Calories[Protein])*Log[[#This Row],[Qty]])</f>
        <v/>
      </c>
      <c r="L1054" s="71" t="str">
        <f>IF(ISBLANK(Log[[#This Row],[Item]]),"",_xlfn.XLOOKUP(Log[[#This Row],[Item]],Calories[Name],Calories[Chol.])*Log[[#This Row],[Qty]])</f>
        <v/>
      </c>
      <c r="M1054" s="75"/>
      <c r="N1054" s="75"/>
      <c r="O1054" s="75"/>
    </row>
    <row r="1055" spans="1:15" s="66" customFormat="1" ht="25.15" customHeight="1">
      <c r="A1055" s="75"/>
      <c r="B1055" s="98"/>
      <c r="C1055" s="78"/>
      <c r="D1055" s="79"/>
      <c r="E1055" s="76" t="str">
        <f>IF(ISBLANK(Log[[#This Row],[Item]]),"",_xlfn.XLOOKUP(Log[[#This Row],[Item]],Calories[Name],Calories[Unit]))</f>
        <v/>
      </c>
      <c r="F1055" s="65" t="str">
        <f>IF(ISBLANK(Log[[#This Row],[Item]]),"",_xlfn.XLOOKUP(Log[[#This Row],[Item]],Calories[Name],Calories[Cals])*Log[[#This Row],[Qty]])</f>
        <v/>
      </c>
      <c r="G1055" s="71" t="str">
        <f>IF(ISBLANK(Log[[#This Row],[Item]]),"",_xlfn.XLOOKUP(Log[[#This Row],[Item]],Calories[Name],Calories[Carbs])*Log[[#This Row],[Qty]])</f>
        <v/>
      </c>
      <c r="H1055" s="71" t="str">
        <f>IF(ISBLANK(Log[[#This Row],[Item]]),"",_xlfn.XLOOKUP(Log[[#This Row],[Item]],Calories[Name],Calories[Fibre])*Log[[#This Row],[Qty]])</f>
        <v/>
      </c>
      <c r="I1055" s="71" t="str">
        <f>IF(ISBLANK(Log[[#This Row],[Item]]),"",(Log[[#This Row],[Carbs]]-Log[[#This Row],[Fibre]]))</f>
        <v/>
      </c>
      <c r="J1055" s="103" t="str">
        <f>IF(ISBLANK(Log[[#This Row],[Item]]),"",_xlfn.XLOOKUP(Log[[#This Row],[Item]],Calories[Name],Calories[Sodium])*Log[[#This Row],[Qty]])</f>
        <v/>
      </c>
      <c r="K1055" s="71" t="str">
        <f>IF(ISBLANK(Log[[#This Row],[Item]]),"",_xlfn.XLOOKUP(Log[[#This Row],[Item]],Calories[Name],Calories[Protein])*Log[[#This Row],[Qty]])</f>
        <v/>
      </c>
      <c r="L1055" s="71" t="str">
        <f>IF(ISBLANK(Log[[#This Row],[Item]]),"",_xlfn.XLOOKUP(Log[[#This Row],[Item]],Calories[Name],Calories[Chol.])*Log[[#This Row],[Qty]])</f>
        <v/>
      </c>
      <c r="M1055" s="75"/>
      <c r="N1055" s="75"/>
      <c r="O1055" s="75"/>
    </row>
    <row r="1056" spans="1:15" s="66" customFormat="1" ht="25.15" customHeight="1">
      <c r="A1056" s="75"/>
      <c r="B1056" s="98"/>
      <c r="C1056" s="78"/>
      <c r="D1056" s="79"/>
      <c r="E1056" s="76" t="str">
        <f>IF(ISBLANK(Log[[#This Row],[Item]]),"",_xlfn.XLOOKUP(Log[[#This Row],[Item]],Calories[Name],Calories[Unit]))</f>
        <v/>
      </c>
      <c r="F1056" s="65" t="str">
        <f>IF(ISBLANK(Log[[#This Row],[Item]]),"",_xlfn.XLOOKUP(Log[[#This Row],[Item]],Calories[Name],Calories[Cals])*Log[[#This Row],[Qty]])</f>
        <v/>
      </c>
      <c r="G1056" s="71" t="str">
        <f>IF(ISBLANK(Log[[#This Row],[Item]]),"",_xlfn.XLOOKUP(Log[[#This Row],[Item]],Calories[Name],Calories[Carbs])*Log[[#This Row],[Qty]])</f>
        <v/>
      </c>
      <c r="H1056" s="71" t="str">
        <f>IF(ISBLANK(Log[[#This Row],[Item]]),"",_xlfn.XLOOKUP(Log[[#This Row],[Item]],Calories[Name],Calories[Fibre])*Log[[#This Row],[Qty]])</f>
        <v/>
      </c>
      <c r="I1056" s="71" t="str">
        <f>IF(ISBLANK(Log[[#This Row],[Item]]),"",(Log[[#This Row],[Carbs]]-Log[[#This Row],[Fibre]]))</f>
        <v/>
      </c>
      <c r="J1056" s="103" t="str">
        <f>IF(ISBLANK(Log[[#This Row],[Item]]),"",_xlfn.XLOOKUP(Log[[#This Row],[Item]],Calories[Name],Calories[Sodium])*Log[[#This Row],[Qty]])</f>
        <v/>
      </c>
      <c r="K1056" s="71" t="str">
        <f>IF(ISBLANK(Log[[#This Row],[Item]]),"",_xlfn.XLOOKUP(Log[[#This Row],[Item]],Calories[Name],Calories[Protein])*Log[[#This Row],[Qty]])</f>
        <v/>
      </c>
      <c r="L1056" s="71" t="str">
        <f>IF(ISBLANK(Log[[#This Row],[Item]]),"",_xlfn.XLOOKUP(Log[[#This Row],[Item]],Calories[Name],Calories[Chol.])*Log[[#This Row],[Qty]])</f>
        <v/>
      </c>
      <c r="M1056" s="75"/>
      <c r="N1056" s="75"/>
      <c r="O1056" s="75"/>
    </row>
    <row r="1057" spans="1:15" s="66" customFormat="1" ht="25.15" customHeight="1">
      <c r="A1057" s="75"/>
      <c r="B1057" s="98"/>
      <c r="C1057" s="78"/>
      <c r="D1057" s="79"/>
      <c r="E1057" s="76" t="str">
        <f>IF(ISBLANK(Log[[#This Row],[Item]]),"",_xlfn.XLOOKUP(Log[[#This Row],[Item]],Calories[Name],Calories[Unit]))</f>
        <v/>
      </c>
      <c r="F1057" s="65" t="str">
        <f>IF(ISBLANK(Log[[#This Row],[Item]]),"",_xlfn.XLOOKUP(Log[[#This Row],[Item]],Calories[Name],Calories[Cals])*Log[[#This Row],[Qty]])</f>
        <v/>
      </c>
      <c r="G1057" s="71" t="str">
        <f>IF(ISBLANK(Log[[#This Row],[Item]]),"",_xlfn.XLOOKUP(Log[[#This Row],[Item]],Calories[Name],Calories[Carbs])*Log[[#This Row],[Qty]])</f>
        <v/>
      </c>
      <c r="H1057" s="71" t="str">
        <f>IF(ISBLANK(Log[[#This Row],[Item]]),"",_xlfn.XLOOKUP(Log[[#This Row],[Item]],Calories[Name],Calories[Fibre])*Log[[#This Row],[Qty]])</f>
        <v/>
      </c>
      <c r="I1057" s="71" t="str">
        <f>IF(ISBLANK(Log[[#This Row],[Item]]),"",(Log[[#This Row],[Carbs]]-Log[[#This Row],[Fibre]]))</f>
        <v/>
      </c>
      <c r="J1057" s="103" t="str">
        <f>IF(ISBLANK(Log[[#This Row],[Item]]),"",_xlfn.XLOOKUP(Log[[#This Row],[Item]],Calories[Name],Calories[Sodium])*Log[[#This Row],[Qty]])</f>
        <v/>
      </c>
      <c r="K1057" s="71" t="str">
        <f>IF(ISBLANK(Log[[#This Row],[Item]]),"",_xlfn.XLOOKUP(Log[[#This Row],[Item]],Calories[Name],Calories[Protein])*Log[[#This Row],[Qty]])</f>
        <v/>
      </c>
      <c r="L1057" s="71" t="str">
        <f>IF(ISBLANK(Log[[#This Row],[Item]]),"",_xlfn.XLOOKUP(Log[[#This Row],[Item]],Calories[Name],Calories[Chol.])*Log[[#This Row],[Qty]])</f>
        <v/>
      </c>
      <c r="M1057" s="75"/>
      <c r="N1057" s="75"/>
      <c r="O1057" s="75"/>
    </row>
    <row r="1058" spans="1:15" s="66" customFormat="1" ht="25.15" customHeight="1">
      <c r="A1058" s="75"/>
      <c r="B1058" s="98"/>
      <c r="C1058" s="78"/>
      <c r="D1058" s="79"/>
      <c r="E1058" s="76" t="str">
        <f>IF(ISBLANK(Log[[#This Row],[Item]]),"",_xlfn.XLOOKUP(Log[[#This Row],[Item]],Calories[Name],Calories[Unit]))</f>
        <v/>
      </c>
      <c r="F1058" s="65" t="str">
        <f>IF(ISBLANK(Log[[#This Row],[Item]]),"",_xlfn.XLOOKUP(Log[[#This Row],[Item]],Calories[Name],Calories[Cals])*Log[[#This Row],[Qty]])</f>
        <v/>
      </c>
      <c r="G1058" s="71" t="str">
        <f>IF(ISBLANK(Log[[#This Row],[Item]]),"",_xlfn.XLOOKUP(Log[[#This Row],[Item]],Calories[Name],Calories[Carbs])*Log[[#This Row],[Qty]])</f>
        <v/>
      </c>
      <c r="H1058" s="71" t="str">
        <f>IF(ISBLANK(Log[[#This Row],[Item]]),"",_xlfn.XLOOKUP(Log[[#This Row],[Item]],Calories[Name],Calories[Fibre])*Log[[#This Row],[Qty]])</f>
        <v/>
      </c>
      <c r="I1058" s="71" t="str">
        <f>IF(ISBLANK(Log[[#This Row],[Item]]),"",(Log[[#This Row],[Carbs]]-Log[[#This Row],[Fibre]]))</f>
        <v/>
      </c>
      <c r="J1058" s="103" t="str">
        <f>IF(ISBLANK(Log[[#This Row],[Item]]),"",_xlfn.XLOOKUP(Log[[#This Row],[Item]],Calories[Name],Calories[Sodium])*Log[[#This Row],[Qty]])</f>
        <v/>
      </c>
      <c r="K1058" s="71" t="str">
        <f>IF(ISBLANK(Log[[#This Row],[Item]]),"",_xlfn.XLOOKUP(Log[[#This Row],[Item]],Calories[Name],Calories[Protein])*Log[[#This Row],[Qty]])</f>
        <v/>
      </c>
      <c r="L1058" s="71" t="str">
        <f>IF(ISBLANK(Log[[#This Row],[Item]]),"",_xlfn.XLOOKUP(Log[[#This Row],[Item]],Calories[Name],Calories[Chol.])*Log[[#This Row],[Qty]])</f>
        <v/>
      </c>
      <c r="M1058" s="75"/>
      <c r="N1058" s="75"/>
      <c r="O1058" s="75"/>
    </row>
    <row r="1059" spans="1:15" s="66" customFormat="1" ht="25.15" customHeight="1">
      <c r="A1059" s="75"/>
      <c r="B1059" s="98"/>
      <c r="C1059" s="78"/>
      <c r="D1059" s="79"/>
      <c r="E1059" s="76" t="str">
        <f>IF(ISBLANK(Log[[#This Row],[Item]]),"",_xlfn.XLOOKUP(Log[[#This Row],[Item]],Calories[Name],Calories[Unit]))</f>
        <v/>
      </c>
      <c r="F1059" s="65" t="str">
        <f>IF(ISBLANK(Log[[#This Row],[Item]]),"",_xlfn.XLOOKUP(Log[[#This Row],[Item]],Calories[Name],Calories[Cals])*Log[[#This Row],[Qty]])</f>
        <v/>
      </c>
      <c r="G1059" s="71" t="str">
        <f>IF(ISBLANK(Log[[#This Row],[Item]]),"",_xlfn.XLOOKUP(Log[[#This Row],[Item]],Calories[Name],Calories[Carbs])*Log[[#This Row],[Qty]])</f>
        <v/>
      </c>
      <c r="H1059" s="71" t="str">
        <f>IF(ISBLANK(Log[[#This Row],[Item]]),"",_xlfn.XLOOKUP(Log[[#This Row],[Item]],Calories[Name],Calories[Fibre])*Log[[#This Row],[Qty]])</f>
        <v/>
      </c>
      <c r="I1059" s="71" t="str">
        <f>IF(ISBLANK(Log[[#This Row],[Item]]),"",(Log[[#This Row],[Carbs]]-Log[[#This Row],[Fibre]]))</f>
        <v/>
      </c>
      <c r="J1059" s="103" t="str">
        <f>IF(ISBLANK(Log[[#This Row],[Item]]),"",_xlfn.XLOOKUP(Log[[#This Row],[Item]],Calories[Name],Calories[Sodium])*Log[[#This Row],[Qty]])</f>
        <v/>
      </c>
      <c r="K1059" s="71" t="str">
        <f>IF(ISBLANK(Log[[#This Row],[Item]]),"",_xlfn.XLOOKUP(Log[[#This Row],[Item]],Calories[Name],Calories[Protein])*Log[[#This Row],[Qty]])</f>
        <v/>
      </c>
      <c r="L1059" s="71" t="str">
        <f>IF(ISBLANK(Log[[#This Row],[Item]]),"",_xlfn.XLOOKUP(Log[[#This Row],[Item]],Calories[Name],Calories[Chol.])*Log[[#This Row],[Qty]])</f>
        <v/>
      </c>
      <c r="M1059" s="75"/>
      <c r="N1059" s="75"/>
      <c r="O1059" s="75"/>
    </row>
    <row r="1060" spans="1:15" s="66" customFormat="1" ht="25.15" customHeight="1">
      <c r="A1060" s="75"/>
      <c r="B1060" s="98"/>
      <c r="C1060" s="78"/>
      <c r="D1060" s="79"/>
      <c r="E1060" s="76" t="str">
        <f>IF(ISBLANK(Log[[#This Row],[Item]]),"",_xlfn.XLOOKUP(Log[[#This Row],[Item]],Calories[Name],Calories[Unit]))</f>
        <v/>
      </c>
      <c r="F1060" s="65" t="str">
        <f>IF(ISBLANK(Log[[#This Row],[Item]]),"",_xlfn.XLOOKUP(Log[[#This Row],[Item]],Calories[Name],Calories[Cals])*Log[[#This Row],[Qty]])</f>
        <v/>
      </c>
      <c r="G1060" s="71" t="str">
        <f>IF(ISBLANK(Log[[#This Row],[Item]]),"",_xlfn.XLOOKUP(Log[[#This Row],[Item]],Calories[Name],Calories[Carbs])*Log[[#This Row],[Qty]])</f>
        <v/>
      </c>
      <c r="H1060" s="71" t="str">
        <f>IF(ISBLANK(Log[[#This Row],[Item]]),"",_xlfn.XLOOKUP(Log[[#This Row],[Item]],Calories[Name],Calories[Fibre])*Log[[#This Row],[Qty]])</f>
        <v/>
      </c>
      <c r="I1060" s="71" t="str">
        <f>IF(ISBLANK(Log[[#This Row],[Item]]),"",(Log[[#This Row],[Carbs]]-Log[[#This Row],[Fibre]]))</f>
        <v/>
      </c>
      <c r="J1060" s="103" t="str">
        <f>IF(ISBLANK(Log[[#This Row],[Item]]),"",_xlfn.XLOOKUP(Log[[#This Row],[Item]],Calories[Name],Calories[Sodium])*Log[[#This Row],[Qty]])</f>
        <v/>
      </c>
      <c r="K1060" s="71" t="str">
        <f>IF(ISBLANK(Log[[#This Row],[Item]]),"",_xlfn.XLOOKUP(Log[[#This Row],[Item]],Calories[Name],Calories[Protein])*Log[[#This Row],[Qty]])</f>
        <v/>
      </c>
      <c r="L1060" s="71" t="str">
        <f>IF(ISBLANK(Log[[#This Row],[Item]]),"",_xlfn.XLOOKUP(Log[[#This Row],[Item]],Calories[Name],Calories[Chol.])*Log[[#This Row],[Qty]])</f>
        <v/>
      </c>
      <c r="M1060" s="75"/>
      <c r="N1060" s="75"/>
      <c r="O1060" s="75"/>
    </row>
    <row r="1061" spans="1:15" s="66" customFormat="1" ht="25.15" customHeight="1">
      <c r="A1061" s="75"/>
      <c r="B1061" s="98"/>
      <c r="C1061" s="78"/>
      <c r="D1061" s="79"/>
      <c r="E1061" s="76" t="str">
        <f>IF(ISBLANK(Log[[#This Row],[Item]]),"",_xlfn.XLOOKUP(Log[[#This Row],[Item]],Calories[Name],Calories[Unit]))</f>
        <v/>
      </c>
      <c r="F1061" s="65" t="str">
        <f>IF(ISBLANK(Log[[#This Row],[Item]]),"",_xlfn.XLOOKUP(Log[[#This Row],[Item]],Calories[Name],Calories[Cals])*Log[[#This Row],[Qty]])</f>
        <v/>
      </c>
      <c r="G1061" s="71" t="str">
        <f>IF(ISBLANK(Log[[#This Row],[Item]]),"",_xlfn.XLOOKUP(Log[[#This Row],[Item]],Calories[Name],Calories[Carbs])*Log[[#This Row],[Qty]])</f>
        <v/>
      </c>
      <c r="H1061" s="71" t="str">
        <f>IF(ISBLANK(Log[[#This Row],[Item]]),"",_xlfn.XLOOKUP(Log[[#This Row],[Item]],Calories[Name],Calories[Fibre])*Log[[#This Row],[Qty]])</f>
        <v/>
      </c>
      <c r="I1061" s="71" t="str">
        <f>IF(ISBLANK(Log[[#This Row],[Item]]),"",(Log[[#This Row],[Carbs]]-Log[[#This Row],[Fibre]]))</f>
        <v/>
      </c>
      <c r="J1061" s="103" t="str">
        <f>IF(ISBLANK(Log[[#This Row],[Item]]),"",_xlfn.XLOOKUP(Log[[#This Row],[Item]],Calories[Name],Calories[Sodium])*Log[[#This Row],[Qty]])</f>
        <v/>
      </c>
      <c r="K1061" s="71" t="str">
        <f>IF(ISBLANK(Log[[#This Row],[Item]]),"",_xlfn.XLOOKUP(Log[[#This Row],[Item]],Calories[Name],Calories[Protein])*Log[[#This Row],[Qty]])</f>
        <v/>
      </c>
      <c r="L1061" s="71" t="str">
        <f>IF(ISBLANK(Log[[#This Row],[Item]]),"",_xlfn.XLOOKUP(Log[[#This Row],[Item]],Calories[Name],Calories[Chol.])*Log[[#This Row],[Qty]])</f>
        <v/>
      </c>
      <c r="M1061" s="75"/>
      <c r="N1061" s="75"/>
      <c r="O1061" s="75"/>
    </row>
    <row r="1062" spans="1:15" s="66" customFormat="1" ht="25.15" customHeight="1">
      <c r="A1062" s="75"/>
      <c r="B1062" s="98"/>
      <c r="C1062" s="78"/>
      <c r="D1062" s="79"/>
      <c r="E1062" s="76" t="str">
        <f>IF(ISBLANK(Log[[#This Row],[Item]]),"",_xlfn.XLOOKUP(Log[[#This Row],[Item]],Calories[Name],Calories[Unit]))</f>
        <v/>
      </c>
      <c r="F1062" s="65" t="str">
        <f>IF(ISBLANK(Log[[#This Row],[Item]]),"",_xlfn.XLOOKUP(Log[[#This Row],[Item]],Calories[Name],Calories[Cals])*Log[[#This Row],[Qty]])</f>
        <v/>
      </c>
      <c r="G1062" s="71" t="str">
        <f>IF(ISBLANK(Log[[#This Row],[Item]]),"",_xlfn.XLOOKUP(Log[[#This Row],[Item]],Calories[Name],Calories[Carbs])*Log[[#This Row],[Qty]])</f>
        <v/>
      </c>
      <c r="H1062" s="71" t="str">
        <f>IF(ISBLANK(Log[[#This Row],[Item]]),"",_xlfn.XLOOKUP(Log[[#This Row],[Item]],Calories[Name],Calories[Fibre])*Log[[#This Row],[Qty]])</f>
        <v/>
      </c>
      <c r="I1062" s="71" t="str">
        <f>IF(ISBLANK(Log[[#This Row],[Item]]),"",(Log[[#This Row],[Carbs]]-Log[[#This Row],[Fibre]]))</f>
        <v/>
      </c>
      <c r="J1062" s="103" t="str">
        <f>IF(ISBLANK(Log[[#This Row],[Item]]),"",_xlfn.XLOOKUP(Log[[#This Row],[Item]],Calories[Name],Calories[Sodium])*Log[[#This Row],[Qty]])</f>
        <v/>
      </c>
      <c r="K1062" s="71" t="str">
        <f>IF(ISBLANK(Log[[#This Row],[Item]]),"",_xlfn.XLOOKUP(Log[[#This Row],[Item]],Calories[Name],Calories[Protein])*Log[[#This Row],[Qty]])</f>
        <v/>
      </c>
      <c r="L1062" s="71" t="str">
        <f>IF(ISBLANK(Log[[#This Row],[Item]]),"",_xlfn.XLOOKUP(Log[[#This Row],[Item]],Calories[Name],Calories[Chol.])*Log[[#This Row],[Qty]])</f>
        <v/>
      </c>
      <c r="M1062" s="75"/>
      <c r="N1062" s="75"/>
      <c r="O1062" s="75"/>
    </row>
    <row r="1063" spans="1:15" s="66" customFormat="1" ht="25.15" customHeight="1">
      <c r="A1063" s="75"/>
      <c r="B1063" s="98"/>
      <c r="C1063" s="78"/>
      <c r="D1063" s="79"/>
      <c r="E1063" s="76" t="str">
        <f>IF(ISBLANK(Log[[#This Row],[Item]]),"",_xlfn.XLOOKUP(Log[[#This Row],[Item]],Calories[Name],Calories[Unit]))</f>
        <v/>
      </c>
      <c r="F1063" s="65" t="str">
        <f>IF(ISBLANK(Log[[#This Row],[Item]]),"",_xlfn.XLOOKUP(Log[[#This Row],[Item]],Calories[Name],Calories[Cals])*Log[[#This Row],[Qty]])</f>
        <v/>
      </c>
      <c r="G1063" s="71" t="str">
        <f>IF(ISBLANK(Log[[#This Row],[Item]]),"",_xlfn.XLOOKUP(Log[[#This Row],[Item]],Calories[Name],Calories[Carbs])*Log[[#This Row],[Qty]])</f>
        <v/>
      </c>
      <c r="H1063" s="71" t="str">
        <f>IF(ISBLANK(Log[[#This Row],[Item]]),"",_xlfn.XLOOKUP(Log[[#This Row],[Item]],Calories[Name],Calories[Fibre])*Log[[#This Row],[Qty]])</f>
        <v/>
      </c>
      <c r="I1063" s="71" t="str">
        <f>IF(ISBLANK(Log[[#This Row],[Item]]),"",(Log[[#This Row],[Carbs]]-Log[[#This Row],[Fibre]]))</f>
        <v/>
      </c>
      <c r="J1063" s="103" t="str">
        <f>IF(ISBLANK(Log[[#This Row],[Item]]),"",_xlfn.XLOOKUP(Log[[#This Row],[Item]],Calories[Name],Calories[Sodium])*Log[[#This Row],[Qty]])</f>
        <v/>
      </c>
      <c r="K1063" s="71" t="str">
        <f>IF(ISBLANK(Log[[#This Row],[Item]]),"",_xlfn.XLOOKUP(Log[[#This Row],[Item]],Calories[Name],Calories[Protein])*Log[[#This Row],[Qty]])</f>
        <v/>
      </c>
      <c r="L1063" s="71" t="str">
        <f>IF(ISBLANK(Log[[#This Row],[Item]]),"",_xlfn.XLOOKUP(Log[[#This Row],[Item]],Calories[Name],Calories[Chol.])*Log[[#This Row],[Qty]])</f>
        <v/>
      </c>
      <c r="M1063" s="75"/>
      <c r="N1063" s="75"/>
      <c r="O1063" s="75"/>
    </row>
    <row r="1064" spans="1:15" s="66" customFormat="1" ht="25.15" customHeight="1">
      <c r="A1064" s="75"/>
      <c r="B1064" s="98"/>
      <c r="C1064" s="78"/>
      <c r="D1064" s="79"/>
      <c r="E1064" s="76" t="str">
        <f>IF(ISBLANK(Log[[#This Row],[Item]]),"",_xlfn.XLOOKUP(Log[[#This Row],[Item]],Calories[Name],Calories[Unit]))</f>
        <v/>
      </c>
      <c r="F1064" s="65" t="str">
        <f>IF(ISBLANK(Log[[#This Row],[Item]]),"",_xlfn.XLOOKUP(Log[[#This Row],[Item]],Calories[Name],Calories[Cals])*Log[[#This Row],[Qty]])</f>
        <v/>
      </c>
      <c r="G1064" s="71" t="str">
        <f>IF(ISBLANK(Log[[#This Row],[Item]]),"",_xlfn.XLOOKUP(Log[[#This Row],[Item]],Calories[Name],Calories[Carbs])*Log[[#This Row],[Qty]])</f>
        <v/>
      </c>
      <c r="H1064" s="71" t="str">
        <f>IF(ISBLANK(Log[[#This Row],[Item]]),"",_xlfn.XLOOKUP(Log[[#This Row],[Item]],Calories[Name],Calories[Fibre])*Log[[#This Row],[Qty]])</f>
        <v/>
      </c>
      <c r="I1064" s="71" t="str">
        <f>IF(ISBLANK(Log[[#This Row],[Item]]),"",(Log[[#This Row],[Carbs]]-Log[[#This Row],[Fibre]]))</f>
        <v/>
      </c>
      <c r="J1064" s="103" t="str">
        <f>IF(ISBLANK(Log[[#This Row],[Item]]),"",_xlfn.XLOOKUP(Log[[#This Row],[Item]],Calories[Name],Calories[Sodium])*Log[[#This Row],[Qty]])</f>
        <v/>
      </c>
      <c r="K1064" s="71" t="str">
        <f>IF(ISBLANK(Log[[#This Row],[Item]]),"",_xlfn.XLOOKUP(Log[[#This Row],[Item]],Calories[Name],Calories[Protein])*Log[[#This Row],[Qty]])</f>
        <v/>
      </c>
      <c r="L1064" s="71" t="str">
        <f>IF(ISBLANK(Log[[#This Row],[Item]]),"",_xlfn.XLOOKUP(Log[[#This Row],[Item]],Calories[Name],Calories[Chol.])*Log[[#This Row],[Qty]])</f>
        <v/>
      </c>
      <c r="M1064" s="75"/>
      <c r="N1064" s="75"/>
      <c r="O1064" s="75"/>
    </row>
    <row r="1065" spans="1:15" s="66" customFormat="1" ht="25.15" customHeight="1">
      <c r="A1065" s="75"/>
      <c r="B1065" s="98"/>
      <c r="C1065" s="78"/>
      <c r="D1065" s="79"/>
      <c r="E1065" s="76" t="str">
        <f>IF(ISBLANK(Log[[#This Row],[Item]]),"",_xlfn.XLOOKUP(Log[[#This Row],[Item]],Calories[Name],Calories[Unit]))</f>
        <v/>
      </c>
      <c r="F1065" s="65" t="str">
        <f>IF(ISBLANK(Log[[#This Row],[Item]]),"",_xlfn.XLOOKUP(Log[[#This Row],[Item]],Calories[Name],Calories[Cals])*Log[[#This Row],[Qty]])</f>
        <v/>
      </c>
      <c r="G1065" s="71" t="str">
        <f>IF(ISBLANK(Log[[#This Row],[Item]]),"",_xlfn.XLOOKUP(Log[[#This Row],[Item]],Calories[Name],Calories[Carbs])*Log[[#This Row],[Qty]])</f>
        <v/>
      </c>
      <c r="H1065" s="71" t="str">
        <f>IF(ISBLANK(Log[[#This Row],[Item]]),"",_xlfn.XLOOKUP(Log[[#This Row],[Item]],Calories[Name],Calories[Fibre])*Log[[#This Row],[Qty]])</f>
        <v/>
      </c>
      <c r="I1065" s="71" t="str">
        <f>IF(ISBLANK(Log[[#This Row],[Item]]),"",(Log[[#This Row],[Carbs]]-Log[[#This Row],[Fibre]]))</f>
        <v/>
      </c>
      <c r="J1065" s="103" t="str">
        <f>IF(ISBLANK(Log[[#This Row],[Item]]),"",_xlfn.XLOOKUP(Log[[#This Row],[Item]],Calories[Name],Calories[Sodium])*Log[[#This Row],[Qty]])</f>
        <v/>
      </c>
      <c r="K1065" s="71" t="str">
        <f>IF(ISBLANK(Log[[#This Row],[Item]]),"",_xlfn.XLOOKUP(Log[[#This Row],[Item]],Calories[Name],Calories[Protein])*Log[[#This Row],[Qty]])</f>
        <v/>
      </c>
      <c r="L1065" s="71" t="str">
        <f>IF(ISBLANK(Log[[#This Row],[Item]]),"",_xlfn.XLOOKUP(Log[[#This Row],[Item]],Calories[Name],Calories[Chol.])*Log[[#This Row],[Qty]])</f>
        <v/>
      </c>
      <c r="M1065" s="75"/>
      <c r="N1065" s="75"/>
      <c r="O1065" s="75"/>
    </row>
    <row r="1066" spans="1:15" s="66" customFormat="1" ht="25.15" customHeight="1">
      <c r="A1066" s="75"/>
      <c r="B1066" s="98"/>
      <c r="C1066" s="78"/>
      <c r="D1066" s="79"/>
      <c r="E1066" s="76" t="str">
        <f>IF(ISBLANK(Log[[#This Row],[Item]]),"",_xlfn.XLOOKUP(Log[[#This Row],[Item]],Calories[Name],Calories[Unit]))</f>
        <v/>
      </c>
      <c r="F1066" s="65" t="str">
        <f>IF(ISBLANK(Log[[#This Row],[Item]]),"",_xlfn.XLOOKUP(Log[[#This Row],[Item]],Calories[Name],Calories[Cals])*Log[[#This Row],[Qty]])</f>
        <v/>
      </c>
      <c r="G1066" s="71" t="str">
        <f>IF(ISBLANK(Log[[#This Row],[Item]]),"",_xlfn.XLOOKUP(Log[[#This Row],[Item]],Calories[Name],Calories[Carbs])*Log[[#This Row],[Qty]])</f>
        <v/>
      </c>
      <c r="H1066" s="71" t="str">
        <f>IF(ISBLANK(Log[[#This Row],[Item]]),"",_xlfn.XLOOKUP(Log[[#This Row],[Item]],Calories[Name],Calories[Fibre])*Log[[#This Row],[Qty]])</f>
        <v/>
      </c>
      <c r="I1066" s="71" t="str">
        <f>IF(ISBLANK(Log[[#This Row],[Item]]),"",(Log[[#This Row],[Carbs]]-Log[[#This Row],[Fibre]]))</f>
        <v/>
      </c>
      <c r="J1066" s="103" t="str">
        <f>IF(ISBLANK(Log[[#This Row],[Item]]),"",_xlfn.XLOOKUP(Log[[#This Row],[Item]],Calories[Name],Calories[Sodium])*Log[[#This Row],[Qty]])</f>
        <v/>
      </c>
      <c r="K1066" s="71" t="str">
        <f>IF(ISBLANK(Log[[#This Row],[Item]]),"",_xlfn.XLOOKUP(Log[[#This Row],[Item]],Calories[Name],Calories[Protein])*Log[[#This Row],[Qty]])</f>
        <v/>
      </c>
      <c r="L1066" s="71" t="str">
        <f>IF(ISBLANK(Log[[#This Row],[Item]]),"",_xlfn.XLOOKUP(Log[[#This Row],[Item]],Calories[Name],Calories[Chol.])*Log[[#This Row],[Qty]])</f>
        <v/>
      </c>
      <c r="M1066" s="75"/>
      <c r="N1066" s="75"/>
      <c r="O1066" s="75"/>
    </row>
    <row r="1067" spans="1:15" s="66" customFormat="1" ht="25.15" customHeight="1">
      <c r="A1067" s="75"/>
      <c r="B1067" s="98"/>
      <c r="C1067" s="78"/>
      <c r="D1067" s="79"/>
      <c r="E1067" s="76" t="str">
        <f>IF(ISBLANK(Log[[#This Row],[Item]]),"",_xlfn.XLOOKUP(Log[[#This Row],[Item]],Calories[Name],Calories[Unit]))</f>
        <v/>
      </c>
      <c r="F1067" s="65" t="str">
        <f>IF(ISBLANK(Log[[#This Row],[Item]]),"",_xlfn.XLOOKUP(Log[[#This Row],[Item]],Calories[Name],Calories[Cals])*Log[[#This Row],[Qty]])</f>
        <v/>
      </c>
      <c r="G1067" s="71" t="str">
        <f>IF(ISBLANK(Log[[#This Row],[Item]]),"",_xlfn.XLOOKUP(Log[[#This Row],[Item]],Calories[Name],Calories[Carbs])*Log[[#This Row],[Qty]])</f>
        <v/>
      </c>
      <c r="H1067" s="71" t="str">
        <f>IF(ISBLANK(Log[[#This Row],[Item]]),"",_xlfn.XLOOKUP(Log[[#This Row],[Item]],Calories[Name],Calories[Fibre])*Log[[#This Row],[Qty]])</f>
        <v/>
      </c>
      <c r="I1067" s="71" t="str">
        <f>IF(ISBLANK(Log[[#This Row],[Item]]),"",(Log[[#This Row],[Carbs]]-Log[[#This Row],[Fibre]]))</f>
        <v/>
      </c>
      <c r="J1067" s="103" t="str">
        <f>IF(ISBLANK(Log[[#This Row],[Item]]),"",_xlfn.XLOOKUP(Log[[#This Row],[Item]],Calories[Name],Calories[Sodium])*Log[[#This Row],[Qty]])</f>
        <v/>
      </c>
      <c r="K1067" s="71" t="str">
        <f>IF(ISBLANK(Log[[#This Row],[Item]]),"",_xlfn.XLOOKUP(Log[[#This Row],[Item]],Calories[Name],Calories[Protein])*Log[[#This Row],[Qty]])</f>
        <v/>
      </c>
      <c r="L1067" s="71" t="str">
        <f>IF(ISBLANK(Log[[#This Row],[Item]]),"",_xlfn.XLOOKUP(Log[[#This Row],[Item]],Calories[Name],Calories[Chol.])*Log[[#This Row],[Qty]])</f>
        <v/>
      </c>
      <c r="M1067" s="75"/>
      <c r="N1067" s="75"/>
      <c r="O1067" s="75"/>
    </row>
    <row r="1068" spans="1:15" s="66" customFormat="1" ht="25.15" customHeight="1">
      <c r="A1068" s="75"/>
      <c r="B1068" s="98"/>
      <c r="C1068" s="78"/>
      <c r="D1068" s="79"/>
      <c r="E1068" s="76" t="str">
        <f>IF(ISBLANK(Log[[#This Row],[Item]]),"",_xlfn.XLOOKUP(Log[[#This Row],[Item]],Calories[Name],Calories[Unit]))</f>
        <v/>
      </c>
      <c r="F1068" s="65" t="str">
        <f>IF(ISBLANK(Log[[#This Row],[Item]]),"",_xlfn.XLOOKUP(Log[[#This Row],[Item]],Calories[Name],Calories[Cals])*Log[[#This Row],[Qty]])</f>
        <v/>
      </c>
      <c r="G1068" s="71" t="str">
        <f>IF(ISBLANK(Log[[#This Row],[Item]]),"",_xlfn.XLOOKUP(Log[[#This Row],[Item]],Calories[Name],Calories[Carbs])*Log[[#This Row],[Qty]])</f>
        <v/>
      </c>
      <c r="H1068" s="71" t="str">
        <f>IF(ISBLANK(Log[[#This Row],[Item]]),"",_xlfn.XLOOKUP(Log[[#This Row],[Item]],Calories[Name],Calories[Fibre])*Log[[#This Row],[Qty]])</f>
        <v/>
      </c>
      <c r="I1068" s="71" t="str">
        <f>IF(ISBLANK(Log[[#This Row],[Item]]),"",(Log[[#This Row],[Carbs]]-Log[[#This Row],[Fibre]]))</f>
        <v/>
      </c>
      <c r="J1068" s="103" t="str">
        <f>IF(ISBLANK(Log[[#This Row],[Item]]),"",_xlfn.XLOOKUP(Log[[#This Row],[Item]],Calories[Name],Calories[Sodium])*Log[[#This Row],[Qty]])</f>
        <v/>
      </c>
      <c r="K1068" s="71" t="str">
        <f>IF(ISBLANK(Log[[#This Row],[Item]]),"",_xlfn.XLOOKUP(Log[[#This Row],[Item]],Calories[Name],Calories[Protein])*Log[[#This Row],[Qty]])</f>
        <v/>
      </c>
      <c r="L1068" s="71" t="str">
        <f>IF(ISBLANK(Log[[#This Row],[Item]]),"",_xlfn.XLOOKUP(Log[[#This Row],[Item]],Calories[Name],Calories[Chol.])*Log[[#This Row],[Qty]])</f>
        <v/>
      </c>
      <c r="M1068" s="75"/>
      <c r="N1068" s="75"/>
      <c r="O1068" s="75"/>
    </row>
    <row r="1069" spans="1:15" s="66" customFormat="1" ht="25.15" customHeight="1">
      <c r="A1069" s="75"/>
      <c r="B1069" s="98"/>
      <c r="C1069" s="78"/>
      <c r="D1069" s="79"/>
      <c r="E1069" s="76" t="str">
        <f>IF(ISBLANK(Log[[#This Row],[Item]]),"",_xlfn.XLOOKUP(Log[[#This Row],[Item]],Calories[Name],Calories[Unit]))</f>
        <v/>
      </c>
      <c r="F1069" s="65" t="str">
        <f>IF(ISBLANK(Log[[#This Row],[Item]]),"",_xlfn.XLOOKUP(Log[[#This Row],[Item]],Calories[Name],Calories[Cals])*Log[[#This Row],[Qty]])</f>
        <v/>
      </c>
      <c r="G1069" s="71" t="str">
        <f>IF(ISBLANK(Log[[#This Row],[Item]]),"",_xlfn.XLOOKUP(Log[[#This Row],[Item]],Calories[Name],Calories[Carbs])*Log[[#This Row],[Qty]])</f>
        <v/>
      </c>
      <c r="H1069" s="71" t="str">
        <f>IF(ISBLANK(Log[[#This Row],[Item]]),"",_xlfn.XLOOKUP(Log[[#This Row],[Item]],Calories[Name],Calories[Fibre])*Log[[#This Row],[Qty]])</f>
        <v/>
      </c>
      <c r="I1069" s="71" t="str">
        <f>IF(ISBLANK(Log[[#This Row],[Item]]),"",(Log[[#This Row],[Carbs]]-Log[[#This Row],[Fibre]]))</f>
        <v/>
      </c>
      <c r="J1069" s="103" t="str">
        <f>IF(ISBLANK(Log[[#This Row],[Item]]),"",_xlfn.XLOOKUP(Log[[#This Row],[Item]],Calories[Name],Calories[Sodium])*Log[[#This Row],[Qty]])</f>
        <v/>
      </c>
      <c r="K1069" s="71" t="str">
        <f>IF(ISBLANK(Log[[#This Row],[Item]]),"",_xlfn.XLOOKUP(Log[[#This Row],[Item]],Calories[Name],Calories[Protein])*Log[[#This Row],[Qty]])</f>
        <v/>
      </c>
      <c r="L1069" s="71" t="str">
        <f>IF(ISBLANK(Log[[#This Row],[Item]]),"",_xlfn.XLOOKUP(Log[[#This Row],[Item]],Calories[Name],Calories[Chol.])*Log[[#This Row],[Qty]])</f>
        <v/>
      </c>
      <c r="M1069" s="75"/>
      <c r="N1069" s="75"/>
      <c r="O1069" s="75"/>
    </row>
    <row r="1070" spans="1:15" s="66" customFormat="1" ht="25.15" customHeight="1">
      <c r="A1070" s="75"/>
      <c r="B1070" s="98"/>
      <c r="C1070" s="78"/>
      <c r="D1070" s="79"/>
      <c r="E1070" s="76" t="str">
        <f>IF(ISBLANK(Log[[#This Row],[Item]]),"",_xlfn.XLOOKUP(Log[[#This Row],[Item]],Calories[Name],Calories[Unit]))</f>
        <v/>
      </c>
      <c r="F1070" s="65" t="str">
        <f>IF(ISBLANK(Log[[#This Row],[Item]]),"",_xlfn.XLOOKUP(Log[[#This Row],[Item]],Calories[Name],Calories[Cals])*Log[[#This Row],[Qty]])</f>
        <v/>
      </c>
      <c r="G1070" s="71" t="str">
        <f>IF(ISBLANK(Log[[#This Row],[Item]]),"",_xlfn.XLOOKUP(Log[[#This Row],[Item]],Calories[Name],Calories[Carbs])*Log[[#This Row],[Qty]])</f>
        <v/>
      </c>
      <c r="H1070" s="71" t="str">
        <f>IF(ISBLANK(Log[[#This Row],[Item]]),"",_xlfn.XLOOKUP(Log[[#This Row],[Item]],Calories[Name],Calories[Fibre])*Log[[#This Row],[Qty]])</f>
        <v/>
      </c>
      <c r="I1070" s="71" t="str">
        <f>IF(ISBLANK(Log[[#This Row],[Item]]),"",(Log[[#This Row],[Carbs]]-Log[[#This Row],[Fibre]]))</f>
        <v/>
      </c>
      <c r="J1070" s="103" t="str">
        <f>IF(ISBLANK(Log[[#This Row],[Item]]),"",_xlfn.XLOOKUP(Log[[#This Row],[Item]],Calories[Name],Calories[Sodium])*Log[[#This Row],[Qty]])</f>
        <v/>
      </c>
      <c r="K1070" s="71" t="str">
        <f>IF(ISBLANK(Log[[#This Row],[Item]]),"",_xlfn.XLOOKUP(Log[[#This Row],[Item]],Calories[Name],Calories[Protein])*Log[[#This Row],[Qty]])</f>
        <v/>
      </c>
      <c r="L1070" s="71" t="str">
        <f>IF(ISBLANK(Log[[#This Row],[Item]]),"",_xlfn.XLOOKUP(Log[[#This Row],[Item]],Calories[Name],Calories[Chol.])*Log[[#This Row],[Qty]])</f>
        <v/>
      </c>
      <c r="M1070" s="75"/>
      <c r="N1070" s="75"/>
      <c r="O1070" s="75"/>
    </row>
    <row r="1071" spans="1:15" s="66" customFormat="1" ht="25.15" customHeight="1">
      <c r="A1071" s="75"/>
      <c r="B1071" s="98"/>
      <c r="C1071" s="78"/>
      <c r="D1071" s="79"/>
      <c r="E1071" s="76" t="str">
        <f>IF(ISBLANK(Log[[#This Row],[Item]]),"",_xlfn.XLOOKUP(Log[[#This Row],[Item]],Calories[Name],Calories[Unit]))</f>
        <v/>
      </c>
      <c r="F1071" s="65" t="str">
        <f>IF(ISBLANK(Log[[#This Row],[Item]]),"",_xlfn.XLOOKUP(Log[[#This Row],[Item]],Calories[Name],Calories[Cals])*Log[[#This Row],[Qty]])</f>
        <v/>
      </c>
      <c r="G1071" s="71" t="str">
        <f>IF(ISBLANK(Log[[#This Row],[Item]]),"",_xlfn.XLOOKUP(Log[[#This Row],[Item]],Calories[Name],Calories[Carbs])*Log[[#This Row],[Qty]])</f>
        <v/>
      </c>
      <c r="H1071" s="71" t="str">
        <f>IF(ISBLANK(Log[[#This Row],[Item]]),"",_xlfn.XLOOKUP(Log[[#This Row],[Item]],Calories[Name],Calories[Fibre])*Log[[#This Row],[Qty]])</f>
        <v/>
      </c>
      <c r="I1071" s="71" t="str">
        <f>IF(ISBLANK(Log[[#This Row],[Item]]),"",(Log[[#This Row],[Carbs]]-Log[[#This Row],[Fibre]]))</f>
        <v/>
      </c>
      <c r="J1071" s="103" t="str">
        <f>IF(ISBLANK(Log[[#This Row],[Item]]),"",_xlfn.XLOOKUP(Log[[#This Row],[Item]],Calories[Name],Calories[Sodium])*Log[[#This Row],[Qty]])</f>
        <v/>
      </c>
      <c r="K1071" s="71" t="str">
        <f>IF(ISBLANK(Log[[#This Row],[Item]]),"",_xlfn.XLOOKUP(Log[[#This Row],[Item]],Calories[Name],Calories[Protein])*Log[[#This Row],[Qty]])</f>
        <v/>
      </c>
      <c r="L1071" s="71" t="str">
        <f>IF(ISBLANK(Log[[#This Row],[Item]]),"",_xlfn.XLOOKUP(Log[[#This Row],[Item]],Calories[Name],Calories[Chol.])*Log[[#This Row],[Qty]])</f>
        <v/>
      </c>
      <c r="M1071" s="75"/>
      <c r="N1071" s="75"/>
      <c r="O1071" s="75"/>
    </row>
    <row r="1072" spans="1:15" s="66" customFormat="1" ht="25.15" customHeight="1">
      <c r="A1072" s="75"/>
      <c r="B1072" s="98"/>
      <c r="C1072" s="78"/>
      <c r="D1072" s="79"/>
      <c r="E1072" s="76" t="str">
        <f>IF(ISBLANK(Log[[#This Row],[Item]]),"",_xlfn.XLOOKUP(Log[[#This Row],[Item]],Calories[Name],Calories[Unit]))</f>
        <v/>
      </c>
      <c r="F1072" s="65" t="str">
        <f>IF(ISBLANK(Log[[#This Row],[Item]]),"",_xlfn.XLOOKUP(Log[[#This Row],[Item]],Calories[Name],Calories[Cals])*Log[[#This Row],[Qty]])</f>
        <v/>
      </c>
      <c r="G1072" s="71" t="str">
        <f>IF(ISBLANK(Log[[#This Row],[Item]]),"",_xlfn.XLOOKUP(Log[[#This Row],[Item]],Calories[Name],Calories[Carbs])*Log[[#This Row],[Qty]])</f>
        <v/>
      </c>
      <c r="H1072" s="71" t="str">
        <f>IF(ISBLANK(Log[[#This Row],[Item]]),"",_xlfn.XLOOKUP(Log[[#This Row],[Item]],Calories[Name],Calories[Fibre])*Log[[#This Row],[Qty]])</f>
        <v/>
      </c>
      <c r="I1072" s="71" t="str">
        <f>IF(ISBLANK(Log[[#This Row],[Item]]),"",(Log[[#This Row],[Carbs]]-Log[[#This Row],[Fibre]]))</f>
        <v/>
      </c>
      <c r="J1072" s="103" t="str">
        <f>IF(ISBLANK(Log[[#This Row],[Item]]),"",_xlfn.XLOOKUP(Log[[#This Row],[Item]],Calories[Name],Calories[Sodium])*Log[[#This Row],[Qty]])</f>
        <v/>
      </c>
      <c r="K1072" s="71" t="str">
        <f>IF(ISBLANK(Log[[#This Row],[Item]]),"",_xlfn.XLOOKUP(Log[[#This Row],[Item]],Calories[Name],Calories[Protein])*Log[[#This Row],[Qty]])</f>
        <v/>
      </c>
      <c r="L1072" s="71" t="str">
        <f>IF(ISBLANK(Log[[#This Row],[Item]]),"",_xlfn.XLOOKUP(Log[[#This Row],[Item]],Calories[Name],Calories[Chol.])*Log[[#This Row],[Qty]])</f>
        <v/>
      </c>
      <c r="M1072" s="75"/>
      <c r="N1072" s="75"/>
      <c r="O1072" s="75"/>
    </row>
    <row r="1073" spans="1:15" s="66" customFormat="1" ht="25.15" customHeight="1">
      <c r="A1073" s="75"/>
      <c r="B1073" s="98"/>
      <c r="C1073" s="78"/>
      <c r="D1073" s="79"/>
      <c r="E1073" s="76" t="str">
        <f>IF(ISBLANK(Log[[#This Row],[Item]]),"",_xlfn.XLOOKUP(Log[[#This Row],[Item]],Calories[Name],Calories[Unit]))</f>
        <v/>
      </c>
      <c r="F1073" s="65" t="str">
        <f>IF(ISBLANK(Log[[#This Row],[Item]]),"",_xlfn.XLOOKUP(Log[[#This Row],[Item]],Calories[Name],Calories[Cals])*Log[[#This Row],[Qty]])</f>
        <v/>
      </c>
      <c r="G1073" s="71" t="str">
        <f>IF(ISBLANK(Log[[#This Row],[Item]]),"",_xlfn.XLOOKUP(Log[[#This Row],[Item]],Calories[Name],Calories[Carbs])*Log[[#This Row],[Qty]])</f>
        <v/>
      </c>
      <c r="H1073" s="71" t="str">
        <f>IF(ISBLANK(Log[[#This Row],[Item]]),"",_xlfn.XLOOKUP(Log[[#This Row],[Item]],Calories[Name],Calories[Fibre])*Log[[#This Row],[Qty]])</f>
        <v/>
      </c>
      <c r="I1073" s="71" t="str">
        <f>IF(ISBLANK(Log[[#This Row],[Item]]),"",(Log[[#This Row],[Carbs]]-Log[[#This Row],[Fibre]]))</f>
        <v/>
      </c>
      <c r="J1073" s="103" t="str">
        <f>IF(ISBLANK(Log[[#This Row],[Item]]),"",_xlfn.XLOOKUP(Log[[#This Row],[Item]],Calories[Name],Calories[Sodium])*Log[[#This Row],[Qty]])</f>
        <v/>
      </c>
      <c r="K1073" s="71" t="str">
        <f>IF(ISBLANK(Log[[#This Row],[Item]]),"",_xlfn.XLOOKUP(Log[[#This Row],[Item]],Calories[Name],Calories[Protein])*Log[[#This Row],[Qty]])</f>
        <v/>
      </c>
      <c r="L1073" s="71" t="str">
        <f>IF(ISBLANK(Log[[#This Row],[Item]]),"",_xlfn.XLOOKUP(Log[[#This Row],[Item]],Calories[Name],Calories[Chol.])*Log[[#This Row],[Qty]])</f>
        <v/>
      </c>
      <c r="M1073" s="75"/>
      <c r="N1073" s="75"/>
      <c r="O1073" s="75"/>
    </row>
    <row r="1074" spans="1:15" s="66" customFormat="1" ht="25.15" customHeight="1">
      <c r="A1074" s="75"/>
      <c r="B1074" s="98"/>
      <c r="C1074" s="78"/>
      <c r="D1074" s="79"/>
      <c r="E1074" s="76" t="str">
        <f>IF(ISBLANK(Log[[#This Row],[Item]]),"",_xlfn.XLOOKUP(Log[[#This Row],[Item]],Calories[Name],Calories[Unit]))</f>
        <v/>
      </c>
      <c r="F1074" s="65" t="str">
        <f>IF(ISBLANK(Log[[#This Row],[Item]]),"",_xlfn.XLOOKUP(Log[[#This Row],[Item]],Calories[Name],Calories[Cals])*Log[[#This Row],[Qty]])</f>
        <v/>
      </c>
      <c r="G1074" s="71" t="str">
        <f>IF(ISBLANK(Log[[#This Row],[Item]]),"",_xlfn.XLOOKUP(Log[[#This Row],[Item]],Calories[Name],Calories[Carbs])*Log[[#This Row],[Qty]])</f>
        <v/>
      </c>
      <c r="H1074" s="71" t="str">
        <f>IF(ISBLANK(Log[[#This Row],[Item]]),"",_xlfn.XLOOKUP(Log[[#This Row],[Item]],Calories[Name],Calories[Fibre])*Log[[#This Row],[Qty]])</f>
        <v/>
      </c>
      <c r="I1074" s="71" t="str">
        <f>IF(ISBLANK(Log[[#This Row],[Item]]),"",(Log[[#This Row],[Carbs]]-Log[[#This Row],[Fibre]]))</f>
        <v/>
      </c>
      <c r="J1074" s="103" t="str">
        <f>IF(ISBLANK(Log[[#This Row],[Item]]),"",_xlfn.XLOOKUP(Log[[#This Row],[Item]],Calories[Name],Calories[Sodium])*Log[[#This Row],[Qty]])</f>
        <v/>
      </c>
      <c r="K1074" s="71" t="str">
        <f>IF(ISBLANK(Log[[#This Row],[Item]]),"",_xlfn.XLOOKUP(Log[[#This Row],[Item]],Calories[Name],Calories[Protein])*Log[[#This Row],[Qty]])</f>
        <v/>
      </c>
      <c r="L1074" s="71" t="str">
        <f>IF(ISBLANK(Log[[#This Row],[Item]]),"",_xlfn.XLOOKUP(Log[[#This Row],[Item]],Calories[Name],Calories[Chol.])*Log[[#This Row],[Qty]])</f>
        <v/>
      </c>
      <c r="M1074" s="75"/>
      <c r="N1074" s="75"/>
      <c r="O1074" s="75"/>
    </row>
    <row r="1075" spans="1:15" s="66" customFormat="1" ht="25.15" customHeight="1">
      <c r="A1075" s="75"/>
      <c r="B1075" s="98"/>
      <c r="C1075" s="78"/>
      <c r="D1075" s="79"/>
      <c r="E1075" s="76" t="str">
        <f>IF(ISBLANK(Log[[#This Row],[Item]]),"",_xlfn.XLOOKUP(Log[[#This Row],[Item]],Calories[Name],Calories[Unit]))</f>
        <v/>
      </c>
      <c r="F1075" s="65" t="str">
        <f>IF(ISBLANK(Log[[#This Row],[Item]]),"",_xlfn.XLOOKUP(Log[[#This Row],[Item]],Calories[Name],Calories[Cals])*Log[[#This Row],[Qty]])</f>
        <v/>
      </c>
      <c r="G1075" s="71" t="str">
        <f>IF(ISBLANK(Log[[#This Row],[Item]]),"",_xlfn.XLOOKUP(Log[[#This Row],[Item]],Calories[Name],Calories[Carbs])*Log[[#This Row],[Qty]])</f>
        <v/>
      </c>
      <c r="H1075" s="71" t="str">
        <f>IF(ISBLANK(Log[[#This Row],[Item]]),"",_xlfn.XLOOKUP(Log[[#This Row],[Item]],Calories[Name],Calories[Fibre])*Log[[#This Row],[Qty]])</f>
        <v/>
      </c>
      <c r="I1075" s="71" t="str">
        <f>IF(ISBLANK(Log[[#This Row],[Item]]),"",(Log[[#This Row],[Carbs]]-Log[[#This Row],[Fibre]]))</f>
        <v/>
      </c>
      <c r="J1075" s="103" t="str">
        <f>IF(ISBLANK(Log[[#This Row],[Item]]),"",_xlfn.XLOOKUP(Log[[#This Row],[Item]],Calories[Name],Calories[Sodium])*Log[[#This Row],[Qty]])</f>
        <v/>
      </c>
      <c r="K1075" s="71" t="str">
        <f>IF(ISBLANK(Log[[#This Row],[Item]]),"",_xlfn.XLOOKUP(Log[[#This Row],[Item]],Calories[Name],Calories[Protein])*Log[[#This Row],[Qty]])</f>
        <v/>
      </c>
      <c r="L1075" s="71" t="str">
        <f>IF(ISBLANK(Log[[#This Row],[Item]]),"",_xlfn.XLOOKUP(Log[[#This Row],[Item]],Calories[Name],Calories[Chol.])*Log[[#This Row],[Qty]])</f>
        <v/>
      </c>
      <c r="M1075" s="75"/>
      <c r="N1075" s="75"/>
      <c r="O1075" s="75"/>
    </row>
    <row r="1076" spans="1:15" s="66" customFormat="1" ht="25.15" customHeight="1">
      <c r="A1076" s="75"/>
      <c r="B1076" s="98"/>
      <c r="C1076" s="78"/>
      <c r="D1076" s="79"/>
      <c r="E1076" s="76" t="str">
        <f>IF(ISBLANK(Log[[#This Row],[Item]]),"",_xlfn.XLOOKUP(Log[[#This Row],[Item]],Calories[Name],Calories[Unit]))</f>
        <v/>
      </c>
      <c r="F1076" s="65" t="str">
        <f>IF(ISBLANK(Log[[#This Row],[Item]]),"",_xlfn.XLOOKUP(Log[[#This Row],[Item]],Calories[Name],Calories[Cals])*Log[[#This Row],[Qty]])</f>
        <v/>
      </c>
      <c r="G1076" s="71" t="str">
        <f>IF(ISBLANK(Log[[#This Row],[Item]]),"",_xlfn.XLOOKUP(Log[[#This Row],[Item]],Calories[Name],Calories[Carbs])*Log[[#This Row],[Qty]])</f>
        <v/>
      </c>
      <c r="H1076" s="71" t="str">
        <f>IF(ISBLANK(Log[[#This Row],[Item]]),"",_xlfn.XLOOKUP(Log[[#This Row],[Item]],Calories[Name],Calories[Fibre])*Log[[#This Row],[Qty]])</f>
        <v/>
      </c>
      <c r="I1076" s="71" t="str">
        <f>IF(ISBLANK(Log[[#This Row],[Item]]),"",(Log[[#This Row],[Carbs]]-Log[[#This Row],[Fibre]]))</f>
        <v/>
      </c>
      <c r="J1076" s="103" t="str">
        <f>IF(ISBLANK(Log[[#This Row],[Item]]),"",_xlfn.XLOOKUP(Log[[#This Row],[Item]],Calories[Name],Calories[Sodium])*Log[[#This Row],[Qty]])</f>
        <v/>
      </c>
      <c r="K1076" s="71" t="str">
        <f>IF(ISBLANK(Log[[#This Row],[Item]]),"",_xlfn.XLOOKUP(Log[[#This Row],[Item]],Calories[Name],Calories[Protein])*Log[[#This Row],[Qty]])</f>
        <v/>
      </c>
      <c r="L1076" s="71" t="str">
        <f>IF(ISBLANK(Log[[#This Row],[Item]]),"",_xlfn.XLOOKUP(Log[[#This Row],[Item]],Calories[Name],Calories[Chol.])*Log[[#This Row],[Qty]])</f>
        <v/>
      </c>
      <c r="M1076" s="75"/>
      <c r="N1076" s="75"/>
      <c r="O1076" s="75"/>
    </row>
    <row r="1077" spans="1:15" s="66" customFormat="1" ht="25.15" customHeight="1">
      <c r="A1077" s="75"/>
      <c r="B1077" s="98"/>
      <c r="C1077" s="78"/>
      <c r="D1077" s="79"/>
      <c r="E1077" s="76" t="str">
        <f>IF(ISBLANK(Log[[#This Row],[Item]]),"",_xlfn.XLOOKUP(Log[[#This Row],[Item]],Calories[Name],Calories[Unit]))</f>
        <v/>
      </c>
      <c r="F1077" s="65" t="str">
        <f>IF(ISBLANK(Log[[#This Row],[Item]]),"",_xlfn.XLOOKUP(Log[[#This Row],[Item]],Calories[Name],Calories[Cals])*Log[[#This Row],[Qty]])</f>
        <v/>
      </c>
      <c r="G1077" s="71" t="str">
        <f>IF(ISBLANK(Log[[#This Row],[Item]]),"",_xlfn.XLOOKUP(Log[[#This Row],[Item]],Calories[Name],Calories[Carbs])*Log[[#This Row],[Qty]])</f>
        <v/>
      </c>
      <c r="H1077" s="71" t="str">
        <f>IF(ISBLANK(Log[[#This Row],[Item]]),"",_xlfn.XLOOKUP(Log[[#This Row],[Item]],Calories[Name],Calories[Fibre])*Log[[#This Row],[Qty]])</f>
        <v/>
      </c>
      <c r="I1077" s="71" t="str">
        <f>IF(ISBLANK(Log[[#This Row],[Item]]),"",(Log[[#This Row],[Carbs]]-Log[[#This Row],[Fibre]]))</f>
        <v/>
      </c>
      <c r="J1077" s="103" t="str">
        <f>IF(ISBLANK(Log[[#This Row],[Item]]),"",_xlfn.XLOOKUP(Log[[#This Row],[Item]],Calories[Name],Calories[Sodium])*Log[[#This Row],[Qty]])</f>
        <v/>
      </c>
      <c r="K1077" s="71" t="str">
        <f>IF(ISBLANK(Log[[#This Row],[Item]]),"",_xlfn.XLOOKUP(Log[[#This Row],[Item]],Calories[Name],Calories[Protein])*Log[[#This Row],[Qty]])</f>
        <v/>
      </c>
      <c r="L1077" s="71" t="str">
        <f>IF(ISBLANK(Log[[#This Row],[Item]]),"",_xlfn.XLOOKUP(Log[[#This Row],[Item]],Calories[Name],Calories[Chol.])*Log[[#This Row],[Qty]])</f>
        <v/>
      </c>
      <c r="M1077" s="75"/>
      <c r="N1077" s="75"/>
      <c r="O1077" s="75"/>
    </row>
    <row r="1078" spans="1:15" s="66" customFormat="1" ht="25.15" customHeight="1">
      <c r="A1078" s="75"/>
      <c r="B1078" s="98"/>
      <c r="C1078" s="78"/>
      <c r="D1078" s="79"/>
      <c r="E1078" s="76" t="str">
        <f>IF(ISBLANK(Log[[#This Row],[Item]]),"",_xlfn.XLOOKUP(Log[[#This Row],[Item]],Calories[Name],Calories[Unit]))</f>
        <v/>
      </c>
      <c r="F1078" s="65" t="str">
        <f>IF(ISBLANK(Log[[#This Row],[Item]]),"",_xlfn.XLOOKUP(Log[[#This Row],[Item]],Calories[Name],Calories[Cals])*Log[[#This Row],[Qty]])</f>
        <v/>
      </c>
      <c r="G1078" s="71" t="str">
        <f>IF(ISBLANK(Log[[#This Row],[Item]]),"",_xlfn.XLOOKUP(Log[[#This Row],[Item]],Calories[Name],Calories[Carbs])*Log[[#This Row],[Qty]])</f>
        <v/>
      </c>
      <c r="H1078" s="71" t="str">
        <f>IF(ISBLANK(Log[[#This Row],[Item]]),"",_xlfn.XLOOKUP(Log[[#This Row],[Item]],Calories[Name],Calories[Fibre])*Log[[#This Row],[Qty]])</f>
        <v/>
      </c>
      <c r="I1078" s="71" t="str">
        <f>IF(ISBLANK(Log[[#This Row],[Item]]),"",(Log[[#This Row],[Carbs]]-Log[[#This Row],[Fibre]]))</f>
        <v/>
      </c>
      <c r="J1078" s="103" t="str">
        <f>IF(ISBLANK(Log[[#This Row],[Item]]),"",_xlfn.XLOOKUP(Log[[#This Row],[Item]],Calories[Name],Calories[Sodium])*Log[[#This Row],[Qty]])</f>
        <v/>
      </c>
      <c r="K1078" s="71" t="str">
        <f>IF(ISBLANK(Log[[#This Row],[Item]]),"",_xlfn.XLOOKUP(Log[[#This Row],[Item]],Calories[Name],Calories[Protein])*Log[[#This Row],[Qty]])</f>
        <v/>
      </c>
      <c r="L1078" s="71" t="str">
        <f>IF(ISBLANK(Log[[#This Row],[Item]]),"",_xlfn.XLOOKUP(Log[[#This Row],[Item]],Calories[Name],Calories[Chol.])*Log[[#This Row],[Qty]])</f>
        <v/>
      </c>
      <c r="M1078" s="75"/>
      <c r="N1078" s="75"/>
      <c r="O1078" s="75"/>
    </row>
    <row r="1079" spans="1:15" s="66" customFormat="1" ht="25.15" customHeight="1">
      <c r="A1079" s="75"/>
      <c r="B1079" s="98"/>
      <c r="C1079" s="78"/>
      <c r="D1079" s="79"/>
      <c r="E1079" s="76" t="str">
        <f>IF(ISBLANK(Log[[#This Row],[Item]]),"",_xlfn.XLOOKUP(Log[[#This Row],[Item]],Calories[Name],Calories[Unit]))</f>
        <v/>
      </c>
      <c r="F1079" s="65" t="str">
        <f>IF(ISBLANK(Log[[#This Row],[Item]]),"",_xlfn.XLOOKUP(Log[[#This Row],[Item]],Calories[Name],Calories[Cals])*Log[[#This Row],[Qty]])</f>
        <v/>
      </c>
      <c r="G1079" s="71" t="str">
        <f>IF(ISBLANK(Log[[#This Row],[Item]]),"",_xlfn.XLOOKUP(Log[[#This Row],[Item]],Calories[Name],Calories[Carbs])*Log[[#This Row],[Qty]])</f>
        <v/>
      </c>
      <c r="H1079" s="71" t="str">
        <f>IF(ISBLANK(Log[[#This Row],[Item]]),"",_xlfn.XLOOKUP(Log[[#This Row],[Item]],Calories[Name],Calories[Fibre])*Log[[#This Row],[Qty]])</f>
        <v/>
      </c>
      <c r="I1079" s="71" t="str">
        <f>IF(ISBLANK(Log[[#This Row],[Item]]),"",(Log[[#This Row],[Carbs]]-Log[[#This Row],[Fibre]]))</f>
        <v/>
      </c>
      <c r="J1079" s="103" t="str">
        <f>IF(ISBLANK(Log[[#This Row],[Item]]),"",_xlfn.XLOOKUP(Log[[#This Row],[Item]],Calories[Name],Calories[Sodium])*Log[[#This Row],[Qty]])</f>
        <v/>
      </c>
      <c r="K1079" s="71" t="str">
        <f>IF(ISBLANK(Log[[#This Row],[Item]]),"",_xlfn.XLOOKUP(Log[[#This Row],[Item]],Calories[Name],Calories[Protein])*Log[[#This Row],[Qty]])</f>
        <v/>
      </c>
      <c r="L1079" s="71" t="str">
        <f>IF(ISBLANK(Log[[#This Row],[Item]]),"",_xlfn.XLOOKUP(Log[[#This Row],[Item]],Calories[Name],Calories[Chol.])*Log[[#This Row],[Qty]])</f>
        <v/>
      </c>
      <c r="M1079" s="75"/>
      <c r="N1079" s="75"/>
      <c r="O1079" s="75"/>
    </row>
    <row r="1080" spans="1:15" s="66" customFormat="1" ht="25.15" customHeight="1">
      <c r="A1080" s="75"/>
      <c r="B1080" s="98"/>
      <c r="C1080" s="78"/>
      <c r="D1080" s="79"/>
      <c r="E1080" s="76" t="str">
        <f>IF(ISBLANK(Log[[#This Row],[Item]]),"",_xlfn.XLOOKUP(Log[[#This Row],[Item]],Calories[Name],Calories[Unit]))</f>
        <v/>
      </c>
      <c r="F1080" s="65" t="str">
        <f>IF(ISBLANK(Log[[#This Row],[Item]]),"",_xlfn.XLOOKUP(Log[[#This Row],[Item]],Calories[Name],Calories[Cals])*Log[[#This Row],[Qty]])</f>
        <v/>
      </c>
      <c r="G1080" s="71" t="str">
        <f>IF(ISBLANK(Log[[#This Row],[Item]]),"",_xlfn.XLOOKUP(Log[[#This Row],[Item]],Calories[Name],Calories[Carbs])*Log[[#This Row],[Qty]])</f>
        <v/>
      </c>
      <c r="H1080" s="71" t="str">
        <f>IF(ISBLANK(Log[[#This Row],[Item]]),"",_xlfn.XLOOKUP(Log[[#This Row],[Item]],Calories[Name],Calories[Fibre])*Log[[#This Row],[Qty]])</f>
        <v/>
      </c>
      <c r="I1080" s="71" t="str">
        <f>IF(ISBLANK(Log[[#This Row],[Item]]),"",(Log[[#This Row],[Carbs]]-Log[[#This Row],[Fibre]]))</f>
        <v/>
      </c>
      <c r="J1080" s="103" t="str">
        <f>IF(ISBLANK(Log[[#This Row],[Item]]),"",_xlfn.XLOOKUP(Log[[#This Row],[Item]],Calories[Name],Calories[Sodium])*Log[[#This Row],[Qty]])</f>
        <v/>
      </c>
      <c r="K1080" s="71" t="str">
        <f>IF(ISBLANK(Log[[#This Row],[Item]]),"",_xlfn.XLOOKUP(Log[[#This Row],[Item]],Calories[Name],Calories[Protein])*Log[[#This Row],[Qty]])</f>
        <v/>
      </c>
      <c r="L1080" s="71" t="str">
        <f>IF(ISBLANK(Log[[#This Row],[Item]]),"",_xlfn.XLOOKUP(Log[[#This Row],[Item]],Calories[Name],Calories[Chol.])*Log[[#This Row],[Qty]])</f>
        <v/>
      </c>
      <c r="M1080" s="75"/>
      <c r="N1080" s="75"/>
      <c r="O1080" s="75"/>
    </row>
    <row r="1081" spans="1:15" s="66" customFormat="1" ht="25.15" customHeight="1">
      <c r="A1081" s="75"/>
      <c r="B1081" s="98"/>
      <c r="C1081" s="78"/>
      <c r="D1081" s="79"/>
      <c r="E1081" s="76" t="str">
        <f>IF(ISBLANK(Log[[#This Row],[Item]]),"",_xlfn.XLOOKUP(Log[[#This Row],[Item]],Calories[Name],Calories[Unit]))</f>
        <v/>
      </c>
      <c r="F1081" s="65" t="str">
        <f>IF(ISBLANK(Log[[#This Row],[Item]]),"",_xlfn.XLOOKUP(Log[[#This Row],[Item]],Calories[Name],Calories[Cals])*Log[[#This Row],[Qty]])</f>
        <v/>
      </c>
      <c r="G1081" s="71" t="str">
        <f>IF(ISBLANK(Log[[#This Row],[Item]]),"",_xlfn.XLOOKUP(Log[[#This Row],[Item]],Calories[Name],Calories[Carbs])*Log[[#This Row],[Qty]])</f>
        <v/>
      </c>
      <c r="H1081" s="71" t="str">
        <f>IF(ISBLANK(Log[[#This Row],[Item]]),"",_xlfn.XLOOKUP(Log[[#This Row],[Item]],Calories[Name],Calories[Fibre])*Log[[#This Row],[Qty]])</f>
        <v/>
      </c>
      <c r="I1081" s="71" t="str">
        <f>IF(ISBLANK(Log[[#This Row],[Item]]),"",(Log[[#This Row],[Carbs]]-Log[[#This Row],[Fibre]]))</f>
        <v/>
      </c>
      <c r="J1081" s="103" t="str">
        <f>IF(ISBLANK(Log[[#This Row],[Item]]),"",_xlfn.XLOOKUP(Log[[#This Row],[Item]],Calories[Name],Calories[Sodium])*Log[[#This Row],[Qty]])</f>
        <v/>
      </c>
      <c r="K1081" s="71" t="str">
        <f>IF(ISBLANK(Log[[#This Row],[Item]]),"",_xlfn.XLOOKUP(Log[[#This Row],[Item]],Calories[Name],Calories[Protein])*Log[[#This Row],[Qty]])</f>
        <v/>
      </c>
      <c r="L1081" s="71" t="str">
        <f>IF(ISBLANK(Log[[#This Row],[Item]]),"",_xlfn.XLOOKUP(Log[[#This Row],[Item]],Calories[Name],Calories[Chol.])*Log[[#This Row],[Qty]])</f>
        <v/>
      </c>
      <c r="M1081" s="75"/>
      <c r="N1081" s="75"/>
      <c r="O1081" s="75"/>
    </row>
    <row r="1082" spans="1:15" s="66" customFormat="1" ht="25.15" customHeight="1">
      <c r="A1082" s="75"/>
      <c r="B1082" s="98"/>
      <c r="C1082" s="78"/>
      <c r="D1082" s="79"/>
      <c r="E1082" s="76" t="str">
        <f>IF(ISBLANK(Log[[#This Row],[Item]]),"",_xlfn.XLOOKUP(Log[[#This Row],[Item]],Calories[Name],Calories[Unit]))</f>
        <v/>
      </c>
      <c r="F1082" s="65" t="str">
        <f>IF(ISBLANK(Log[[#This Row],[Item]]),"",_xlfn.XLOOKUP(Log[[#This Row],[Item]],Calories[Name],Calories[Cals])*Log[[#This Row],[Qty]])</f>
        <v/>
      </c>
      <c r="G1082" s="71" t="str">
        <f>IF(ISBLANK(Log[[#This Row],[Item]]),"",_xlfn.XLOOKUP(Log[[#This Row],[Item]],Calories[Name],Calories[Carbs])*Log[[#This Row],[Qty]])</f>
        <v/>
      </c>
      <c r="H1082" s="71" t="str">
        <f>IF(ISBLANK(Log[[#This Row],[Item]]),"",_xlfn.XLOOKUP(Log[[#This Row],[Item]],Calories[Name],Calories[Fibre])*Log[[#This Row],[Qty]])</f>
        <v/>
      </c>
      <c r="I1082" s="71" t="str">
        <f>IF(ISBLANK(Log[[#This Row],[Item]]),"",(Log[[#This Row],[Carbs]]-Log[[#This Row],[Fibre]]))</f>
        <v/>
      </c>
      <c r="J1082" s="103" t="str">
        <f>IF(ISBLANK(Log[[#This Row],[Item]]),"",_xlfn.XLOOKUP(Log[[#This Row],[Item]],Calories[Name],Calories[Sodium])*Log[[#This Row],[Qty]])</f>
        <v/>
      </c>
      <c r="K1082" s="71" t="str">
        <f>IF(ISBLANK(Log[[#This Row],[Item]]),"",_xlfn.XLOOKUP(Log[[#This Row],[Item]],Calories[Name],Calories[Protein])*Log[[#This Row],[Qty]])</f>
        <v/>
      </c>
      <c r="L1082" s="71" t="str">
        <f>IF(ISBLANK(Log[[#This Row],[Item]]),"",_xlfn.XLOOKUP(Log[[#This Row],[Item]],Calories[Name],Calories[Chol.])*Log[[#This Row],[Qty]])</f>
        <v/>
      </c>
      <c r="M1082" s="75"/>
      <c r="N1082" s="75"/>
      <c r="O1082" s="75"/>
    </row>
    <row r="1083" spans="1:15" s="66" customFormat="1" ht="25.15" customHeight="1">
      <c r="A1083" s="75"/>
      <c r="B1083" s="98"/>
      <c r="C1083" s="78"/>
      <c r="D1083" s="79"/>
      <c r="E1083" s="76" t="str">
        <f>IF(ISBLANK(Log[[#This Row],[Item]]),"",_xlfn.XLOOKUP(Log[[#This Row],[Item]],Calories[Name],Calories[Unit]))</f>
        <v/>
      </c>
      <c r="F1083" s="65" t="str">
        <f>IF(ISBLANK(Log[[#This Row],[Item]]),"",_xlfn.XLOOKUP(Log[[#This Row],[Item]],Calories[Name],Calories[Cals])*Log[[#This Row],[Qty]])</f>
        <v/>
      </c>
      <c r="G1083" s="71" t="str">
        <f>IF(ISBLANK(Log[[#This Row],[Item]]),"",_xlfn.XLOOKUP(Log[[#This Row],[Item]],Calories[Name],Calories[Carbs])*Log[[#This Row],[Qty]])</f>
        <v/>
      </c>
      <c r="H1083" s="71" t="str">
        <f>IF(ISBLANK(Log[[#This Row],[Item]]),"",_xlfn.XLOOKUP(Log[[#This Row],[Item]],Calories[Name],Calories[Fibre])*Log[[#This Row],[Qty]])</f>
        <v/>
      </c>
      <c r="I1083" s="71" t="str">
        <f>IF(ISBLANK(Log[[#This Row],[Item]]),"",(Log[[#This Row],[Carbs]]-Log[[#This Row],[Fibre]]))</f>
        <v/>
      </c>
      <c r="J1083" s="103" t="str">
        <f>IF(ISBLANK(Log[[#This Row],[Item]]),"",_xlfn.XLOOKUP(Log[[#This Row],[Item]],Calories[Name],Calories[Sodium])*Log[[#This Row],[Qty]])</f>
        <v/>
      </c>
      <c r="K1083" s="71" t="str">
        <f>IF(ISBLANK(Log[[#This Row],[Item]]),"",_xlfn.XLOOKUP(Log[[#This Row],[Item]],Calories[Name],Calories[Protein])*Log[[#This Row],[Qty]])</f>
        <v/>
      </c>
      <c r="L1083" s="71" t="str">
        <f>IF(ISBLANK(Log[[#This Row],[Item]]),"",_xlfn.XLOOKUP(Log[[#This Row],[Item]],Calories[Name],Calories[Chol.])*Log[[#This Row],[Qty]])</f>
        <v/>
      </c>
      <c r="M1083" s="75"/>
      <c r="N1083" s="75"/>
      <c r="O1083" s="75"/>
    </row>
    <row r="1084" spans="1:15" s="66" customFormat="1" ht="25.15" customHeight="1">
      <c r="A1084" s="75"/>
      <c r="B1084" s="98"/>
      <c r="C1084" s="78"/>
      <c r="D1084" s="79"/>
      <c r="E1084" s="76" t="str">
        <f>IF(ISBLANK(Log[[#This Row],[Item]]),"",_xlfn.XLOOKUP(Log[[#This Row],[Item]],Calories[Name],Calories[Unit]))</f>
        <v/>
      </c>
      <c r="F1084" s="65" t="str">
        <f>IF(ISBLANK(Log[[#This Row],[Item]]),"",_xlfn.XLOOKUP(Log[[#This Row],[Item]],Calories[Name],Calories[Cals])*Log[[#This Row],[Qty]])</f>
        <v/>
      </c>
      <c r="G1084" s="71" t="str">
        <f>IF(ISBLANK(Log[[#This Row],[Item]]),"",_xlfn.XLOOKUP(Log[[#This Row],[Item]],Calories[Name],Calories[Carbs])*Log[[#This Row],[Qty]])</f>
        <v/>
      </c>
      <c r="H1084" s="71" t="str">
        <f>IF(ISBLANK(Log[[#This Row],[Item]]),"",_xlfn.XLOOKUP(Log[[#This Row],[Item]],Calories[Name],Calories[Fibre])*Log[[#This Row],[Qty]])</f>
        <v/>
      </c>
      <c r="I1084" s="71" t="str">
        <f>IF(ISBLANK(Log[[#This Row],[Item]]),"",(Log[[#This Row],[Carbs]]-Log[[#This Row],[Fibre]]))</f>
        <v/>
      </c>
      <c r="J1084" s="103" t="str">
        <f>IF(ISBLANK(Log[[#This Row],[Item]]),"",_xlfn.XLOOKUP(Log[[#This Row],[Item]],Calories[Name],Calories[Sodium])*Log[[#This Row],[Qty]])</f>
        <v/>
      </c>
      <c r="K1084" s="71" t="str">
        <f>IF(ISBLANK(Log[[#This Row],[Item]]),"",_xlfn.XLOOKUP(Log[[#This Row],[Item]],Calories[Name],Calories[Protein])*Log[[#This Row],[Qty]])</f>
        <v/>
      </c>
      <c r="L1084" s="71" t="str">
        <f>IF(ISBLANK(Log[[#This Row],[Item]]),"",_xlfn.XLOOKUP(Log[[#This Row],[Item]],Calories[Name],Calories[Chol.])*Log[[#This Row],[Qty]])</f>
        <v/>
      </c>
      <c r="M1084" s="75"/>
      <c r="N1084" s="75"/>
      <c r="O1084" s="75"/>
    </row>
    <row r="1085" spans="1:15" s="66" customFormat="1" ht="25.15" customHeight="1">
      <c r="A1085" s="75"/>
      <c r="B1085" s="98"/>
      <c r="C1085" s="78"/>
      <c r="D1085" s="79"/>
      <c r="E1085" s="76" t="str">
        <f>IF(ISBLANK(Log[[#This Row],[Item]]),"",_xlfn.XLOOKUP(Log[[#This Row],[Item]],Calories[Name],Calories[Unit]))</f>
        <v/>
      </c>
      <c r="F1085" s="65" t="str">
        <f>IF(ISBLANK(Log[[#This Row],[Item]]),"",_xlfn.XLOOKUP(Log[[#This Row],[Item]],Calories[Name],Calories[Cals])*Log[[#This Row],[Qty]])</f>
        <v/>
      </c>
      <c r="G1085" s="71" t="str">
        <f>IF(ISBLANK(Log[[#This Row],[Item]]),"",_xlfn.XLOOKUP(Log[[#This Row],[Item]],Calories[Name],Calories[Carbs])*Log[[#This Row],[Qty]])</f>
        <v/>
      </c>
      <c r="H1085" s="71" t="str">
        <f>IF(ISBLANK(Log[[#This Row],[Item]]),"",_xlfn.XLOOKUP(Log[[#This Row],[Item]],Calories[Name],Calories[Fibre])*Log[[#This Row],[Qty]])</f>
        <v/>
      </c>
      <c r="I1085" s="71" t="str">
        <f>IF(ISBLANK(Log[[#This Row],[Item]]),"",(Log[[#This Row],[Carbs]]-Log[[#This Row],[Fibre]]))</f>
        <v/>
      </c>
      <c r="J1085" s="103" t="str">
        <f>IF(ISBLANK(Log[[#This Row],[Item]]),"",_xlfn.XLOOKUP(Log[[#This Row],[Item]],Calories[Name],Calories[Sodium])*Log[[#This Row],[Qty]])</f>
        <v/>
      </c>
      <c r="K1085" s="71" t="str">
        <f>IF(ISBLANK(Log[[#This Row],[Item]]),"",_xlfn.XLOOKUP(Log[[#This Row],[Item]],Calories[Name],Calories[Protein])*Log[[#This Row],[Qty]])</f>
        <v/>
      </c>
      <c r="L1085" s="71" t="str">
        <f>IF(ISBLANK(Log[[#This Row],[Item]]),"",_xlfn.XLOOKUP(Log[[#This Row],[Item]],Calories[Name],Calories[Chol.])*Log[[#This Row],[Qty]])</f>
        <v/>
      </c>
      <c r="M1085" s="75"/>
      <c r="N1085" s="75"/>
      <c r="O1085" s="75"/>
    </row>
    <row r="1086" spans="1:15" s="66" customFormat="1" ht="25.15" customHeight="1">
      <c r="A1086" s="75"/>
      <c r="B1086" s="98"/>
      <c r="C1086" s="78"/>
      <c r="D1086" s="79"/>
      <c r="E1086" s="76" t="str">
        <f>IF(ISBLANK(Log[[#This Row],[Item]]),"",_xlfn.XLOOKUP(Log[[#This Row],[Item]],Calories[Name],Calories[Unit]))</f>
        <v/>
      </c>
      <c r="F1086" s="65" t="str">
        <f>IF(ISBLANK(Log[[#This Row],[Item]]),"",_xlfn.XLOOKUP(Log[[#This Row],[Item]],Calories[Name],Calories[Cals])*Log[[#This Row],[Qty]])</f>
        <v/>
      </c>
      <c r="G1086" s="71" t="str">
        <f>IF(ISBLANK(Log[[#This Row],[Item]]),"",_xlfn.XLOOKUP(Log[[#This Row],[Item]],Calories[Name],Calories[Carbs])*Log[[#This Row],[Qty]])</f>
        <v/>
      </c>
      <c r="H1086" s="71" t="str">
        <f>IF(ISBLANK(Log[[#This Row],[Item]]),"",_xlfn.XLOOKUP(Log[[#This Row],[Item]],Calories[Name],Calories[Fibre])*Log[[#This Row],[Qty]])</f>
        <v/>
      </c>
      <c r="I1086" s="71" t="str">
        <f>IF(ISBLANK(Log[[#This Row],[Item]]),"",(Log[[#This Row],[Carbs]]-Log[[#This Row],[Fibre]]))</f>
        <v/>
      </c>
      <c r="J1086" s="103" t="str">
        <f>IF(ISBLANK(Log[[#This Row],[Item]]),"",_xlfn.XLOOKUP(Log[[#This Row],[Item]],Calories[Name],Calories[Sodium])*Log[[#This Row],[Qty]])</f>
        <v/>
      </c>
      <c r="K1086" s="71" t="str">
        <f>IF(ISBLANK(Log[[#This Row],[Item]]),"",_xlfn.XLOOKUP(Log[[#This Row],[Item]],Calories[Name],Calories[Protein])*Log[[#This Row],[Qty]])</f>
        <v/>
      </c>
      <c r="L1086" s="71" t="str">
        <f>IF(ISBLANK(Log[[#This Row],[Item]]),"",_xlfn.XLOOKUP(Log[[#This Row],[Item]],Calories[Name],Calories[Chol.])*Log[[#This Row],[Qty]])</f>
        <v/>
      </c>
      <c r="M1086" s="75"/>
      <c r="N1086" s="75"/>
      <c r="O1086" s="75"/>
    </row>
    <row r="1087" spans="1:15" s="66" customFormat="1" ht="25.15" customHeight="1">
      <c r="A1087" s="75"/>
      <c r="B1087" s="98"/>
      <c r="C1087" s="78"/>
      <c r="D1087" s="79"/>
      <c r="E1087" s="76" t="str">
        <f>IF(ISBLANK(Log[[#This Row],[Item]]),"",_xlfn.XLOOKUP(Log[[#This Row],[Item]],Calories[Name],Calories[Unit]))</f>
        <v/>
      </c>
      <c r="F1087" s="65" t="str">
        <f>IF(ISBLANK(Log[[#This Row],[Item]]),"",_xlfn.XLOOKUP(Log[[#This Row],[Item]],Calories[Name],Calories[Cals])*Log[[#This Row],[Qty]])</f>
        <v/>
      </c>
      <c r="G1087" s="71" t="str">
        <f>IF(ISBLANK(Log[[#This Row],[Item]]),"",_xlfn.XLOOKUP(Log[[#This Row],[Item]],Calories[Name],Calories[Carbs])*Log[[#This Row],[Qty]])</f>
        <v/>
      </c>
      <c r="H1087" s="71" t="str">
        <f>IF(ISBLANK(Log[[#This Row],[Item]]),"",_xlfn.XLOOKUP(Log[[#This Row],[Item]],Calories[Name],Calories[Fibre])*Log[[#This Row],[Qty]])</f>
        <v/>
      </c>
      <c r="I1087" s="71" t="str">
        <f>IF(ISBLANK(Log[[#This Row],[Item]]),"",(Log[[#This Row],[Carbs]]-Log[[#This Row],[Fibre]]))</f>
        <v/>
      </c>
      <c r="J1087" s="103" t="str">
        <f>IF(ISBLANK(Log[[#This Row],[Item]]),"",_xlfn.XLOOKUP(Log[[#This Row],[Item]],Calories[Name],Calories[Sodium])*Log[[#This Row],[Qty]])</f>
        <v/>
      </c>
      <c r="K1087" s="71" t="str">
        <f>IF(ISBLANK(Log[[#This Row],[Item]]),"",_xlfn.XLOOKUP(Log[[#This Row],[Item]],Calories[Name],Calories[Protein])*Log[[#This Row],[Qty]])</f>
        <v/>
      </c>
      <c r="L1087" s="71" t="str">
        <f>IF(ISBLANK(Log[[#This Row],[Item]]),"",_xlfn.XLOOKUP(Log[[#This Row],[Item]],Calories[Name],Calories[Chol.])*Log[[#This Row],[Qty]])</f>
        <v/>
      </c>
      <c r="M1087" s="75"/>
      <c r="N1087" s="75"/>
      <c r="O1087" s="75"/>
    </row>
    <row r="1088" spans="1:15" s="66" customFormat="1" ht="25.15" customHeight="1">
      <c r="A1088" s="75"/>
      <c r="B1088" s="98"/>
      <c r="C1088" s="78"/>
      <c r="D1088" s="79"/>
      <c r="E1088" s="76" t="str">
        <f>IF(ISBLANK(Log[[#This Row],[Item]]),"",_xlfn.XLOOKUP(Log[[#This Row],[Item]],Calories[Name],Calories[Unit]))</f>
        <v/>
      </c>
      <c r="F1088" s="65" t="str">
        <f>IF(ISBLANK(Log[[#This Row],[Item]]),"",_xlfn.XLOOKUP(Log[[#This Row],[Item]],Calories[Name],Calories[Cals])*Log[[#This Row],[Qty]])</f>
        <v/>
      </c>
      <c r="G1088" s="71" t="str">
        <f>IF(ISBLANK(Log[[#This Row],[Item]]),"",_xlfn.XLOOKUP(Log[[#This Row],[Item]],Calories[Name],Calories[Carbs])*Log[[#This Row],[Qty]])</f>
        <v/>
      </c>
      <c r="H1088" s="71" t="str">
        <f>IF(ISBLANK(Log[[#This Row],[Item]]),"",_xlfn.XLOOKUP(Log[[#This Row],[Item]],Calories[Name],Calories[Fibre])*Log[[#This Row],[Qty]])</f>
        <v/>
      </c>
      <c r="I1088" s="71" t="str">
        <f>IF(ISBLANK(Log[[#This Row],[Item]]),"",(Log[[#This Row],[Carbs]]-Log[[#This Row],[Fibre]]))</f>
        <v/>
      </c>
      <c r="J1088" s="103" t="str">
        <f>IF(ISBLANK(Log[[#This Row],[Item]]),"",_xlfn.XLOOKUP(Log[[#This Row],[Item]],Calories[Name],Calories[Sodium])*Log[[#This Row],[Qty]])</f>
        <v/>
      </c>
      <c r="K1088" s="71" t="str">
        <f>IF(ISBLANK(Log[[#This Row],[Item]]),"",_xlfn.XLOOKUP(Log[[#This Row],[Item]],Calories[Name],Calories[Protein])*Log[[#This Row],[Qty]])</f>
        <v/>
      </c>
      <c r="L1088" s="71" t="str">
        <f>IF(ISBLANK(Log[[#This Row],[Item]]),"",_xlfn.XLOOKUP(Log[[#This Row],[Item]],Calories[Name],Calories[Chol.])*Log[[#This Row],[Qty]])</f>
        <v/>
      </c>
      <c r="M1088" s="75"/>
      <c r="N1088" s="75"/>
      <c r="O1088" s="75"/>
    </row>
    <row r="1089" spans="1:15" s="66" customFormat="1" ht="25.15" customHeight="1">
      <c r="A1089" s="75"/>
      <c r="B1089" s="98"/>
      <c r="C1089" s="78"/>
      <c r="D1089" s="79"/>
      <c r="E1089" s="76" t="str">
        <f>IF(ISBLANK(Log[[#This Row],[Item]]),"",_xlfn.XLOOKUP(Log[[#This Row],[Item]],Calories[Name],Calories[Unit]))</f>
        <v/>
      </c>
      <c r="F1089" s="65" t="str">
        <f>IF(ISBLANK(Log[[#This Row],[Item]]),"",_xlfn.XLOOKUP(Log[[#This Row],[Item]],Calories[Name],Calories[Cals])*Log[[#This Row],[Qty]])</f>
        <v/>
      </c>
      <c r="G1089" s="71" t="str">
        <f>IF(ISBLANK(Log[[#This Row],[Item]]),"",_xlfn.XLOOKUP(Log[[#This Row],[Item]],Calories[Name],Calories[Carbs])*Log[[#This Row],[Qty]])</f>
        <v/>
      </c>
      <c r="H1089" s="71" t="str">
        <f>IF(ISBLANK(Log[[#This Row],[Item]]),"",_xlfn.XLOOKUP(Log[[#This Row],[Item]],Calories[Name],Calories[Fibre])*Log[[#This Row],[Qty]])</f>
        <v/>
      </c>
      <c r="I1089" s="71" t="str">
        <f>IF(ISBLANK(Log[[#This Row],[Item]]),"",(Log[[#This Row],[Carbs]]-Log[[#This Row],[Fibre]]))</f>
        <v/>
      </c>
      <c r="J1089" s="103" t="str">
        <f>IF(ISBLANK(Log[[#This Row],[Item]]),"",_xlfn.XLOOKUP(Log[[#This Row],[Item]],Calories[Name],Calories[Sodium])*Log[[#This Row],[Qty]])</f>
        <v/>
      </c>
      <c r="K1089" s="71" t="str">
        <f>IF(ISBLANK(Log[[#This Row],[Item]]),"",_xlfn.XLOOKUP(Log[[#This Row],[Item]],Calories[Name],Calories[Protein])*Log[[#This Row],[Qty]])</f>
        <v/>
      </c>
      <c r="L1089" s="71" t="str">
        <f>IF(ISBLANK(Log[[#This Row],[Item]]),"",_xlfn.XLOOKUP(Log[[#This Row],[Item]],Calories[Name],Calories[Chol.])*Log[[#This Row],[Qty]])</f>
        <v/>
      </c>
      <c r="M1089" s="75"/>
      <c r="N1089" s="75"/>
      <c r="O1089" s="75"/>
    </row>
    <row r="1090" spans="1:15" s="66" customFormat="1" ht="25.15" customHeight="1">
      <c r="A1090" s="75"/>
      <c r="B1090" s="98"/>
      <c r="C1090" s="78"/>
      <c r="D1090" s="79"/>
      <c r="E1090" s="76" t="str">
        <f>IF(ISBLANK(Log[[#This Row],[Item]]),"",_xlfn.XLOOKUP(Log[[#This Row],[Item]],Calories[Name],Calories[Unit]))</f>
        <v/>
      </c>
      <c r="F1090" s="65" t="str">
        <f>IF(ISBLANK(Log[[#This Row],[Item]]),"",_xlfn.XLOOKUP(Log[[#This Row],[Item]],Calories[Name],Calories[Cals])*Log[[#This Row],[Qty]])</f>
        <v/>
      </c>
      <c r="G1090" s="71" t="str">
        <f>IF(ISBLANK(Log[[#This Row],[Item]]),"",_xlfn.XLOOKUP(Log[[#This Row],[Item]],Calories[Name],Calories[Carbs])*Log[[#This Row],[Qty]])</f>
        <v/>
      </c>
      <c r="H1090" s="71" t="str">
        <f>IF(ISBLANK(Log[[#This Row],[Item]]),"",_xlfn.XLOOKUP(Log[[#This Row],[Item]],Calories[Name],Calories[Fibre])*Log[[#This Row],[Qty]])</f>
        <v/>
      </c>
      <c r="I1090" s="71" t="str">
        <f>IF(ISBLANK(Log[[#This Row],[Item]]),"",(Log[[#This Row],[Carbs]]-Log[[#This Row],[Fibre]]))</f>
        <v/>
      </c>
      <c r="J1090" s="103" t="str">
        <f>IF(ISBLANK(Log[[#This Row],[Item]]),"",_xlfn.XLOOKUP(Log[[#This Row],[Item]],Calories[Name],Calories[Sodium])*Log[[#This Row],[Qty]])</f>
        <v/>
      </c>
      <c r="K1090" s="71" t="str">
        <f>IF(ISBLANK(Log[[#This Row],[Item]]),"",_xlfn.XLOOKUP(Log[[#This Row],[Item]],Calories[Name],Calories[Protein])*Log[[#This Row],[Qty]])</f>
        <v/>
      </c>
      <c r="L1090" s="71" t="str">
        <f>IF(ISBLANK(Log[[#This Row],[Item]]),"",_xlfn.XLOOKUP(Log[[#This Row],[Item]],Calories[Name],Calories[Chol.])*Log[[#This Row],[Qty]])</f>
        <v/>
      </c>
      <c r="M1090" s="75"/>
      <c r="N1090" s="75"/>
      <c r="O1090" s="75"/>
    </row>
    <row r="1091" spans="1:15" s="66" customFormat="1" ht="25.15" customHeight="1">
      <c r="A1091" s="75"/>
      <c r="B1091" s="98"/>
      <c r="C1091" s="78"/>
      <c r="D1091" s="79"/>
      <c r="E1091" s="76" t="str">
        <f>IF(ISBLANK(Log[[#This Row],[Item]]),"",_xlfn.XLOOKUP(Log[[#This Row],[Item]],Calories[Name],Calories[Unit]))</f>
        <v/>
      </c>
      <c r="F1091" s="65" t="str">
        <f>IF(ISBLANK(Log[[#This Row],[Item]]),"",_xlfn.XLOOKUP(Log[[#This Row],[Item]],Calories[Name],Calories[Cals])*Log[[#This Row],[Qty]])</f>
        <v/>
      </c>
      <c r="G1091" s="71" t="str">
        <f>IF(ISBLANK(Log[[#This Row],[Item]]),"",_xlfn.XLOOKUP(Log[[#This Row],[Item]],Calories[Name],Calories[Carbs])*Log[[#This Row],[Qty]])</f>
        <v/>
      </c>
      <c r="H1091" s="71" t="str">
        <f>IF(ISBLANK(Log[[#This Row],[Item]]),"",_xlfn.XLOOKUP(Log[[#This Row],[Item]],Calories[Name],Calories[Fibre])*Log[[#This Row],[Qty]])</f>
        <v/>
      </c>
      <c r="I1091" s="71" t="str">
        <f>IF(ISBLANK(Log[[#This Row],[Item]]),"",(Log[[#This Row],[Carbs]]-Log[[#This Row],[Fibre]]))</f>
        <v/>
      </c>
      <c r="J1091" s="103" t="str">
        <f>IF(ISBLANK(Log[[#This Row],[Item]]),"",_xlfn.XLOOKUP(Log[[#This Row],[Item]],Calories[Name],Calories[Sodium])*Log[[#This Row],[Qty]])</f>
        <v/>
      </c>
      <c r="K1091" s="71" t="str">
        <f>IF(ISBLANK(Log[[#This Row],[Item]]),"",_xlfn.XLOOKUP(Log[[#This Row],[Item]],Calories[Name],Calories[Protein])*Log[[#This Row],[Qty]])</f>
        <v/>
      </c>
      <c r="L1091" s="71" t="str">
        <f>IF(ISBLANK(Log[[#This Row],[Item]]),"",_xlfn.XLOOKUP(Log[[#This Row],[Item]],Calories[Name],Calories[Chol.])*Log[[#This Row],[Qty]])</f>
        <v/>
      </c>
      <c r="M1091" s="75"/>
      <c r="N1091" s="75"/>
      <c r="O1091" s="75"/>
    </row>
    <row r="1092" spans="1:15" s="66" customFormat="1" ht="25.15" customHeight="1">
      <c r="A1092" s="75"/>
      <c r="B1092" s="98"/>
      <c r="C1092" s="78"/>
      <c r="D1092" s="79"/>
      <c r="E1092" s="76" t="str">
        <f>IF(ISBLANK(Log[[#This Row],[Item]]),"",_xlfn.XLOOKUP(Log[[#This Row],[Item]],Calories[Name],Calories[Unit]))</f>
        <v/>
      </c>
      <c r="F1092" s="65" t="str">
        <f>IF(ISBLANK(Log[[#This Row],[Item]]),"",_xlfn.XLOOKUP(Log[[#This Row],[Item]],Calories[Name],Calories[Cals])*Log[[#This Row],[Qty]])</f>
        <v/>
      </c>
      <c r="G1092" s="71" t="str">
        <f>IF(ISBLANK(Log[[#This Row],[Item]]),"",_xlfn.XLOOKUP(Log[[#This Row],[Item]],Calories[Name],Calories[Carbs])*Log[[#This Row],[Qty]])</f>
        <v/>
      </c>
      <c r="H1092" s="71" t="str">
        <f>IF(ISBLANK(Log[[#This Row],[Item]]),"",_xlfn.XLOOKUP(Log[[#This Row],[Item]],Calories[Name],Calories[Fibre])*Log[[#This Row],[Qty]])</f>
        <v/>
      </c>
      <c r="I1092" s="71" t="str">
        <f>IF(ISBLANK(Log[[#This Row],[Item]]),"",(Log[[#This Row],[Carbs]]-Log[[#This Row],[Fibre]]))</f>
        <v/>
      </c>
      <c r="J1092" s="103" t="str">
        <f>IF(ISBLANK(Log[[#This Row],[Item]]),"",_xlfn.XLOOKUP(Log[[#This Row],[Item]],Calories[Name],Calories[Sodium])*Log[[#This Row],[Qty]])</f>
        <v/>
      </c>
      <c r="K1092" s="71" t="str">
        <f>IF(ISBLANK(Log[[#This Row],[Item]]),"",_xlfn.XLOOKUP(Log[[#This Row],[Item]],Calories[Name],Calories[Protein])*Log[[#This Row],[Qty]])</f>
        <v/>
      </c>
      <c r="L1092" s="71" t="str">
        <f>IF(ISBLANK(Log[[#This Row],[Item]]),"",_xlfn.XLOOKUP(Log[[#This Row],[Item]],Calories[Name],Calories[Chol.])*Log[[#This Row],[Qty]])</f>
        <v/>
      </c>
      <c r="M1092" s="75"/>
      <c r="N1092" s="75"/>
      <c r="O1092" s="75"/>
    </row>
    <row r="1093" spans="1:15" s="66" customFormat="1" ht="25.15" customHeight="1">
      <c r="A1093" s="75"/>
      <c r="B1093" s="98"/>
      <c r="C1093" s="78"/>
      <c r="D1093" s="79"/>
      <c r="E1093" s="76" t="str">
        <f>IF(ISBLANK(Log[[#This Row],[Item]]),"",_xlfn.XLOOKUP(Log[[#This Row],[Item]],Calories[Name],Calories[Unit]))</f>
        <v/>
      </c>
      <c r="F1093" s="65" t="str">
        <f>IF(ISBLANK(Log[[#This Row],[Item]]),"",_xlfn.XLOOKUP(Log[[#This Row],[Item]],Calories[Name],Calories[Cals])*Log[[#This Row],[Qty]])</f>
        <v/>
      </c>
      <c r="G1093" s="71" t="str">
        <f>IF(ISBLANK(Log[[#This Row],[Item]]),"",_xlfn.XLOOKUP(Log[[#This Row],[Item]],Calories[Name],Calories[Carbs])*Log[[#This Row],[Qty]])</f>
        <v/>
      </c>
      <c r="H1093" s="71" t="str">
        <f>IF(ISBLANK(Log[[#This Row],[Item]]),"",_xlfn.XLOOKUP(Log[[#This Row],[Item]],Calories[Name],Calories[Fibre])*Log[[#This Row],[Qty]])</f>
        <v/>
      </c>
      <c r="I1093" s="71" t="str">
        <f>IF(ISBLANK(Log[[#This Row],[Item]]),"",(Log[[#This Row],[Carbs]]-Log[[#This Row],[Fibre]]))</f>
        <v/>
      </c>
      <c r="J1093" s="103" t="str">
        <f>IF(ISBLANK(Log[[#This Row],[Item]]),"",_xlfn.XLOOKUP(Log[[#This Row],[Item]],Calories[Name],Calories[Sodium])*Log[[#This Row],[Qty]])</f>
        <v/>
      </c>
      <c r="K1093" s="71" t="str">
        <f>IF(ISBLANK(Log[[#This Row],[Item]]),"",_xlfn.XLOOKUP(Log[[#This Row],[Item]],Calories[Name],Calories[Protein])*Log[[#This Row],[Qty]])</f>
        <v/>
      </c>
      <c r="L1093" s="71" t="str">
        <f>IF(ISBLANK(Log[[#This Row],[Item]]),"",_xlfn.XLOOKUP(Log[[#This Row],[Item]],Calories[Name],Calories[Chol.])*Log[[#This Row],[Qty]])</f>
        <v/>
      </c>
      <c r="M1093" s="75"/>
      <c r="N1093" s="75"/>
      <c r="O1093" s="75"/>
    </row>
    <row r="1094" spans="1:15" s="66" customFormat="1" ht="25.15" customHeight="1">
      <c r="A1094" s="75"/>
      <c r="B1094" s="98"/>
      <c r="C1094" s="78"/>
      <c r="D1094" s="79"/>
      <c r="E1094" s="76" t="str">
        <f>IF(ISBLANK(Log[[#This Row],[Item]]),"",_xlfn.XLOOKUP(Log[[#This Row],[Item]],Calories[Name],Calories[Unit]))</f>
        <v/>
      </c>
      <c r="F1094" s="65" t="str">
        <f>IF(ISBLANK(Log[[#This Row],[Item]]),"",_xlfn.XLOOKUP(Log[[#This Row],[Item]],Calories[Name],Calories[Cals])*Log[[#This Row],[Qty]])</f>
        <v/>
      </c>
      <c r="G1094" s="71" t="str">
        <f>IF(ISBLANK(Log[[#This Row],[Item]]),"",_xlfn.XLOOKUP(Log[[#This Row],[Item]],Calories[Name],Calories[Carbs])*Log[[#This Row],[Qty]])</f>
        <v/>
      </c>
      <c r="H1094" s="71" t="str">
        <f>IF(ISBLANK(Log[[#This Row],[Item]]),"",_xlfn.XLOOKUP(Log[[#This Row],[Item]],Calories[Name],Calories[Fibre])*Log[[#This Row],[Qty]])</f>
        <v/>
      </c>
      <c r="I1094" s="71" t="str">
        <f>IF(ISBLANK(Log[[#This Row],[Item]]),"",(Log[[#This Row],[Carbs]]-Log[[#This Row],[Fibre]]))</f>
        <v/>
      </c>
      <c r="J1094" s="103" t="str">
        <f>IF(ISBLANK(Log[[#This Row],[Item]]),"",_xlfn.XLOOKUP(Log[[#This Row],[Item]],Calories[Name],Calories[Sodium])*Log[[#This Row],[Qty]])</f>
        <v/>
      </c>
      <c r="K1094" s="71" t="str">
        <f>IF(ISBLANK(Log[[#This Row],[Item]]),"",_xlfn.XLOOKUP(Log[[#This Row],[Item]],Calories[Name],Calories[Protein])*Log[[#This Row],[Qty]])</f>
        <v/>
      </c>
      <c r="L1094" s="71" t="str">
        <f>IF(ISBLANK(Log[[#This Row],[Item]]),"",_xlfn.XLOOKUP(Log[[#This Row],[Item]],Calories[Name],Calories[Chol.])*Log[[#This Row],[Qty]])</f>
        <v/>
      </c>
      <c r="M1094" s="75"/>
      <c r="N1094" s="75"/>
      <c r="O1094" s="75"/>
    </row>
    <row r="1095" spans="1:15" s="66" customFormat="1" ht="25.15" customHeight="1">
      <c r="A1095" s="75"/>
      <c r="B1095" s="98"/>
      <c r="C1095" s="78"/>
      <c r="D1095" s="79"/>
      <c r="E1095" s="76" t="str">
        <f>IF(ISBLANK(Log[[#This Row],[Item]]),"",_xlfn.XLOOKUP(Log[[#This Row],[Item]],Calories[Name],Calories[Unit]))</f>
        <v/>
      </c>
      <c r="F1095" s="65" t="str">
        <f>IF(ISBLANK(Log[[#This Row],[Item]]),"",_xlfn.XLOOKUP(Log[[#This Row],[Item]],Calories[Name],Calories[Cals])*Log[[#This Row],[Qty]])</f>
        <v/>
      </c>
      <c r="G1095" s="71" t="str">
        <f>IF(ISBLANK(Log[[#This Row],[Item]]),"",_xlfn.XLOOKUP(Log[[#This Row],[Item]],Calories[Name],Calories[Carbs])*Log[[#This Row],[Qty]])</f>
        <v/>
      </c>
      <c r="H1095" s="71" t="str">
        <f>IF(ISBLANK(Log[[#This Row],[Item]]),"",_xlfn.XLOOKUP(Log[[#This Row],[Item]],Calories[Name],Calories[Fibre])*Log[[#This Row],[Qty]])</f>
        <v/>
      </c>
      <c r="I1095" s="71" t="str">
        <f>IF(ISBLANK(Log[[#This Row],[Item]]),"",(Log[[#This Row],[Carbs]]-Log[[#This Row],[Fibre]]))</f>
        <v/>
      </c>
      <c r="J1095" s="103" t="str">
        <f>IF(ISBLANK(Log[[#This Row],[Item]]),"",_xlfn.XLOOKUP(Log[[#This Row],[Item]],Calories[Name],Calories[Sodium])*Log[[#This Row],[Qty]])</f>
        <v/>
      </c>
      <c r="K1095" s="71" t="str">
        <f>IF(ISBLANK(Log[[#This Row],[Item]]),"",_xlfn.XLOOKUP(Log[[#This Row],[Item]],Calories[Name],Calories[Protein])*Log[[#This Row],[Qty]])</f>
        <v/>
      </c>
      <c r="L1095" s="71" t="str">
        <f>IF(ISBLANK(Log[[#This Row],[Item]]),"",_xlfn.XLOOKUP(Log[[#This Row],[Item]],Calories[Name],Calories[Chol.])*Log[[#This Row],[Qty]])</f>
        <v/>
      </c>
      <c r="M1095" s="75"/>
      <c r="N1095" s="75"/>
      <c r="O1095" s="75"/>
    </row>
    <row r="1096" spans="1:15" s="66" customFormat="1" ht="25.15" customHeight="1">
      <c r="A1096" s="75"/>
      <c r="B1096" s="98"/>
      <c r="C1096" s="78"/>
      <c r="D1096" s="79"/>
      <c r="E1096" s="76" t="str">
        <f>IF(ISBLANK(Log[[#This Row],[Item]]),"",_xlfn.XLOOKUP(Log[[#This Row],[Item]],Calories[Name],Calories[Unit]))</f>
        <v/>
      </c>
      <c r="F1096" s="65" t="str">
        <f>IF(ISBLANK(Log[[#This Row],[Item]]),"",_xlfn.XLOOKUP(Log[[#This Row],[Item]],Calories[Name],Calories[Cals])*Log[[#This Row],[Qty]])</f>
        <v/>
      </c>
      <c r="G1096" s="71" t="str">
        <f>IF(ISBLANK(Log[[#This Row],[Item]]),"",_xlfn.XLOOKUP(Log[[#This Row],[Item]],Calories[Name],Calories[Carbs])*Log[[#This Row],[Qty]])</f>
        <v/>
      </c>
      <c r="H1096" s="71" t="str">
        <f>IF(ISBLANK(Log[[#This Row],[Item]]),"",_xlfn.XLOOKUP(Log[[#This Row],[Item]],Calories[Name],Calories[Fibre])*Log[[#This Row],[Qty]])</f>
        <v/>
      </c>
      <c r="I1096" s="71" t="str">
        <f>IF(ISBLANK(Log[[#This Row],[Item]]),"",(Log[[#This Row],[Carbs]]-Log[[#This Row],[Fibre]]))</f>
        <v/>
      </c>
      <c r="J1096" s="103" t="str">
        <f>IF(ISBLANK(Log[[#This Row],[Item]]),"",_xlfn.XLOOKUP(Log[[#This Row],[Item]],Calories[Name],Calories[Sodium])*Log[[#This Row],[Qty]])</f>
        <v/>
      </c>
      <c r="K1096" s="71" t="str">
        <f>IF(ISBLANK(Log[[#This Row],[Item]]),"",_xlfn.XLOOKUP(Log[[#This Row],[Item]],Calories[Name],Calories[Protein])*Log[[#This Row],[Qty]])</f>
        <v/>
      </c>
      <c r="L1096" s="71" t="str">
        <f>IF(ISBLANK(Log[[#This Row],[Item]]),"",_xlfn.XLOOKUP(Log[[#This Row],[Item]],Calories[Name],Calories[Chol.])*Log[[#This Row],[Qty]])</f>
        <v/>
      </c>
      <c r="M1096" s="75"/>
      <c r="N1096" s="75"/>
      <c r="O1096" s="75"/>
    </row>
    <row r="1097" spans="1:15" s="66" customFormat="1" ht="25.15" customHeight="1">
      <c r="A1097" s="75"/>
      <c r="B1097" s="98"/>
      <c r="C1097" s="78"/>
      <c r="D1097" s="79"/>
      <c r="E1097" s="76" t="str">
        <f>IF(ISBLANK(Log[[#This Row],[Item]]),"",_xlfn.XLOOKUP(Log[[#This Row],[Item]],Calories[Name],Calories[Unit]))</f>
        <v/>
      </c>
      <c r="F1097" s="65" t="str">
        <f>IF(ISBLANK(Log[[#This Row],[Item]]),"",_xlfn.XLOOKUP(Log[[#This Row],[Item]],Calories[Name],Calories[Cals])*Log[[#This Row],[Qty]])</f>
        <v/>
      </c>
      <c r="G1097" s="71" t="str">
        <f>IF(ISBLANK(Log[[#This Row],[Item]]),"",_xlfn.XLOOKUP(Log[[#This Row],[Item]],Calories[Name],Calories[Carbs])*Log[[#This Row],[Qty]])</f>
        <v/>
      </c>
      <c r="H1097" s="71" t="str">
        <f>IF(ISBLANK(Log[[#This Row],[Item]]),"",_xlfn.XLOOKUP(Log[[#This Row],[Item]],Calories[Name],Calories[Fibre])*Log[[#This Row],[Qty]])</f>
        <v/>
      </c>
      <c r="I1097" s="71" t="str">
        <f>IF(ISBLANK(Log[[#This Row],[Item]]),"",(Log[[#This Row],[Carbs]]-Log[[#This Row],[Fibre]]))</f>
        <v/>
      </c>
      <c r="J1097" s="103" t="str">
        <f>IF(ISBLANK(Log[[#This Row],[Item]]),"",_xlfn.XLOOKUP(Log[[#This Row],[Item]],Calories[Name],Calories[Sodium])*Log[[#This Row],[Qty]])</f>
        <v/>
      </c>
      <c r="K1097" s="71" t="str">
        <f>IF(ISBLANK(Log[[#This Row],[Item]]),"",_xlfn.XLOOKUP(Log[[#This Row],[Item]],Calories[Name],Calories[Protein])*Log[[#This Row],[Qty]])</f>
        <v/>
      </c>
      <c r="L1097" s="71" t="str">
        <f>IF(ISBLANK(Log[[#This Row],[Item]]),"",_xlfn.XLOOKUP(Log[[#This Row],[Item]],Calories[Name],Calories[Chol.])*Log[[#This Row],[Qty]])</f>
        <v/>
      </c>
      <c r="M1097" s="75"/>
      <c r="N1097" s="75"/>
      <c r="O1097" s="75"/>
    </row>
    <row r="1098" spans="1:15" s="66" customFormat="1" ht="25.15" customHeight="1">
      <c r="A1098" s="75"/>
      <c r="B1098" s="98"/>
      <c r="C1098" s="78"/>
      <c r="D1098" s="79"/>
      <c r="E1098" s="76" t="str">
        <f>IF(ISBLANK(Log[[#This Row],[Item]]),"",_xlfn.XLOOKUP(Log[[#This Row],[Item]],Calories[Name],Calories[Unit]))</f>
        <v/>
      </c>
      <c r="F1098" s="65" t="str">
        <f>IF(ISBLANK(Log[[#This Row],[Item]]),"",_xlfn.XLOOKUP(Log[[#This Row],[Item]],Calories[Name],Calories[Cals])*Log[[#This Row],[Qty]])</f>
        <v/>
      </c>
      <c r="G1098" s="71" t="str">
        <f>IF(ISBLANK(Log[[#This Row],[Item]]),"",_xlfn.XLOOKUP(Log[[#This Row],[Item]],Calories[Name],Calories[Carbs])*Log[[#This Row],[Qty]])</f>
        <v/>
      </c>
      <c r="H1098" s="71" t="str">
        <f>IF(ISBLANK(Log[[#This Row],[Item]]),"",_xlfn.XLOOKUP(Log[[#This Row],[Item]],Calories[Name],Calories[Fibre])*Log[[#This Row],[Qty]])</f>
        <v/>
      </c>
      <c r="I1098" s="71" t="str">
        <f>IF(ISBLANK(Log[[#This Row],[Item]]),"",(Log[[#This Row],[Carbs]]-Log[[#This Row],[Fibre]]))</f>
        <v/>
      </c>
      <c r="J1098" s="103" t="str">
        <f>IF(ISBLANK(Log[[#This Row],[Item]]),"",_xlfn.XLOOKUP(Log[[#This Row],[Item]],Calories[Name],Calories[Sodium])*Log[[#This Row],[Qty]])</f>
        <v/>
      </c>
      <c r="K1098" s="71" t="str">
        <f>IF(ISBLANK(Log[[#This Row],[Item]]),"",_xlfn.XLOOKUP(Log[[#This Row],[Item]],Calories[Name],Calories[Protein])*Log[[#This Row],[Qty]])</f>
        <v/>
      </c>
      <c r="L1098" s="71" t="str">
        <f>IF(ISBLANK(Log[[#This Row],[Item]]),"",_xlfn.XLOOKUP(Log[[#This Row],[Item]],Calories[Name],Calories[Chol.])*Log[[#This Row],[Qty]])</f>
        <v/>
      </c>
      <c r="M1098" s="75"/>
      <c r="N1098" s="75"/>
      <c r="O1098" s="75"/>
    </row>
    <row r="1099" spans="1:15" s="66" customFormat="1" ht="25.15" customHeight="1">
      <c r="A1099" s="75"/>
      <c r="B1099" s="98"/>
      <c r="C1099" s="78"/>
      <c r="D1099" s="79"/>
      <c r="E1099" s="76" t="str">
        <f>IF(ISBLANK(Log[[#This Row],[Item]]),"",_xlfn.XLOOKUP(Log[[#This Row],[Item]],Calories[Name],Calories[Unit]))</f>
        <v/>
      </c>
      <c r="F1099" s="65" t="str">
        <f>IF(ISBLANK(Log[[#This Row],[Item]]),"",_xlfn.XLOOKUP(Log[[#This Row],[Item]],Calories[Name],Calories[Cals])*Log[[#This Row],[Qty]])</f>
        <v/>
      </c>
      <c r="G1099" s="71" t="str">
        <f>IF(ISBLANK(Log[[#This Row],[Item]]),"",_xlfn.XLOOKUP(Log[[#This Row],[Item]],Calories[Name],Calories[Carbs])*Log[[#This Row],[Qty]])</f>
        <v/>
      </c>
      <c r="H1099" s="71" t="str">
        <f>IF(ISBLANK(Log[[#This Row],[Item]]),"",_xlfn.XLOOKUP(Log[[#This Row],[Item]],Calories[Name],Calories[Fibre])*Log[[#This Row],[Qty]])</f>
        <v/>
      </c>
      <c r="I1099" s="71" t="str">
        <f>IF(ISBLANK(Log[[#This Row],[Item]]),"",(Log[[#This Row],[Carbs]]-Log[[#This Row],[Fibre]]))</f>
        <v/>
      </c>
      <c r="J1099" s="103" t="str">
        <f>IF(ISBLANK(Log[[#This Row],[Item]]),"",_xlfn.XLOOKUP(Log[[#This Row],[Item]],Calories[Name],Calories[Sodium])*Log[[#This Row],[Qty]])</f>
        <v/>
      </c>
      <c r="K1099" s="71" t="str">
        <f>IF(ISBLANK(Log[[#This Row],[Item]]),"",_xlfn.XLOOKUP(Log[[#This Row],[Item]],Calories[Name],Calories[Protein])*Log[[#This Row],[Qty]])</f>
        <v/>
      </c>
      <c r="L1099" s="71" t="str">
        <f>IF(ISBLANK(Log[[#This Row],[Item]]),"",_xlfn.XLOOKUP(Log[[#This Row],[Item]],Calories[Name],Calories[Chol.])*Log[[#This Row],[Qty]])</f>
        <v/>
      </c>
      <c r="M1099" s="75"/>
      <c r="N1099" s="75"/>
      <c r="O1099" s="75"/>
    </row>
    <row r="1100" spans="1:15" s="66" customFormat="1" ht="25.15" customHeight="1">
      <c r="A1100" s="75"/>
      <c r="B1100" s="98"/>
      <c r="C1100" s="78"/>
      <c r="D1100" s="79"/>
      <c r="E1100" s="76" t="str">
        <f>IF(ISBLANK(Log[[#This Row],[Item]]),"",_xlfn.XLOOKUP(Log[[#This Row],[Item]],Calories[Name],Calories[Unit]))</f>
        <v/>
      </c>
      <c r="F1100" s="65" t="str">
        <f>IF(ISBLANK(Log[[#This Row],[Item]]),"",_xlfn.XLOOKUP(Log[[#This Row],[Item]],Calories[Name],Calories[Cals])*Log[[#This Row],[Qty]])</f>
        <v/>
      </c>
      <c r="G1100" s="71" t="str">
        <f>IF(ISBLANK(Log[[#This Row],[Item]]),"",_xlfn.XLOOKUP(Log[[#This Row],[Item]],Calories[Name],Calories[Carbs])*Log[[#This Row],[Qty]])</f>
        <v/>
      </c>
      <c r="H1100" s="71" t="str">
        <f>IF(ISBLANK(Log[[#This Row],[Item]]),"",_xlfn.XLOOKUP(Log[[#This Row],[Item]],Calories[Name],Calories[Fibre])*Log[[#This Row],[Qty]])</f>
        <v/>
      </c>
      <c r="I1100" s="71" t="str">
        <f>IF(ISBLANK(Log[[#This Row],[Item]]),"",(Log[[#This Row],[Carbs]]-Log[[#This Row],[Fibre]]))</f>
        <v/>
      </c>
      <c r="J1100" s="103" t="str">
        <f>IF(ISBLANK(Log[[#This Row],[Item]]),"",_xlfn.XLOOKUP(Log[[#This Row],[Item]],Calories[Name],Calories[Sodium])*Log[[#This Row],[Qty]])</f>
        <v/>
      </c>
      <c r="K1100" s="71" t="str">
        <f>IF(ISBLANK(Log[[#This Row],[Item]]),"",_xlfn.XLOOKUP(Log[[#This Row],[Item]],Calories[Name],Calories[Protein])*Log[[#This Row],[Qty]])</f>
        <v/>
      </c>
      <c r="L1100" s="71" t="str">
        <f>IF(ISBLANK(Log[[#This Row],[Item]]),"",_xlfn.XLOOKUP(Log[[#This Row],[Item]],Calories[Name],Calories[Chol.])*Log[[#This Row],[Qty]])</f>
        <v/>
      </c>
      <c r="M1100" s="75"/>
      <c r="N1100" s="75"/>
      <c r="O1100" s="75"/>
    </row>
    <row r="1101" spans="1:15" s="66" customFormat="1" ht="25.15" customHeight="1">
      <c r="A1101" s="75"/>
      <c r="B1101" s="98"/>
      <c r="C1101" s="78"/>
      <c r="D1101" s="79"/>
      <c r="E1101" s="76" t="str">
        <f>IF(ISBLANK(Log[[#This Row],[Item]]),"",_xlfn.XLOOKUP(Log[[#This Row],[Item]],Calories[Name],Calories[Unit]))</f>
        <v/>
      </c>
      <c r="F1101" s="65" t="str">
        <f>IF(ISBLANK(Log[[#This Row],[Item]]),"",_xlfn.XLOOKUP(Log[[#This Row],[Item]],Calories[Name],Calories[Cals])*Log[[#This Row],[Qty]])</f>
        <v/>
      </c>
      <c r="G1101" s="71" t="str">
        <f>IF(ISBLANK(Log[[#This Row],[Item]]),"",_xlfn.XLOOKUP(Log[[#This Row],[Item]],Calories[Name],Calories[Carbs])*Log[[#This Row],[Qty]])</f>
        <v/>
      </c>
      <c r="H1101" s="71" t="str">
        <f>IF(ISBLANK(Log[[#This Row],[Item]]),"",_xlfn.XLOOKUP(Log[[#This Row],[Item]],Calories[Name],Calories[Fibre])*Log[[#This Row],[Qty]])</f>
        <v/>
      </c>
      <c r="I1101" s="71" t="str">
        <f>IF(ISBLANK(Log[[#This Row],[Item]]),"",(Log[[#This Row],[Carbs]]-Log[[#This Row],[Fibre]]))</f>
        <v/>
      </c>
      <c r="J1101" s="103" t="str">
        <f>IF(ISBLANK(Log[[#This Row],[Item]]),"",_xlfn.XLOOKUP(Log[[#This Row],[Item]],Calories[Name],Calories[Sodium])*Log[[#This Row],[Qty]])</f>
        <v/>
      </c>
      <c r="K1101" s="71" t="str">
        <f>IF(ISBLANK(Log[[#This Row],[Item]]),"",_xlfn.XLOOKUP(Log[[#This Row],[Item]],Calories[Name],Calories[Protein])*Log[[#This Row],[Qty]])</f>
        <v/>
      </c>
      <c r="L1101" s="71" t="str">
        <f>IF(ISBLANK(Log[[#This Row],[Item]]),"",_xlfn.XLOOKUP(Log[[#This Row],[Item]],Calories[Name],Calories[Chol.])*Log[[#This Row],[Qty]])</f>
        <v/>
      </c>
      <c r="M1101" s="75"/>
      <c r="N1101" s="75"/>
      <c r="O1101" s="75"/>
    </row>
    <row r="1102" spans="1:15" s="66" customFormat="1" ht="25.15" customHeight="1">
      <c r="A1102" s="75"/>
      <c r="B1102" s="98"/>
      <c r="C1102" s="78"/>
      <c r="D1102" s="79"/>
      <c r="E1102" s="76" t="str">
        <f>IF(ISBLANK(Log[[#This Row],[Item]]),"",_xlfn.XLOOKUP(Log[[#This Row],[Item]],Calories[Name],Calories[Unit]))</f>
        <v/>
      </c>
      <c r="F1102" s="65" t="str">
        <f>IF(ISBLANK(Log[[#This Row],[Item]]),"",_xlfn.XLOOKUP(Log[[#This Row],[Item]],Calories[Name],Calories[Cals])*Log[[#This Row],[Qty]])</f>
        <v/>
      </c>
      <c r="G1102" s="71" t="str">
        <f>IF(ISBLANK(Log[[#This Row],[Item]]),"",_xlfn.XLOOKUP(Log[[#This Row],[Item]],Calories[Name],Calories[Carbs])*Log[[#This Row],[Qty]])</f>
        <v/>
      </c>
      <c r="H1102" s="71" t="str">
        <f>IF(ISBLANK(Log[[#This Row],[Item]]),"",_xlfn.XLOOKUP(Log[[#This Row],[Item]],Calories[Name],Calories[Fibre])*Log[[#This Row],[Qty]])</f>
        <v/>
      </c>
      <c r="I1102" s="71" t="str">
        <f>IF(ISBLANK(Log[[#This Row],[Item]]),"",(Log[[#This Row],[Carbs]]-Log[[#This Row],[Fibre]]))</f>
        <v/>
      </c>
      <c r="J1102" s="103" t="str">
        <f>IF(ISBLANK(Log[[#This Row],[Item]]),"",_xlfn.XLOOKUP(Log[[#This Row],[Item]],Calories[Name],Calories[Sodium])*Log[[#This Row],[Qty]])</f>
        <v/>
      </c>
      <c r="K1102" s="71" t="str">
        <f>IF(ISBLANK(Log[[#This Row],[Item]]),"",_xlfn.XLOOKUP(Log[[#This Row],[Item]],Calories[Name],Calories[Protein])*Log[[#This Row],[Qty]])</f>
        <v/>
      </c>
      <c r="L1102" s="71" t="str">
        <f>IF(ISBLANK(Log[[#This Row],[Item]]),"",_xlfn.XLOOKUP(Log[[#This Row],[Item]],Calories[Name],Calories[Chol.])*Log[[#This Row],[Qty]])</f>
        <v/>
      </c>
      <c r="M1102" s="75"/>
      <c r="N1102" s="75"/>
      <c r="O1102" s="75"/>
    </row>
    <row r="1103" spans="1:15" s="66" customFormat="1" ht="25.15" customHeight="1">
      <c r="A1103" s="75"/>
      <c r="B1103" s="98"/>
      <c r="C1103" s="78"/>
      <c r="D1103" s="79"/>
      <c r="E1103" s="76" t="str">
        <f>IF(ISBLANK(Log[[#This Row],[Item]]),"",_xlfn.XLOOKUP(Log[[#This Row],[Item]],Calories[Name],Calories[Unit]))</f>
        <v/>
      </c>
      <c r="F1103" s="65" t="str">
        <f>IF(ISBLANK(Log[[#This Row],[Item]]),"",_xlfn.XLOOKUP(Log[[#This Row],[Item]],Calories[Name],Calories[Cals])*Log[[#This Row],[Qty]])</f>
        <v/>
      </c>
      <c r="G1103" s="71" t="str">
        <f>IF(ISBLANK(Log[[#This Row],[Item]]),"",_xlfn.XLOOKUP(Log[[#This Row],[Item]],Calories[Name],Calories[Carbs])*Log[[#This Row],[Qty]])</f>
        <v/>
      </c>
      <c r="H1103" s="71" t="str">
        <f>IF(ISBLANK(Log[[#This Row],[Item]]),"",_xlfn.XLOOKUP(Log[[#This Row],[Item]],Calories[Name],Calories[Fibre])*Log[[#This Row],[Qty]])</f>
        <v/>
      </c>
      <c r="I1103" s="71" t="str">
        <f>IF(ISBLANK(Log[[#This Row],[Item]]),"",(Log[[#This Row],[Carbs]]-Log[[#This Row],[Fibre]]))</f>
        <v/>
      </c>
      <c r="J1103" s="103" t="str">
        <f>IF(ISBLANK(Log[[#This Row],[Item]]),"",_xlfn.XLOOKUP(Log[[#This Row],[Item]],Calories[Name],Calories[Sodium])*Log[[#This Row],[Qty]])</f>
        <v/>
      </c>
      <c r="K1103" s="71" t="str">
        <f>IF(ISBLANK(Log[[#This Row],[Item]]),"",_xlfn.XLOOKUP(Log[[#This Row],[Item]],Calories[Name],Calories[Protein])*Log[[#This Row],[Qty]])</f>
        <v/>
      </c>
      <c r="L1103" s="71" t="str">
        <f>IF(ISBLANK(Log[[#This Row],[Item]]),"",_xlfn.XLOOKUP(Log[[#This Row],[Item]],Calories[Name],Calories[Chol.])*Log[[#This Row],[Qty]])</f>
        <v/>
      </c>
      <c r="M1103" s="75"/>
      <c r="N1103" s="75"/>
      <c r="O1103" s="75"/>
    </row>
    <row r="1104" spans="1:15" s="66" customFormat="1" ht="25.15" customHeight="1">
      <c r="A1104" s="75"/>
      <c r="B1104" s="98"/>
      <c r="C1104" s="78"/>
      <c r="D1104" s="79"/>
      <c r="E1104" s="76" t="str">
        <f>IF(ISBLANK(Log[[#This Row],[Item]]),"",_xlfn.XLOOKUP(Log[[#This Row],[Item]],Calories[Name],Calories[Unit]))</f>
        <v/>
      </c>
      <c r="F1104" s="65" t="str">
        <f>IF(ISBLANK(Log[[#This Row],[Item]]),"",_xlfn.XLOOKUP(Log[[#This Row],[Item]],Calories[Name],Calories[Cals])*Log[[#This Row],[Qty]])</f>
        <v/>
      </c>
      <c r="G1104" s="71" t="str">
        <f>IF(ISBLANK(Log[[#This Row],[Item]]),"",_xlfn.XLOOKUP(Log[[#This Row],[Item]],Calories[Name],Calories[Carbs])*Log[[#This Row],[Qty]])</f>
        <v/>
      </c>
      <c r="H1104" s="71" t="str">
        <f>IF(ISBLANK(Log[[#This Row],[Item]]),"",_xlfn.XLOOKUP(Log[[#This Row],[Item]],Calories[Name],Calories[Fibre])*Log[[#This Row],[Qty]])</f>
        <v/>
      </c>
      <c r="I1104" s="71" t="str">
        <f>IF(ISBLANK(Log[[#This Row],[Item]]),"",(Log[[#This Row],[Carbs]]-Log[[#This Row],[Fibre]]))</f>
        <v/>
      </c>
      <c r="J1104" s="103" t="str">
        <f>IF(ISBLANK(Log[[#This Row],[Item]]),"",_xlfn.XLOOKUP(Log[[#This Row],[Item]],Calories[Name],Calories[Sodium])*Log[[#This Row],[Qty]])</f>
        <v/>
      </c>
      <c r="K1104" s="71" t="str">
        <f>IF(ISBLANK(Log[[#This Row],[Item]]),"",_xlfn.XLOOKUP(Log[[#This Row],[Item]],Calories[Name],Calories[Protein])*Log[[#This Row],[Qty]])</f>
        <v/>
      </c>
      <c r="L1104" s="71" t="str">
        <f>IF(ISBLANK(Log[[#This Row],[Item]]),"",_xlfn.XLOOKUP(Log[[#This Row],[Item]],Calories[Name],Calories[Chol.])*Log[[#This Row],[Qty]])</f>
        <v/>
      </c>
      <c r="M1104" s="75"/>
      <c r="N1104" s="75"/>
      <c r="O1104" s="75"/>
    </row>
    <row r="1105" spans="1:15" s="66" customFormat="1" ht="25.15" customHeight="1">
      <c r="A1105" s="75"/>
      <c r="B1105" s="98"/>
      <c r="C1105" s="78"/>
      <c r="D1105" s="79"/>
      <c r="E1105" s="76" t="str">
        <f>IF(ISBLANK(Log[[#This Row],[Item]]),"",_xlfn.XLOOKUP(Log[[#This Row],[Item]],Calories[Name],Calories[Unit]))</f>
        <v/>
      </c>
      <c r="F1105" s="65" t="str">
        <f>IF(ISBLANK(Log[[#This Row],[Item]]),"",_xlfn.XLOOKUP(Log[[#This Row],[Item]],Calories[Name],Calories[Cals])*Log[[#This Row],[Qty]])</f>
        <v/>
      </c>
      <c r="G1105" s="71" t="str">
        <f>IF(ISBLANK(Log[[#This Row],[Item]]),"",_xlfn.XLOOKUP(Log[[#This Row],[Item]],Calories[Name],Calories[Carbs])*Log[[#This Row],[Qty]])</f>
        <v/>
      </c>
      <c r="H1105" s="71" t="str">
        <f>IF(ISBLANK(Log[[#This Row],[Item]]),"",_xlfn.XLOOKUP(Log[[#This Row],[Item]],Calories[Name],Calories[Fibre])*Log[[#This Row],[Qty]])</f>
        <v/>
      </c>
      <c r="I1105" s="71" t="str">
        <f>IF(ISBLANK(Log[[#This Row],[Item]]),"",(Log[[#This Row],[Carbs]]-Log[[#This Row],[Fibre]]))</f>
        <v/>
      </c>
      <c r="J1105" s="103" t="str">
        <f>IF(ISBLANK(Log[[#This Row],[Item]]),"",_xlfn.XLOOKUP(Log[[#This Row],[Item]],Calories[Name],Calories[Sodium])*Log[[#This Row],[Qty]])</f>
        <v/>
      </c>
      <c r="K1105" s="71" t="str">
        <f>IF(ISBLANK(Log[[#This Row],[Item]]),"",_xlfn.XLOOKUP(Log[[#This Row],[Item]],Calories[Name],Calories[Protein])*Log[[#This Row],[Qty]])</f>
        <v/>
      </c>
      <c r="L1105" s="71" t="str">
        <f>IF(ISBLANK(Log[[#This Row],[Item]]),"",_xlfn.XLOOKUP(Log[[#This Row],[Item]],Calories[Name],Calories[Chol.])*Log[[#This Row],[Qty]])</f>
        <v/>
      </c>
      <c r="M1105" s="75"/>
      <c r="N1105" s="75"/>
      <c r="O1105" s="75"/>
    </row>
    <row r="1106" spans="1:15" s="66" customFormat="1" ht="25.15" customHeight="1">
      <c r="A1106" s="75"/>
      <c r="B1106" s="98"/>
      <c r="C1106" s="78"/>
      <c r="D1106" s="79"/>
      <c r="E1106" s="76" t="str">
        <f>IF(ISBLANK(Log[[#This Row],[Item]]),"",_xlfn.XLOOKUP(Log[[#This Row],[Item]],Calories[Name],Calories[Unit]))</f>
        <v/>
      </c>
      <c r="F1106" s="65" t="str">
        <f>IF(ISBLANK(Log[[#This Row],[Item]]),"",_xlfn.XLOOKUP(Log[[#This Row],[Item]],Calories[Name],Calories[Cals])*Log[[#This Row],[Qty]])</f>
        <v/>
      </c>
      <c r="G1106" s="71" t="str">
        <f>IF(ISBLANK(Log[[#This Row],[Item]]),"",_xlfn.XLOOKUP(Log[[#This Row],[Item]],Calories[Name],Calories[Carbs])*Log[[#This Row],[Qty]])</f>
        <v/>
      </c>
      <c r="H1106" s="71" t="str">
        <f>IF(ISBLANK(Log[[#This Row],[Item]]),"",_xlfn.XLOOKUP(Log[[#This Row],[Item]],Calories[Name],Calories[Fibre])*Log[[#This Row],[Qty]])</f>
        <v/>
      </c>
      <c r="I1106" s="71" t="str">
        <f>IF(ISBLANK(Log[[#This Row],[Item]]),"",(Log[[#This Row],[Carbs]]-Log[[#This Row],[Fibre]]))</f>
        <v/>
      </c>
      <c r="J1106" s="103" t="str">
        <f>IF(ISBLANK(Log[[#This Row],[Item]]),"",_xlfn.XLOOKUP(Log[[#This Row],[Item]],Calories[Name],Calories[Sodium])*Log[[#This Row],[Qty]])</f>
        <v/>
      </c>
      <c r="K1106" s="71" t="str">
        <f>IF(ISBLANK(Log[[#This Row],[Item]]),"",_xlfn.XLOOKUP(Log[[#This Row],[Item]],Calories[Name],Calories[Protein])*Log[[#This Row],[Qty]])</f>
        <v/>
      </c>
      <c r="L1106" s="71" t="str">
        <f>IF(ISBLANK(Log[[#This Row],[Item]]),"",_xlfn.XLOOKUP(Log[[#This Row],[Item]],Calories[Name],Calories[Chol.])*Log[[#This Row],[Qty]])</f>
        <v/>
      </c>
      <c r="M1106" s="75"/>
      <c r="N1106" s="75"/>
      <c r="O1106" s="75"/>
    </row>
    <row r="1107" spans="1:15" s="66" customFormat="1" ht="25.15" customHeight="1">
      <c r="A1107" s="75"/>
      <c r="B1107" s="98"/>
      <c r="C1107" s="78"/>
      <c r="D1107" s="79"/>
      <c r="E1107" s="76" t="str">
        <f>IF(ISBLANK(Log[[#This Row],[Item]]),"",_xlfn.XLOOKUP(Log[[#This Row],[Item]],Calories[Name],Calories[Unit]))</f>
        <v/>
      </c>
      <c r="F1107" s="65" t="str">
        <f>IF(ISBLANK(Log[[#This Row],[Item]]),"",_xlfn.XLOOKUP(Log[[#This Row],[Item]],Calories[Name],Calories[Cals])*Log[[#This Row],[Qty]])</f>
        <v/>
      </c>
      <c r="G1107" s="71" t="str">
        <f>IF(ISBLANK(Log[[#This Row],[Item]]),"",_xlfn.XLOOKUP(Log[[#This Row],[Item]],Calories[Name],Calories[Carbs])*Log[[#This Row],[Qty]])</f>
        <v/>
      </c>
      <c r="H1107" s="71" t="str">
        <f>IF(ISBLANK(Log[[#This Row],[Item]]),"",_xlfn.XLOOKUP(Log[[#This Row],[Item]],Calories[Name],Calories[Fibre])*Log[[#This Row],[Qty]])</f>
        <v/>
      </c>
      <c r="I1107" s="71" t="str">
        <f>IF(ISBLANK(Log[[#This Row],[Item]]),"",(Log[[#This Row],[Carbs]]-Log[[#This Row],[Fibre]]))</f>
        <v/>
      </c>
      <c r="J1107" s="103" t="str">
        <f>IF(ISBLANK(Log[[#This Row],[Item]]),"",_xlfn.XLOOKUP(Log[[#This Row],[Item]],Calories[Name],Calories[Sodium])*Log[[#This Row],[Qty]])</f>
        <v/>
      </c>
      <c r="K1107" s="71" t="str">
        <f>IF(ISBLANK(Log[[#This Row],[Item]]),"",_xlfn.XLOOKUP(Log[[#This Row],[Item]],Calories[Name],Calories[Protein])*Log[[#This Row],[Qty]])</f>
        <v/>
      </c>
      <c r="L1107" s="71" t="str">
        <f>IF(ISBLANK(Log[[#This Row],[Item]]),"",_xlfn.XLOOKUP(Log[[#This Row],[Item]],Calories[Name],Calories[Chol.])*Log[[#This Row],[Qty]])</f>
        <v/>
      </c>
      <c r="M1107" s="75"/>
      <c r="N1107" s="75"/>
      <c r="O1107" s="75"/>
    </row>
    <row r="1108" spans="1:15" s="66" customFormat="1" ht="25.15" customHeight="1">
      <c r="A1108" s="75"/>
      <c r="B1108" s="98"/>
      <c r="C1108" s="78"/>
      <c r="D1108" s="79"/>
      <c r="E1108" s="76" t="str">
        <f>IF(ISBLANK(Log[[#This Row],[Item]]),"",_xlfn.XLOOKUP(Log[[#This Row],[Item]],Calories[Name],Calories[Unit]))</f>
        <v/>
      </c>
      <c r="F1108" s="65" t="str">
        <f>IF(ISBLANK(Log[[#This Row],[Item]]),"",_xlfn.XLOOKUP(Log[[#This Row],[Item]],Calories[Name],Calories[Cals])*Log[[#This Row],[Qty]])</f>
        <v/>
      </c>
      <c r="G1108" s="71" t="str">
        <f>IF(ISBLANK(Log[[#This Row],[Item]]),"",_xlfn.XLOOKUP(Log[[#This Row],[Item]],Calories[Name],Calories[Carbs])*Log[[#This Row],[Qty]])</f>
        <v/>
      </c>
      <c r="H1108" s="71" t="str">
        <f>IF(ISBLANK(Log[[#This Row],[Item]]),"",_xlfn.XLOOKUP(Log[[#This Row],[Item]],Calories[Name],Calories[Fibre])*Log[[#This Row],[Qty]])</f>
        <v/>
      </c>
      <c r="I1108" s="71" t="str">
        <f>IF(ISBLANK(Log[[#This Row],[Item]]),"",(Log[[#This Row],[Carbs]]-Log[[#This Row],[Fibre]]))</f>
        <v/>
      </c>
      <c r="J1108" s="103" t="str">
        <f>IF(ISBLANK(Log[[#This Row],[Item]]),"",_xlfn.XLOOKUP(Log[[#This Row],[Item]],Calories[Name],Calories[Sodium])*Log[[#This Row],[Qty]])</f>
        <v/>
      </c>
      <c r="K1108" s="71" t="str">
        <f>IF(ISBLANK(Log[[#This Row],[Item]]),"",_xlfn.XLOOKUP(Log[[#This Row],[Item]],Calories[Name],Calories[Protein])*Log[[#This Row],[Qty]])</f>
        <v/>
      </c>
      <c r="L1108" s="71" t="str">
        <f>IF(ISBLANK(Log[[#This Row],[Item]]),"",_xlfn.XLOOKUP(Log[[#This Row],[Item]],Calories[Name],Calories[Chol.])*Log[[#This Row],[Qty]])</f>
        <v/>
      </c>
      <c r="M1108" s="75"/>
      <c r="N1108" s="75"/>
      <c r="O1108" s="75"/>
    </row>
    <row r="1109" spans="1:15" s="66" customFormat="1" ht="25.15" customHeight="1">
      <c r="A1109" s="75"/>
      <c r="B1109" s="98"/>
      <c r="C1109" s="78"/>
      <c r="D1109" s="79"/>
      <c r="E1109" s="76" t="str">
        <f>IF(ISBLANK(Log[[#This Row],[Item]]),"",_xlfn.XLOOKUP(Log[[#This Row],[Item]],Calories[Name],Calories[Unit]))</f>
        <v/>
      </c>
      <c r="F1109" s="65" t="str">
        <f>IF(ISBLANK(Log[[#This Row],[Item]]),"",_xlfn.XLOOKUP(Log[[#This Row],[Item]],Calories[Name],Calories[Cals])*Log[[#This Row],[Qty]])</f>
        <v/>
      </c>
      <c r="G1109" s="71" t="str">
        <f>IF(ISBLANK(Log[[#This Row],[Item]]),"",_xlfn.XLOOKUP(Log[[#This Row],[Item]],Calories[Name],Calories[Carbs])*Log[[#This Row],[Qty]])</f>
        <v/>
      </c>
      <c r="H1109" s="71" t="str">
        <f>IF(ISBLANK(Log[[#This Row],[Item]]),"",_xlfn.XLOOKUP(Log[[#This Row],[Item]],Calories[Name],Calories[Fibre])*Log[[#This Row],[Qty]])</f>
        <v/>
      </c>
      <c r="I1109" s="71" t="str">
        <f>IF(ISBLANK(Log[[#This Row],[Item]]),"",(Log[[#This Row],[Carbs]]-Log[[#This Row],[Fibre]]))</f>
        <v/>
      </c>
      <c r="J1109" s="103" t="str">
        <f>IF(ISBLANK(Log[[#This Row],[Item]]),"",_xlfn.XLOOKUP(Log[[#This Row],[Item]],Calories[Name],Calories[Sodium])*Log[[#This Row],[Qty]])</f>
        <v/>
      </c>
      <c r="K1109" s="71" t="str">
        <f>IF(ISBLANK(Log[[#This Row],[Item]]),"",_xlfn.XLOOKUP(Log[[#This Row],[Item]],Calories[Name],Calories[Protein])*Log[[#This Row],[Qty]])</f>
        <v/>
      </c>
      <c r="L1109" s="71" t="str">
        <f>IF(ISBLANK(Log[[#This Row],[Item]]),"",_xlfn.XLOOKUP(Log[[#This Row],[Item]],Calories[Name],Calories[Chol.])*Log[[#This Row],[Qty]])</f>
        <v/>
      </c>
      <c r="M1109" s="75"/>
      <c r="N1109" s="75"/>
      <c r="O1109" s="75"/>
    </row>
    <row r="1110" spans="1:15" s="66" customFormat="1" ht="25.15" customHeight="1">
      <c r="A1110" s="75"/>
      <c r="B1110" s="98"/>
      <c r="C1110" s="78"/>
      <c r="D1110" s="79"/>
      <c r="E1110" s="76" t="str">
        <f>IF(ISBLANK(Log[[#This Row],[Item]]),"",_xlfn.XLOOKUP(Log[[#This Row],[Item]],Calories[Name],Calories[Unit]))</f>
        <v/>
      </c>
      <c r="F1110" s="65" t="str">
        <f>IF(ISBLANK(Log[[#This Row],[Item]]),"",_xlfn.XLOOKUP(Log[[#This Row],[Item]],Calories[Name],Calories[Cals])*Log[[#This Row],[Qty]])</f>
        <v/>
      </c>
      <c r="G1110" s="71" t="str">
        <f>IF(ISBLANK(Log[[#This Row],[Item]]),"",_xlfn.XLOOKUP(Log[[#This Row],[Item]],Calories[Name],Calories[Carbs])*Log[[#This Row],[Qty]])</f>
        <v/>
      </c>
      <c r="H1110" s="71" t="str">
        <f>IF(ISBLANK(Log[[#This Row],[Item]]),"",_xlfn.XLOOKUP(Log[[#This Row],[Item]],Calories[Name],Calories[Fibre])*Log[[#This Row],[Qty]])</f>
        <v/>
      </c>
      <c r="I1110" s="71" t="str">
        <f>IF(ISBLANK(Log[[#This Row],[Item]]),"",(Log[[#This Row],[Carbs]]-Log[[#This Row],[Fibre]]))</f>
        <v/>
      </c>
      <c r="J1110" s="103" t="str">
        <f>IF(ISBLANK(Log[[#This Row],[Item]]),"",_xlfn.XLOOKUP(Log[[#This Row],[Item]],Calories[Name],Calories[Sodium])*Log[[#This Row],[Qty]])</f>
        <v/>
      </c>
      <c r="K1110" s="71" t="str">
        <f>IF(ISBLANK(Log[[#This Row],[Item]]),"",_xlfn.XLOOKUP(Log[[#This Row],[Item]],Calories[Name],Calories[Protein])*Log[[#This Row],[Qty]])</f>
        <v/>
      </c>
      <c r="L1110" s="71" t="str">
        <f>IF(ISBLANK(Log[[#This Row],[Item]]),"",_xlfn.XLOOKUP(Log[[#This Row],[Item]],Calories[Name],Calories[Chol.])*Log[[#This Row],[Qty]])</f>
        <v/>
      </c>
      <c r="M1110" s="75"/>
      <c r="N1110" s="75"/>
      <c r="O1110" s="75"/>
    </row>
    <row r="1111" spans="1:15" s="66" customFormat="1" ht="25.15" customHeight="1">
      <c r="A1111" s="75"/>
      <c r="B1111" s="98"/>
      <c r="C1111" s="78"/>
      <c r="D1111" s="79"/>
      <c r="E1111" s="76" t="str">
        <f>IF(ISBLANK(Log[[#This Row],[Item]]),"",_xlfn.XLOOKUP(Log[[#This Row],[Item]],Calories[Name],Calories[Unit]))</f>
        <v/>
      </c>
      <c r="F1111" s="65" t="str">
        <f>IF(ISBLANK(Log[[#This Row],[Item]]),"",_xlfn.XLOOKUP(Log[[#This Row],[Item]],Calories[Name],Calories[Cals])*Log[[#This Row],[Qty]])</f>
        <v/>
      </c>
      <c r="G1111" s="71" t="str">
        <f>IF(ISBLANK(Log[[#This Row],[Item]]),"",_xlfn.XLOOKUP(Log[[#This Row],[Item]],Calories[Name],Calories[Carbs])*Log[[#This Row],[Qty]])</f>
        <v/>
      </c>
      <c r="H1111" s="71" t="str">
        <f>IF(ISBLANK(Log[[#This Row],[Item]]),"",_xlfn.XLOOKUP(Log[[#This Row],[Item]],Calories[Name],Calories[Fibre])*Log[[#This Row],[Qty]])</f>
        <v/>
      </c>
      <c r="I1111" s="71" t="str">
        <f>IF(ISBLANK(Log[[#This Row],[Item]]),"",(Log[[#This Row],[Carbs]]-Log[[#This Row],[Fibre]]))</f>
        <v/>
      </c>
      <c r="J1111" s="103" t="str">
        <f>IF(ISBLANK(Log[[#This Row],[Item]]),"",_xlfn.XLOOKUP(Log[[#This Row],[Item]],Calories[Name],Calories[Sodium])*Log[[#This Row],[Qty]])</f>
        <v/>
      </c>
      <c r="K1111" s="71" t="str">
        <f>IF(ISBLANK(Log[[#This Row],[Item]]),"",_xlfn.XLOOKUP(Log[[#This Row],[Item]],Calories[Name],Calories[Protein])*Log[[#This Row],[Qty]])</f>
        <v/>
      </c>
      <c r="L1111" s="71" t="str">
        <f>IF(ISBLANK(Log[[#This Row],[Item]]),"",_xlfn.XLOOKUP(Log[[#This Row],[Item]],Calories[Name],Calories[Chol.])*Log[[#This Row],[Qty]])</f>
        <v/>
      </c>
      <c r="M1111" s="75"/>
      <c r="N1111" s="75"/>
      <c r="O1111" s="75"/>
    </row>
    <row r="1112" spans="1:15" s="66" customFormat="1" ht="25.15" customHeight="1">
      <c r="A1112" s="75"/>
      <c r="B1112" s="98"/>
      <c r="C1112" s="78"/>
      <c r="D1112" s="79"/>
      <c r="E1112" s="76" t="str">
        <f>IF(ISBLANK(Log[[#This Row],[Item]]),"",_xlfn.XLOOKUP(Log[[#This Row],[Item]],Calories[Name],Calories[Unit]))</f>
        <v/>
      </c>
      <c r="F1112" s="65" t="str">
        <f>IF(ISBLANK(Log[[#This Row],[Item]]),"",_xlfn.XLOOKUP(Log[[#This Row],[Item]],Calories[Name],Calories[Cals])*Log[[#This Row],[Qty]])</f>
        <v/>
      </c>
      <c r="G1112" s="71" t="str">
        <f>IF(ISBLANK(Log[[#This Row],[Item]]),"",_xlfn.XLOOKUP(Log[[#This Row],[Item]],Calories[Name],Calories[Carbs])*Log[[#This Row],[Qty]])</f>
        <v/>
      </c>
      <c r="H1112" s="71" t="str">
        <f>IF(ISBLANK(Log[[#This Row],[Item]]),"",_xlfn.XLOOKUP(Log[[#This Row],[Item]],Calories[Name],Calories[Fibre])*Log[[#This Row],[Qty]])</f>
        <v/>
      </c>
      <c r="I1112" s="71" t="str">
        <f>IF(ISBLANK(Log[[#This Row],[Item]]),"",(Log[[#This Row],[Carbs]]-Log[[#This Row],[Fibre]]))</f>
        <v/>
      </c>
      <c r="J1112" s="103" t="str">
        <f>IF(ISBLANK(Log[[#This Row],[Item]]),"",_xlfn.XLOOKUP(Log[[#This Row],[Item]],Calories[Name],Calories[Sodium])*Log[[#This Row],[Qty]])</f>
        <v/>
      </c>
      <c r="K1112" s="71" t="str">
        <f>IF(ISBLANK(Log[[#This Row],[Item]]),"",_xlfn.XLOOKUP(Log[[#This Row],[Item]],Calories[Name],Calories[Protein])*Log[[#This Row],[Qty]])</f>
        <v/>
      </c>
      <c r="L1112" s="71" t="str">
        <f>IF(ISBLANK(Log[[#This Row],[Item]]),"",_xlfn.XLOOKUP(Log[[#This Row],[Item]],Calories[Name],Calories[Chol.])*Log[[#This Row],[Qty]])</f>
        <v/>
      </c>
      <c r="M1112" s="75"/>
      <c r="N1112" s="75"/>
      <c r="O1112" s="75"/>
    </row>
    <row r="1113" spans="1:15" s="66" customFormat="1" ht="25.15" customHeight="1">
      <c r="A1113" s="75"/>
      <c r="B1113" s="98"/>
      <c r="C1113" s="78"/>
      <c r="D1113" s="79"/>
      <c r="E1113" s="76" t="str">
        <f>IF(ISBLANK(Log[[#This Row],[Item]]),"",_xlfn.XLOOKUP(Log[[#This Row],[Item]],Calories[Name],Calories[Unit]))</f>
        <v/>
      </c>
      <c r="F1113" s="65" t="str">
        <f>IF(ISBLANK(Log[[#This Row],[Item]]),"",_xlfn.XLOOKUP(Log[[#This Row],[Item]],Calories[Name],Calories[Cals])*Log[[#This Row],[Qty]])</f>
        <v/>
      </c>
      <c r="G1113" s="71" t="str">
        <f>IF(ISBLANK(Log[[#This Row],[Item]]),"",_xlfn.XLOOKUP(Log[[#This Row],[Item]],Calories[Name],Calories[Carbs])*Log[[#This Row],[Qty]])</f>
        <v/>
      </c>
      <c r="H1113" s="71" t="str">
        <f>IF(ISBLANK(Log[[#This Row],[Item]]),"",_xlfn.XLOOKUP(Log[[#This Row],[Item]],Calories[Name],Calories[Fibre])*Log[[#This Row],[Qty]])</f>
        <v/>
      </c>
      <c r="I1113" s="71" t="str">
        <f>IF(ISBLANK(Log[[#This Row],[Item]]),"",(Log[[#This Row],[Carbs]]-Log[[#This Row],[Fibre]]))</f>
        <v/>
      </c>
      <c r="J1113" s="103" t="str">
        <f>IF(ISBLANK(Log[[#This Row],[Item]]),"",_xlfn.XLOOKUP(Log[[#This Row],[Item]],Calories[Name],Calories[Sodium])*Log[[#This Row],[Qty]])</f>
        <v/>
      </c>
      <c r="K1113" s="71" t="str">
        <f>IF(ISBLANK(Log[[#This Row],[Item]]),"",_xlfn.XLOOKUP(Log[[#This Row],[Item]],Calories[Name],Calories[Protein])*Log[[#This Row],[Qty]])</f>
        <v/>
      </c>
      <c r="L1113" s="71" t="str">
        <f>IF(ISBLANK(Log[[#This Row],[Item]]),"",_xlfn.XLOOKUP(Log[[#This Row],[Item]],Calories[Name],Calories[Chol.])*Log[[#This Row],[Qty]])</f>
        <v/>
      </c>
      <c r="M1113" s="75"/>
      <c r="N1113" s="75"/>
      <c r="O1113" s="75"/>
    </row>
    <row r="1114" spans="1:15" s="66" customFormat="1" ht="25.15" customHeight="1">
      <c r="A1114" s="75"/>
      <c r="B1114" s="98"/>
      <c r="C1114" s="78"/>
      <c r="D1114" s="79"/>
      <c r="E1114" s="76" t="str">
        <f>IF(ISBLANK(Log[[#This Row],[Item]]),"",_xlfn.XLOOKUP(Log[[#This Row],[Item]],Calories[Name],Calories[Unit]))</f>
        <v/>
      </c>
      <c r="F1114" s="65" t="str">
        <f>IF(ISBLANK(Log[[#This Row],[Item]]),"",_xlfn.XLOOKUP(Log[[#This Row],[Item]],Calories[Name],Calories[Cals])*Log[[#This Row],[Qty]])</f>
        <v/>
      </c>
      <c r="G1114" s="71" t="str">
        <f>IF(ISBLANK(Log[[#This Row],[Item]]),"",_xlfn.XLOOKUP(Log[[#This Row],[Item]],Calories[Name],Calories[Carbs])*Log[[#This Row],[Qty]])</f>
        <v/>
      </c>
      <c r="H1114" s="71" t="str">
        <f>IF(ISBLANK(Log[[#This Row],[Item]]),"",_xlfn.XLOOKUP(Log[[#This Row],[Item]],Calories[Name],Calories[Fibre])*Log[[#This Row],[Qty]])</f>
        <v/>
      </c>
      <c r="I1114" s="71" t="str">
        <f>IF(ISBLANK(Log[[#This Row],[Item]]),"",(Log[[#This Row],[Carbs]]-Log[[#This Row],[Fibre]]))</f>
        <v/>
      </c>
      <c r="J1114" s="103" t="str">
        <f>IF(ISBLANK(Log[[#This Row],[Item]]),"",_xlfn.XLOOKUP(Log[[#This Row],[Item]],Calories[Name],Calories[Sodium])*Log[[#This Row],[Qty]])</f>
        <v/>
      </c>
      <c r="K1114" s="71" t="str">
        <f>IF(ISBLANK(Log[[#This Row],[Item]]),"",_xlfn.XLOOKUP(Log[[#This Row],[Item]],Calories[Name],Calories[Protein])*Log[[#This Row],[Qty]])</f>
        <v/>
      </c>
      <c r="L1114" s="71" t="str">
        <f>IF(ISBLANK(Log[[#This Row],[Item]]),"",_xlfn.XLOOKUP(Log[[#This Row],[Item]],Calories[Name],Calories[Chol.])*Log[[#This Row],[Qty]])</f>
        <v/>
      </c>
      <c r="M1114" s="75"/>
      <c r="N1114" s="75"/>
      <c r="O1114" s="75"/>
    </row>
    <row r="1115" spans="1:15">
      <c r="A1115" s="73"/>
      <c r="B1115" s="98"/>
      <c r="C1115" s="78"/>
      <c r="D1115" s="79"/>
      <c r="E1115" s="76"/>
      <c r="F1115" s="99"/>
      <c r="G1115" s="71"/>
      <c r="H1115" s="71"/>
      <c r="I1115" s="71"/>
      <c r="J1115" s="99"/>
      <c r="K1115" s="99"/>
      <c r="L1115" s="99"/>
      <c r="M1115" s="73"/>
      <c r="N1115" s="73"/>
      <c r="O1115" s="73"/>
    </row>
    <row r="1116" spans="1:15">
      <c r="A1116" s="73"/>
      <c r="B1116" s="98"/>
      <c r="C1116" s="78"/>
      <c r="D1116" s="79"/>
      <c r="E1116" s="76"/>
      <c r="F1116" s="99"/>
      <c r="G1116" s="71"/>
      <c r="H1116" s="71"/>
      <c r="I1116" s="71"/>
      <c r="J1116" s="99"/>
      <c r="K1116" s="99"/>
      <c r="L1116" s="99"/>
      <c r="M1116" s="73"/>
      <c r="N1116" s="73"/>
      <c r="O1116" s="73"/>
    </row>
    <row r="1117" spans="1:15">
      <c r="A1117" s="73"/>
      <c r="B1117" s="98"/>
      <c r="C1117" s="78"/>
      <c r="D1117" s="79"/>
      <c r="E1117" s="76"/>
      <c r="F1117" s="99"/>
      <c r="G1117" s="71"/>
      <c r="H1117" s="71"/>
      <c r="I1117" s="71"/>
      <c r="J1117" s="99"/>
      <c r="K1117" s="99"/>
      <c r="L1117" s="99"/>
      <c r="M1117" s="73"/>
      <c r="N1117" s="73"/>
      <c r="O1117" s="73"/>
    </row>
    <row r="1118" spans="1:15">
      <c r="A1118" s="73"/>
      <c r="B1118" s="98"/>
      <c r="C1118" s="78"/>
      <c r="D1118" s="79"/>
      <c r="E1118" s="76"/>
      <c r="F1118" s="99"/>
      <c r="G1118" s="71"/>
      <c r="H1118" s="71"/>
      <c r="I1118" s="71"/>
      <c r="J1118" s="99"/>
      <c r="K1118" s="99"/>
      <c r="L1118" s="99"/>
      <c r="M1118" s="73"/>
      <c r="N1118" s="73"/>
      <c r="O1118" s="73"/>
    </row>
    <row r="1119" spans="1:15">
      <c r="A1119" s="73"/>
      <c r="B1119" s="98"/>
      <c r="C1119" s="78"/>
      <c r="D1119" s="79"/>
      <c r="E1119" s="76"/>
      <c r="F1119" s="99"/>
      <c r="G1119" s="71"/>
      <c r="H1119" s="71"/>
      <c r="I1119" s="71"/>
      <c r="J1119" s="99"/>
      <c r="K1119" s="99"/>
      <c r="L1119" s="99"/>
      <c r="M1119" s="73"/>
      <c r="N1119" s="73"/>
      <c r="O1119" s="73"/>
    </row>
    <row r="1120" spans="1:15">
      <c r="A1120" s="73"/>
      <c r="B1120" s="98"/>
      <c r="C1120" s="78"/>
      <c r="D1120" s="79"/>
      <c r="E1120" s="76"/>
      <c r="F1120" s="99"/>
      <c r="G1120" s="71"/>
      <c r="H1120" s="71"/>
      <c r="I1120" s="71"/>
      <c r="J1120" s="99"/>
      <c r="K1120" s="99"/>
      <c r="L1120" s="99"/>
      <c r="M1120" s="73"/>
      <c r="N1120" s="73"/>
      <c r="O1120" s="73"/>
    </row>
    <row r="1121" spans="1:15">
      <c r="A1121" s="73"/>
      <c r="B1121" s="98"/>
      <c r="C1121" s="78"/>
      <c r="D1121" s="79"/>
      <c r="E1121" s="76"/>
      <c r="F1121" s="99"/>
      <c r="G1121" s="71"/>
      <c r="H1121" s="71"/>
      <c r="I1121" s="71"/>
      <c r="J1121" s="99"/>
      <c r="K1121" s="99"/>
      <c r="L1121" s="99"/>
      <c r="M1121" s="73"/>
      <c r="N1121" s="73"/>
      <c r="O1121" s="73"/>
    </row>
    <row r="1122" spans="1:15">
      <c r="A1122" s="73"/>
      <c r="B1122" s="98"/>
      <c r="C1122" s="78"/>
      <c r="D1122" s="79"/>
      <c r="E1122" s="76"/>
      <c r="F1122" s="99"/>
      <c r="G1122" s="71"/>
      <c r="H1122" s="71"/>
      <c r="I1122" s="71"/>
      <c r="J1122" s="99"/>
      <c r="K1122" s="99"/>
      <c r="L1122" s="99"/>
      <c r="M1122" s="73"/>
      <c r="N1122" s="73"/>
      <c r="O1122" s="73"/>
    </row>
    <row r="1123" spans="1:15">
      <c r="A1123" s="73"/>
      <c r="B1123" s="98"/>
      <c r="C1123" s="78"/>
      <c r="D1123" s="79"/>
      <c r="E1123" s="76"/>
      <c r="F1123" s="99"/>
      <c r="G1123" s="71"/>
      <c r="H1123" s="71"/>
      <c r="I1123" s="71"/>
      <c r="J1123" s="99"/>
      <c r="K1123" s="99"/>
      <c r="L1123" s="99"/>
      <c r="M1123" s="73"/>
      <c r="N1123" s="73"/>
      <c r="O1123" s="73"/>
    </row>
    <row r="1124" spans="1:15">
      <c r="A1124" s="73"/>
      <c r="B1124" s="98"/>
      <c r="C1124" s="78"/>
      <c r="D1124" s="79"/>
      <c r="E1124" s="76"/>
      <c r="F1124" s="99"/>
      <c r="G1124" s="71"/>
      <c r="H1124" s="71"/>
      <c r="I1124" s="71"/>
      <c r="J1124" s="99"/>
      <c r="K1124" s="99"/>
      <c r="L1124" s="99"/>
      <c r="M1124" s="73"/>
      <c r="N1124" s="73"/>
      <c r="O1124" s="73"/>
    </row>
    <row r="1125" spans="1:15">
      <c r="A1125" s="73"/>
      <c r="B1125" s="98"/>
      <c r="C1125" s="78"/>
      <c r="D1125" s="79"/>
      <c r="E1125" s="76"/>
      <c r="F1125" s="99"/>
      <c r="G1125" s="71"/>
      <c r="H1125" s="71"/>
      <c r="I1125" s="71"/>
      <c r="J1125" s="99"/>
      <c r="K1125" s="99"/>
      <c r="L1125" s="99"/>
      <c r="M1125" s="73"/>
      <c r="N1125" s="73"/>
      <c r="O1125" s="73"/>
    </row>
    <row r="1126" spans="1:15">
      <c r="A1126" s="73"/>
      <c r="B1126" s="98"/>
      <c r="C1126" s="78"/>
      <c r="D1126" s="79"/>
      <c r="E1126" s="76"/>
      <c r="F1126" s="99"/>
      <c r="G1126" s="71"/>
      <c r="H1126" s="71"/>
      <c r="I1126" s="71"/>
      <c r="J1126" s="99"/>
      <c r="K1126" s="99"/>
      <c r="L1126" s="99"/>
      <c r="M1126" s="73"/>
      <c r="N1126" s="73"/>
      <c r="O1126" s="73"/>
    </row>
    <row r="1127" spans="1:15">
      <c r="A1127" s="73"/>
      <c r="B1127" s="98"/>
      <c r="C1127" s="78"/>
      <c r="D1127" s="79"/>
      <c r="E1127" s="76"/>
      <c r="F1127" s="99"/>
      <c r="G1127" s="71"/>
      <c r="H1127" s="71"/>
      <c r="I1127" s="71"/>
      <c r="J1127" s="99"/>
      <c r="K1127" s="99"/>
      <c r="L1127" s="99"/>
      <c r="M1127" s="73"/>
      <c r="N1127" s="73"/>
      <c r="O1127" s="73"/>
    </row>
    <row r="1128" spans="1:15">
      <c r="A1128" s="73"/>
      <c r="B1128" s="98"/>
      <c r="C1128" s="78"/>
      <c r="D1128" s="79"/>
      <c r="E1128" s="76"/>
      <c r="F1128" s="99"/>
      <c r="G1128" s="71"/>
      <c r="H1128" s="71"/>
      <c r="I1128" s="71"/>
      <c r="J1128" s="99"/>
      <c r="K1128" s="99"/>
      <c r="L1128" s="99"/>
      <c r="M1128" s="73"/>
      <c r="N1128" s="73"/>
      <c r="O1128" s="73"/>
    </row>
    <row r="1129" spans="1:15">
      <c r="A1129" s="73"/>
      <c r="B1129" s="98"/>
      <c r="C1129" s="78"/>
      <c r="D1129" s="79"/>
      <c r="E1129" s="76"/>
      <c r="F1129" s="99"/>
      <c r="G1129" s="71"/>
      <c r="H1129" s="71"/>
      <c r="I1129" s="71"/>
      <c r="J1129" s="99"/>
      <c r="K1129" s="99"/>
      <c r="L1129" s="99"/>
      <c r="M1129" s="73"/>
      <c r="N1129" s="73"/>
      <c r="O1129" s="73"/>
    </row>
    <row r="1130" spans="1:15">
      <c r="A1130" s="73"/>
      <c r="B1130" s="98"/>
      <c r="C1130" s="78"/>
      <c r="D1130" s="79"/>
      <c r="E1130" s="76"/>
      <c r="F1130" s="99"/>
      <c r="G1130" s="71"/>
      <c r="H1130" s="71"/>
      <c r="I1130" s="71"/>
      <c r="J1130" s="99"/>
      <c r="K1130" s="99"/>
      <c r="L1130" s="99"/>
      <c r="M1130" s="73"/>
      <c r="N1130" s="73"/>
      <c r="O1130" s="73"/>
    </row>
    <row r="1131" spans="1:15">
      <c r="A1131" s="73"/>
      <c r="B1131" s="98"/>
      <c r="C1131" s="78"/>
      <c r="D1131" s="79"/>
      <c r="E1131" s="76"/>
      <c r="F1131" s="99"/>
      <c r="G1131" s="71"/>
      <c r="H1131" s="71"/>
      <c r="I1131" s="71"/>
      <c r="J1131" s="99"/>
      <c r="K1131" s="99"/>
      <c r="L1131" s="99"/>
      <c r="M1131" s="73"/>
      <c r="N1131" s="73"/>
      <c r="O1131" s="73"/>
    </row>
    <row r="1132" spans="1:15">
      <c r="A1132" s="73"/>
      <c r="B1132" s="98"/>
      <c r="C1132" s="78"/>
      <c r="D1132" s="79"/>
      <c r="E1132" s="76"/>
      <c r="F1132" s="99"/>
      <c r="G1132" s="71"/>
      <c r="H1132" s="71"/>
      <c r="I1132" s="71"/>
      <c r="J1132" s="99"/>
      <c r="K1132" s="99"/>
      <c r="L1132" s="99"/>
      <c r="M1132" s="73"/>
      <c r="N1132" s="73"/>
      <c r="O1132" s="73"/>
    </row>
    <row r="1133" spans="1:15">
      <c r="A1133" s="73"/>
      <c r="B1133" s="98"/>
      <c r="C1133" s="78"/>
      <c r="D1133" s="79"/>
      <c r="E1133" s="76"/>
      <c r="F1133" s="99"/>
      <c r="G1133" s="71"/>
      <c r="H1133" s="71"/>
      <c r="I1133" s="71"/>
      <c r="J1133" s="99"/>
      <c r="K1133" s="99"/>
      <c r="L1133" s="99"/>
      <c r="M1133" s="73"/>
      <c r="N1133" s="73"/>
      <c r="O1133" s="73"/>
    </row>
    <row r="1134" spans="1:15">
      <c r="A1134" s="73"/>
      <c r="B1134" s="98"/>
      <c r="C1134" s="78"/>
      <c r="D1134" s="79"/>
      <c r="E1134" s="76"/>
      <c r="F1134" s="99"/>
      <c r="G1134" s="71"/>
      <c r="H1134" s="71"/>
      <c r="I1134" s="71"/>
      <c r="J1134" s="99"/>
      <c r="K1134" s="99"/>
      <c r="L1134" s="99"/>
      <c r="M1134" s="73"/>
      <c r="N1134" s="73"/>
      <c r="O1134" s="73"/>
    </row>
    <row r="1135" spans="1:15">
      <c r="A1135" s="73"/>
      <c r="B1135" s="98"/>
      <c r="C1135" s="78"/>
      <c r="D1135" s="79"/>
      <c r="E1135" s="76"/>
      <c r="F1135" s="99"/>
      <c r="G1135" s="71"/>
      <c r="H1135" s="71"/>
      <c r="I1135" s="71"/>
      <c r="J1135" s="99"/>
      <c r="K1135" s="99"/>
      <c r="L1135" s="99"/>
      <c r="M1135" s="73"/>
      <c r="N1135" s="73"/>
      <c r="O1135" s="73"/>
    </row>
    <row r="1136" spans="1:15">
      <c r="A1136" s="73"/>
      <c r="B1136" s="98"/>
      <c r="C1136" s="78"/>
      <c r="D1136" s="79"/>
      <c r="E1136" s="76"/>
      <c r="F1136" s="99"/>
      <c r="G1136" s="71"/>
      <c r="H1136" s="71"/>
      <c r="I1136" s="71"/>
      <c r="J1136" s="99"/>
      <c r="K1136" s="99"/>
      <c r="L1136" s="99"/>
      <c r="M1136" s="73"/>
      <c r="N1136" s="73"/>
      <c r="O1136" s="73"/>
    </row>
    <row r="1137" spans="1:15">
      <c r="A1137" s="73"/>
      <c r="B1137" s="98"/>
      <c r="C1137" s="78"/>
      <c r="D1137" s="79"/>
      <c r="E1137" s="76"/>
      <c r="F1137" s="99"/>
      <c r="G1137" s="71"/>
      <c r="H1137" s="71"/>
      <c r="I1137" s="71"/>
      <c r="J1137" s="99"/>
      <c r="K1137" s="99"/>
      <c r="L1137" s="99"/>
      <c r="M1137" s="73"/>
      <c r="N1137" s="73"/>
      <c r="O1137" s="73"/>
    </row>
    <row r="1138" spans="1:15">
      <c r="A1138" s="73"/>
      <c r="B1138" s="98"/>
      <c r="C1138" s="78"/>
      <c r="D1138" s="79"/>
      <c r="E1138" s="76"/>
      <c r="F1138" s="99"/>
      <c r="G1138" s="71"/>
      <c r="H1138" s="71"/>
      <c r="I1138" s="71"/>
      <c r="J1138" s="99"/>
      <c r="K1138" s="99"/>
      <c r="L1138" s="99"/>
      <c r="M1138" s="73"/>
      <c r="N1138" s="73"/>
      <c r="O1138" s="73"/>
    </row>
    <row r="1139" spans="1:15">
      <c r="A1139" s="73"/>
      <c r="B1139" s="98"/>
      <c r="C1139" s="78"/>
      <c r="D1139" s="79"/>
      <c r="E1139" s="76"/>
      <c r="F1139" s="99"/>
      <c r="G1139" s="71"/>
      <c r="H1139" s="71"/>
      <c r="I1139" s="71"/>
      <c r="J1139" s="99"/>
      <c r="K1139" s="99"/>
      <c r="L1139" s="99"/>
      <c r="M1139" s="73"/>
      <c r="N1139" s="73"/>
      <c r="O1139" s="73"/>
    </row>
    <row r="1140" spans="1:15">
      <c r="A1140" s="73"/>
      <c r="B1140" s="98"/>
      <c r="C1140" s="78"/>
      <c r="D1140" s="79"/>
      <c r="E1140" s="76"/>
      <c r="F1140" s="99"/>
      <c r="G1140" s="71"/>
      <c r="H1140" s="71"/>
      <c r="I1140" s="71"/>
      <c r="J1140" s="99"/>
      <c r="K1140" s="99"/>
      <c r="L1140" s="99"/>
      <c r="M1140" s="73"/>
      <c r="N1140" s="73"/>
      <c r="O1140" s="73"/>
    </row>
    <row r="1141" spans="1:15">
      <c r="A1141" s="73"/>
      <c r="B1141" s="98"/>
      <c r="C1141" s="78"/>
      <c r="D1141" s="79"/>
      <c r="E1141" s="76"/>
      <c r="F1141" s="99"/>
      <c r="G1141" s="71"/>
      <c r="H1141" s="71"/>
      <c r="I1141" s="71"/>
      <c r="J1141" s="99"/>
      <c r="K1141" s="99"/>
      <c r="L1141" s="99"/>
      <c r="M1141" s="73"/>
      <c r="N1141" s="73"/>
      <c r="O1141" s="73"/>
    </row>
    <row r="1142" spans="1:15">
      <c r="A1142" s="73"/>
      <c r="B1142" s="98"/>
      <c r="C1142" s="78"/>
      <c r="D1142" s="79"/>
      <c r="E1142" s="76"/>
      <c r="F1142" s="99"/>
      <c r="G1142" s="71"/>
      <c r="H1142" s="71"/>
      <c r="I1142" s="71"/>
      <c r="J1142" s="99"/>
      <c r="K1142" s="99"/>
      <c r="L1142" s="99"/>
      <c r="M1142" s="73"/>
      <c r="N1142" s="73"/>
      <c r="O1142" s="73"/>
    </row>
    <row r="1143" spans="1:15">
      <c r="A1143" s="73"/>
      <c r="B1143" s="98"/>
      <c r="C1143" s="78"/>
      <c r="D1143" s="79"/>
      <c r="E1143" s="76"/>
      <c r="F1143" s="99"/>
      <c r="G1143" s="71"/>
      <c r="H1143" s="71"/>
      <c r="I1143" s="71"/>
      <c r="J1143" s="99"/>
      <c r="K1143" s="99"/>
      <c r="L1143" s="99"/>
      <c r="M1143" s="73"/>
      <c r="N1143" s="73"/>
      <c r="O1143" s="73"/>
    </row>
    <row r="1144" spans="1:15">
      <c r="A1144" s="73"/>
      <c r="B1144" s="98"/>
      <c r="C1144" s="78"/>
      <c r="D1144" s="79"/>
      <c r="E1144" s="76"/>
      <c r="F1144" s="99"/>
      <c r="G1144" s="71"/>
      <c r="H1144" s="71"/>
      <c r="I1144" s="71"/>
      <c r="J1144" s="99"/>
      <c r="K1144" s="99"/>
      <c r="L1144" s="99"/>
      <c r="M1144" s="73"/>
      <c r="N1144" s="73"/>
      <c r="O1144" s="73"/>
    </row>
    <row r="1145" spans="1:15">
      <c r="A1145" s="73"/>
      <c r="B1145" s="98"/>
      <c r="C1145" s="78"/>
      <c r="D1145" s="79"/>
      <c r="E1145" s="76"/>
      <c r="F1145" s="99"/>
      <c r="G1145" s="71"/>
      <c r="H1145" s="71"/>
      <c r="I1145" s="71"/>
      <c r="J1145" s="99"/>
      <c r="K1145" s="99"/>
      <c r="L1145" s="99"/>
      <c r="M1145" s="73"/>
      <c r="N1145" s="73"/>
      <c r="O1145" s="73"/>
    </row>
    <row r="1146" spans="1:15">
      <c r="A1146" s="73"/>
      <c r="B1146" s="98"/>
      <c r="C1146" s="78"/>
      <c r="D1146" s="79"/>
      <c r="E1146" s="76"/>
      <c r="F1146" s="99"/>
      <c r="G1146" s="71"/>
      <c r="H1146" s="71"/>
      <c r="I1146" s="71"/>
      <c r="J1146" s="99"/>
      <c r="K1146" s="99"/>
      <c r="L1146" s="99"/>
      <c r="M1146" s="73"/>
      <c r="N1146" s="73"/>
      <c r="O1146" s="73"/>
    </row>
    <row r="1147" spans="1:15">
      <c r="A1147" s="73"/>
      <c r="B1147" s="98"/>
      <c r="C1147" s="78"/>
      <c r="D1147" s="79"/>
      <c r="E1147" s="76"/>
      <c r="F1147" s="99"/>
      <c r="G1147" s="71"/>
      <c r="H1147" s="71"/>
      <c r="I1147" s="71"/>
      <c r="J1147" s="99"/>
      <c r="K1147" s="99"/>
      <c r="L1147" s="99"/>
      <c r="M1147" s="73"/>
      <c r="N1147" s="73"/>
      <c r="O1147" s="73"/>
    </row>
    <row r="1148" spans="1:15">
      <c r="A1148" s="73"/>
      <c r="B1148" s="98"/>
      <c r="C1148" s="78"/>
      <c r="D1148" s="79"/>
      <c r="E1148" s="76"/>
      <c r="F1148" s="99"/>
      <c r="G1148" s="71"/>
      <c r="H1148" s="71"/>
      <c r="I1148" s="71"/>
      <c r="J1148" s="99"/>
      <c r="K1148" s="99"/>
      <c r="L1148" s="99"/>
      <c r="M1148" s="73"/>
      <c r="N1148" s="73"/>
      <c r="O1148" s="73"/>
    </row>
    <row r="1149" spans="1:15">
      <c r="A1149" s="73"/>
      <c r="B1149" s="98"/>
      <c r="C1149" s="78"/>
      <c r="D1149" s="79"/>
      <c r="E1149" s="76"/>
      <c r="F1149" s="99"/>
      <c r="G1149" s="71"/>
      <c r="H1149" s="71"/>
      <c r="I1149" s="71"/>
      <c r="J1149" s="99"/>
      <c r="K1149" s="99"/>
      <c r="L1149" s="99"/>
      <c r="M1149" s="73"/>
      <c r="N1149" s="73"/>
      <c r="O1149" s="73"/>
    </row>
    <row r="1150" spans="1:15">
      <c r="A1150" s="73"/>
      <c r="B1150" s="98"/>
      <c r="C1150" s="78"/>
      <c r="D1150" s="79"/>
      <c r="E1150" s="76"/>
      <c r="F1150" s="99"/>
      <c r="G1150" s="71"/>
      <c r="H1150" s="71"/>
      <c r="I1150" s="71"/>
      <c r="J1150" s="99"/>
      <c r="K1150" s="99"/>
      <c r="L1150" s="99"/>
      <c r="M1150" s="73"/>
      <c r="N1150" s="73"/>
      <c r="O1150" s="73"/>
    </row>
    <row r="1151" spans="1:15">
      <c r="A1151" s="73"/>
      <c r="B1151" s="98"/>
      <c r="C1151" s="78"/>
      <c r="D1151" s="79"/>
      <c r="E1151" s="76"/>
      <c r="F1151" s="99"/>
      <c r="G1151" s="71"/>
      <c r="H1151" s="71"/>
      <c r="I1151" s="71"/>
      <c r="J1151" s="99"/>
      <c r="K1151" s="99"/>
      <c r="L1151" s="99"/>
      <c r="M1151" s="73"/>
      <c r="N1151" s="73"/>
      <c r="O1151" s="73"/>
    </row>
    <row r="1152" spans="1:15">
      <c r="A1152" s="73"/>
      <c r="B1152" s="98"/>
      <c r="C1152" s="78"/>
      <c r="D1152" s="79"/>
      <c r="E1152" s="76"/>
      <c r="F1152" s="99"/>
      <c r="G1152" s="71"/>
      <c r="H1152" s="71"/>
      <c r="I1152" s="71"/>
      <c r="J1152" s="99"/>
      <c r="K1152" s="99"/>
      <c r="L1152" s="99"/>
      <c r="M1152" s="73"/>
      <c r="N1152" s="73"/>
      <c r="O1152" s="73"/>
    </row>
    <row r="1153" spans="1:15">
      <c r="A1153" s="73"/>
      <c r="B1153" s="98"/>
      <c r="C1153" s="78"/>
      <c r="D1153" s="79"/>
      <c r="E1153" s="76"/>
      <c r="F1153" s="99"/>
      <c r="G1153" s="71"/>
      <c r="H1153" s="71"/>
      <c r="I1153" s="71"/>
      <c r="J1153" s="99"/>
      <c r="K1153" s="99"/>
      <c r="L1153" s="99"/>
      <c r="M1153" s="73"/>
      <c r="N1153" s="73"/>
      <c r="O1153" s="73"/>
    </row>
    <row r="1154" spans="1:15">
      <c r="A1154" s="73"/>
      <c r="B1154" s="98"/>
      <c r="C1154" s="78"/>
      <c r="D1154" s="79"/>
      <c r="E1154" s="76"/>
      <c r="F1154" s="99"/>
      <c r="G1154" s="71"/>
      <c r="H1154" s="71"/>
      <c r="I1154" s="71"/>
      <c r="J1154" s="99"/>
      <c r="K1154" s="99"/>
      <c r="L1154" s="99"/>
      <c r="M1154" s="73"/>
      <c r="N1154" s="73"/>
      <c r="O1154" s="73"/>
    </row>
    <row r="1155" spans="1:15">
      <c r="A1155" s="73"/>
      <c r="B1155" s="98"/>
      <c r="C1155" s="78"/>
      <c r="D1155" s="79"/>
      <c r="E1155" s="76"/>
      <c r="F1155" s="99"/>
      <c r="G1155" s="71"/>
      <c r="H1155" s="71"/>
      <c r="I1155" s="71"/>
      <c r="J1155" s="99"/>
      <c r="K1155" s="99"/>
      <c r="L1155" s="99"/>
      <c r="M1155" s="73"/>
      <c r="N1155" s="73"/>
      <c r="O1155" s="73"/>
    </row>
    <row r="1156" spans="1:15">
      <c r="A1156" s="73"/>
      <c r="B1156" s="98"/>
      <c r="C1156" s="78"/>
      <c r="D1156" s="79"/>
      <c r="E1156" s="76"/>
      <c r="F1156" s="99"/>
      <c r="G1156" s="71"/>
      <c r="H1156" s="71"/>
      <c r="I1156" s="71"/>
      <c r="J1156" s="99"/>
      <c r="K1156" s="99"/>
      <c r="L1156" s="99"/>
      <c r="M1156" s="73"/>
      <c r="N1156" s="73"/>
      <c r="O1156" s="73"/>
    </row>
    <row r="1157" spans="1:15">
      <c r="A1157" s="73"/>
      <c r="B1157" s="98"/>
      <c r="C1157" s="78"/>
      <c r="D1157" s="79"/>
      <c r="E1157" s="76"/>
      <c r="F1157" s="99"/>
      <c r="G1157" s="71"/>
      <c r="H1157" s="71"/>
      <c r="I1157" s="71"/>
      <c r="J1157" s="99"/>
      <c r="K1157" s="99"/>
      <c r="L1157" s="99"/>
      <c r="M1157" s="73"/>
      <c r="N1157" s="73"/>
      <c r="O1157" s="73"/>
    </row>
    <row r="1158" spans="1:15">
      <c r="A1158" s="73"/>
      <c r="B1158" s="98"/>
      <c r="C1158" s="78"/>
      <c r="D1158" s="79"/>
      <c r="E1158" s="76"/>
      <c r="F1158" s="99"/>
      <c r="G1158" s="71"/>
      <c r="H1158" s="71"/>
      <c r="I1158" s="71"/>
      <c r="J1158" s="99"/>
      <c r="K1158" s="99"/>
      <c r="L1158" s="99"/>
      <c r="M1158" s="73"/>
      <c r="N1158" s="73"/>
      <c r="O1158" s="73"/>
    </row>
    <row r="1159" spans="1:15">
      <c r="A1159" s="73"/>
      <c r="B1159" s="98"/>
      <c r="C1159" s="78"/>
      <c r="D1159" s="79"/>
      <c r="E1159" s="76"/>
      <c r="F1159" s="99"/>
      <c r="G1159" s="71"/>
      <c r="H1159" s="71"/>
      <c r="I1159" s="71"/>
      <c r="J1159" s="99"/>
      <c r="K1159" s="99"/>
      <c r="L1159" s="99"/>
      <c r="M1159" s="73"/>
      <c r="N1159" s="73"/>
      <c r="O1159" s="73"/>
    </row>
    <row r="1160" spans="1:15">
      <c r="A1160" s="73"/>
      <c r="B1160" s="98"/>
      <c r="C1160" s="78"/>
      <c r="D1160" s="79"/>
      <c r="E1160" s="76"/>
      <c r="F1160" s="99"/>
      <c r="G1160" s="71"/>
      <c r="H1160" s="71"/>
      <c r="I1160" s="71"/>
      <c r="J1160" s="99"/>
      <c r="K1160" s="99"/>
      <c r="L1160" s="99"/>
      <c r="M1160" s="73"/>
      <c r="N1160" s="73"/>
      <c r="O1160" s="73"/>
    </row>
    <row r="1161" spans="1:15">
      <c r="A1161" s="73"/>
      <c r="B1161" s="98"/>
      <c r="C1161" s="78"/>
      <c r="D1161" s="79"/>
      <c r="E1161" s="76"/>
      <c r="F1161" s="99"/>
      <c r="G1161" s="71"/>
      <c r="H1161" s="71"/>
      <c r="I1161" s="71"/>
      <c r="J1161" s="99"/>
      <c r="K1161" s="99"/>
      <c r="L1161" s="99"/>
      <c r="M1161" s="73"/>
      <c r="N1161" s="73"/>
      <c r="O1161" s="73"/>
    </row>
    <row r="1162" spans="1:15">
      <c r="A1162" s="73"/>
      <c r="B1162" s="98"/>
      <c r="C1162" s="78"/>
      <c r="D1162" s="79"/>
      <c r="E1162" s="76"/>
      <c r="F1162" s="99"/>
      <c r="G1162" s="71"/>
      <c r="H1162" s="71"/>
      <c r="I1162" s="71"/>
      <c r="J1162" s="99"/>
      <c r="K1162" s="99"/>
      <c r="L1162" s="99"/>
      <c r="M1162" s="73"/>
      <c r="N1162" s="73"/>
      <c r="O1162" s="73"/>
    </row>
    <row r="1163" spans="1:15">
      <c r="A1163" s="73"/>
      <c r="B1163" s="98"/>
      <c r="C1163" s="78"/>
      <c r="D1163" s="79"/>
      <c r="E1163" s="76"/>
      <c r="F1163" s="99"/>
      <c r="G1163" s="71"/>
      <c r="H1163" s="71"/>
      <c r="I1163" s="71"/>
      <c r="J1163" s="99"/>
      <c r="K1163" s="99"/>
      <c r="L1163" s="99"/>
      <c r="M1163" s="73"/>
      <c r="N1163" s="73"/>
      <c r="O1163" s="73"/>
    </row>
    <row r="1164" spans="1:15">
      <c r="A1164" s="73"/>
      <c r="B1164" s="98"/>
      <c r="C1164" s="78"/>
      <c r="D1164" s="79"/>
      <c r="E1164" s="76"/>
      <c r="F1164" s="99"/>
      <c r="G1164" s="71"/>
      <c r="H1164" s="71"/>
      <c r="I1164" s="71"/>
      <c r="J1164" s="99"/>
      <c r="K1164" s="99"/>
      <c r="L1164" s="99"/>
      <c r="M1164" s="73"/>
      <c r="N1164" s="73"/>
      <c r="O1164" s="73"/>
    </row>
    <row r="1165" spans="1:15">
      <c r="A1165" s="73"/>
      <c r="B1165" s="98"/>
      <c r="C1165" s="78"/>
      <c r="D1165" s="79"/>
      <c r="E1165" s="76"/>
      <c r="F1165" s="99"/>
      <c r="G1165" s="71"/>
      <c r="H1165" s="71"/>
      <c r="I1165" s="71"/>
      <c r="J1165" s="99"/>
      <c r="K1165" s="99"/>
      <c r="L1165" s="99"/>
      <c r="M1165" s="73"/>
      <c r="N1165" s="73"/>
      <c r="O1165" s="73"/>
    </row>
    <row r="1166" spans="1:15">
      <c r="A1166" s="73"/>
      <c r="B1166" s="98"/>
      <c r="C1166" s="78"/>
      <c r="D1166" s="79"/>
      <c r="E1166" s="76"/>
      <c r="F1166" s="99"/>
      <c r="G1166" s="71"/>
      <c r="H1166" s="71"/>
      <c r="I1166" s="71"/>
      <c r="J1166" s="99"/>
      <c r="K1166" s="99"/>
      <c r="L1166" s="99"/>
      <c r="M1166" s="73"/>
      <c r="N1166" s="73"/>
      <c r="O1166" s="73"/>
    </row>
    <row r="1167" spans="1:15">
      <c r="A1167" s="73"/>
      <c r="B1167" s="98"/>
      <c r="C1167" s="78"/>
      <c r="D1167" s="79"/>
      <c r="E1167" s="76"/>
      <c r="F1167" s="99"/>
      <c r="G1167" s="71"/>
      <c r="H1167" s="71"/>
      <c r="I1167" s="71"/>
      <c r="J1167" s="99"/>
      <c r="K1167" s="99"/>
      <c r="L1167" s="99"/>
      <c r="M1167" s="73"/>
      <c r="N1167" s="73"/>
      <c r="O1167" s="73"/>
    </row>
    <row r="1168" spans="1:15">
      <c r="A1168" s="73"/>
      <c r="B1168" s="98"/>
      <c r="C1168" s="78"/>
      <c r="D1168" s="79"/>
      <c r="E1168" s="76"/>
      <c r="F1168" s="99"/>
      <c r="G1168" s="71"/>
      <c r="H1168" s="71"/>
      <c r="I1168" s="71"/>
      <c r="J1168" s="99"/>
      <c r="K1168" s="99"/>
      <c r="L1168" s="99"/>
      <c r="M1168" s="73"/>
      <c r="N1168" s="73"/>
      <c r="O1168" s="73"/>
    </row>
    <row r="1169" spans="1:15">
      <c r="A1169" s="73"/>
      <c r="B1169" s="98"/>
      <c r="C1169" s="78"/>
      <c r="D1169" s="79"/>
      <c r="E1169" s="76"/>
      <c r="F1169" s="99"/>
      <c r="G1169" s="71"/>
      <c r="H1169" s="71"/>
      <c r="I1169" s="71"/>
      <c r="J1169" s="99"/>
      <c r="K1169" s="99"/>
      <c r="L1169" s="99"/>
      <c r="M1169" s="73"/>
      <c r="N1169" s="73"/>
      <c r="O1169" s="73"/>
    </row>
    <row r="1170" spans="1:15">
      <c r="A1170" s="73"/>
      <c r="B1170" s="98"/>
      <c r="C1170" s="78"/>
      <c r="D1170" s="79"/>
      <c r="E1170" s="76"/>
      <c r="F1170" s="99"/>
      <c r="G1170" s="71"/>
      <c r="H1170" s="71"/>
      <c r="I1170" s="71"/>
      <c r="J1170" s="99"/>
      <c r="K1170" s="99"/>
      <c r="L1170" s="99"/>
      <c r="M1170" s="73"/>
      <c r="N1170" s="73"/>
      <c r="O1170" s="73"/>
    </row>
    <row r="1171" spans="1:15">
      <c r="A1171" s="73"/>
      <c r="B1171" s="98"/>
      <c r="C1171" s="78"/>
      <c r="D1171" s="79"/>
      <c r="E1171" s="76"/>
      <c r="F1171" s="99"/>
      <c r="G1171" s="71"/>
      <c r="H1171" s="71"/>
      <c r="I1171" s="71"/>
      <c r="J1171" s="99"/>
      <c r="K1171" s="99"/>
      <c r="L1171" s="99"/>
      <c r="M1171" s="73"/>
      <c r="N1171" s="73"/>
      <c r="O1171" s="73"/>
    </row>
    <row r="1172" spans="1:15">
      <c r="A1172" s="73"/>
      <c r="B1172" s="98"/>
      <c r="C1172" s="78"/>
      <c r="D1172" s="79"/>
      <c r="E1172" s="76"/>
      <c r="F1172" s="99"/>
      <c r="G1172" s="71"/>
      <c r="H1172" s="71"/>
      <c r="I1172" s="71"/>
      <c r="J1172" s="99"/>
      <c r="K1172" s="99"/>
      <c r="L1172" s="99"/>
      <c r="M1172" s="73"/>
      <c r="N1172" s="73"/>
      <c r="O1172" s="73"/>
    </row>
    <row r="1173" spans="1:15">
      <c r="A1173" s="73"/>
      <c r="B1173" s="98"/>
      <c r="C1173" s="78"/>
      <c r="D1173" s="79"/>
      <c r="E1173" s="76"/>
      <c r="F1173" s="99"/>
      <c r="G1173" s="71"/>
      <c r="H1173" s="71"/>
      <c r="I1173" s="71"/>
      <c r="J1173" s="99"/>
      <c r="K1173" s="99"/>
      <c r="L1173" s="99"/>
      <c r="M1173" s="73"/>
      <c r="N1173" s="73"/>
      <c r="O1173" s="73"/>
    </row>
    <row r="1174" spans="1:15">
      <c r="A1174" s="73"/>
      <c r="B1174" s="98"/>
      <c r="C1174" s="78"/>
      <c r="D1174" s="79"/>
      <c r="E1174" s="76"/>
      <c r="F1174" s="99"/>
      <c r="G1174" s="71"/>
      <c r="H1174" s="71"/>
      <c r="I1174" s="71"/>
      <c r="J1174" s="99"/>
      <c r="K1174" s="99"/>
      <c r="L1174" s="99"/>
      <c r="M1174" s="73"/>
      <c r="N1174" s="73"/>
      <c r="O1174" s="73"/>
    </row>
    <row r="1175" spans="1:15">
      <c r="A1175" s="73"/>
      <c r="B1175" s="98"/>
      <c r="C1175" s="78"/>
      <c r="D1175" s="79"/>
      <c r="E1175" s="76"/>
      <c r="F1175" s="99"/>
      <c r="G1175" s="71"/>
      <c r="H1175" s="71"/>
      <c r="I1175" s="71"/>
      <c r="J1175" s="99"/>
      <c r="K1175" s="99"/>
      <c r="L1175" s="99"/>
      <c r="M1175" s="73"/>
      <c r="N1175" s="73"/>
      <c r="O1175" s="73"/>
    </row>
    <row r="1176" spans="1:15">
      <c r="A1176" s="73"/>
      <c r="B1176" s="98"/>
      <c r="C1176" s="78"/>
      <c r="D1176" s="79"/>
      <c r="E1176" s="76"/>
      <c r="F1176" s="99"/>
      <c r="G1176" s="71"/>
      <c r="H1176" s="71"/>
      <c r="I1176" s="71"/>
      <c r="J1176" s="99"/>
      <c r="K1176" s="99"/>
      <c r="L1176" s="99"/>
      <c r="M1176" s="73"/>
      <c r="N1176" s="73"/>
      <c r="O1176" s="73"/>
    </row>
    <row r="1177" spans="1:15">
      <c r="A1177" s="73"/>
      <c r="B1177" s="98"/>
      <c r="C1177" s="78"/>
      <c r="D1177" s="79"/>
      <c r="E1177" s="76"/>
      <c r="F1177" s="99"/>
      <c r="G1177" s="71"/>
      <c r="H1177" s="71"/>
      <c r="I1177" s="71"/>
      <c r="J1177" s="99"/>
      <c r="K1177" s="99"/>
      <c r="L1177" s="99"/>
      <c r="M1177" s="73"/>
      <c r="N1177" s="73"/>
      <c r="O1177" s="73"/>
    </row>
    <row r="1178" spans="1:15">
      <c r="A1178" s="73"/>
      <c r="B1178" s="98"/>
      <c r="C1178" s="78"/>
      <c r="D1178" s="79"/>
      <c r="E1178" s="76"/>
      <c r="F1178" s="99"/>
      <c r="G1178" s="71"/>
      <c r="H1178" s="71"/>
      <c r="I1178" s="71"/>
      <c r="J1178" s="99"/>
      <c r="K1178" s="99"/>
      <c r="L1178" s="99"/>
      <c r="M1178" s="73"/>
      <c r="N1178" s="73"/>
      <c r="O1178" s="73"/>
    </row>
    <row r="1179" spans="1:15">
      <c r="A1179" s="73"/>
      <c r="B1179" s="98"/>
      <c r="C1179" s="78"/>
      <c r="D1179" s="79"/>
      <c r="E1179" s="76"/>
      <c r="F1179" s="99"/>
      <c r="G1179" s="71"/>
      <c r="H1179" s="71"/>
      <c r="I1179" s="71"/>
      <c r="J1179" s="99"/>
      <c r="K1179" s="99"/>
      <c r="L1179" s="99"/>
      <c r="M1179" s="73"/>
      <c r="N1179" s="73"/>
      <c r="O1179" s="73"/>
    </row>
    <row r="1180" spans="1:15">
      <c r="A1180" s="73"/>
      <c r="B1180" s="98"/>
      <c r="C1180" s="78"/>
      <c r="D1180" s="79"/>
      <c r="E1180" s="76"/>
      <c r="F1180" s="99"/>
      <c r="G1180" s="71"/>
      <c r="H1180" s="71"/>
      <c r="I1180" s="71"/>
      <c r="J1180" s="99"/>
      <c r="K1180" s="99"/>
      <c r="L1180" s="99"/>
      <c r="M1180" s="73"/>
      <c r="N1180" s="73"/>
      <c r="O1180" s="73"/>
    </row>
    <row r="1181" spans="1:15">
      <c r="A1181" s="73"/>
      <c r="B1181" s="98"/>
      <c r="C1181" s="78"/>
      <c r="D1181" s="79"/>
      <c r="E1181" s="76"/>
      <c r="F1181" s="99"/>
      <c r="G1181" s="71"/>
      <c r="H1181" s="71"/>
      <c r="I1181" s="71"/>
      <c r="J1181" s="99"/>
      <c r="K1181" s="99"/>
      <c r="L1181" s="99"/>
      <c r="M1181" s="73"/>
      <c r="N1181" s="73"/>
      <c r="O1181" s="73"/>
    </row>
    <row r="1182" spans="1:15">
      <c r="A1182" s="73"/>
      <c r="B1182" s="98"/>
      <c r="C1182" s="78"/>
      <c r="D1182" s="79"/>
      <c r="E1182" s="76"/>
      <c r="F1182" s="99"/>
      <c r="G1182" s="71"/>
      <c r="H1182" s="71"/>
      <c r="I1182" s="71"/>
      <c r="J1182" s="99"/>
      <c r="K1182" s="99"/>
      <c r="L1182" s="99"/>
      <c r="M1182" s="73"/>
      <c r="N1182" s="73"/>
      <c r="O1182" s="73"/>
    </row>
    <row r="1183" spans="1:15">
      <c r="A1183" s="73"/>
      <c r="B1183" s="98"/>
      <c r="C1183" s="78"/>
      <c r="D1183" s="79"/>
      <c r="E1183" s="76"/>
      <c r="F1183" s="99"/>
      <c r="G1183" s="71"/>
      <c r="H1183" s="71"/>
      <c r="I1183" s="71"/>
      <c r="J1183" s="99"/>
      <c r="K1183" s="99"/>
      <c r="L1183" s="99"/>
      <c r="M1183" s="73"/>
      <c r="N1183" s="73"/>
      <c r="O1183" s="73"/>
    </row>
    <row r="1184" spans="1:15">
      <c r="A1184" s="73"/>
      <c r="B1184" s="98"/>
      <c r="C1184" s="78"/>
      <c r="D1184" s="79"/>
      <c r="E1184" s="76"/>
      <c r="F1184" s="99"/>
      <c r="G1184" s="71"/>
      <c r="H1184" s="71"/>
      <c r="I1184" s="71"/>
      <c r="J1184" s="99"/>
      <c r="K1184" s="99"/>
      <c r="L1184" s="99"/>
      <c r="M1184" s="73"/>
      <c r="N1184" s="73"/>
      <c r="O1184" s="73"/>
    </row>
    <row r="1185" spans="1:15">
      <c r="A1185" s="73"/>
      <c r="B1185" s="98"/>
      <c r="C1185" s="78"/>
      <c r="D1185" s="79"/>
      <c r="E1185" s="76"/>
      <c r="F1185" s="99"/>
      <c r="G1185" s="71"/>
      <c r="H1185" s="71"/>
      <c r="I1185" s="71"/>
      <c r="J1185" s="99"/>
      <c r="K1185" s="99"/>
      <c r="L1185" s="99"/>
      <c r="M1185" s="73"/>
      <c r="N1185" s="73"/>
      <c r="O1185" s="73"/>
    </row>
    <row r="1186" spans="1:15">
      <c r="A1186" s="73"/>
      <c r="B1186" s="98"/>
      <c r="C1186" s="78"/>
      <c r="D1186" s="79"/>
      <c r="E1186" s="76"/>
      <c r="F1186" s="99"/>
      <c r="G1186" s="71"/>
      <c r="H1186" s="71"/>
      <c r="I1186" s="71"/>
      <c r="J1186" s="99"/>
      <c r="K1186" s="99"/>
      <c r="L1186" s="99"/>
      <c r="M1186" s="73"/>
      <c r="N1186" s="73"/>
      <c r="O1186" s="73"/>
    </row>
    <row r="1187" spans="1:15">
      <c r="A1187" s="73"/>
      <c r="B1187" s="98"/>
      <c r="C1187" s="78"/>
      <c r="D1187" s="79"/>
      <c r="E1187" s="76"/>
      <c r="F1187" s="99"/>
      <c r="G1187" s="71"/>
      <c r="H1187" s="71"/>
      <c r="I1187" s="71"/>
      <c r="J1187" s="99"/>
      <c r="K1187" s="99"/>
      <c r="L1187" s="99"/>
      <c r="M1187" s="73"/>
      <c r="N1187" s="73"/>
      <c r="O1187" s="73"/>
    </row>
    <row r="1188" spans="1:15">
      <c r="A1188" s="73"/>
      <c r="B1188" s="98"/>
      <c r="C1188" s="78"/>
      <c r="D1188" s="79"/>
      <c r="E1188" s="76"/>
      <c r="F1188" s="99"/>
      <c r="G1188" s="71"/>
      <c r="H1188" s="71"/>
      <c r="I1188" s="71"/>
      <c r="J1188" s="99"/>
      <c r="K1188" s="99"/>
      <c r="L1188" s="99"/>
      <c r="M1188" s="73"/>
      <c r="N1188" s="73"/>
      <c r="O1188" s="73"/>
    </row>
    <row r="1189" spans="1:15">
      <c r="A1189" s="73"/>
      <c r="B1189" s="98"/>
      <c r="C1189" s="78"/>
      <c r="D1189" s="79"/>
      <c r="E1189" s="76"/>
      <c r="F1189" s="99"/>
      <c r="G1189" s="71"/>
      <c r="H1189" s="71"/>
      <c r="I1189" s="71"/>
      <c r="J1189" s="99"/>
      <c r="K1189" s="99"/>
      <c r="L1189" s="99"/>
      <c r="M1189" s="73"/>
      <c r="N1189" s="73"/>
      <c r="O1189" s="73"/>
    </row>
    <row r="1190" spans="1:15">
      <c r="A1190" s="73"/>
      <c r="B1190" s="98"/>
      <c r="C1190" s="78"/>
      <c r="D1190" s="79"/>
      <c r="E1190" s="76"/>
      <c r="F1190" s="99"/>
      <c r="G1190" s="71"/>
      <c r="H1190" s="71"/>
      <c r="I1190" s="71"/>
      <c r="J1190" s="99"/>
      <c r="K1190" s="99"/>
      <c r="L1190" s="99"/>
      <c r="M1190" s="73"/>
      <c r="N1190" s="73"/>
      <c r="O1190" s="73"/>
    </row>
    <row r="1191" spans="1:15">
      <c r="A1191" s="73"/>
      <c r="B1191" s="98"/>
      <c r="C1191" s="78"/>
      <c r="D1191" s="79"/>
      <c r="E1191" s="76"/>
      <c r="F1191" s="99"/>
      <c r="G1191" s="71"/>
      <c r="H1191" s="71"/>
      <c r="I1191" s="71"/>
      <c r="J1191" s="99"/>
      <c r="K1191" s="99"/>
      <c r="L1191" s="99"/>
      <c r="M1191" s="73"/>
      <c r="N1191" s="73"/>
      <c r="O1191" s="73"/>
    </row>
    <row r="1192" spans="1:15">
      <c r="A1192" s="73"/>
      <c r="B1192" s="98"/>
      <c r="C1192" s="78"/>
      <c r="D1192" s="79"/>
      <c r="E1192" s="76"/>
      <c r="F1192" s="99"/>
      <c r="G1192" s="71"/>
      <c r="H1192" s="71"/>
      <c r="I1192" s="71"/>
      <c r="J1192" s="99"/>
      <c r="K1192" s="99"/>
      <c r="L1192" s="99"/>
      <c r="M1192" s="73"/>
      <c r="N1192" s="73"/>
      <c r="O1192" s="73"/>
    </row>
    <row r="1193" spans="1:15">
      <c r="A1193" s="73"/>
      <c r="B1193" s="98"/>
      <c r="C1193" s="78"/>
      <c r="D1193" s="79"/>
      <c r="E1193" s="76"/>
      <c r="F1193" s="99"/>
      <c r="G1193" s="71"/>
      <c r="H1193" s="71"/>
      <c r="I1193" s="71"/>
      <c r="J1193" s="99"/>
      <c r="K1193" s="99"/>
      <c r="L1193" s="99"/>
      <c r="M1193" s="73"/>
      <c r="N1193" s="73"/>
      <c r="O1193" s="73"/>
    </row>
    <row r="1194" spans="1:15">
      <c r="A1194" s="73"/>
      <c r="B1194" s="98"/>
      <c r="C1194" s="78"/>
      <c r="D1194" s="79"/>
      <c r="E1194" s="76"/>
      <c r="F1194" s="99"/>
      <c r="G1194" s="71"/>
      <c r="H1194" s="71"/>
      <c r="I1194" s="71"/>
      <c r="J1194" s="99"/>
      <c r="K1194" s="99"/>
      <c r="L1194" s="99"/>
      <c r="M1194" s="73"/>
      <c r="N1194" s="73"/>
      <c r="O1194" s="73"/>
    </row>
    <row r="1195" spans="1:15">
      <c r="A1195" s="73"/>
      <c r="B1195" s="98"/>
      <c r="C1195" s="78"/>
      <c r="D1195" s="79"/>
      <c r="E1195" s="76"/>
      <c r="F1195" s="99"/>
      <c r="G1195" s="71"/>
      <c r="H1195" s="71"/>
      <c r="I1195" s="71"/>
      <c r="J1195" s="99"/>
      <c r="K1195" s="99"/>
      <c r="L1195" s="99"/>
      <c r="M1195" s="73"/>
      <c r="N1195" s="73"/>
      <c r="O1195" s="73"/>
    </row>
    <row r="1196" spans="1:15">
      <c r="A1196" s="73"/>
      <c r="B1196" s="98"/>
      <c r="C1196" s="78"/>
      <c r="D1196" s="79"/>
      <c r="E1196" s="76"/>
      <c r="F1196" s="99"/>
      <c r="G1196" s="71"/>
      <c r="H1196" s="71"/>
      <c r="I1196" s="71"/>
      <c r="J1196" s="99"/>
      <c r="K1196" s="99"/>
      <c r="L1196" s="99"/>
      <c r="M1196" s="73"/>
      <c r="N1196" s="73"/>
      <c r="O1196" s="73"/>
    </row>
    <row r="1197" spans="1:15">
      <c r="A1197" s="73"/>
      <c r="B1197" s="98"/>
      <c r="C1197" s="78"/>
      <c r="D1197" s="79"/>
      <c r="E1197" s="76"/>
      <c r="F1197" s="99"/>
      <c r="G1197" s="71"/>
      <c r="H1197" s="71"/>
      <c r="I1197" s="71"/>
      <c r="J1197" s="99"/>
      <c r="K1197" s="99"/>
      <c r="L1197" s="99"/>
      <c r="M1197" s="73"/>
      <c r="N1197" s="73"/>
      <c r="O1197" s="73"/>
    </row>
    <row r="1198" spans="1:15">
      <c r="A1198" s="73"/>
      <c r="B1198" s="98"/>
      <c r="C1198" s="78"/>
      <c r="D1198" s="79"/>
      <c r="E1198" s="76"/>
      <c r="F1198" s="99"/>
      <c r="G1198" s="71"/>
      <c r="H1198" s="71"/>
      <c r="I1198" s="71"/>
      <c r="J1198" s="99"/>
      <c r="K1198" s="99"/>
      <c r="L1198" s="99"/>
      <c r="M1198" s="73"/>
      <c r="N1198" s="73"/>
      <c r="O1198" s="73"/>
    </row>
    <row r="1199" spans="1:15">
      <c r="A1199" s="73"/>
      <c r="B1199" s="98"/>
      <c r="C1199" s="78"/>
      <c r="D1199" s="79"/>
      <c r="E1199" s="76"/>
      <c r="F1199" s="99"/>
      <c r="G1199" s="71"/>
      <c r="H1199" s="71"/>
      <c r="I1199" s="71"/>
      <c r="J1199" s="99"/>
      <c r="K1199" s="99"/>
      <c r="L1199" s="99"/>
      <c r="M1199" s="73"/>
      <c r="N1199" s="73"/>
      <c r="O1199" s="73"/>
    </row>
    <row r="1200" spans="1:15">
      <c r="A1200" s="73"/>
      <c r="B1200" s="98"/>
      <c r="C1200" s="78"/>
      <c r="D1200" s="79"/>
      <c r="E1200" s="76"/>
      <c r="F1200" s="99"/>
      <c r="G1200" s="71"/>
      <c r="H1200" s="71"/>
      <c r="I1200" s="71"/>
      <c r="J1200" s="99"/>
      <c r="K1200" s="99"/>
      <c r="L1200" s="99"/>
      <c r="M1200" s="73"/>
      <c r="N1200" s="73"/>
      <c r="O1200" s="73"/>
    </row>
    <row r="1201" spans="1:15">
      <c r="A1201" s="73"/>
      <c r="B1201" s="98"/>
      <c r="C1201" s="78"/>
      <c r="D1201" s="79"/>
      <c r="E1201" s="76"/>
      <c r="F1201" s="99"/>
      <c r="G1201" s="71"/>
      <c r="H1201" s="71"/>
      <c r="I1201" s="71"/>
      <c r="J1201" s="99"/>
      <c r="K1201" s="99"/>
      <c r="L1201" s="99"/>
      <c r="M1201" s="73"/>
      <c r="N1201" s="73"/>
      <c r="O1201" s="73"/>
    </row>
    <row r="1202" spans="1:15">
      <c r="A1202" s="73"/>
      <c r="B1202" s="98"/>
      <c r="C1202" s="78"/>
      <c r="D1202" s="79"/>
      <c r="E1202" s="76"/>
      <c r="F1202" s="99"/>
      <c r="G1202" s="71"/>
      <c r="H1202" s="71"/>
      <c r="I1202" s="71"/>
      <c r="J1202" s="99"/>
      <c r="K1202" s="99"/>
      <c r="L1202" s="99"/>
      <c r="M1202" s="73"/>
      <c r="N1202" s="73"/>
      <c r="O1202" s="73"/>
    </row>
    <row r="1203" spans="1:15">
      <c r="A1203" s="73"/>
      <c r="B1203" s="98"/>
      <c r="C1203" s="78"/>
      <c r="D1203" s="79"/>
      <c r="E1203" s="76"/>
      <c r="F1203" s="99"/>
      <c r="G1203" s="71"/>
      <c r="H1203" s="71"/>
      <c r="I1203" s="71"/>
      <c r="J1203" s="99"/>
      <c r="K1203" s="99"/>
      <c r="L1203" s="99"/>
      <c r="M1203" s="73"/>
      <c r="N1203" s="73"/>
      <c r="O1203" s="73"/>
    </row>
    <row r="1204" spans="1:15">
      <c r="A1204" s="73"/>
      <c r="B1204" s="98"/>
      <c r="C1204" s="78"/>
      <c r="D1204" s="79"/>
      <c r="E1204" s="76"/>
      <c r="F1204" s="99"/>
      <c r="G1204" s="71"/>
      <c r="H1204" s="71"/>
      <c r="I1204" s="71"/>
      <c r="J1204" s="99"/>
      <c r="K1204" s="99"/>
      <c r="L1204" s="99"/>
      <c r="M1204" s="73"/>
      <c r="N1204" s="73"/>
      <c r="O1204" s="73"/>
    </row>
    <row r="1205" spans="1:15">
      <c r="A1205" s="73"/>
      <c r="B1205" s="98"/>
      <c r="C1205" s="78"/>
      <c r="D1205" s="79"/>
      <c r="E1205" s="76"/>
      <c r="F1205" s="99"/>
      <c r="G1205" s="71"/>
      <c r="H1205" s="71"/>
      <c r="I1205" s="71"/>
      <c r="J1205" s="99"/>
      <c r="K1205" s="99"/>
      <c r="L1205" s="99"/>
      <c r="M1205" s="73"/>
      <c r="N1205" s="73"/>
      <c r="O1205" s="73"/>
    </row>
    <row r="1206" spans="1:15">
      <c r="A1206" s="73"/>
      <c r="B1206" s="98"/>
      <c r="C1206" s="78"/>
      <c r="D1206" s="79"/>
      <c r="E1206" s="76"/>
      <c r="F1206" s="99"/>
      <c r="G1206" s="71"/>
      <c r="H1206" s="71"/>
      <c r="I1206" s="71"/>
      <c r="J1206" s="99"/>
      <c r="K1206" s="99"/>
      <c r="L1206" s="99"/>
      <c r="M1206" s="73"/>
      <c r="N1206" s="73"/>
      <c r="O1206" s="73"/>
    </row>
    <row r="1207" spans="1:15">
      <c r="A1207" s="73"/>
      <c r="B1207" s="98"/>
      <c r="C1207" s="78"/>
      <c r="D1207" s="79"/>
      <c r="E1207" s="76"/>
      <c r="F1207" s="99"/>
      <c r="G1207" s="71"/>
      <c r="H1207" s="71"/>
      <c r="I1207" s="71"/>
      <c r="J1207" s="99"/>
      <c r="K1207" s="99"/>
      <c r="L1207" s="99"/>
      <c r="M1207" s="73"/>
      <c r="N1207" s="73"/>
      <c r="O1207" s="73"/>
    </row>
    <row r="1208" spans="1:15">
      <c r="A1208" s="73"/>
      <c r="B1208" s="98"/>
      <c r="C1208" s="78"/>
      <c r="D1208" s="79"/>
      <c r="E1208" s="76"/>
      <c r="F1208" s="99"/>
      <c r="G1208" s="71"/>
      <c r="H1208" s="71"/>
      <c r="I1208" s="71"/>
      <c r="J1208" s="99"/>
      <c r="K1208" s="99"/>
      <c r="L1208" s="99"/>
      <c r="M1208" s="73"/>
      <c r="N1208" s="73"/>
      <c r="O1208" s="73"/>
    </row>
    <row r="1209" spans="1:15">
      <c r="A1209" s="73"/>
      <c r="B1209" s="98"/>
      <c r="C1209" s="78"/>
      <c r="D1209" s="79"/>
      <c r="E1209" s="76"/>
      <c r="F1209" s="99"/>
      <c r="G1209" s="71"/>
      <c r="H1209" s="71"/>
      <c r="I1209" s="71"/>
      <c r="J1209" s="99"/>
      <c r="K1209" s="99"/>
      <c r="L1209" s="99"/>
      <c r="M1209" s="73"/>
      <c r="N1209" s="73"/>
      <c r="O1209" s="73"/>
    </row>
    <row r="1210" spans="1:15">
      <c r="A1210" s="73"/>
      <c r="B1210" s="98"/>
      <c r="C1210" s="78"/>
      <c r="D1210" s="79"/>
      <c r="E1210" s="76"/>
      <c r="F1210" s="99"/>
      <c r="G1210" s="71"/>
      <c r="H1210" s="71"/>
      <c r="I1210" s="71"/>
      <c r="J1210" s="99"/>
      <c r="K1210" s="99"/>
      <c r="L1210" s="99"/>
      <c r="M1210" s="73"/>
      <c r="N1210" s="73"/>
      <c r="O1210" s="73"/>
    </row>
    <row r="1211" spans="1:15">
      <c r="A1211" s="73"/>
      <c r="B1211" s="98"/>
      <c r="C1211" s="78"/>
      <c r="D1211" s="79"/>
      <c r="E1211" s="76"/>
      <c r="F1211" s="99"/>
      <c r="G1211" s="71"/>
      <c r="H1211" s="71"/>
      <c r="I1211" s="71"/>
      <c r="J1211" s="99"/>
      <c r="K1211" s="99"/>
      <c r="L1211" s="99"/>
      <c r="M1211" s="73"/>
      <c r="N1211" s="73"/>
      <c r="O1211" s="73"/>
    </row>
    <row r="1212" spans="1:15">
      <c r="A1212" s="73"/>
      <c r="B1212" s="98"/>
      <c r="C1212" s="78"/>
      <c r="D1212" s="79"/>
      <c r="E1212" s="76"/>
      <c r="F1212" s="99"/>
      <c r="G1212" s="71"/>
      <c r="H1212" s="71"/>
      <c r="I1212" s="71"/>
      <c r="J1212" s="99"/>
      <c r="K1212" s="99"/>
      <c r="L1212" s="99"/>
      <c r="M1212" s="73"/>
      <c r="N1212" s="73"/>
      <c r="O1212" s="73"/>
    </row>
    <row r="1213" spans="1:15">
      <c r="A1213" s="73"/>
      <c r="B1213" s="98"/>
      <c r="C1213" s="78"/>
      <c r="D1213" s="79"/>
      <c r="E1213" s="76"/>
      <c r="F1213" s="99"/>
      <c r="G1213" s="71"/>
      <c r="H1213" s="71"/>
      <c r="I1213" s="71"/>
      <c r="J1213" s="99"/>
      <c r="K1213" s="99"/>
      <c r="L1213" s="99"/>
      <c r="M1213" s="73"/>
      <c r="N1213" s="73"/>
      <c r="O1213" s="73"/>
    </row>
    <row r="1214" spans="1:15">
      <c r="A1214" s="73"/>
      <c r="B1214" s="98"/>
      <c r="C1214" s="78"/>
      <c r="D1214" s="79"/>
      <c r="E1214" s="76"/>
      <c r="F1214" s="99"/>
      <c r="G1214" s="71"/>
      <c r="H1214" s="71"/>
      <c r="I1214" s="71"/>
      <c r="J1214" s="99"/>
      <c r="K1214" s="99"/>
      <c r="L1214" s="99"/>
      <c r="M1214" s="73"/>
      <c r="N1214" s="73"/>
      <c r="O1214" s="73"/>
    </row>
    <row r="1215" spans="1:15">
      <c r="A1215" s="73"/>
      <c r="B1215" s="98"/>
      <c r="C1215" s="78"/>
      <c r="D1215" s="79"/>
      <c r="E1215" s="76"/>
      <c r="F1215" s="99"/>
      <c r="G1215" s="71"/>
      <c r="H1215" s="71"/>
      <c r="I1215" s="71"/>
      <c r="J1215" s="99"/>
      <c r="K1215" s="99"/>
      <c r="L1215" s="99"/>
      <c r="M1215" s="73"/>
      <c r="N1215" s="73"/>
      <c r="O1215" s="73"/>
    </row>
    <row r="1216" spans="1:15">
      <c r="A1216" s="73"/>
      <c r="B1216" s="98"/>
      <c r="C1216" s="78"/>
      <c r="D1216" s="79"/>
      <c r="E1216" s="76"/>
      <c r="F1216" s="99"/>
      <c r="G1216" s="71"/>
      <c r="H1216" s="71"/>
      <c r="I1216" s="71"/>
      <c r="J1216" s="99"/>
      <c r="K1216" s="99"/>
      <c r="L1216" s="99"/>
      <c r="M1216" s="73"/>
      <c r="N1216" s="73"/>
      <c r="O1216" s="73"/>
    </row>
    <row r="1217" spans="1:15">
      <c r="A1217" s="73"/>
      <c r="B1217" s="98"/>
      <c r="C1217" s="78"/>
      <c r="D1217" s="79"/>
      <c r="E1217" s="76"/>
      <c r="F1217" s="99"/>
      <c r="G1217" s="71"/>
      <c r="H1217" s="71"/>
      <c r="I1217" s="71"/>
      <c r="J1217" s="99"/>
      <c r="K1217" s="99"/>
      <c r="L1217" s="99"/>
      <c r="M1217" s="73"/>
      <c r="N1217" s="73"/>
      <c r="O1217" s="73"/>
    </row>
    <row r="1218" spans="1:15">
      <c r="A1218" s="73"/>
      <c r="B1218" s="98"/>
      <c r="C1218" s="78"/>
      <c r="D1218" s="79"/>
      <c r="E1218" s="76"/>
      <c r="F1218" s="99"/>
      <c r="G1218" s="71"/>
      <c r="H1218" s="71"/>
      <c r="I1218" s="71"/>
      <c r="J1218" s="99"/>
      <c r="K1218" s="99"/>
      <c r="L1218" s="99"/>
      <c r="M1218" s="73"/>
      <c r="N1218" s="73"/>
      <c r="O1218" s="73"/>
    </row>
    <row r="1219" spans="1:15">
      <c r="A1219" s="73"/>
      <c r="B1219" s="98"/>
      <c r="C1219" s="78"/>
      <c r="D1219" s="79"/>
      <c r="E1219" s="76"/>
      <c r="F1219" s="99"/>
      <c r="G1219" s="71"/>
      <c r="H1219" s="71"/>
      <c r="I1219" s="71"/>
      <c r="J1219" s="99"/>
      <c r="K1219" s="99"/>
      <c r="L1219" s="99"/>
      <c r="M1219" s="73"/>
      <c r="N1219" s="73"/>
      <c r="O1219" s="73"/>
    </row>
    <row r="1220" spans="1:15">
      <c r="A1220" s="73"/>
      <c r="B1220" s="98"/>
      <c r="C1220" s="78"/>
      <c r="D1220" s="79"/>
      <c r="E1220" s="76"/>
      <c r="F1220" s="99"/>
      <c r="G1220" s="71"/>
      <c r="H1220" s="71"/>
      <c r="I1220" s="71"/>
      <c r="J1220" s="99"/>
      <c r="K1220" s="99"/>
      <c r="L1220" s="99"/>
      <c r="M1220" s="73"/>
      <c r="N1220" s="73"/>
      <c r="O1220" s="73"/>
    </row>
    <row r="1221" spans="1:15">
      <c r="A1221" s="73"/>
      <c r="B1221" s="98"/>
      <c r="C1221" s="78"/>
      <c r="D1221" s="79"/>
      <c r="E1221" s="76"/>
      <c r="F1221" s="99"/>
      <c r="G1221" s="71"/>
      <c r="H1221" s="71"/>
      <c r="I1221" s="71"/>
      <c r="J1221" s="99"/>
      <c r="K1221" s="99"/>
      <c r="L1221" s="99"/>
      <c r="M1221" s="73"/>
      <c r="N1221" s="73"/>
      <c r="O1221" s="73"/>
    </row>
    <row r="1222" spans="1:15">
      <c r="A1222" s="73"/>
      <c r="B1222" s="98"/>
      <c r="C1222" s="78"/>
      <c r="D1222" s="79"/>
      <c r="E1222" s="76"/>
      <c r="F1222" s="99"/>
      <c r="G1222" s="71"/>
      <c r="H1222" s="71"/>
      <c r="I1222" s="71"/>
      <c r="J1222" s="99"/>
      <c r="K1222" s="99"/>
      <c r="L1222" s="99"/>
      <c r="M1222" s="73"/>
      <c r="N1222" s="73"/>
      <c r="O1222" s="73"/>
    </row>
    <row r="1223" spans="1:15">
      <c r="A1223" s="73"/>
      <c r="B1223" s="98"/>
      <c r="C1223" s="78"/>
      <c r="D1223" s="79"/>
      <c r="E1223" s="76"/>
      <c r="F1223" s="99"/>
      <c r="G1223" s="71"/>
      <c r="H1223" s="71"/>
      <c r="I1223" s="71"/>
      <c r="J1223" s="99"/>
      <c r="K1223" s="99"/>
      <c r="L1223" s="99"/>
      <c r="M1223" s="73"/>
      <c r="N1223" s="73"/>
      <c r="O1223" s="73"/>
    </row>
    <row r="1224" spans="1:15">
      <c r="A1224" s="73"/>
      <c r="B1224" s="98"/>
      <c r="C1224" s="78"/>
      <c r="D1224" s="79"/>
      <c r="E1224" s="76"/>
      <c r="F1224" s="99"/>
      <c r="G1224" s="71"/>
      <c r="H1224" s="71"/>
      <c r="I1224" s="71"/>
      <c r="J1224" s="99"/>
      <c r="K1224" s="99"/>
      <c r="L1224" s="99"/>
      <c r="M1224" s="73"/>
      <c r="N1224" s="73"/>
      <c r="O1224" s="73"/>
    </row>
    <row r="1225" spans="1:15">
      <c r="A1225" s="73"/>
      <c r="B1225" s="98"/>
      <c r="C1225" s="78"/>
      <c r="D1225" s="79"/>
      <c r="E1225" s="76"/>
      <c r="F1225" s="99"/>
      <c r="G1225" s="71"/>
      <c r="H1225" s="71"/>
      <c r="I1225" s="71"/>
      <c r="J1225" s="99"/>
      <c r="K1225" s="99"/>
      <c r="L1225" s="99"/>
      <c r="M1225" s="73"/>
      <c r="N1225" s="73"/>
      <c r="O1225" s="73"/>
    </row>
    <row r="1226" spans="1:15">
      <c r="A1226" s="73"/>
      <c r="B1226" s="98"/>
      <c r="C1226" s="78"/>
      <c r="D1226" s="79"/>
      <c r="E1226" s="76"/>
      <c r="F1226" s="99"/>
      <c r="G1226" s="71"/>
      <c r="H1226" s="71"/>
      <c r="I1226" s="71"/>
      <c r="J1226" s="99"/>
      <c r="K1226" s="99"/>
      <c r="L1226" s="99"/>
      <c r="M1226" s="73"/>
      <c r="N1226" s="73"/>
      <c r="O1226" s="73"/>
    </row>
    <row r="1227" spans="1:15">
      <c r="A1227" s="73"/>
      <c r="B1227" s="98"/>
      <c r="C1227" s="78"/>
      <c r="D1227" s="79"/>
      <c r="E1227" s="76"/>
      <c r="F1227" s="99"/>
      <c r="G1227" s="71"/>
      <c r="H1227" s="71"/>
      <c r="I1227" s="71"/>
      <c r="J1227" s="99"/>
      <c r="K1227" s="99"/>
      <c r="L1227" s="99"/>
      <c r="M1227" s="73"/>
      <c r="N1227" s="73"/>
      <c r="O1227" s="73"/>
    </row>
    <row r="1228" spans="1:15">
      <c r="A1228" s="73"/>
      <c r="B1228" s="98"/>
      <c r="C1228" s="78"/>
      <c r="D1228" s="79"/>
      <c r="E1228" s="76"/>
      <c r="F1228" s="99"/>
      <c r="G1228" s="71"/>
      <c r="H1228" s="71"/>
      <c r="I1228" s="71"/>
      <c r="J1228" s="99"/>
      <c r="K1228" s="99"/>
      <c r="L1228" s="99"/>
      <c r="M1228" s="73"/>
      <c r="N1228" s="73"/>
      <c r="O1228" s="73"/>
    </row>
    <row r="1229" spans="1:15" ht="14.25">
      <c r="A1229" s="73"/>
      <c r="B1229" s="98"/>
      <c r="C1229" s="78"/>
      <c r="D1229" s="79"/>
      <c r="E1229" s="76"/>
      <c r="F1229" s="99"/>
      <c r="G1229" s="71"/>
      <c r="H1229" s="71"/>
      <c r="I1229" s="71"/>
      <c r="J1229" s="99"/>
      <c r="K1229" s="99"/>
      <c r="L1229" s="99"/>
      <c r="M1229" s="73"/>
      <c r="N1229" s="73"/>
      <c r="O1229" s="73"/>
    </row>
    <row r="1230" spans="1:15" ht="14.25">
      <c r="A1230" s="73"/>
      <c r="B1230" s="98"/>
      <c r="C1230" s="78"/>
      <c r="D1230" s="79"/>
      <c r="E1230" s="76"/>
      <c r="F1230" s="99"/>
      <c r="G1230" s="71"/>
      <c r="H1230" s="71"/>
      <c r="I1230" s="71"/>
      <c r="J1230" s="99"/>
      <c r="K1230" s="99"/>
      <c r="L1230" s="99"/>
      <c r="M1230" s="73"/>
      <c r="N1230" s="73"/>
      <c r="O1230" s="73"/>
    </row>
    <row r="1231" spans="1:15" ht="14.25">
      <c r="A1231" s="73"/>
      <c r="B1231" s="98"/>
      <c r="C1231" s="78"/>
      <c r="D1231" s="79"/>
      <c r="E1231" s="76"/>
      <c r="F1231" s="99"/>
      <c r="G1231" s="71"/>
      <c r="H1231" s="71"/>
      <c r="I1231" s="71"/>
      <c r="J1231" s="99"/>
      <c r="K1231" s="99"/>
      <c r="L1231" s="99"/>
      <c r="M1231" s="73"/>
      <c r="N1231" s="73"/>
      <c r="O1231" s="73"/>
    </row>
    <row r="1232" spans="1:15" ht="14.25">
      <c r="A1232" s="73"/>
      <c r="B1232" s="98"/>
      <c r="C1232" s="78"/>
      <c r="D1232" s="79"/>
      <c r="E1232" s="76"/>
      <c r="F1232" s="99"/>
      <c r="G1232" s="71"/>
      <c r="H1232" s="71"/>
      <c r="I1232" s="71"/>
      <c r="J1232" s="99"/>
      <c r="K1232" s="99"/>
      <c r="L1232" s="99"/>
      <c r="M1232" s="73"/>
      <c r="N1232" s="73"/>
      <c r="O1232" s="73"/>
    </row>
    <row r="1233" spans="1:15" ht="14.25">
      <c r="A1233" s="73"/>
      <c r="B1233" s="98"/>
      <c r="C1233" s="78"/>
      <c r="D1233" s="79"/>
      <c r="E1233" s="76"/>
      <c r="F1233" s="99"/>
      <c r="G1233" s="71"/>
      <c r="H1233" s="71"/>
      <c r="I1233" s="71"/>
      <c r="J1233" s="99"/>
      <c r="K1233" s="99"/>
      <c r="L1233" s="99"/>
      <c r="M1233" s="73"/>
      <c r="N1233" s="73"/>
      <c r="O1233" s="73"/>
    </row>
    <row r="1234" spans="1:15" ht="14.25">
      <c r="A1234" s="73"/>
      <c r="B1234" s="98"/>
      <c r="C1234" s="78"/>
      <c r="D1234" s="79"/>
      <c r="E1234" s="76"/>
      <c r="F1234" s="99"/>
      <c r="G1234" s="71"/>
      <c r="H1234" s="71"/>
      <c r="I1234" s="71"/>
      <c r="J1234" s="99"/>
      <c r="K1234" s="99"/>
      <c r="L1234" s="99"/>
      <c r="M1234" s="73"/>
      <c r="N1234" s="73"/>
      <c r="O1234" s="73"/>
    </row>
    <row r="1235" spans="1:15" ht="14.25">
      <c r="A1235" s="73"/>
      <c r="B1235" s="98"/>
      <c r="C1235" s="78"/>
      <c r="D1235" s="79"/>
      <c r="E1235" s="76"/>
      <c r="F1235" s="99"/>
      <c r="G1235" s="71"/>
      <c r="H1235" s="71"/>
      <c r="I1235" s="71"/>
      <c r="J1235" s="99"/>
      <c r="K1235" s="99"/>
      <c r="L1235" s="99"/>
      <c r="M1235" s="73"/>
      <c r="N1235" s="73"/>
      <c r="O1235" s="73"/>
    </row>
    <row r="1236" spans="1:15" ht="14.25">
      <c r="A1236" s="73"/>
      <c r="B1236" s="98"/>
      <c r="C1236" s="78"/>
      <c r="D1236" s="79"/>
      <c r="E1236" s="76"/>
      <c r="F1236" s="99"/>
      <c r="G1236" s="71"/>
      <c r="H1236" s="71"/>
      <c r="I1236" s="71"/>
      <c r="J1236" s="99"/>
      <c r="K1236" s="99"/>
      <c r="L1236" s="99"/>
      <c r="M1236" s="73"/>
      <c r="N1236" s="73"/>
      <c r="O1236" s="73"/>
    </row>
    <row r="1237" spans="1:15" ht="14.25">
      <c r="A1237" s="73"/>
      <c r="B1237" s="98"/>
      <c r="C1237" s="78"/>
      <c r="D1237" s="79"/>
      <c r="E1237" s="76"/>
      <c r="F1237" s="99"/>
      <c r="G1237" s="71"/>
      <c r="H1237" s="71"/>
      <c r="I1237" s="71"/>
      <c r="J1237" s="99"/>
      <c r="K1237" s="99"/>
      <c r="L1237" s="99"/>
      <c r="M1237" s="73"/>
      <c r="N1237" s="73"/>
      <c r="O1237" s="73"/>
    </row>
    <row r="1238" spans="1:15" ht="14.25">
      <c r="A1238" s="73"/>
      <c r="B1238" s="98"/>
      <c r="C1238" s="78"/>
      <c r="D1238" s="79"/>
      <c r="E1238" s="76"/>
      <c r="F1238" s="99"/>
      <c r="G1238" s="71"/>
      <c r="H1238" s="71"/>
      <c r="I1238" s="71"/>
      <c r="J1238" s="99"/>
      <c r="K1238" s="99"/>
      <c r="L1238" s="99"/>
      <c r="M1238" s="73"/>
      <c r="N1238" s="73"/>
      <c r="O1238" s="73"/>
    </row>
  </sheetData>
  <conditionalFormatting sqref="C134:C142 C149 C152:C156 C161:C165 C167:C168 C121:C129 C173:C183 C185 C190:C196 C201:C204 C209:C215 C220:C223 C228:C237 C242:C248 C250 C254:C265 C270:C280 C285:C295 C299:C314 C318:C330 C334:C335 C343:C346 C349:C355 C360 C362:C375 C377 C382:C389 C391 C3:C104 C396:C409 C414:C424 C426:C427 C432:C441 C447:C1114">
    <cfRule type="expression" dxfId="208" priority="40">
      <formula>ISBLANK(D3)</formula>
    </cfRule>
  </conditionalFormatting>
  <conditionalFormatting sqref="C109:C111 C113:C116">
    <cfRule type="expression" dxfId="207" priority="39">
      <formula>ISBLANK(D109)</formula>
    </cfRule>
  </conditionalFormatting>
  <conditionalFormatting sqref="C117:C120">
    <cfRule type="expression" dxfId="206" priority="38">
      <formula>ISBLANK(D117)</formula>
    </cfRule>
  </conditionalFormatting>
  <conditionalFormatting sqref="C130:C133">
    <cfRule type="expression" dxfId="205" priority="37">
      <formula>ISBLANK(D130)</formula>
    </cfRule>
  </conditionalFormatting>
  <conditionalFormatting sqref="C143:C146">
    <cfRule type="expression" dxfId="204" priority="36">
      <formula>ISBLANK(D143)</formula>
    </cfRule>
  </conditionalFormatting>
  <conditionalFormatting sqref="C147">
    <cfRule type="expression" dxfId="203" priority="35">
      <formula>ISBLANK(D147)</formula>
    </cfRule>
  </conditionalFormatting>
  <conditionalFormatting sqref="C148">
    <cfRule type="expression" dxfId="202" priority="34">
      <formula>ISBLANK(D148)</formula>
    </cfRule>
  </conditionalFormatting>
  <conditionalFormatting sqref="C151">
    <cfRule type="expression" dxfId="201" priority="33">
      <formula>ISBLANK(D151)</formula>
    </cfRule>
  </conditionalFormatting>
  <conditionalFormatting sqref="C157:C160">
    <cfRule type="expression" dxfId="200" priority="32">
      <formula>ISBLANK(D157)</formula>
    </cfRule>
  </conditionalFormatting>
  <conditionalFormatting sqref="C166">
    <cfRule type="expression" dxfId="199" priority="31">
      <formula>ISBLANK(D166)</formula>
    </cfRule>
  </conditionalFormatting>
  <conditionalFormatting sqref="C112">
    <cfRule type="expression" dxfId="198" priority="30">
      <formula>ISBLANK(D112)</formula>
    </cfRule>
  </conditionalFormatting>
  <conditionalFormatting sqref="C169:C172">
    <cfRule type="expression" dxfId="197" priority="29">
      <formula>ISBLANK(D169)</formula>
    </cfRule>
  </conditionalFormatting>
  <conditionalFormatting sqref="C186:C189">
    <cfRule type="expression" dxfId="196" priority="28">
      <formula>ISBLANK(D186)</formula>
    </cfRule>
  </conditionalFormatting>
  <conditionalFormatting sqref="C197:C200">
    <cfRule type="expression" dxfId="195" priority="27">
      <formula>ISBLANK(D197)</formula>
    </cfRule>
  </conditionalFormatting>
  <conditionalFormatting sqref="C205:C208">
    <cfRule type="expression" dxfId="194" priority="26">
      <formula>ISBLANK(D205)</formula>
    </cfRule>
  </conditionalFormatting>
  <conditionalFormatting sqref="C216:C219">
    <cfRule type="expression" dxfId="193" priority="25">
      <formula>ISBLANK(D216)</formula>
    </cfRule>
  </conditionalFormatting>
  <conditionalFormatting sqref="C224:C227">
    <cfRule type="expression" dxfId="192" priority="24">
      <formula>ISBLANK(D224)</formula>
    </cfRule>
  </conditionalFormatting>
  <conditionalFormatting sqref="C238:C241">
    <cfRule type="expression" dxfId="191" priority="23">
      <formula>ISBLANK(D238)</formula>
    </cfRule>
  </conditionalFormatting>
  <conditionalFormatting sqref="C249">
    <cfRule type="expression" dxfId="190" priority="22">
      <formula>ISBLANK(D249)</formula>
    </cfRule>
  </conditionalFormatting>
  <conditionalFormatting sqref="C251:C253">
    <cfRule type="expression" dxfId="189" priority="21">
      <formula>ISBLANK(D251)</formula>
    </cfRule>
  </conditionalFormatting>
  <conditionalFormatting sqref="C266">
    <cfRule type="expression" dxfId="188" priority="20">
      <formula>ISBLANK(D266)</formula>
    </cfRule>
  </conditionalFormatting>
  <conditionalFormatting sqref="C267:C269">
    <cfRule type="expression" dxfId="187" priority="19">
      <formula>ISBLANK(D267)</formula>
    </cfRule>
  </conditionalFormatting>
  <conditionalFormatting sqref="C282:C284">
    <cfRule type="expression" dxfId="186" priority="18">
      <formula>ISBLANK(D282)</formula>
    </cfRule>
  </conditionalFormatting>
  <conditionalFormatting sqref="C296:C298">
    <cfRule type="expression" dxfId="185" priority="17">
      <formula>ISBLANK(D296)</formula>
    </cfRule>
  </conditionalFormatting>
  <conditionalFormatting sqref="C315:C317">
    <cfRule type="expression" dxfId="184" priority="16">
      <formula>ISBLANK(D315)</formula>
    </cfRule>
  </conditionalFormatting>
  <conditionalFormatting sqref="C331:C333">
    <cfRule type="expression" dxfId="183" priority="15">
      <formula>ISBLANK(D331)</formula>
    </cfRule>
  </conditionalFormatting>
  <conditionalFormatting sqref="C336:C342">
    <cfRule type="expression" dxfId="182" priority="13">
      <formula>ISBLANK(D336)</formula>
    </cfRule>
  </conditionalFormatting>
  <conditionalFormatting sqref="C347">
    <cfRule type="expression" dxfId="181" priority="12">
      <formula>ISBLANK(D347)</formula>
    </cfRule>
  </conditionalFormatting>
  <conditionalFormatting sqref="C356:C359">
    <cfRule type="expression" dxfId="180" priority="11">
      <formula>ISBLANK(D356)</formula>
    </cfRule>
  </conditionalFormatting>
  <conditionalFormatting sqref="C361">
    <cfRule type="expression" dxfId="179" priority="10">
      <formula>ISBLANK(D361)</formula>
    </cfRule>
  </conditionalFormatting>
  <conditionalFormatting sqref="C376">
    <cfRule type="expression" dxfId="178" priority="9">
      <formula>ISBLANK(D376)</formula>
    </cfRule>
  </conditionalFormatting>
  <conditionalFormatting sqref="C378:C381">
    <cfRule type="expression" dxfId="177" priority="8">
      <formula>ISBLANK(D378)</formula>
    </cfRule>
  </conditionalFormatting>
  <conditionalFormatting sqref="C390">
    <cfRule type="expression" dxfId="176" priority="7">
      <formula>ISBLANK(D390)</formula>
    </cfRule>
  </conditionalFormatting>
  <conditionalFormatting sqref="C392:C395">
    <cfRule type="expression" dxfId="175" priority="6">
      <formula>ISBLANK(D392)</formula>
    </cfRule>
  </conditionalFormatting>
  <conditionalFormatting sqref="C410:C413">
    <cfRule type="expression" dxfId="174" priority="5">
      <formula>ISBLANK(D410)</formula>
    </cfRule>
  </conditionalFormatting>
  <conditionalFormatting sqref="C425">
    <cfRule type="expression" dxfId="173" priority="4">
      <formula>ISBLANK(D425)</formula>
    </cfRule>
  </conditionalFormatting>
  <conditionalFormatting sqref="C428:C431">
    <cfRule type="expression" dxfId="172" priority="3">
      <formula>ISBLANK(D428)</formula>
    </cfRule>
  </conditionalFormatting>
  <conditionalFormatting sqref="C442">
    <cfRule type="expression" dxfId="171" priority="2">
      <formula>ISBLANK(D442)</formula>
    </cfRule>
  </conditionalFormatting>
  <conditionalFormatting sqref="C443:C446">
    <cfRule type="expression" dxfId="170" priority="1">
      <formula>ISBLANK(D443)</formula>
    </cfRule>
  </conditionalFormatting>
  <dataValidations count="1">
    <dataValidation type="list" allowBlank="1" showInputMessage="1" sqref="C1115:C1048576" xr:uid="{00000000-0002-0000-0000-000000000000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1000000}">
          <x14:formula1>
            <xm:f>Catalog!$B$3:$B$227</xm:f>
          </x14:formula1>
          <xm:sqref>C2 C428:C430 C410:C412 C392:C394 C378:C380 C315:C317 C282:C284 C266:C269 C251:C253 C249 C224:C227 C169:C172 C4 C99:C106 C76:C77 C71:C74 C67:C69 C61 C57:C58 C51 C43 C39 C33:C35 C22 C130:C133 C6:C7 C80:C81 C13 C117:C120 C9:C10 C85:C87 C95:C97 C143:C146 C148 C157:C160 C186:C189 C197:C200 C205:C208 C216:C219 C238:C241 C296:C298 C331:C333 C338:C340 C345 C354 C356:C358 C443:C445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4"/>
  <sheetViews>
    <sheetView showGridLines="0" topLeftCell="A276" workbookViewId="0">
      <selection activeCell="C60" sqref="C60"/>
    </sheetView>
  </sheetViews>
  <sheetFormatPr defaultColWidth="8.85546875" defaultRowHeight="15.95"/>
  <cols>
    <col min="1" max="1" width="1.140625" style="61" customWidth="1"/>
    <col min="2" max="2" width="22.42578125" style="61" bestFit="1" customWidth="1"/>
    <col min="3" max="3" width="8.85546875" style="67"/>
    <col min="4" max="4" width="9.5703125" style="84" customWidth="1"/>
    <col min="5" max="5" width="8.85546875" style="67"/>
    <col min="6" max="6" width="8.85546875" style="69"/>
    <col min="7" max="9" width="8.85546875" style="67"/>
    <col min="10" max="10" width="51.85546875" style="61" customWidth="1"/>
    <col min="11" max="16384" width="8.85546875" style="61"/>
  </cols>
  <sheetData>
    <row r="1" spans="2:10" ht="6" customHeight="1">
      <c r="B1" s="73"/>
      <c r="C1" s="74"/>
      <c r="D1" s="110"/>
      <c r="E1" s="74"/>
      <c r="F1" s="111"/>
      <c r="G1" s="74"/>
      <c r="H1" s="74"/>
      <c r="I1" s="74"/>
      <c r="J1" s="73"/>
    </row>
    <row r="2" spans="2:10" s="66" customFormat="1" ht="25.15" customHeight="1">
      <c r="B2" s="75" t="s">
        <v>111</v>
      </c>
      <c r="C2" s="76" t="s">
        <v>3</v>
      </c>
      <c r="D2" s="65" t="s">
        <v>112</v>
      </c>
      <c r="E2" s="76" t="s">
        <v>5</v>
      </c>
      <c r="F2" s="79" t="s">
        <v>6</v>
      </c>
      <c r="G2" s="76" t="s">
        <v>8</v>
      </c>
      <c r="H2" s="76" t="s">
        <v>9</v>
      </c>
      <c r="I2" s="76" t="s">
        <v>113</v>
      </c>
      <c r="J2" s="75" t="s">
        <v>114</v>
      </c>
    </row>
    <row r="3" spans="2:10" s="66" customFormat="1" ht="25.15" customHeight="1">
      <c r="B3" s="78" t="s">
        <v>115</v>
      </c>
      <c r="C3" s="76" t="s">
        <v>116</v>
      </c>
      <c r="D3" s="65">
        <f>60*4</f>
        <v>240</v>
      </c>
      <c r="E3" s="79">
        <f>4*4</f>
        <v>16</v>
      </c>
      <c r="F3" s="79">
        <f>1*4</f>
        <v>4</v>
      </c>
      <c r="G3" s="79">
        <f>430*4</f>
        <v>1720</v>
      </c>
      <c r="H3" s="79">
        <f>1*4</f>
        <v>4</v>
      </c>
      <c r="I3" s="79">
        <f>25*4</f>
        <v>100</v>
      </c>
      <c r="J3" s="80"/>
    </row>
    <row r="4" spans="2:10" s="66" customFormat="1" ht="25.15" customHeight="1">
      <c r="B4" s="78" t="s">
        <v>75</v>
      </c>
      <c r="C4" s="76" t="s">
        <v>116</v>
      </c>
      <c r="D4" s="85">
        <v>827</v>
      </c>
      <c r="E4" s="79">
        <v>28.23</v>
      </c>
      <c r="F4" s="79">
        <v>16.899999999999999</v>
      </c>
      <c r="G4" s="79">
        <v>1</v>
      </c>
      <c r="H4" s="79">
        <v>30.4</v>
      </c>
      <c r="I4" s="79">
        <v>0</v>
      </c>
      <c r="J4" s="81" t="s">
        <v>117</v>
      </c>
    </row>
    <row r="5" spans="2:10" s="66" customFormat="1" ht="25.15" customHeight="1">
      <c r="B5" s="78" t="s">
        <v>118</v>
      </c>
      <c r="C5" s="76" t="s">
        <v>119</v>
      </c>
      <c r="D5" s="85">
        <v>5.78</v>
      </c>
      <c r="E5" s="79">
        <v>0.19739999999999999</v>
      </c>
      <c r="F5" s="79">
        <v>0.11799999999999999</v>
      </c>
      <c r="G5" s="79">
        <f>1/100</f>
        <v>0.01</v>
      </c>
      <c r="H5" s="79">
        <v>0.21260000000000001</v>
      </c>
      <c r="I5" s="79">
        <v>0</v>
      </c>
      <c r="J5" s="81" t="s">
        <v>120</v>
      </c>
    </row>
    <row r="6" spans="2:10" s="66" customFormat="1" ht="25.15" customHeight="1">
      <c r="B6" s="78" t="s">
        <v>121</v>
      </c>
      <c r="C6" s="76" t="s">
        <v>119</v>
      </c>
      <c r="D6" s="85">
        <v>0.67</v>
      </c>
      <c r="E6" s="79">
        <f>10.87/100</f>
        <v>0.10869999999999999</v>
      </c>
      <c r="F6" s="79">
        <f>5.2/100</f>
        <v>5.2000000000000005E-2</v>
      </c>
      <c r="G6" s="79">
        <v>3.24</v>
      </c>
      <c r="H6" s="79">
        <f>3.37/100</f>
        <v>3.3700000000000001E-2</v>
      </c>
      <c r="I6" s="79">
        <v>0</v>
      </c>
      <c r="J6" s="81" t="s">
        <v>122</v>
      </c>
    </row>
    <row r="7" spans="2:10" s="66" customFormat="1" ht="25.15" customHeight="1">
      <c r="B7" s="78" t="s">
        <v>123</v>
      </c>
      <c r="C7" s="76" t="s">
        <v>116</v>
      </c>
      <c r="D7" s="85">
        <v>5</v>
      </c>
      <c r="E7" s="79">
        <v>0.7</v>
      </c>
      <c r="F7" s="79">
        <v>0.3</v>
      </c>
      <c r="G7" s="79">
        <v>5.4</v>
      </c>
      <c r="H7" s="79">
        <v>0.5</v>
      </c>
      <c r="I7" s="79">
        <v>0</v>
      </c>
      <c r="J7" s="80"/>
    </row>
    <row r="8" spans="2:10" s="66" customFormat="1" ht="25.15" customHeight="1">
      <c r="B8" s="78" t="s">
        <v>16</v>
      </c>
      <c r="C8" s="76" t="s">
        <v>119</v>
      </c>
      <c r="D8" s="85">
        <f>25/100</f>
        <v>0.25</v>
      </c>
      <c r="E8" s="79">
        <f>4/100</f>
        <v>0.04</v>
      </c>
      <c r="F8" s="79">
        <f>2/100</f>
        <v>0.02</v>
      </c>
      <c r="G8" s="79">
        <f>27/100</f>
        <v>0.27</v>
      </c>
      <c r="H8" s="79">
        <f>3/100</f>
        <v>0.03</v>
      </c>
      <c r="I8" s="79">
        <v>0</v>
      </c>
      <c r="J8" s="80"/>
    </row>
    <row r="9" spans="2:10" s="66" customFormat="1" ht="25.15" customHeight="1">
      <c r="B9" s="78" t="s">
        <v>36</v>
      </c>
      <c r="C9" s="76" t="s">
        <v>124</v>
      </c>
      <c r="D9" s="85">
        <v>240</v>
      </c>
      <c r="E9" s="79">
        <v>13</v>
      </c>
      <c r="F9" s="79">
        <v>10</v>
      </c>
      <c r="G9" s="79">
        <v>11</v>
      </c>
      <c r="H9" s="79">
        <v>3</v>
      </c>
      <c r="I9" s="79">
        <v>0</v>
      </c>
      <c r="J9" s="80"/>
    </row>
    <row r="10" spans="2:10" s="66" customFormat="1" ht="25.15" customHeight="1">
      <c r="B10" s="78" t="s">
        <v>125</v>
      </c>
      <c r="C10" s="76" t="s">
        <v>119</v>
      </c>
      <c r="D10" s="85">
        <f>322/201</f>
        <v>1.6019900497512438</v>
      </c>
      <c r="E10" s="79">
        <f>17/201</f>
        <v>8.45771144278607E-2</v>
      </c>
      <c r="F10" s="79">
        <f>10/201</f>
        <v>4.975124378109453E-2</v>
      </c>
      <c r="G10" s="79">
        <f>14/201</f>
        <v>6.965174129353234E-2</v>
      </c>
      <c r="H10" s="79">
        <f>4/201</f>
        <v>1.9900497512437811E-2</v>
      </c>
      <c r="I10" s="79">
        <v>0</v>
      </c>
      <c r="J10" s="80"/>
    </row>
    <row r="11" spans="2:10" s="66" customFormat="1" ht="25.15" customHeight="1">
      <c r="B11" s="78" t="s">
        <v>126</v>
      </c>
      <c r="C11" s="76" t="s">
        <v>127</v>
      </c>
      <c r="D11" s="79">
        <v>27</v>
      </c>
      <c r="E11" s="79">
        <v>7.0000000000000007E-2</v>
      </c>
      <c r="F11" s="79">
        <v>0</v>
      </c>
      <c r="G11" s="79">
        <v>116</v>
      </c>
      <c r="H11" s="79">
        <v>1.85</v>
      </c>
      <c r="I11" s="79">
        <v>6</v>
      </c>
      <c r="J11" s="81" t="s">
        <v>128</v>
      </c>
    </row>
    <row r="12" spans="2:10" s="66" customFormat="1" ht="25.15" customHeight="1">
      <c r="B12" s="78" t="s">
        <v>129</v>
      </c>
      <c r="C12" s="76" t="s">
        <v>124</v>
      </c>
      <c r="D12" s="79">
        <v>650</v>
      </c>
      <c r="E12" s="79">
        <v>37</v>
      </c>
      <c r="F12" s="79">
        <v>2</v>
      </c>
      <c r="G12" s="79">
        <v>1260</v>
      </c>
      <c r="H12" s="79">
        <v>35</v>
      </c>
      <c r="I12" s="79">
        <v>85</v>
      </c>
      <c r="J12" s="80"/>
    </row>
    <row r="13" spans="2:10" s="66" customFormat="1" ht="25.15" customHeight="1">
      <c r="B13" s="78" t="s">
        <v>130</v>
      </c>
      <c r="C13" s="76" t="s">
        <v>124</v>
      </c>
      <c r="D13" s="79">
        <v>200</v>
      </c>
      <c r="E13" s="79">
        <v>40</v>
      </c>
      <c r="F13" s="79">
        <v>1</v>
      </c>
      <c r="G13" s="79">
        <v>270</v>
      </c>
      <c r="H13" s="79">
        <v>7</v>
      </c>
      <c r="I13" s="79">
        <v>0</v>
      </c>
      <c r="J13" s="80"/>
    </row>
    <row r="14" spans="2:10" s="66" customFormat="1" ht="25.15" customHeight="1">
      <c r="B14" s="78" t="s">
        <v>131</v>
      </c>
      <c r="C14" s="76" t="s">
        <v>119</v>
      </c>
      <c r="D14" s="79">
        <v>2.74</v>
      </c>
      <c r="E14" s="79">
        <v>0.51900000000000002</v>
      </c>
      <c r="F14" s="79">
        <v>0.03</v>
      </c>
      <c r="G14" s="79">
        <v>6.09</v>
      </c>
      <c r="H14" s="79">
        <f>8.8/100</f>
        <v>8.8000000000000009E-2</v>
      </c>
      <c r="I14" s="79">
        <v>0</v>
      </c>
      <c r="J14" s="81" t="s">
        <v>132</v>
      </c>
    </row>
    <row r="15" spans="2:10" s="66" customFormat="1" ht="25.15" customHeight="1">
      <c r="B15" s="78" t="s">
        <v>133</v>
      </c>
      <c r="C15" s="76" t="s">
        <v>124</v>
      </c>
      <c r="D15" s="79">
        <v>107</v>
      </c>
      <c r="E15" s="79">
        <v>27</v>
      </c>
      <c r="F15" s="79">
        <v>3.1</v>
      </c>
      <c r="G15" s="79">
        <f>0.01*100</f>
        <v>1</v>
      </c>
      <c r="H15" s="79">
        <v>1</v>
      </c>
      <c r="I15" s="79">
        <v>0</v>
      </c>
      <c r="J15" s="80"/>
    </row>
    <row r="16" spans="2:10" s="66" customFormat="1" ht="25.15" customHeight="1">
      <c r="B16" s="78" t="s">
        <v>134</v>
      </c>
      <c r="C16" s="76" t="s">
        <v>119</v>
      </c>
      <c r="D16" s="79">
        <f>105/118</f>
        <v>0.88983050847457623</v>
      </c>
      <c r="E16" s="79">
        <f>27/118</f>
        <v>0.2288135593220339</v>
      </c>
      <c r="F16" s="79">
        <f>3.1/118</f>
        <v>2.6271186440677968E-2</v>
      </c>
      <c r="G16" s="79">
        <f>1/118</f>
        <v>8.4745762711864406E-3</v>
      </c>
      <c r="H16" s="79">
        <f>1.3/118</f>
        <v>1.1016949152542373E-2</v>
      </c>
      <c r="I16" s="79">
        <v>0</v>
      </c>
      <c r="J16" s="80"/>
    </row>
    <row r="17" spans="1:10" s="66" customFormat="1" ht="25.15" customHeight="1">
      <c r="A17" s="75"/>
      <c r="B17" s="78" t="s">
        <v>135</v>
      </c>
      <c r="C17" s="76" t="s">
        <v>119</v>
      </c>
      <c r="D17" s="79">
        <f>123/100</f>
        <v>1.23</v>
      </c>
      <c r="E17" s="79">
        <f>28.22/100</f>
        <v>0.28220000000000001</v>
      </c>
      <c r="F17" s="79">
        <f>3.8/100</f>
        <v>3.7999999999999999E-2</v>
      </c>
      <c r="G17" s="79">
        <f>3/100</f>
        <v>0.03</v>
      </c>
      <c r="H17" s="79">
        <f>2.26/100</f>
        <v>2.2599999999999999E-2</v>
      </c>
      <c r="I17" s="79">
        <v>0</v>
      </c>
      <c r="J17" s="81" t="s">
        <v>136</v>
      </c>
    </row>
    <row r="18" spans="1:10" s="66" customFormat="1" ht="25.15" customHeight="1">
      <c r="A18" s="75"/>
      <c r="B18" s="78" t="s">
        <v>81</v>
      </c>
      <c r="C18" s="76" t="s">
        <v>116</v>
      </c>
      <c r="D18" s="79">
        <v>5.5</v>
      </c>
      <c r="E18" s="79">
        <v>0.6</v>
      </c>
      <c r="F18" s="79">
        <v>0.4</v>
      </c>
      <c r="G18" s="79">
        <v>1</v>
      </c>
      <c r="H18" s="79">
        <v>0.8</v>
      </c>
      <c r="I18" s="79">
        <v>1</v>
      </c>
      <c r="J18" s="81" t="s">
        <v>137</v>
      </c>
    </row>
    <row r="19" spans="1:10" s="66" customFormat="1" ht="25.15" customHeight="1">
      <c r="A19" s="75"/>
      <c r="B19" s="64" t="s">
        <v>138</v>
      </c>
      <c r="C19" s="76" t="s">
        <v>124</v>
      </c>
      <c r="D19" s="79">
        <v>-2</v>
      </c>
      <c r="E19" s="79"/>
      <c r="F19" s="79"/>
      <c r="G19" s="79"/>
      <c r="H19" s="79"/>
      <c r="I19" s="79"/>
      <c r="J19" s="80"/>
    </row>
    <row r="20" spans="1:10" s="66" customFormat="1" ht="25.15" customHeight="1">
      <c r="A20" s="75"/>
      <c r="B20" s="64" t="s">
        <v>139</v>
      </c>
      <c r="C20" s="76" t="s">
        <v>140</v>
      </c>
      <c r="D20" s="79">
        <v>477.59999999999997</v>
      </c>
      <c r="E20" s="79">
        <v>89.152000000000001</v>
      </c>
      <c r="F20" s="79">
        <v>19.103999999999999</v>
      </c>
      <c r="G20" s="79">
        <v>1337.28</v>
      </c>
      <c r="H20" s="79">
        <v>25.472000000000001</v>
      </c>
      <c r="I20" s="79">
        <v>0</v>
      </c>
      <c r="J20" s="80"/>
    </row>
    <row r="21" spans="1:10" s="66" customFormat="1" ht="25.15" customHeight="1">
      <c r="A21" s="75"/>
      <c r="B21" s="78" t="s">
        <v>141</v>
      </c>
      <c r="C21" s="76" t="s">
        <v>119</v>
      </c>
      <c r="D21" s="79">
        <f>245/172</f>
        <v>1.4244186046511629</v>
      </c>
      <c r="E21" s="79">
        <f>45/172</f>
        <v>0.26162790697674421</v>
      </c>
      <c r="F21" s="79">
        <f>15/172</f>
        <v>8.7209302325581398E-2</v>
      </c>
      <c r="G21" s="79">
        <f>2/172</f>
        <v>1.1627906976744186E-2</v>
      </c>
      <c r="H21" s="79">
        <f>15/172</f>
        <v>8.7209302325581398E-2</v>
      </c>
      <c r="I21" s="79">
        <v>0</v>
      </c>
      <c r="J21" s="80"/>
    </row>
    <row r="22" spans="1:10" s="66" customFormat="1" ht="25.15" customHeight="1">
      <c r="A22" s="75"/>
      <c r="B22" s="78" t="s">
        <v>28</v>
      </c>
      <c r="C22" s="76" t="s">
        <v>119</v>
      </c>
      <c r="D22" s="79">
        <f>80/30</f>
        <v>2.6666666666666665</v>
      </c>
      <c r="E22" s="79">
        <v>0</v>
      </c>
      <c r="F22" s="79">
        <v>0</v>
      </c>
      <c r="G22" s="79">
        <f>570/30</f>
        <v>19</v>
      </c>
      <c r="H22" s="79">
        <f>16/30</f>
        <v>0.53333333333333333</v>
      </c>
      <c r="I22" s="79">
        <f>40/30</f>
        <v>1.3333333333333333</v>
      </c>
      <c r="J22" s="80" t="s">
        <v>142</v>
      </c>
    </row>
    <row r="23" spans="1:10" s="66" customFormat="1" ht="25.15" customHeight="1">
      <c r="A23" s="75"/>
      <c r="B23" s="64" t="s">
        <v>143</v>
      </c>
      <c r="C23" s="76" t="s">
        <v>119</v>
      </c>
      <c r="D23" s="79">
        <f>220/100</f>
        <v>2.2000000000000002</v>
      </c>
      <c r="E23" s="79">
        <v>0</v>
      </c>
      <c r="F23" s="79">
        <v>0</v>
      </c>
      <c r="G23" s="79">
        <f>60/100</f>
        <v>0.6</v>
      </c>
      <c r="H23" s="79">
        <f>19/100</f>
        <v>0.19</v>
      </c>
      <c r="I23" s="79">
        <f>65/100</f>
        <v>0.65</v>
      </c>
      <c r="J23" s="80"/>
    </row>
    <row r="24" spans="1:10" s="66" customFormat="1" ht="25.15" customHeight="1">
      <c r="A24" s="75"/>
      <c r="B24" s="64" t="s">
        <v>144</v>
      </c>
      <c r="C24" s="76" t="s">
        <v>119</v>
      </c>
      <c r="D24" s="79">
        <f>263/85</f>
        <v>3.0941176470588236</v>
      </c>
      <c r="E24" s="79">
        <v>0</v>
      </c>
      <c r="F24" s="79">
        <v>0</v>
      </c>
      <c r="G24" s="79">
        <f>41.6/88</f>
        <v>0.47272727272727272</v>
      </c>
      <c r="H24" s="79">
        <f>25.7/85</f>
        <v>0.3023529411764706</v>
      </c>
      <c r="I24" s="79">
        <f>69.7/85</f>
        <v>0.82000000000000006</v>
      </c>
      <c r="J24" s="80"/>
    </row>
    <row r="25" spans="1:10" s="66" customFormat="1" ht="25.15" customHeight="1">
      <c r="A25" s="75"/>
      <c r="B25" s="64" t="s">
        <v>145</v>
      </c>
      <c r="C25" s="76" t="s">
        <v>146</v>
      </c>
      <c r="D25" s="79">
        <f>15/2*3</f>
        <v>22.5</v>
      </c>
      <c r="E25" s="79">
        <f>4/2*3</f>
        <v>6</v>
      </c>
      <c r="F25" s="79">
        <f>3/2*3</f>
        <v>4.5</v>
      </c>
      <c r="G25" s="79">
        <v>0</v>
      </c>
      <c r="H25" s="79">
        <v>0</v>
      </c>
      <c r="I25" s="79">
        <v>0</v>
      </c>
      <c r="J25" s="80"/>
    </row>
    <row r="26" spans="1:10" s="66" customFormat="1" ht="25.15" customHeight="1">
      <c r="A26" s="75"/>
      <c r="B26" s="78" t="s">
        <v>96</v>
      </c>
      <c r="C26" s="76" t="s">
        <v>119</v>
      </c>
      <c r="D26" s="79">
        <f>5/3.2</f>
        <v>1.5625</v>
      </c>
      <c r="E26" s="79">
        <f>3/3.2</f>
        <v>0.9375</v>
      </c>
      <c r="F26" s="79">
        <f>3/3.2</f>
        <v>0.9375</v>
      </c>
      <c r="G26" s="79">
        <v>0</v>
      </c>
      <c r="H26" s="79">
        <v>0</v>
      </c>
      <c r="I26" s="79">
        <v>0</v>
      </c>
      <c r="J26" s="80"/>
    </row>
    <row r="27" spans="1:10" s="66" customFormat="1" ht="25.15" customHeight="1">
      <c r="A27" s="75"/>
      <c r="B27" s="64" t="s">
        <v>147</v>
      </c>
      <c r="C27" s="76" t="s">
        <v>124</v>
      </c>
      <c r="D27" s="79">
        <v>-2</v>
      </c>
      <c r="E27" s="79"/>
      <c r="F27" s="79"/>
      <c r="G27" s="79"/>
      <c r="H27" s="79"/>
      <c r="I27" s="79"/>
      <c r="J27" s="80"/>
    </row>
    <row r="28" spans="1:10" s="66" customFormat="1" ht="25.15" customHeight="1">
      <c r="A28" s="75"/>
      <c r="B28" s="64" t="s">
        <v>148</v>
      </c>
      <c r="C28" s="76" t="s">
        <v>124</v>
      </c>
      <c r="D28" s="79">
        <v>570</v>
      </c>
      <c r="E28" s="79">
        <v>46</v>
      </c>
      <c r="F28" s="79">
        <v>3</v>
      </c>
      <c r="G28" s="79">
        <v>920</v>
      </c>
      <c r="H28" s="79">
        <v>24</v>
      </c>
      <c r="I28" s="79">
        <v>70</v>
      </c>
      <c r="J28" s="80" t="s">
        <v>149</v>
      </c>
    </row>
    <row r="29" spans="1:10" s="66" customFormat="1" ht="25.15" customHeight="1">
      <c r="A29" s="75"/>
      <c r="B29" s="64" t="s">
        <v>38</v>
      </c>
      <c r="C29" s="76" t="s">
        <v>127</v>
      </c>
      <c r="D29" s="79">
        <v>90</v>
      </c>
      <c r="E29" s="79">
        <v>37</v>
      </c>
      <c r="F29" s="79">
        <v>0</v>
      </c>
      <c r="G29" s="79">
        <v>300</v>
      </c>
      <c r="H29" s="79">
        <v>7</v>
      </c>
      <c r="I29" s="79">
        <v>0</v>
      </c>
      <c r="J29" s="80"/>
    </row>
    <row r="30" spans="1:10" s="66" customFormat="1" ht="25.15" customHeight="1">
      <c r="A30" s="75"/>
      <c r="B30" s="64" t="s">
        <v>150</v>
      </c>
      <c r="C30" s="76" t="s">
        <v>127</v>
      </c>
      <c r="D30" s="79">
        <v>100</v>
      </c>
      <c r="E30" s="79">
        <v>13.83</v>
      </c>
      <c r="F30" s="79">
        <v>2</v>
      </c>
      <c r="G30" s="79">
        <v>158</v>
      </c>
      <c r="H30" s="79">
        <v>2.91</v>
      </c>
      <c r="I30" s="79">
        <v>0</v>
      </c>
      <c r="J30" s="80"/>
    </row>
    <row r="31" spans="1:10" s="66" customFormat="1" ht="25.15" customHeight="1">
      <c r="A31" s="75"/>
      <c r="B31" s="64" t="s">
        <v>48</v>
      </c>
      <c r="C31" s="76" t="s">
        <v>116</v>
      </c>
      <c r="D31" s="79">
        <v>31</v>
      </c>
      <c r="E31" s="79">
        <v>6.04</v>
      </c>
      <c r="F31" s="79">
        <v>2.4</v>
      </c>
      <c r="G31" s="79">
        <v>30</v>
      </c>
      <c r="H31" s="79">
        <v>2.57</v>
      </c>
      <c r="I31" s="79">
        <v>0</v>
      </c>
      <c r="J31" s="81" t="s">
        <v>151</v>
      </c>
    </row>
    <row r="32" spans="1:10" s="66" customFormat="1" ht="25.15" customHeight="1">
      <c r="A32" s="75"/>
      <c r="B32" s="64" t="s">
        <v>152</v>
      </c>
      <c r="C32" s="76" t="s">
        <v>124</v>
      </c>
      <c r="D32" s="79">
        <v>-1</v>
      </c>
      <c r="E32" s="79"/>
      <c r="F32" s="79"/>
      <c r="G32" s="79"/>
      <c r="H32" s="79"/>
      <c r="I32" s="79"/>
      <c r="J32" s="80"/>
    </row>
    <row r="33" spans="1:10" s="66" customFormat="1" ht="25.15" customHeight="1">
      <c r="A33" s="75"/>
      <c r="B33" s="64" t="s">
        <v>153</v>
      </c>
      <c r="C33" s="76" t="s">
        <v>124</v>
      </c>
      <c r="D33" s="79">
        <v>-1</v>
      </c>
      <c r="E33" s="79"/>
      <c r="F33" s="79"/>
      <c r="G33" s="79"/>
      <c r="H33" s="79"/>
      <c r="I33" s="79"/>
      <c r="J33" s="80"/>
    </row>
    <row r="34" spans="1:10" s="66" customFormat="1" ht="25.15" customHeight="1">
      <c r="A34" s="75"/>
      <c r="B34" s="78" t="s">
        <v>25</v>
      </c>
      <c r="C34" s="76" t="s">
        <v>146</v>
      </c>
      <c r="D34" s="79">
        <v>102</v>
      </c>
      <c r="E34" s="79">
        <v>0</v>
      </c>
      <c r="F34" s="79">
        <v>0</v>
      </c>
      <c r="G34" s="79">
        <v>90</v>
      </c>
      <c r="H34" s="79">
        <v>0.12</v>
      </c>
      <c r="I34" s="79">
        <v>31</v>
      </c>
      <c r="J34" s="80"/>
    </row>
    <row r="35" spans="1:10" s="66" customFormat="1" ht="25.15" customHeight="1">
      <c r="A35" s="75"/>
      <c r="B35" s="78" t="s">
        <v>154</v>
      </c>
      <c r="C35" s="76" t="s">
        <v>119</v>
      </c>
      <c r="D35" s="79">
        <f>70/10</f>
        <v>7</v>
      </c>
      <c r="E35" s="79">
        <v>0</v>
      </c>
      <c r="F35" s="79">
        <v>0</v>
      </c>
      <c r="G35" s="79">
        <f>60/10</f>
        <v>6</v>
      </c>
      <c r="H35" s="79">
        <f>0.1/10</f>
        <v>0.01</v>
      </c>
      <c r="I35" s="79">
        <f>20/10</f>
        <v>2</v>
      </c>
      <c r="J35" s="80" t="s">
        <v>142</v>
      </c>
    </row>
    <row r="36" spans="1:10" s="66" customFormat="1" ht="25.15" customHeight="1">
      <c r="A36" s="75"/>
      <c r="B36" s="78" t="s">
        <v>155</v>
      </c>
      <c r="C36" s="76" t="s">
        <v>116</v>
      </c>
      <c r="D36" s="79">
        <v>34</v>
      </c>
      <c r="E36" s="79">
        <v>8.1999999999999993</v>
      </c>
      <c r="F36" s="79">
        <v>2.8</v>
      </c>
      <c r="G36" s="79">
        <v>12</v>
      </c>
      <c r="H36" s="79">
        <v>1.9</v>
      </c>
      <c r="I36" s="79">
        <v>0</v>
      </c>
      <c r="J36" s="81" t="s">
        <v>156</v>
      </c>
    </row>
    <row r="37" spans="1:10" s="66" customFormat="1" ht="25.15" customHeight="1">
      <c r="A37" s="75"/>
      <c r="B37" s="78" t="s">
        <v>157</v>
      </c>
      <c r="C37" s="76" t="s">
        <v>119</v>
      </c>
      <c r="D37" s="79">
        <f>34/150</f>
        <v>0.22666666666666666</v>
      </c>
      <c r="E37" s="79">
        <f>8.2/150</f>
        <v>5.4666666666666662E-2</v>
      </c>
      <c r="F37" s="79">
        <f>2.8/150</f>
        <v>1.8666666666666665E-2</v>
      </c>
      <c r="G37" s="79">
        <f>12/150</f>
        <v>0.08</v>
      </c>
      <c r="H37" s="79">
        <f>1.9/150</f>
        <v>1.2666666666666666E-2</v>
      </c>
      <c r="I37" s="79">
        <v>0</v>
      </c>
      <c r="J37" s="81" t="s">
        <v>156</v>
      </c>
    </row>
    <row r="38" spans="1:10" s="66" customFormat="1" ht="25.15" customHeight="1">
      <c r="A38" s="75"/>
      <c r="B38" s="78" t="s">
        <v>158</v>
      </c>
      <c r="C38" s="76" t="s">
        <v>124</v>
      </c>
      <c r="D38" s="79">
        <v>13</v>
      </c>
      <c r="E38" s="79">
        <v>2.4</v>
      </c>
      <c r="F38" s="79">
        <v>1</v>
      </c>
      <c r="G38" s="79">
        <v>12</v>
      </c>
      <c r="H38" s="79">
        <v>1.2</v>
      </c>
      <c r="I38" s="79">
        <v>0</v>
      </c>
      <c r="J38" s="81" t="s">
        <v>159</v>
      </c>
    </row>
    <row r="39" spans="1:10" s="66" customFormat="1" ht="25.15" customHeight="1">
      <c r="A39" s="75"/>
      <c r="B39" s="78" t="s">
        <v>160</v>
      </c>
      <c r="C39" s="76" t="s">
        <v>119</v>
      </c>
      <c r="D39" s="79">
        <f>13/109</f>
        <v>0.11926605504587157</v>
      </c>
      <c r="E39" s="79">
        <f>2.4/109</f>
        <v>2.2018348623853209E-2</v>
      </c>
      <c r="F39" s="79">
        <f>1/100</f>
        <v>0.01</v>
      </c>
      <c r="G39" s="79">
        <f>12/109</f>
        <v>0.11009174311926606</v>
      </c>
      <c r="H39" s="79">
        <f>1.2/109</f>
        <v>1.1009174311926604E-2</v>
      </c>
      <c r="I39" s="79">
        <v>0</v>
      </c>
      <c r="J39" s="81" t="s">
        <v>159</v>
      </c>
    </row>
    <row r="40" spans="1:10" s="66" customFormat="1" ht="25.15" customHeight="1">
      <c r="A40" s="75"/>
      <c r="B40" s="64" t="s">
        <v>161</v>
      </c>
      <c r="C40" s="76" t="s">
        <v>162</v>
      </c>
      <c r="D40" s="79">
        <v>0</v>
      </c>
      <c r="E40" s="79">
        <v>0</v>
      </c>
      <c r="F40" s="79">
        <v>0</v>
      </c>
      <c r="G40" s="79">
        <v>0</v>
      </c>
      <c r="H40" s="79">
        <v>0</v>
      </c>
      <c r="I40" s="79">
        <v>0</v>
      </c>
      <c r="J40" s="80"/>
    </row>
    <row r="41" spans="1:10" s="66" customFormat="1" ht="25.15" customHeight="1">
      <c r="A41" s="75"/>
      <c r="B41" s="78" t="s">
        <v>32</v>
      </c>
      <c r="C41" s="76" t="s">
        <v>146</v>
      </c>
      <c r="D41" s="79">
        <v>2</v>
      </c>
      <c r="E41" s="79">
        <v>0.4</v>
      </c>
      <c r="F41" s="79">
        <v>0.3</v>
      </c>
      <c r="G41" s="79">
        <v>255</v>
      </c>
      <c r="H41" s="79">
        <v>0.2</v>
      </c>
      <c r="I41" s="79">
        <v>0</v>
      </c>
      <c r="J41" s="81" t="s">
        <v>163</v>
      </c>
    </row>
    <row r="42" spans="1:10" s="66" customFormat="1" ht="25.15" customHeight="1">
      <c r="A42" s="75"/>
      <c r="B42" s="78" t="s">
        <v>164</v>
      </c>
      <c r="C42" s="76" t="s">
        <v>119</v>
      </c>
      <c r="D42" s="79">
        <f>7/2.1</f>
        <v>3.333333333333333</v>
      </c>
      <c r="E42" s="79">
        <f>1/2.1</f>
        <v>0.47619047619047616</v>
      </c>
      <c r="F42" s="79">
        <f>0.8/2.1</f>
        <v>0.38095238095238093</v>
      </c>
      <c r="G42" s="79">
        <f>0.4/2.1</f>
        <v>0.19047619047619047</v>
      </c>
      <c r="H42" s="79">
        <f>0.4/2.1</f>
        <v>0.19047619047619047</v>
      </c>
      <c r="I42" s="79">
        <v>0</v>
      </c>
      <c r="J42" s="81" t="s">
        <v>165</v>
      </c>
    </row>
    <row r="43" spans="1:10" s="66" customFormat="1" ht="25.15" customHeight="1">
      <c r="A43" s="75"/>
      <c r="B43" s="64" t="s">
        <v>166</v>
      </c>
      <c r="C43" s="76" t="s">
        <v>116</v>
      </c>
      <c r="D43" s="79">
        <v>52</v>
      </c>
      <c r="E43" s="79">
        <v>12.26</v>
      </c>
      <c r="F43" s="79">
        <v>3.6</v>
      </c>
      <c r="G43" s="79">
        <v>88</v>
      </c>
      <c r="H43" s="79">
        <v>1.19</v>
      </c>
      <c r="I43" s="79">
        <v>0</v>
      </c>
      <c r="J43" s="80"/>
    </row>
    <row r="44" spans="1:10" s="66" customFormat="1" ht="25.15" customHeight="1">
      <c r="A44" s="75"/>
      <c r="B44" s="64" t="s">
        <v>167</v>
      </c>
      <c r="C44" s="76" t="s">
        <v>119</v>
      </c>
      <c r="D44" s="79">
        <f>157/28</f>
        <v>5.6071428571428568</v>
      </c>
      <c r="E44" s="79">
        <f>8.6/28</f>
        <v>0.30714285714285711</v>
      </c>
      <c r="F44" s="79">
        <f>0.9/28</f>
        <v>3.2142857142857147E-2</v>
      </c>
      <c r="G44" s="79">
        <f>3.4/28*3</f>
        <v>0.36428571428571427</v>
      </c>
      <c r="H44" s="79">
        <f>5.2/28</f>
        <v>0.18571428571428572</v>
      </c>
      <c r="I44" s="79">
        <v>0</v>
      </c>
      <c r="J44" s="80"/>
    </row>
    <row r="45" spans="1:10" s="66" customFormat="1" ht="25.15" customHeight="1">
      <c r="A45" s="75"/>
      <c r="B45" s="78" t="s">
        <v>26</v>
      </c>
      <c r="C45" s="76" t="s">
        <v>119</v>
      </c>
      <c r="D45" s="79">
        <f>320/50</f>
        <v>6.4</v>
      </c>
      <c r="E45" s="79">
        <f>14/50</f>
        <v>0.28000000000000003</v>
      </c>
      <c r="F45" s="79">
        <f>3/50</f>
        <v>0.06</v>
      </c>
      <c r="G45" s="79">
        <f>70/50</f>
        <v>1.4</v>
      </c>
      <c r="H45" s="79">
        <f>9/50</f>
        <v>0.18</v>
      </c>
      <c r="I45" s="79">
        <v>0</v>
      </c>
      <c r="J45" s="80"/>
    </row>
    <row r="46" spans="1:10" s="66" customFormat="1" ht="25.15" customHeight="1">
      <c r="A46" s="75"/>
      <c r="B46" s="64" t="s">
        <v>21</v>
      </c>
      <c r="C46" s="76" t="s">
        <v>116</v>
      </c>
      <c r="D46" s="79">
        <v>25</v>
      </c>
      <c r="E46" s="79">
        <v>5</v>
      </c>
      <c r="F46" s="79">
        <v>3</v>
      </c>
      <c r="G46" s="79">
        <v>30</v>
      </c>
      <c r="H46" s="79">
        <v>2</v>
      </c>
      <c r="I46" s="79">
        <v>0</v>
      </c>
      <c r="J46" s="80"/>
    </row>
    <row r="47" spans="1:10" s="66" customFormat="1" ht="25.15" customHeight="1">
      <c r="A47" s="75"/>
      <c r="B47" s="64" t="s">
        <v>168</v>
      </c>
      <c r="C47" s="76" t="s">
        <v>119</v>
      </c>
      <c r="D47" s="79">
        <f>25/100</f>
        <v>0.25</v>
      </c>
      <c r="E47" s="79">
        <f>5/100</f>
        <v>0.05</v>
      </c>
      <c r="F47" s="79">
        <f>3/100</f>
        <v>0.03</v>
      </c>
      <c r="G47" s="79">
        <f>30/100</f>
        <v>0.3</v>
      </c>
      <c r="H47" s="79">
        <f>2/100</f>
        <v>0.02</v>
      </c>
      <c r="I47" s="79">
        <v>0</v>
      </c>
      <c r="J47" s="80"/>
    </row>
    <row r="48" spans="1:10" s="66" customFormat="1" ht="25.15" customHeight="1">
      <c r="A48" s="75"/>
      <c r="B48" s="64" t="s">
        <v>169</v>
      </c>
      <c r="C48" s="76" t="s">
        <v>119</v>
      </c>
      <c r="D48" s="79">
        <f>14/100</f>
        <v>0.14000000000000001</v>
      </c>
      <c r="E48" s="79">
        <f>2.97/100</f>
        <v>2.9700000000000001E-2</v>
      </c>
      <c r="F48" s="79">
        <f>1.6/100</f>
        <v>1.6E-2</v>
      </c>
      <c r="G48" s="79">
        <f>80/100</f>
        <v>0.8</v>
      </c>
      <c r="H48" s="79">
        <f>0.69/100</f>
        <v>6.8999999999999999E-3</v>
      </c>
      <c r="I48" s="79">
        <v>0</v>
      </c>
      <c r="J48" s="81" t="s">
        <v>170</v>
      </c>
    </row>
    <row r="49" spans="1:10" s="66" customFormat="1" ht="25.15" customHeight="1">
      <c r="A49" s="75"/>
      <c r="B49" s="64" t="s">
        <v>171</v>
      </c>
      <c r="C49" s="76" t="s">
        <v>172</v>
      </c>
      <c r="D49" s="79">
        <v>6</v>
      </c>
      <c r="E49" s="79">
        <v>1.19</v>
      </c>
      <c r="F49" s="79">
        <v>0.6</v>
      </c>
      <c r="G49" s="79">
        <v>32</v>
      </c>
      <c r="H49" s="79">
        <v>0.28000000000000003</v>
      </c>
      <c r="I49" s="79">
        <v>0</v>
      </c>
      <c r="J49" s="81" t="s">
        <v>170</v>
      </c>
    </row>
    <row r="50" spans="1:10" s="66" customFormat="1" ht="25.15" customHeight="1">
      <c r="A50" s="75"/>
      <c r="B50" s="64" t="s">
        <v>173</v>
      </c>
      <c r="C50" s="76" t="s">
        <v>127</v>
      </c>
      <c r="D50" s="79">
        <v>96</v>
      </c>
      <c r="E50" s="79">
        <v>1.97</v>
      </c>
      <c r="F50" s="79">
        <v>0</v>
      </c>
      <c r="G50" s="112">
        <v>368</v>
      </c>
      <c r="H50" s="79">
        <v>5.37</v>
      </c>
      <c r="I50" s="79">
        <v>23</v>
      </c>
      <c r="J50" s="81" t="s">
        <v>174</v>
      </c>
    </row>
    <row r="51" spans="1:10" s="66" customFormat="1" ht="25.15" customHeight="1">
      <c r="A51" s="75"/>
      <c r="B51" s="64" t="s">
        <v>175</v>
      </c>
      <c r="C51" s="76" t="s">
        <v>119</v>
      </c>
      <c r="D51" s="79">
        <f>120/30</f>
        <v>4</v>
      </c>
      <c r="E51" s="79">
        <v>0</v>
      </c>
      <c r="F51" s="79">
        <v>0</v>
      </c>
      <c r="G51" s="79">
        <f>210/30</f>
        <v>7</v>
      </c>
      <c r="H51" s="79">
        <f>7/30</f>
        <v>0.23333333333333334</v>
      </c>
      <c r="I51" s="79">
        <f>30/30</f>
        <v>1</v>
      </c>
      <c r="J51" s="80"/>
    </row>
    <row r="52" spans="1:10" s="66" customFormat="1" ht="25.15" customHeight="1">
      <c r="A52" s="75"/>
      <c r="B52" s="64" t="s">
        <v>176</v>
      </c>
      <c r="C52" s="76" t="s">
        <v>119</v>
      </c>
      <c r="D52" s="79">
        <v>2.6666666666666665</v>
      </c>
      <c r="E52" s="79">
        <v>0.13333333333333333</v>
      </c>
      <c r="F52" s="79">
        <v>0</v>
      </c>
      <c r="G52" s="79">
        <v>3.6666666666666665</v>
      </c>
      <c r="H52" s="79">
        <v>0.13333333333333333</v>
      </c>
      <c r="I52" s="79">
        <v>0.66666666666666663</v>
      </c>
      <c r="J52" s="80"/>
    </row>
    <row r="53" spans="1:10" s="66" customFormat="1" ht="25.15" customHeight="1">
      <c r="A53" s="75"/>
      <c r="B53" s="64" t="s">
        <v>177</v>
      </c>
      <c r="C53" s="76" t="s">
        <v>119</v>
      </c>
      <c r="D53" s="79">
        <f>70/20</f>
        <v>3.5</v>
      </c>
      <c r="E53" s="79">
        <v>0</v>
      </c>
      <c r="F53" s="79">
        <v>0</v>
      </c>
      <c r="G53" s="79">
        <f>130/20</f>
        <v>6.5</v>
      </c>
      <c r="H53" s="79">
        <f>5/20</f>
        <v>0.25</v>
      </c>
      <c r="I53" s="79">
        <f>15/20</f>
        <v>0.75</v>
      </c>
      <c r="J53" s="80"/>
    </row>
    <row r="54" spans="1:10" s="66" customFormat="1" ht="25.15" customHeight="1">
      <c r="A54" s="75"/>
      <c r="B54" s="64" t="s">
        <v>178</v>
      </c>
      <c r="C54" s="76" t="s">
        <v>119</v>
      </c>
      <c r="D54" s="79">
        <v>4.1975308641975309</v>
      </c>
      <c r="E54" s="79">
        <v>0.13756613756613756</v>
      </c>
      <c r="F54" s="79">
        <v>0</v>
      </c>
      <c r="G54" s="79">
        <v>18.02469135802469</v>
      </c>
      <c r="H54" s="79">
        <v>0.2857142857142857</v>
      </c>
      <c r="I54" s="79">
        <v>0.86067019400352729</v>
      </c>
      <c r="J54" s="80"/>
    </row>
    <row r="55" spans="1:10" s="66" customFormat="1" ht="25.15" customHeight="1">
      <c r="A55" s="75"/>
      <c r="B55" s="64" t="s">
        <v>179</v>
      </c>
      <c r="C55" s="76" t="s">
        <v>146</v>
      </c>
      <c r="D55" s="79">
        <v>45</v>
      </c>
      <c r="E55" s="79">
        <v>1</v>
      </c>
      <c r="F55" s="79">
        <v>0</v>
      </c>
      <c r="G55" s="79">
        <v>65</v>
      </c>
      <c r="H55" s="79">
        <v>1</v>
      </c>
      <c r="I55" s="79">
        <v>20</v>
      </c>
      <c r="J55" s="80"/>
    </row>
    <row r="56" spans="1:10" s="66" customFormat="1" ht="25.15" customHeight="1">
      <c r="A56" s="75"/>
      <c r="B56" s="78" t="s">
        <v>180</v>
      </c>
      <c r="C56" s="76" t="s">
        <v>124</v>
      </c>
      <c r="D56" s="65">
        <v>290</v>
      </c>
      <c r="E56" s="79">
        <v>32</v>
      </c>
      <c r="F56" s="79">
        <v>2</v>
      </c>
      <c r="G56" s="79">
        <v>670</v>
      </c>
      <c r="H56" s="79">
        <v>14</v>
      </c>
      <c r="I56" s="79">
        <v>35</v>
      </c>
      <c r="J56" s="80"/>
    </row>
    <row r="57" spans="1:10" s="66" customFormat="1" ht="25.15" customHeight="1">
      <c r="A57" s="75"/>
      <c r="B57" s="64" t="s">
        <v>181</v>
      </c>
      <c r="C57" s="76" t="s">
        <v>182</v>
      </c>
      <c r="D57" s="79">
        <f>280/50*280</f>
        <v>1568</v>
      </c>
      <c r="E57" s="79">
        <f>27/50*280</f>
        <v>151.20000000000002</v>
      </c>
      <c r="F57" s="79">
        <v>0</v>
      </c>
      <c r="G57" s="79">
        <f>490/50*280</f>
        <v>2744</v>
      </c>
      <c r="H57" s="79">
        <f>3/50*280</f>
        <v>16.8</v>
      </c>
      <c r="I57" s="79">
        <f>5/50*280</f>
        <v>28</v>
      </c>
      <c r="J57" s="80"/>
    </row>
    <row r="58" spans="1:10" s="66" customFormat="1" ht="25.15" customHeight="1">
      <c r="A58" s="75"/>
      <c r="B58" s="64" t="s">
        <v>92</v>
      </c>
      <c r="C58" s="76" t="s">
        <v>146</v>
      </c>
      <c r="D58" s="79">
        <v>45</v>
      </c>
      <c r="E58" s="79">
        <v>6</v>
      </c>
      <c r="F58" s="79">
        <v>0</v>
      </c>
      <c r="G58" s="79">
        <v>500</v>
      </c>
      <c r="H58" s="79">
        <v>1.2</v>
      </c>
      <c r="I58" s="79">
        <v>0</v>
      </c>
      <c r="J58" s="80" t="s">
        <v>142</v>
      </c>
    </row>
    <row r="59" spans="1:10" s="66" customFormat="1" ht="25.15" customHeight="1">
      <c r="A59" s="75"/>
      <c r="B59" s="78" t="s">
        <v>183</v>
      </c>
      <c r="C59" s="76" t="s">
        <v>119</v>
      </c>
      <c r="D59" s="79">
        <f>195/100</f>
        <v>1.95</v>
      </c>
      <c r="E59" s="79">
        <v>0</v>
      </c>
      <c r="F59" s="79">
        <v>0</v>
      </c>
      <c r="G59" s="79">
        <f>393/100</f>
        <v>3.93</v>
      </c>
      <c r="H59" s="79">
        <f>29.55/100</f>
        <v>0.29549999999999998</v>
      </c>
      <c r="I59" s="79">
        <f>83/100</f>
        <v>0.83</v>
      </c>
      <c r="J59" s="81" t="s">
        <v>184</v>
      </c>
    </row>
    <row r="60" spans="1:10" s="66" customFormat="1" ht="25.15" customHeight="1">
      <c r="A60" s="75"/>
      <c r="B60" s="78" t="s">
        <v>109</v>
      </c>
      <c r="C60" s="76" t="s">
        <v>119</v>
      </c>
      <c r="D60" s="79">
        <f>230/100</f>
        <v>2.2999999999999998</v>
      </c>
      <c r="E60" s="79">
        <v>0</v>
      </c>
      <c r="F60" s="79">
        <v>0</v>
      </c>
      <c r="G60" s="79">
        <f>409/100</f>
        <v>4.09</v>
      </c>
      <c r="H60" s="79">
        <f>25.74/100</f>
        <v>0.25739999999999996</v>
      </c>
      <c r="I60" s="79">
        <f>91/100</f>
        <v>0.91</v>
      </c>
      <c r="J60" s="81" t="s">
        <v>185</v>
      </c>
    </row>
    <row r="61" spans="1:10" s="66" customFormat="1" ht="25.15" customHeight="1">
      <c r="A61" s="75"/>
      <c r="B61" s="64" t="s">
        <v>73</v>
      </c>
      <c r="C61" s="76" t="s">
        <v>124</v>
      </c>
      <c r="D61" s="79">
        <f>380/8</f>
        <v>47.5</v>
      </c>
      <c r="E61" s="79">
        <f>19/8</f>
        <v>2.375</v>
      </c>
      <c r="F61" s="79">
        <f>1/8</f>
        <v>0.125</v>
      </c>
      <c r="G61" s="79">
        <f>880/8</f>
        <v>110</v>
      </c>
      <c r="H61" s="79">
        <f>22/8</f>
        <v>2.75</v>
      </c>
      <c r="I61" s="79">
        <f>80/8</f>
        <v>10</v>
      </c>
      <c r="J61" s="80"/>
    </row>
    <row r="62" spans="1:10" s="66" customFormat="1" ht="25.15" customHeight="1">
      <c r="A62" s="75"/>
      <c r="B62" s="64" t="s">
        <v>101</v>
      </c>
      <c r="C62" s="76" t="s">
        <v>119</v>
      </c>
      <c r="D62" s="79">
        <v>2.0699999999999998</v>
      </c>
      <c r="E62" s="79">
        <v>0</v>
      </c>
      <c r="F62" s="79">
        <v>0</v>
      </c>
      <c r="G62" s="79">
        <f>410/100</f>
        <v>4.0999999999999996</v>
      </c>
      <c r="H62" s="79">
        <f>25.72/100</f>
        <v>0.25719999999999998</v>
      </c>
      <c r="I62" s="79">
        <f>94/100</f>
        <v>0.94</v>
      </c>
      <c r="J62" s="81" t="s">
        <v>186</v>
      </c>
    </row>
    <row r="63" spans="1:10" s="66" customFormat="1" ht="25.15" customHeight="1">
      <c r="A63" s="75"/>
      <c r="B63" s="64" t="s">
        <v>187</v>
      </c>
      <c r="C63" s="76" t="s">
        <v>119</v>
      </c>
      <c r="D63" s="79">
        <f>157/100</f>
        <v>1.57</v>
      </c>
      <c r="E63" s="79">
        <v>0</v>
      </c>
      <c r="F63" s="79">
        <v>0</v>
      </c>
      <c r="G63" s="79">
        <f>133/140</f>
        <v>0.95</v>
      </c>
      <c r="H63" s="79">
        <f>32.5/140</f>
        <v>0.23214285714285715</v>
      </c>
      <c r="I63" s="79">
        <v>0.7</v>
      </c>
      <c r="J63" s="80"/>
    </row>
    <row r="64" spans="1:10" s="66" customFormat="1" ht="25.15" customHeight="1">
      <c r="A64" s="75"/>
      <c r="B64" s="64" t="s">
        <v>188</v>
      </c>
      <c r="C64" s="76" t="s">
        <v>124</v>
      </c>
      <c r="D64" s="79">
        <v>140</v>
      </c>
      <c r="E64" s="79">
        <v>0</v>
      </c>
      <c r="F64" s="79">
        <v>0</v>
      </c>
      <c r="G64" s="79">
        <v>77</v>
      </c>
      <c r="H64" s="79">
        <v>27</v>
      </c>
      <c r="I64" s="79">
        <v>68</v>
      </c>
      <c r="J64" s="80"/>
    </row>
    <row r="65" spans="1:10" s="66" customFormat="1" ht="25.15" customHeight="1">
      <c r="A65" s="75"/>
      <c r="B65" s="64" t="s">
        <v>189</v>
      </c>
      <c r="C65" s="76" t="s">
        <v>116</v>
      </c>
      <c r="D65" s="79">
        <v>295</v>
      </c>
      <c r="E65" s="79">
        <v>49.17</v>
      </c>
      <c r="F65" s="79">
        <v>14.1</v>
      </c>
      <c r="G65" s="79">
        <v>397</v>
      </c>
      <c r="H65" s="79">
        <v>15.65</v>
      </c>
      <c r="I65" s="79">
        <v>0</v>
      </c>
      <c r="J65" s="81" t="s">
        <v>190</v>
      </c>
    </row>
    <row r="66" spans="1:10" s="66" customFormat="1" ht="25.15" customHeight="1">
      <c r="A66" s="75"/>
      <c r="B66" s="64" t="s">
        <v>191</v>
      </c>
      <c r="C66" s="76" t="s">
        <v>119</v>
      </c>
      <c r="D66" s="79">
        <f>180/100</f>
        <v>1.8</v>
      </c>
      <c r="E66" s="79">
        <f>29.98/100</f>
        <v>0.29980000000000001</v>
      </c>
      <c r="F66" s="79">
        <f>8.6/100</f>
        <v>8.5999999999999993E-2</v>
      </c>
      <c r="G66" s="79">
        <f>242/100</f>
        <v>2.42</v>
      </c>
      <c r="H66" s="79">
        <f>9.54/100</f>
        <v>9.5399999999999985E-2</v>
      </c>
      <c r="I66" s="79">
        <v>0</v>
      </c>
      <c r="J66" s="81" t="s">
        <v>192</v>
      </c>
    </row>
    <row r="67" spans="1:10" s="66" customFormat="1" ht="25.15" customHeight="1">
      <c r="A67" s="75"/>
      <c r="B67" s="64" t="s">
        <v>193</v>
      </c>
      <c r="C67" s="76" t="s">
        <v>116</v>
      </c>
      <c r="D67" s="79">
        <v>220</v>
      </c>
      <c r="E67" s="79">
        <v>36</v>
      </c>
      <c r="F67" s="79">
        <v>7</v>
      </c>
      <c r="G67" s="79">
        <v>10</v>
      </c>
      <c r="H67" s="79">
        <v>10</v>
      </c>
      <c r="I67" s="79">
        <v>0</v>
      </c>
      <c r="J67" s="80"/>
    </row>
    <row r="68" spans="1:10" s="66" customFormat="1" ht="25.15" customHeight="1">
      <c r="A68" s="75"/>
      <c r="B68" s="78" t="s">
        <v>42</v>
      </c>
      <c r="C68" s="76" t="s">
        <v>116</v>
      </c>
      <c r="D68" s="79">
        <v>4</v>
      </c>
      <c r="E68" s="79">
        <v>0.59</v>
      </c>
      <c r="F68" s="79">
        <v>0.4</v>
      </c>
      <c r="G68" s="79">
        <v>7</v>
      </c>
      <c r="H68" s="79">
        <v>0.34</v>
      </c>
      <c r="I68" s="79">
        <v>0</v>
      </c>
      <c r="J68" s="81" t="s">
        <v>194</v>
      </c>
    </row>
    <row r="69" spans="1:10" s="66" customFormat="1" ht="25.15" customHeight="1">
      <c r="A69" s="75"/>
      <c r="B69" s="64" t="s">
        <v>195</v>
      </c>
      <c r="C69" s="76" t="s">
        <v>124</v>
      </c>
      <c r="D69" s="79">
        <v>250</v>
      </c>
      <c r="E69" s="79">
        <v>41</v>
      </c>
      <c r="F69" s="79">
        <v>4</v>
      </c>
      <c r="G69" s="79">
        <v>140</v>
      </c>
      <c r="H69" s="79">
        <v>10</v>
      </c>
      <c r="I69" s="79">
        <v>0</v>
      </c>
      <c r="J69" s="80"/>
    </row>
    <row r="70" spans="1:10" s="66" customFormat="1" ht="25.15" customHeight="1">
      <c r="A70" s="75"/>
      <c r="B70" s="64" t="s">
        <v>196</v>
      </c>
      <c r="C70" s="76" t="s">
        <v>124</v>
      </c>
      <c r="D70" s="79">
        <v>260</v>
      </c>
      <c r="E70" s="79">
        <v>24</v>
      </c>
      <c r="F70" s="79">
        <v>5</v>
      </c>
      <c r="G70" s="79">
        <v>160</v>
      </c>
      <c r="H70" s="79">
        <v>14</v>
      </c>
      <c r="I70" s="79">
        <v>20</v>
      </c>
      <c r="J70" s="80"/>
    </row>
    <row r="71" spans="1:10" s="66" customFormat="1" ht="25.15" customHeight="1">
      <c r="A71" s="75"/>
      <c r="B71" s="78" t="s">
        <v>104</v>
      </c>
      <c r="C71" s="76" t="s">
        <v>116</v>
      </c>
      <c r="D71" s="79">
        <f>150*3</f>
        <v>450</v>
      </c>
      <c r="E71" s="79">
        <f>3*3</f>
        <v>9</v>
      </c>
      <c r="F71" s="79">
        <v>0</v>
      </c>
      <c r="G71" s="79">
        <f>20*3</f>
        <v>60</v>
      </c>
      <c r="H71" s="79">
        <f>1*3</f>
        <v>3</v>
      </c>
      <c r="I71" s="79">
        <v>0</v>
      </c>
      <c r="J71" s="81" t="s">
        <v>197</v>
      </c>
    </row>
    <row r="72" spans="1:10" s="66" customFormat="1" ht="25.15" customHeight="1">
      <c r="A72" s="75"/>
      <c r="B72" s="78" t="s">
        <v>198</v>
      </c>
      <c r="C72" s="76" t="s">
        <v>116</v>
      </c>
      <c r="D72" s="79">
        <f>80*4</f>
        <v>320</v>
      </c>
      <c r="E72" s="79">
        <f>1*4</f>
        <v>4</v>
      </c>
      <c r="F72" s="79">
        <v>0</v>
      </c>
      <c r="G72" s="79">
        <v>60</v>
      </c>
      <c r="H72" s="79">
        <v>4</v>
      </c>
      <c r="I72" s="79">
        <v>0</v>
      </c>
      <c r="J72" s="80"/>
    </row>
    <row r="73" spans="1:10" s="66" customFormat="1" ht="25.15" customHeight="1">
      <c r="A73" s="75"/>
      <c r="B73" s="64" t="s">
        <v>199</v>
      </c>
      <c r="C73" s="76" t="s">
        <v>116</v>
      </c>
      <c r="D73" s="79">
        <v>50</v>
      </c>
      <c r="E73" s="79">
        <v>1</v>
      </c>
      <c r="F73" s="79">
        <v>0</v>
      </c>
      <c r="G73" s="79">
        <v>35</v>
      </c>
      <c r="H73" s="79">
        <v>0.2</v>
      </c>
      <c r="I73" s="79">
        <v>0</v>
      </c>
      <c r="J73" s="80"/>
    </row>
    <row r="74" spans="1:10" s="66" customFormat="1" ht="25.15" customHeight="1">
      <c r="A74" s="75"/>
      <c r="B74" s="64" t="s">
        <v>200</v>
      </c>
      <c r="C74" s="76" t="s">
        <v>119</v>
      </c>
      <c r="D74" s="79">
        <f>283/80</f>
        <v>3.5375000000000001</v>
      </c>
      <c r="E74" s="79">
        <f>12/80</f>
        <v>0.15</v>
      </c>
      <c r="F74" s="79">
        <f>5/28</f>
        <v>0.17857142857142858</v>
      </c>
      <c r="G74" s="79">
        <f>16/80</f>
        <v>0.2</v>
      </c>
      <c r="H74" s="79">
        <f>3/80</f>
        <v>3.7499999999999999E-2</v>
      </c>
      <c r="I74" s="79">
        <v>0</v>
      </c>
      <c r="J74" s="80"/>
    </row>
    <row r="75" spans="1:10" s="66" customFormat="1" ht="25.15" customHeight="1">
      <c r="A75" s="75"/>
      <c r="B75" s="64" t="s">
        <v>201</v>
      </c>
      <c r="C75" s="76" t="s">
        <v>116</v>
      </c>
      <c r="D75" s="79">
        <v>283</v>
      </c>
      <c r="E75" s="79">
        <v>12</v>
      </c>
      <c r="F75" s="79">
        <v>7</v>
      </c>
      <c r="G75" s="79">
        <v>16</v>
      </c>
      <c r="H75" s="79">
        <v>2</v>
      </c>
      <c r="I75" s="79">
        <v>0</v>
      </c>
      <c r="J75" s="80"/>
    </row>
    <row r="76" spans="1:10" s="66" customFormat="1" ht="25.15" customHeight="1">
      <c r="A76" s="75"/>
      <c r="B76" s="64" t="s">
        <v>39</v>
      </c>
      <c r="C76" s="76" t="s">
        <v>124</v>
      </c>
      <c r="D76" s="79">
        <v>70</v>
      </c>
      <c r="E76" s="79">
        <v>0</v>
      </c>
      <c r="F76" s="79">
        <v>0</v>
      </c>
      <c r="G76" s="79">
        <v>150</v>
      </c>
      <c r="H76" s="79">
        <v>16</v>
      </c>
      <c r="I76" s="79">
        <v>35</v>
      </c>
      <c r="J76" s="80"/>
    </row>
    <row r="77" spans="1:10" s="66" customFormat="1" ht="25.15" customHeight="1">
      <c r="A77" s="75"/>
      <c r="B77" s="64" t="s">
        <v>202</v>
      </c>
      <c r="C77" s="76" t="s">
        <v>203</v>
      </c>
      <c r="D77" s="79">
        <v>420</v>
      </c>
      <c r="E77" s="79">
        <v>100.6</v>
      </c>
      <c r="F77" s="79">
        <v>0</v>
      </c>
      <c r="G77" s="79">
        <v>20</v>
      </c>
      <c r="H77" s="79">
        <v>0</v>
      </c>
      <c r="I77" s="79">
        <v>0</v>
      </c>
      <c r="J77" s="80"/>
    </row>
    <row r="78" spans="1:10" s="66" customFormat="1" ht="25.15" customHeight="1">
      <c r="A78" s="75"/>
      <c r="B78" s="64" t="s">
        <v>12</v>
      </c>
      <c r="C78" s="76" t="s">
        <v>124</v>
      </c>
      <c r="D78" s="79">
        <f>120/4</f>
        <v>30</v>
      </c>
      <c r="E78" s="79">
        <f>24/4</f>
        <v>6</v>
      </c>
      <c r="F78" s="79">
        <f>2/4</f>
        <v>0.5</v>
      </c>
      <c r="G78" s="79">
        <f>55/4</f>
        <v>13.75</v>
      </c>
      <c r="H78" s="79">
        <f>3/4</f>
        <v>0.75</v>
      </c>
      <c r="I78" s="79">
        <v>0</v>
      </c>
      <c r="J78" s="80"/>
    </row>
    <row r="79" spans="1:10" s="66" customFormat="1" ht="25.15" customHeight="1">
      <c r="A79" s="75"/>
      <c r="B79" s="78" t="s">
        <v>204</v>
      </c>
      <c r="C79" s="76" t="s">
        <v>124</v>
      </c>
      <c r="D79" s="79">
        <v>85</v>
      </c>
      <c r="E79" s="79">
        <v>19</v>
      </c>
      <c r="F79" s="79">
        <v>1.8</v>
      </c>
      <c r="G79" s="79">
        <v>0</v>
      </c>
      <c r="H79" s="79">
        <v>2</v>
      </c>
      <c r="I79" s="79">
        <v>0</v>
      </c>
      <c r="J79" s="80"/>
    </row>
    <row r="80" spans="1:10" s="66" customFormat="1" ht="25.15" customHeight="1">
      <c r="A80" s="75"/>
      <c r="B80" s="64" t="s">
        <v>99</v>
      </c>
      <c r="C80" s="76" t="s">
        <v>116</v>
      </c>
      <c r="D80" s="79">
        <v>130</v>
      </c>
      <c r="E80" s="79">
        <v>26.7</v>
      </c>
      <c r="F80" s="79">
        <v>3.1</v>
      </c>
      <c r="G80" s="79">
        <v>0</v>
      </c>
      <c r="H80" s="79">
        <v>3.7</v>
      </c>
      <c r="I80" s="79">
        <v>0</v>
      </c>
      <c r="J80" s="81" t="s">
        <v>205</v>
      </c>
    </row>
    <row r="81" spans="1:10" s="66" customFormat="1" ht="25.15" customHeight="1">
      <c r="A81" s="75"/>
      <c r="B81" s="78" t="s">
        <v>206</v>
      </c>
      <c r="C81" s="76" t="s">
        <v>119</v>
      </c>
      <c r="D81" s="79">
        <f>90/85</f>
        <v>1.0588235294117647</v>
      </c>
      <c r="E81" s="79">
        <f>19/85</f>
        <v>0.22352941176470589</v>
      </c>
      <c r="F81" s="79">
        <f>2/85</f>
        <v>2.3529411764705882E-2</v>
      </c>
      <c r="G81" s="79">
        <f>35/85</f>
        <v>0.41176470588235292</v>
      </c>
      <c r="H81" s="79">
        <f>2/85</f>
        <v>2.3529411764705882E-2</v>
      </c>
      <c r="I81" s="79">
        <v>0</v>
      </c>
      <c r="J81" s="81" t="s">
        <v>207</v>
      </c>
    </row>
    <row r="82" spans="1:10" s="66" customFormat="1" ht="25.15" customHeight="1">
      <c r="A82" s="75"/>
      <c r="B82" s="64" t="s">
        <v>208</v>
      </c>
      <c r="C82" s="76" t="s">
        <v>119</v>
      </c>
      <c r="D82" s="79">
        <f>120/65</f>
        <v>1.8461538461538463</v>
      </c>
      <c r="E82" s="79">
        <f>22/85</f>
        <v>0.25882352941176473</v>
      </c>
      <c r="F82" s="79">
        <v>0</v>
      </c>
      <c r="G82" s="79">
        <f>800/85</f>
        <v>9.4117647058823533</v>
      </c>
      <c r="H82" s="79">
        <f>4/85</f>
        <v>4.7058823529411764E-2</v>
      </c>
      <c r="I82" s="79">
        <f>10/85</f>
        <v>0.11764705882352941</v>
      </c>
      <c r="J82" s="80"/>
    </row>
    <row r="83" spans="1:10" s="66" customFormat="1" ht="25.15" customHeight="1">
      <c r="A83" s="75"/>
      <c r="B83" s="64" t="s">
        <v>209</v>
      </c>
      <c r="C83" s="76" t="s">
        <v>119</v>
      </c>
      <c r="D83" s="79">
        <f>100/20</f>
        <v>5</v>
      </c>
      <c r="E83" s="79">
        <f>13/20</f>
        <v>0.65</v>
      </c>
      <c r="F83" s="79">
        <v>0</v>
      </c>
      <c r="G83" s="79">
        <f>55/20</f>
        <v>2.75</v>
      </c>
      <c r="H83" s="79">
        <f>1/20</f>
        <v>0.05</v>
      </c>
      <c r="I83" s="79">
        <v>0</v>
      </c>
      <c r="J83" s="80"/>
    </row>
    <row r="84" spans="1:10" s="66" customFormat="1" ht="25.15" customHeight="1">
      <c r="A84" s="75"/>
      <c r="B84" s="64" t="s">
        <v>210</v>
      </c>
      <c r="C84" s="76" t="s">
        <v>119</v>
      </c>
      <c r="D84" s="79">
        <f>123/40</f>
        <v>3.0750000000000002</v>
      </c>
      <c r="E84" s="79">
        <f>33/40</f>
        <v>0.82499999999999996</v>
      </c>
      <c r="F84" s="79">
        <f>2/40</f>
        <v>0.05</v>
      </c>
      <c r="G84" s="79">
        <f>1/40</f>
        <v>2.5000000000000001E-2</v>
      </c>
      <c r="H84" s="79">
        <v>0</v>
      </c>
      <c r="I84" s="79">
        <v>0</v>
      </c>
      <c r="J84" s="80"/>
    </row>
    <row r="85" spans="1:10" s="66" customFormat="1" ht="25.15" customHeight="1">
      <c r="A85" s="75"/>
      <c r="B85" s="78" t="s">
        <v>56</v>
      </c>
      <c r="C85" s="76" t="s">
        <v>124</v>
      </c>
      <c r="D85" s="79">
        <v>272.64</v>
      </c>
      <c r="E85" s="79">
        <v>18.176000000000002</v>
      </c>
      <c r="F85" s="79">
        <v>2.2720000000000002</v>
      </c>
      <c r="G85" s="79">
        <v>1931.2</v>
      </c>
      <c r="H85" s="79">
        <v>4.5440000000000005</v>
      </c>
      <c r="I85" s="79">
        <v>11.36</v>
      </c>
      <c r="J85" s="80" t="s">
        <v>142</v>
      </c>
    </row>
    <row r="86" spans="1:10" s="66" customFormat="1" ht="25.15" customHeight="1">
      <c r="A86" s="75"/>
      <c r="B86" s="78" t="s">
        <v>46</v>
      </c>
      <c r="C86" s="76" t="s">
        <v>116</v>
      </c>
      <c r="D86" s="79">
        <f>50*16</f>
        <v>800</v>
      </c>
      <c r="E86" s="79">
        <v>0</v>
      </c>
      <c r="F86" s="79">
        <v>0</v>
      </c>
      <c r="G86" s="79">
        <f>15*16</f>
        <v>240</v>
      </c>
      <c r="H86" s="79">
        <f>0.3*16</f>
        <v>4.8</v>
      </c>
      <c r="I86" s="79">
        <f>20*16</f>
        <v>320</v>
      </c>
      <c r="J86" s="80" t="s">
        <v>142</v>
      </c>
    </row>
    <row r="87" spans="1:10" s="66" customFormat="1" ht="25.15" customHeight="1">
      <c r="A87" s="75"/>
      <c r="B87" s="78" t="s">
        <v>211</v>
      </c>
      <c r="C87" s="76" t="s">
        <v>212</v>
      </c>
      <c r="D87" s="79">
        <f>50/15</f>
        <v>3.3333333333333335</v>
      </c>
      <c r="E87" s="79">
        <v>0</v>
      </c>
      <c r="F87" s="79">
        <v>0</v>
      </c>
      <c r="G87" s="79">
        <f>15/15</f>
        <v>1</v>
      </c>
      <c r="H87" s="79">
        <f>0.3/15</f>
        <v>0.02</v>
      </c>
      <c r="I87" s="79">
        <f>20/15</f>
        <v>1.3333333333333333</v>
      </c>
      <c r="J87" s="80" t="s">
        <v>142</v>
      </c>
    </row>
    <row r="88" spans="1:10" s="66" customFormat="1" ht="25.15" customHeight="1">
      <c r="A88" s="75"/>
      <c r="B88" s="78" t="s">
        <v>213</v>
      </c>
      <c r="C88" s="76" t="s">
        <v>119</v>
      </c>
      <c r="D88" s="85">
        <f>80/20</f>
        <v>4</v>
      </c>
      <c r="E88" s="79">
        <f>14/20</f>
        <v>0.7</v>
      </c>
      <c r="F88" s="79">
        <f>1/20</f>
        <v>0.05</v>
      </c>
      <c r="G88" s="79">
        <f>370/20</f>
        <v>18.5</v>
      </c>
      <c r="H88" s="79">
        <f>1/20</f>
        <v>0.05</v>
      </c>
      <c r="I88" s="79">
        <v>0</v>
      </c>
      <c r="J88" s="80"/>
    </row>
    <row r="89" spans="1:10" s="66" customFormat="1" ht="25.15" customHeight="1">
      <c r="A89" s="75"/>
      <c r="B89" s="78" t="s">
        <v>33</v>
      </c>
      <c r="C89" s="76" t="s">
        <v>116</v>
      </c>
      <c r="D89" s="79">
        <v>15.6</v>
      </c>
      <c r="E89" s="79">
        <v>3.3</v>
      </c>
      <c r="F89" s="79">
        <v>0.5</v>
      </c>
      <c r="G89" s="79">
        <v>2.1</v>
      </c>
      <c r="H89" s="79">
        <v>0.7</v>
      </c>
      <c r="I89" s="79">
        <v>0</v>
      </c>
      <c r="J89" s="81" t="s">
        <v>214</v>
      </c>
    </row>
    <row r="90" spans="1:10" s="66" customFormat="1" ht="25.15" customHeight="1">
      <c r="A90" s="75"/>
      <c r="B90" s="78" t="s">
        <v>72</v>
      </c>
      <c r="C90" s="76" t="s">
        <v>119</v>
      </c>
      <c r="D90" s="79">
        <f>15/100</f>
        <v>0.15</v>
      </c>
      <c r="E90" s="79">
        <f>3.6/100</f>
        <v>3.6000000000000004E-2</v>
      </c>
      <c r="F90" s="79">
        <f>0.5/100</f>
        <v>5.0000000000000001E-3</v>
      </c>
      <c r="G90" s="79">
        <f>2/100</f>
        <v>0.02</v>
      </c>
      <c r="H90" s="79">
        <f>0.7/100</f>
        <v>6.9999999999999993E-3</v>
      </c>
      <c r="I90" s="79">
        <v>0</v>
      </c>
      <c r="J90" s="81" t="s">
        <v>214</v>
      </c>
    </row>
    <row r="91" spans="1:10" s="66" customFormat="1" ht="25.15" customHeight="1">
      <c r="A91" s="75"/>
      <c r="B91" s="78" t="s">
        <v>215</v>
      </c>
      <c r="C91" s="76" t="s">
        <v>216</v>
      </c>
      <c r="D91" s="85">
        <v>7</v>
      </c>
      <c r="E91" s="79">
        <v>1</v>
      </c>
      <c r="F91" s="79">
        <v>0</v>
      </c>
      <c r="G91" s="79">
        <v>3</v>
      </c>
      <c r="H91" s="79">
        <v>0</v>
      </c>
      <c r="I91" s="79">
        <v>0</v>
      </c>
      <c r="J91" s="80"/>
    </row>
    <row r="92" spans="1:10" s="66" customFormat="1" ht="25.15" customHeight="1">
      <c r="A92" s="75"/>
      <c r="B92" s="64" t="s">
        <v>217</v>
      </c>
      <c r="C92" s="76" t="s">
        <v>218</v>
      </c>
      <c r="D92" s="79">
        <v>-1</v>
      </c>
      <c r="E92" s="79"/>
      <c r="F92" s="79"/>
      <c r="G92" s="79"/>
      <c r="H92" s="79"/>
      <c r="I92" s="79"/>
      <c r="J92" s="80"/>
    </row>
    <row r="93" spans="1:10" s="66" customFormat="1" ht="25.15" customHeight="1">
      <c r="A93" s="75"/>
      <c r="B93" s="78" t="s">
        <v>219</v>
      </c>
      <c r="C93" s="76" t="s">
        <v>124</v>
      </c>
      <c r="D93" s="79">
        <v>60</v>
      </c>
      <c r="E93" s="79">
        <f>17/2</f>
        <v>8.5</v>
      </c>
      <c r="F93" s="79">
        <v>0.5</v>
      </c>
      <c r="G93" s="79">
        <v>45</v>
      </c>
      <c r="H93" s="79">
        <v>0.5</v>
      </c>
      <c r="I93" s="79">
        <v>0</v>
      </c>
      <c r="J93" s="80"/>
    </row>
    <row r="94" spans="1:10" s="66" customFormat="1" ht="25.15" customHeight="1">
      <c r="A94" s="75"/>
      <c r="B94" s="64" t="s">
        <v>220</v>
      </c>
      <c r="C94" s="76" t="s">
        <v>124</v>
      </c>
      <c r="D94" s="79">
        <v>-2</v>
      </c>
      <c r="E94" s="79"/>
      <c r="F94" s="79"/>
      <c r="G94" s="79"/>
      <c r="H94" s="79"/>
      <c r="I94" s="79"/>
      <c r="J94" s="80"/>
    </row>
    <row r="95" spans="1:10" s="66" customFormat="1" ht="25.15" customHeight="1">
      <c r="A95" s="75"/>
      <c r="B95" s="64" t="s">
        <v>221</v>
      </c>
      <c r="C95" s="76" t="s">
        <v>124</v>
      </c>
      <c r="D95" s="79">
        <v>-2</v>
      </c>
      <c r="E95" s="79"/>
      <c r="F95" s="79"/>
      <c r="G95" s="79"/>
      <c r="H95" s="79"/>
      <c r="I95" s="79"/>
      <c r="J95" s="80"/>
    </row>
    <row r="96" spans="1:10" s="66" customFormat="1" ht="25.15" customHeight="1">
      <c r="A96" s="75"/>
      <c r="B96" s="64" t="s">
        <v>222</v>
      </c>
      <c r="C96" s="76" t="s">
        <v>124</v>
      </c>
      <c r="D96" s="79">
        <v>-0.5</v>
      </c>
      <c r="E96" s="79"/>
      <c r="F96" s="79"/>
      <c r="G96" s="79"/>
      <c r="H96" s="79"/>
      <c r="I96" s="79"/>
      <c r="J96" s="80"/>
    </row>
    <row r="97" spans="1:10" s="66" customFormat="1" ht="25.15" customHeight="1">
      <c r="A97" s="75"/>
      <c r="B97" s="64" t="s">
        <v>223</v>
      </c>
      <c r="C97" s="76" t="s">
        <v>124</v>
      </c>
      <c r="D97" s="79">
        <v>-2</v>
      </c>
      <c r="E97" s="79"/>
      <c r="F97" s="79"/>
      <c r="G97" s="79"/>
      <c r="H97" s="79"/>
      <c r="I97" s="79"/>
      <c r="J97" s="80"/>
    </row>
    <row r="98" spans="1:10" s="66" customFormat="1" ht="25.15" customHeight="1">
      <c r="A98" s="75"/>
      <c r="B98" s="78" t="s">
        <v>82</v>
      </c>
      <c r="C98" s="76" t="s">
        <v>224</v>
      </c>
      <c r="D98" s="79">
        <f>140/11*10</f>
        <v>127.27272727272727</v>
      </c>
      <c r="E98" s="79">
        <f>16/11*10</f>
        <v>14.545454545454547</v>
      </c>
      <c r="F98" s="79">
        <f>1/11*10</f>
        <v>0.90909090909090917</v>
      </c>
      <c r="G98" s="79">
        <f>210/11*10</f>
        <v>190.90909090909091</v>
      </c>
      <c r="H98" s="79">
        <f>2/11*10</f>
        <v>1.8181818181818183</v>
      </c>
      <c r="I98" s="79">
        <v>0</v>
      </c>
      <c r="J98" s="81" t="s">
        <v>225</v>
      </c>
    </row>
    <row r="99" spans="1:10" s="66" customFormat="1" ht="25.15" customHeight="1">
      <c r="A99" s="75"/>
      <c r="B99" s="64" t="s">
        <v>77</v>
      </c>
      <c r="C99" s="76" t="s">
        <v>124</v>
      </c>
      <c r="D99" s="79">
        <v>740</v>
      </c>
      <c r="E99" s="79">
        <v>48</v>
      </c>
      <c r="F99" s="79">
        <v>3</v>
      </c>
      <c r="G99" s="79">
        <v>1020</v>
      </c>
      <c r="H99" s="79">
        <v>38</v>
      </c>
      <c r="I99" s="79">
        <v>115</v>
      </c>
      <c r="J99" s="80" t="s">
        <v>149</v>
      </c>
    </row>
    <row r="100" spans="1:10" s="66" customFormat="1" ht="25.15" customHeight="1">
      <c r="A100" s="75"/>
      <c r="B100" s="78" t="s">
        <v>84</v>
      </c>
      <c r="C100" s="76" t="s">
        <v>124</v>
      </c>
      <c r="D100" s="79">
        <v>420</v>
      </c>
      <c r="E100" s="79">
        <v>34</v>
      </c>
      <c r="F100" s="79">
        <v>2</v>
      </c>
      <c r="G100" s="79">
        <v>1010</v>
      </c>
      <c r="H100" s="79">
        <v>24</v>
      </c>
      <c r="I100" s="79">
        <v>65</v>
      </c>
      <c r="J100" s="80" t="s">
        <v>149</v>
      </c>
    </row>
    <row r="101" spans="1:10" s="66" customFormat="1" ht="25.15" customHeight="1">
      <c r="A101" s="75"/>
      <c r="B101" s="64" t="s">
        <v>106</v>
      </c>
      <c r="C101" s="76" t="s">
        <v>226</v>
      </c>
      <c r="D101" s="79">
        <v>-25</v>
      </c>
      <c r="E101" s="79"/>
      <c r="F101" s="79"/>
      <c r="G101" s="79"/>
      <c r="H101" s="79"/>
      <c r="I101" s="79"/>
      <c r="J101" s="80"/>
    </row>
    <row r="102" spans="1:10" s="66" customFormat="1" ht="25.15" customHeight="1">
      <c r="A102" s="75"/>
      <c r="B102" s="64" t="s">
        <v>13</v>
      </c>
      <c r="C102" s="76" t="s">
        <v>124</v>
      </c>
      <c r="D102" s="79">
        <v>72</v>
      </c>
      <c r="E102" s="79">
        <v>0</v>
      </c>
      <c r="F102" s="79">
        <v>0</v>
      </c>
      <c r="G102" s="79">
        <v>70</v>
      </c>
      <c r="H102" s="79">
        <v>6</v>
      </c>
      <c r="I102" s="79">
        <v>211</v>
      </c>
      <c r="J102" s="80"/>
    </row>
    <row r="103" spans="1:10" s="66" customFormat="1" ht="25.15" customHeight="1">
      <c r="A103" s="75"/>
      <c r="B103" s="64" t="s">
        <v>227</v>
      </c>
      <c r="C103" s="76" t="s">
        <v>124</v>
      </c>
      <c r="D103" s="79">
        <v>72</v>
      </c>
      <c r="E103" s="79">
        <v>0</v>
      </c>
      <c r="F103" s="79">
        <v>0</v>
      </c>
      <c r="G103" s="79">
        <v>465.09333333333331</v>
      </c>
      <c r="H103" s="79">
        <v>6</v>
      </c>
      <c r="I103" s="79">
        <v>211</v>
      </c>
      <c r="J103" s="80"/>
    </row>
    <row r="104" spans="1:10" s="66" customFormat="1" ht="25.15" customHeight="1">
      <c r="A104" s="75"/>
      <c r="B104" s="64" t="s">
        <v>228</v>
      </c>
      <c r="C104" s="76" t="s">
        <v>124</v>
      </c>
      <c r="D104" s="79">
        <v>290</v>
      </c>
      <c r="E104" s="79">
        <v>29</v>
      </c>
      <c r="F104" s="79">
        <v>2</v>
      </c>
      <c r="G104" s="79">
        <v>760</v>
      </c>
      <c r="H104" s="79">
        <v>16</v>
      </c>
      <c r="I104" s="79">
        <v>200</v>
      </c>
      <c r="J104" s="80"/>
    </row>
    <row r="105" spans="1:10" s="66" customFormat="1" ht="25.15" customHeight="1">
      <c r="A105" s="75"/>
      <c r="B105" s="64" t="s">
        <v>229</v>
      </c>
      <c r="C105" s="76" t="s">
        <v>124</v>
      </c>
      <c r="D105" s="79">
        <v>240</v>
      </c>
      <c r="E105" s="79">
        <v>28</v>
      </c>
      <c r="F105" s="79">
        <v>2</v>
      </c>
      <c r="G105" s="79">
        <v>570</v>
      </c>
      <c r="H105" s="79">
        <v>13</v>
      </c>
      <c r="I105" s="79">
        <v>185</v>
      </c>
      <c r="J105" s="80"/>
    </row>
    <row r="106" spans="1:10" s="66" customFormat="1" ht="25.15" customHeight="1">
      <c r="A106" s="75"/>
      <c r="B106" s="64" t="s">
        <v>230</v>
      </c>
      <c r="C106" s="76" t="s">
        <v>116</v>
      </c>
      <c r="D106" s="79">
        <v>20</v>
      </c>
      <c r="E106" s="79">
        <v>4.67</v>
      </c>
      <c r="F106" s="79">
        <v>2.8</v>
      </c>
      <c r="G106" s="79">
        <v>2</v>
      </c>
      <c r="H106" s="79">
        <v>0.83</v>
      </c>
      <c r="I106" s="79">
        <v>0</v>
      </c>
      <c r="J106" s="81" t="s">
        <v>231</v>
      </c>
    </row>
    <row r="107" spans="1:10" s="66" customFormat="1" ht="25.15" customHeight="1">
      <c r="A107" s="75"/>
      <c r="B107" s="64" t="s">
        <v>232</v>
      </c>
      <c r="C107" s="76" t="s">
        <v>119</v>
      </c>
      <c r="D107" s="79">
        <f>24/100</f>
        <v>0.24</v>
      </c>
      <c r="E107" s="79">
        <f>5.7/100</f>
        <v>5.7000000000000002E-2</v>
      </c>
      <c r="F107" s="79">
        <f>3.4/100</f>
        <v>3.4000000000000002E-2</v>
      </c>
      <c r="G107" s="79">
        <f>2/100</f>
        <v>0.02</v>
      </c>
      <c r="H107" s="79">
        <f>1.01/100</f>
        <v>1.01E-2</v>
      </c>
      <c r="I107" s="79">
        <v>0</v>
      </c>
      <c r="J107" s="81" t="s">
        <v>231</v>
      </c>
    </row>
    <row r="108" spans="1:10" s="66" customFormat="1" ht="25.15" customHeight="1">
      <c r="A108" s="75"/>
      <c r="B108" s="64" t="s">
        <v>233</v>
      </c>
      <c r="C108" s="76" t="s">
        <v>146</v>
      </c>
      <c r="D108" s="79">
        <f>40/3</f>
        <v>13.333333333333334</v>
      </c>
      <c r="E108" s="79">
        <f>2/3</f>
        <v>0.66666666666666663</v>
      </c>
      <c r="F108" s="79">
        <v>0</v>
      </c>
      <c r="G108" s="79">
        <f>170/3</f>
        <v>56.666666666666664</v>
      </c>
      <c r="H108" s="79">
        <f>1/3</f>
        <v>0.33333333333333331</v>
      </c>
      <c r="I108" s="79">
        <v>0</v>
      </c>
      <c r="J108" s="80"/>
    </row>
    <row r="109" spans="1:10" s="66" customFormat="1" ht="25.15" customHeight="1">
      <c r="A109" s="75"/>
      <c r="B109" s="64" t="s">
        <v>234</v>
      </c>
      <c r="C109" s="76" t="s">
        <v>124</v>
      </c>
      <c r="D109" s="79">
        <v>355</v>
      </c>
      <c r="E109" s="79">
        <v>51</v>
      </c>
      <c r="F109" s="79">
        <v>0</v>
      </c>
      <c r="G109" s="79">
        <v>250</v>
      </c>
      <c r="H109" s="79">
        <v>14</v>
      </c>
      <c r="I109" s="79">
        <v>1</v>
      </c>
      <c r="J109" s="80"/>
    </row>
    <row r="110" spans="1:10" s="66" customFormat="1" ht="25.15" customHeight="1">
      <c r="A110" s="75"/>
      <c r="B110" s="78" t="s">
        <v>235</v>
      </c>
      <c r="C110" s="76" t="s">
        <v>116</v>
      </c>
      <c r="D110" s="79">
        <v>338</v>
      </c>
      <c r="E110" s="79">
        <v>25.3</v>
      </c>
      <c r="F110" s="79">
        <v>0</v>
      </c>
      <c r="G110" s="79">
        <v>267</v>
      </c>
      <c r="H110" s="79">
        <v>17.16</v>
      </c>
      <c r="I110" s="79">
        <v>73</v>
      </c>
      <c r="J110" s="81" t="s">
        <v>236</v>
      </c>
    </row>
    <row r="111" spans="1:10" s="66" customFormat="1" ht="25.15" customHeight="1">
      <c r="A111" s="75"/>
      <c r="B111" s="78" t="s">
        <v>237</v>
      </c>
      <c r="C111" s="76" t="s">
        <v>119</v>
      </c>
      <c r="D111" s="79">
        <f>134/100</f>
        <v>1.34</v>
      </c>
      <c r="E111" s="79">
        <f>10.04/100</f>
        <v>0.10039999999999999</v>
      </c>
      <c r="F111" s="79">
        <v>0</v>
      </c>
      <c r="G111" s="79">
        <f>106/100</f>
        <v>1.06</v>
      </c>
      <c r="H111" s="79">
        <f>6.81/100</f>
        <v>6.8099999999999994E-2</v>
      </c>
      <c r="I111" s="79">
        <f>29/100</f>
        <v>0.28999999999999998</v>
      </c>
      <c r="J111" s="81" t="s">
        <v>236</v>
      </c>
    </row>
    <row r="112" spans="1:10" s="66" customFormat="1" ht="25.15" customHeight="1">
      <c r="A112" s="75"/>
      <c r="B112" s="78" t="s">
        <v>57</v>
      </c>
      <c r="C112" s="76" t="s">
        <v>212</v>
      </c>
      <c r="D112" s="79">
        <f>143/100</f>
        <v>1.43</v>
      </c>
      <c r="E112" s="79">
        <f>10.69/100</f>
        <v>0.1069</v>
      </c>
      <c r="F112" s="79">
        <v>0</v>
      </c>
      <c r="G112" s="79">
        <f>113/100</f>
        <v>1.1299999999999999</v>
      </c>
      <c r="H112" s="79">
        <f>7.25/100</f>
        <v>7.2499999999999995E-2</v>
      </c>
      <c r="I112" s="79">
        <f>31/100</f>
        <v>0.31</v>
      </c>
      <c r="J112" s="81" t="s">
        <v>236</v>
      </c>
    </row>
    <row r="113" spans="1:10" s="66" customFormat="1" ht="25.15" customHeight="1">
      <c r="A113" s="75"/>
      <c r="B113" s="78" t="s">
        <v>54</v>
      </c>
      <c r="C113" s="76" t="s">
        <v>124</v>
      </c>
      <c r="D113" s="79">
        <v>0</v>
      </c>
      <c r="E113" s="79">
        <v>0</v>
      </c>
      <c r="F113" s="79">
        <v>0</v>
      </c>
      <c r="G113" s="79">
        <v>0</v>
      </c>
      <c r="H113" s="79">
        <v>0</v>
      </c>
      <c r="I113" s="79">
        <v>0</v>
      </c>
      <c r="J113" s="80"/>
    </row>
    <row r="114" spans="1:10" s="66" customFormat="1" ht="25.15" customHeight="1">
      <c r="A114" s="75"/>
      <c r="B114" s="78" t="s">
        <v>55</v>
      </c>
      <c r="C114" s="76" t="s">
        <v>124</v>
      </c>
      <c r="D114" s="79">
        <v>0</v>
      </c>
      <c r="E114" s="79">
        <v>0</v>
      </c>
      <c r="F114" s="79">
        <v>0</v>
      </c>
      <c r="G114" s="79">
        <v>0</v>
      </c>
      <c r="H114" s="79">
        <v>0</v>
      </c>
      <c r="I114" s="79">
        <v>0</v>
      </c>
      <c r="J114" s="80"/>
    </row>
    <row r="115" spans="1:10" s="66" customFormat="1" ht="25.15" customHeight="1">
      <c r="A115" s="75"/>
      <c r="B115" s="64" t="s">
        <v>238</v>
      </c>
      <c r="C115" s="76" t="s">
        <v>124</v>
      </c>
      <c r="D115" s="79">
        <v>685.03984716157208</v>
      </c>
      <c r="E115" s="79">
        <v>90.005786026200866</v>
      </c>
      <c r="F115" s="79">
        <v>0</v>
      </c>
      <c r="G115" s="79">
        <v>1175.2157933042213</v>
      </c>
      <c r="H115" s="79">
        <v>18.158842794759828</v>
      </c>
      <c r="I115" s="79">
        <v>56.819505094614257</v>
      </c>
      <c r="J115" s="80"/>
    </row>
    <row r="116" spans="1:10" s="66" customFormat="1" ht="25.15" customHeight="1">
      <c r="A116" s="75"/>
      <c r="B116" s="78" t="s">
        <v>239</v>
      </c>
      <c r="C116" s="76" t="s">
        <v>119</v>
      </c>
      <c r="D116" s="79">
        <f>337/100</f>
        <v>3.37</v>
      </c>
      <c r="E116" s="79">
        <f>71/100</f>
        <v>0.71</v>
      </c>
      <c r="F116" s="79">
        <f>11/100</f>
        <v>0.11</v>
      </c>
      <c r="G116" s="79">
        <f>5/100</f>
        <v>0.05</v>
      </c>
      <c r="H116" s="79">
        <f>15/100</f>
        <v>0.15</v>
      </c>
      <c r="I116" s="79">
        <v>0</v>
      </c>
      <c r="J116" s="81" t="s">
        <v>240</v>
      </c>
    </row>
    <row r="117" spans="1:10" s="66" customFormat="1" ht="25.15" customHeight="1">
      <c r="A117" s="75"/>
      <c r="B117" s="64" t="s">
        <v>241</v>
      </c>
      <c r="C117" s="76" t="s">
        <v>124</v>
      </c>
      <c r="D117" s="79">
        <v>90</v>
      </c>
      <c r="E117" s="79">
        <v>18</v>
      </c>
      <c r="F117" s="79">
        <v>5</v>
      </c>
      <c r="G117" s="79">
        <v>80</v>
      </c>
      <c r="H117" s="79">
        <v>1</v>
      </c>
      <c r="I117" s="79">
        <v>0</v>
      </c>
      <c r="J117" s="80"/>
    </row>
    <row r="118" spans="1:10" s="66" customFormat="1" ht="25.15" customHeight="1">
      <c r="A118" s="75"/>
      <c r="B118" s="64" t="s">
        <v>242</v>
      </c>
      <c r="C118" s="76" t="s">
        <v>124</v>
      </c>
      <c r="D118" s="79">
        <f>250/5</f>
        <v>50</v>
      </c>
      <c r="E118" s="79">
        <f>20/5</f>
        <v>4</v>
      </c>
      <c r="F118" s="79">
        <f>1/20</f>
        <v>0.05</v>
      </c>
      <c r="G118" s="79">
        <f>380/5</f>
        <v>76</v>
      </c>
      <c r="H118" s="79">
        <f>13/5</f>
        <v>2.6</v>
      </c>
      <c r="I118" s="79">
        <f>40/5</f>
        <v>8</v>
      </c>
      <c r="J118" s="80"/>
    </row>
    <row r="119" spans="1:10" s="66" customFormat="1" ht="25.15" customHeight="1">
      <c r="A119" s="75"/>
      <c r="B119" s="64" t="s">
        <v>243</v>
      </c>
      <c r="C119" s="76" t="s">
        <v>119</v>
      </c>
      <c r="D119" s="79">
        <f>120/30</f>
        <v>4</v>
      </c>
      <c r="E119" s="79">
        <f>18/30</f>
        <v>0.6</v>
      </c>
      <c r="F119" s="79">
        <f>1/30</f>
        <v>3.3333333333333333E-2</v>
      </c>
      <c r="G119" s="79">
        <f>110/30</f>
        <v>3.6666666666666665</v>
      </c>
      <c r="H119" s="79">
        <f>4/30</f>
        <v>0.13333333333333333</v>
      </c>
      <c r="I119" s="79">
        <v>0</v>
      </c>
      <c r="J119" s="80"/>
    </row>
    <row r="120" spans="1:10" s="66" customFormat="1" ht="25.15" customHeight="1">
      <c r="A120" s="75"/>
      <c r="B120" s="64" t="s">
        <v>244</v>
      </c>
      <c r="C120" s="76" t="s">
        <v>146</v>
      </c>
      <c r="D120" s="79">
        <f>897/168*10</f>
        <v>53.392857142857146</v>
      </c>
      <c r="E120" s="79">
        <f>49/168*10</f>
        <v>2.916666666666667</v>
      </c>
      <c r="F120" s="79">
        <f>46/168*10</f>
        <v>2.7380952380952381</v>
      </c>
      <c r="G120" s="79">
        <f>50/168*10</f>
        <v>2.9761904761904763</v>
      </c>
      <c r="H120" s="79">
        <f>31/168*10</f>
        <v>1.8452380952380953</v>
      </c>
      <c r="I120" s="79">
        <v>0</v>
      </c>
      <c r="J120" s="80"/>
    </row>
    <row r="121" spans="1:10" s="66" customFormat="1" ht="25.15" customHeight="1">
      <c r="A121" s="75"/>
      <c r="B121" s="64" t="s">
        <v>245</v>
      </c>
      <c r="C121" s="76" t="s">
        <v>116</v>
      </c>
      <c r="D121" s="79">
        <v>455</v>
      </c>
      <c r="E121" s="79">
        <v>95</v>
      </c>
      <c r="F121" s="79">
        <v>3</v>
      </c>
      <c r="G121" s="79">
        <v>2</v>
      </c>
      <c r="H121" s="79">
        <v>13</v>
      </c>
      <c r="I121" s="79">
        <v>0</v>
      </c>
      <c r="J121" s="80"/>
    </row>
    <row r="122" spans="1:10" s="66" customFormat="1" ht="25.15" customHeight="1">
      <c r="A122" s="75"/>
      <c r="B122" s="64" t="s">
        <v>246</v>
      </c>
      <c r="C122" s="76" t="s">
        <v>146</v>
      </c>
      <c r="D122" s="79">
        <v>28.4375</v>
      </c>
      <c r="E122" s="79">
        <f>95/16</f>
        <v>5.9375</v>
      </c>
      <c r="F122" s="79">
        <f>3/16</f>
        <v>0.1875</v>
      </c>
      <c r="G122" s="79">
        <f>2/16</f>
        <v>0.125</v>
      </c>
      <c r="H122" s="79">
        <f>13/16</f>
        <v>0.8125</v>
      </c>
      <c r="I122" s="79">
        <v>0</v>
      </c>
      <c r="J122" s="80"/>
    </row>
    <row r="123" spans="1:10" s="66" customFormat="1" ht="25.15" customHeight="1">
      <c r="A123" s="75"/>
      <c r="B123" s="64" t="s">
        <v>247</v>
      </c>
      <c r="C123" s="76" t="s">
        <v>124</v>
      </c>
      <c r="D123" s="79">
        <v>560</v>
      </c>
      <c r="E123" s="79">
        <v>74</v>
      </c>
      <c r="F123" s="79">
        <v>6</v>
      </c>
      <c r="G123" s="79">
        <v>420</v>
      </c>
      <c r="H123" s="79">
        <v>6</v>
      </c>
      <c r="I123" s="79">
        <v>0</v>
      </c>
      <c r="J123" s="80"/>
    </row>
    <row r="124" spans="1:10" s="66" customFormat="1" ht="25.15" customHeight="1">
      <c r="A124" s="75"/>
      <c r="B124" s="64" t="s">
        <v>248</v>
      </c>
      <c r="C124" s="76" t="s">
        <v>124</v>
      </c>
      <c r="D124" s="79">
        <v>350</v>
      </c>
      <c r="E124" s="79">
        <v>46</v>
      </c>
      <c r="F124" s="79">
        <v>4</v>
      </c>
      <c r="G124" s="79">
        <v>260</v>
      </c>
      <c r="H124" s="79">
        <v>4</v>
      </c>
      <c r="I124" s="79">
        <v>0</v>
      </c>
      <c r="J124" s="80"/>
    </row>
    <row r="125" spans="1:10" s="66" customFormat="1" ht="25.15" customHeight="1">
      <c r="A125" s="75"/>
      <c r="B125" s="78" t="s">
        <v>249</v>
      </c>
      <c r="C125" s="76" t="s">
        <v>124</v>
      </c>
      <c r="D125" s="79">
        <v>80</v>
      </c>
      <c r="E125" s="79">
        <v>10</v>
      </c>
      <c r="F125" s="79">
        <v>0</v>
      </c>
      <c r="G125" s="79">
        <v>50</v>
      </c>
      <c r="H125" s="79">
        <v>0</v>
      </c>
      <c r="I125" s="79">
        <v>0</v>
      </c>
      <c r="J125" s="80"/>
    </row>
    <row r="126" spans="1:10" s="66" customFormat="1" ht="25.15" customHeight="1">
      <c r="A126" s="75"/>
      <c r="B126" s="64" t="s">
        <v>250</v>
      </c>
      <c r="C126" s="76" t="s">
        <v>124</v>
      </c>
      <c r="D126" s="79">
        <v>70</v>
      </c>
      <c r="E126" s="79">
        <v>17</v>
      </c>
      <c r="F126" s="79">
        <v>0</v>
      </c>
      <c r="G126" s="79">
        <v>10</v>
      </c>
      <c r="H126" s="79">
        <v>1</v>
      </c>
      <c r="I126" s="79">
        <v>0</v>
      </c>
      <c r="J126" s="80"/>
    </row>
    <row r="127" spans="1:10" s="66" customFormat="1" ht="25.15" customHeight="1">
      <c r="A127" s="75"/>
      <c r="B127" s="64" t="s">
        <v>69</v>
      </c>
      <c r="C127" s="76" t="s">
        <v>251</v>
      </c>
      <c r="D127" s="79">
        <v>4</v>
      </c>
      <c r="E127" s="79">
        <v>1</v>
      </c>
      <c r="F127" s="79">
        <f>3/136*3</f>
        <v>6.6176470588235295E-2</v>
      </c>
      <c r="G127" s="79">
        <v>1</v>
      </c>
      <c r="H127" s="79">
        <v>0</v>
      </c>
      <c r="I127" s="79">
        <v>0</v>
      </c>
      <c r="J127" s="80"/>
    </row>
    <row r="128" spans="1:10" s="66" customFormat="1" ht="25.15" customHeight="1">
      <c r="A128" s="75"/>
      <c r="B128" s="78" t="s">
        <v>252</v>
      </c>
      <c r="C128" s="76" t="s">
        <v>146</v>
      </c>
      <c r="D128" s="85">
        <v>9</v>
      </c>
      <c r="E128" s="79">
        <v>2</v>
      </c>
      <c r="F128" s="79">
        <v>0</v>
      </c>
      <c r="G128" s="79">
        <v>1</v>
      </c>
      <c r="H128" s="79">
        <v>0</v>
      </c>
      <c r="I128" s="79">
        <v>0</v>
      </c>
      <c r="J128" s="80"/>
    </row>
    <row r="129" spans="1:10" s="66" customFormat="1" ht="25.15" customHeight="1">
      <c r="A129" s="75"/>
      <c r="B129" s="64" t="s">
        <v>253</v>
      </c>
      <c r="C129" s="76" t="s">
        <v>124</v>
      </c>
      <c r="D129" s="79">
        <v>180</v>
      </c>
      <c r="E129" s="79">
        <v>16</v>
      </c>
      <c r="F129" s="79">
        <v>3</v>
      </c>
      <c r="G129" s="79">
        <v>210</v>
      </c>
      <c r="H129" s="79">
        <v>10</v>
      </c>
      <c r="I129" s="79">
        <v>5</v>
      </c>
      <c r="J129" s="80"/>
    </row>
    <row r="130" spans="1:10" s="66" customFormat="1" ht="25.15" customHeight="1">
      <c r="A130" s="75"/>
      <c r="B130" s="78" t="s">
        <v>89</v>
      </c>
      <c r="C130" s="76" t="s">
        <v>124</v>
      </c>
      <c r="D130" s="79">
        <f>80/12</f>
        <v>6.666666666666667</v>
      </c>
      <c r="E130" s="79">
        <f>16/12</f>
        <v>1.3333333333333333</v>
      </c>
      <c r="F130" s="79">
        <v>0</v>
      </c>
      <c r="G130" s="79">
        <f>85/12</f>
        <v>7.083333333333333</v>
      </c>
      <c r="H130" s="79">
        <f>2/12</f>
        <v>0.16666666666666666</v>
      </c>
      <c r="I130" s="79">
        <v>0</v>
      </c>
      <c r="J130" s="80"/>
    </row>
    <row r="131" spans="1:10" s="66" customFormat="1" ht="25.15" customHeight="1">
      <c r="A131" s="75"/>
      <c r="B131" s="78" t="s">
        <v>79</v>
      </c>
      <c r="C131" s="76" t="s">
        <v>124</v>
      </c>
      <c r="D131" s="79">
        <f>80/12</f>
        <v>6.666666666666667</v>
      </c>
      <c r="E131" s="79">
        <f>17/12</f>
        <v>1.4166666666666667</v>
      </c>
      <c r="F131" s="79">
        <v>0</v>
      </c>
      <c r="G131" s="79">
        <f>85/12</f>
        <v>7.083333333333333</v>
      </c>
      <c r="H131" s="79">
        <f>2/12</f>
        <v>0.16666666666666666</v>
      </c>
      <c r="I131" s="79">
        <v>0</v>
      </c>
      <c r="J131" s="80" t="s">
        <v>142</v>
      </c>
    </row>
    <row r="132" spans="1:10" s="66" customFormat="1" ht="25.15" customHeight="1">
      <c r="A132" s="75"/>
      <c r="B132" s="64" t="s">
        <v>17</v>
      </c>
      <c r="C132" s="76" t="s">
        <v>116</v>
      </c>
      <c r="D132" s="79">
        <v>34</v>
      </c>
      <c r="E132" s="79">
        <v>8</v>
      </c>
      <c r="F132" s="79">
        <v>4</v>
      </c>
      <c r="G132" s="79">
        <v>7</v>
      </c>
      <c r="H132" s="79">
        <v>2</v>
      </c>
      <c r="I132" s="79">
        <v>0</v>
      </c>
      <c r="J132" s="80"/>
    </row>
    <row r="133" spans="1:10" s="66" customFormat="1" ht="25.15" customHeight="1">
      <c r="A133" s="75"/>
      <c r="B133" s="64" t="s">
        <v>254</v>
      </c>
      <c r="C133" s="76" t="s">
        <v>119</v>
      </c>
      <c r="D133" s="79">
        <f>34/110</f>
        <v>0.30909090909090908</v>
      </c>
      <c r="E133" s="79">
        <f>8/110</f>
        <v>7.2727272727272724E-2</v>
      </c>
      <c r="F133" s="79">
        <f>4/110</f>
        <v>3.6363636363636362E-2</v>
      </c>
      <c r="G133" s="79">
        <f>7/110</f>
        <v>6.363636363636363E-2</v>
      </c>
      <c r="H133" s="79">
        <f>2/110</f>
        <v>1.8181818181818181E-2</v>
      </c>
      <c r="I133" s="79">
        <v>0</v>
      </c>
      <c r="J133" s="80"/>
    </row>
    <row r="134" spans="1:10" s="66" customFormat="1" ht="25.15" customHeight="1">
      <c r="A134" s="75"/>
      <c r="B134" s="78" t="s">
        <v>76</v>
      </c>
      <c r="C134" s="76" t="s">
        <v>124</v>
      </c>
      <c r="D134" s="79">
        <v>4.8</v>
      </c>
      <c r="E134" s="79">
        <v>1.1000000000000001</v>
      </c>
      <c r="F134" s="79">
        <v>0.4</v>
      </c>
      <c r="G134" s="79">
        <v>2.4</v>
      </c>
      <c r="H134" s="79">
        <v>0.3</v>
      </c>
      <c r="I134" s="79">
        <v>0</v>
      </c>
      <c r="J134" s="81" t="s">
        <v>255</v>
      </c>
    </row>
    <row r="135" spans="1:10" s="66" customFormat="1" ht="25.15" customHeight="1">
      <c r="A135" s="75"/>
      <c r="B135" s="64" t="s">
        <v>256</v>
      </c>
      <c r="C135" s="76" t="s">
        <v>116</v>
      </c>
      <c r="D135" s="79">
        <v>30</v>
      </c>
      <c r="E135" s="79">
        <v>6.91</v>
      </c>
      <c r="F135" s="79">
        <v>2.5</v>
      </c>
      <c r="G135" s="79">
        <v>4</v>
      </c>
      <c r="H135" s="79">
        <v>1.28</v>
      </c>
      <c r="I135" s="79">
        <v>0</v>
      </c>
      <c r="J135" s="80"/>
    </row>
    <row r="136" spans="1:10" s="66" customFormat="1" ht="25.15" customHeight="1">
      <c r="A136" s="75"/>
      <c r="B136" s="64" t="s">
        <v>257</v>
      </c>
      <c r="C136" s="76" t="s">
        <v>119</v>
      </c>
      <c r="D136" s="79">
        <f>182/85</f>
        <v>2.1411764705882352</v>
      </c>
      <c r="E136" s="79">
        <v>0</v>
      </c>
      <c r="F136" s="79">
        <v>0</v>
      </c>
      <c r="G136" s="79">
        <f>52/85</f>
        <v>0.61176470588235299</v>
      </c>
      <c r="H136" s="79">
        <f>23/85</f>
        <v>0.27058823529411763</v>
      </c>
      <c r="I136" s="79">
        <f>73/85</f>
        <v>0.85882352941176465</v>
      </c>
      <c r="J136" s="80"/>
    </row>
    <row r="137" spans="1:10" s="66" customFormat="1" ht="25.15" customHeight="1">
      <c r="A137" s="75"/>
      <c r="B137" s="64" t="s">
        <v>24</v>
      </c>
      <c r="C137" s="76" t="s">
        <v>119</v>
      </c>
      <c r="D137" s="79">
        <f>1150/453.5924</f>
        <v>2.5353158474436519</v>
      </c>
      <c r="E137" s="79">
        <v>0</v>
      </c>
      <c r="F137" s="79">
        <v>0</v>
      </c>
      <c r="G137" s="79">
        <f>322/453.5924</f>
        <v>0.70988843728422257</v>
      </c>
      <c r="H137" s="79">
        <f>78/453.5924</f>
        <v>0.17196055313096076</v>
      </c>
      <c r="I137" s="79">
        <v>0.71</v>
      </c>
      <c r="J137" s="81" t="s">
        <v>258</v>
      </c>
    </row>
    <row r="138" spans="1:10" s="66" customFormat="1" ht="25.15" customHeight="1">
      <c r="A138" s="75"/>
      <c r="B138" s="64" t="s">
        <v>259</v>
      </c>
      <c r="C138" s="76" t="s">
        <v>124</v>
      </c>
      <c r="D138" s="79">
        <v>250</v>
      </c>
      <c r="E138" s="79">
        <v>23</v>
      </c>
      <c r="F138" s="79">
        <v>1</v>
      </c>
      <c r="G138" s="79">
        <v>660</v>
      </c>
      <c r="H138" s="79">
        <v>15</v>
      </c>
      <c r="I138" s="79">
        <v>30</v>
      </c>
      <c r="J138" s="80" t="s">
        <v>142</v>
      </c>
    </row>
    <row r="139" spans="1:10" s="66" customFormat="1" ht="25.15" customHeight="1">
      <c r="A139" s="75"/>
      <c r="B139" s="64" t="s">
        <v>260</v>
      </c>
      <c r="C139" s="76" t="s">
        <v>124</v>
      </c>
      <c r="D139" s="79">
        <v>130</v>
      </c>
      <c r="E139" s="79">
        <v>24</v>
      </c>
      <c r="F139" s="79">
        <v>1</v>
      </c>
      <c r="G139" s="79">
        <v>180</v>
      </c>
      <c r="H139" s="79">
        <v>4</v>
      </c>
      <c r="I139" s="79">
        <v>0</v>
      </c>
      <c r="J139" s="80"/>
    </row>
    <row r="140" spans="1:10" s="66" customFormat="1" ht="25.15" customHeight="1">
      <c r="A140" s="75"/>
      <c r="B140" s="78" t="s">
        <v>261</v>
      </c>
      <c r="C140" s="76" t="s">
        <v>116</v>
      </c>
      <c r="D140" s="85">
        <v>722</v>
      </c>
      <c r="E140" s="79">
        <v>19</v>
      </c>
      <c r="F140" s="79">
        <v>11</v>
      </c>
      <c r="G140" s="79">
        <v>0</v>
      </c>
      <c r="H140" s="79">
        <v>17</v>
      </c>
      <c r="I140" s="79">
        <v>0</v>
      </c>
      <c r="J140" s="80"/>
    </row>
    <row r="141" spans="1:10" s="66" customFormat="1" ht="25.15" customHeight="1">
      <c r="A141" s="75"/>
      <c r="B141" s="64" t="s">
        <v>262</v>
      </c>
      <c r="C141" s="76" t="s">
        <v>124</v>
      </c>
      <c r="D141" s="79">
        <v>-2</v>
      </c>
      <c r="E141" s="79"/>
      <c r="F141" s="79"/>
      <c r="G141" s="79"/>
      <c r="H141" s="79"/>
      <c r="I141" s="79"/>
      <c r="J141" s="80"/>
    </row>
    <row r="142" spans="1:10" s="66" customFormat="1" ht="25.15" customHeight="1">
      <c r="A142" s="75"/>
      <c r="B142" s="64" t="s">
        <v>263</v>
      </c>
      <c r="C142" s="76" t="s">
        <v>218</v>
      </c>
      <c r="D142" s="79">
        <v>-1</v>
      </c>
      <c r="E142" s="79"/>
      <c r="F142" s="79"/>
      <c r="G142" s="79"/>
      <c r="H142" s="79"/>
      <c r="I142" s="79"/>
      <c r="J142" s="80"/>
    </row>
    <row r="143" spans="1:10" s="66" customFormat="1" ht="25.15" customHeight="1">
      <c r="A143" s="75"/>
      <c r="B143" s="78" t="s">
        <v>102</v>
      </c>
      <c r="C143" s="76" t="s">
        <v>146</v>
      </c>
      <c r="D143" s="79">
        <f>90/2</f>
        <v>45</v>
      </c>
      <c r="E143" s="79">
        <f>20/2</f>
        <v>10</v>
      </c>
      <c r="F143" s="79">
        <v>0</v>
      </c>
      <c r="G143" s="79">
        <f>1090/2</f>
        <v>545</v>
      </c>
      <c r="H143" s="79">
        <v>0</v>
      </c>
      <c r="I143" s="79">
        <v>0</v>
      </c>
      <c r="J143" s="80" t="s">
        <v>142</v>
      </c>
    </row>
    <row r="144" spans="1:10" s="66" customFormat="1" ht="25.15" customHeight="1">
      <c r="A144" s="75"/>
      <c r="B144" s="78" t="s">
        <v>74</v>
      </c>
      <c r="C144" s="76" t="s">
        <v>124</v>
      </c>
      <c r="D144" s="79">
        <v>130</v>
      </c>
      <c r="E144" s="79">
        <v>5</v>
      </c>
      <c r="F144" s="79">
        <v>0</v>
      </c>
      <c r="G144" s="79">
        <v>150</v>
      </c>
      <c r="H144" s="79">
        <v>1</v>
      </c>
      <c r="I144" s="79">
        <v>10</v>
      </c>
      <c r="J144" s="80" t="s">
        <v>149</v>
      </c>
    </row>
    <row r="145" spans="1:10" s="66" customFormat="1" ht="25.15" customHeight="1">
      <c r="A145" s="75"/>
      <c r="B145" s="64" t="s">
        <v>264</v>
      </c>
      <c r="C145" s="76" t="s">
        <v>216</v>
      </c>
      <c r="D145" s="79">
        <v>0</v>
      </c>
      <c r="E145" s="79">
        <v>0</v>
      </c>
      <c r="F145" s="79">
        <v>0</v>
      </c>
      <c r="G145" s="79">
        <v>240</v>
      </c>
      <c r="H145" s="79">
        <v>0</v>
      </c>
      <c r="I145" s="79">
        <v>0</v>
      </c>
      <c r="J145" s="80"/>
    </row>
    <row r="146" spans="1:10" s="66" customFormat="1" ht="25.15" customHeight="1">
      <c r="A146" s="75"/>
      <c r="B146" s="64" t="s">
        <v>265</v>
      </c>
      <c r="C146" s="76" t="s">
        <v>119</v>
      </c>
      <c r="D146" s="79">
        <v>1.8</v>
      </c>
      <c r="E146" s="79">
        <v>0.2</v>
      </c>
      <c r="F146" s="79">
        <v>0.04</v>
      </c>
      <c r="G146" s="79">
        <v>2.4</v>
      </c>
      <c r="H146" s="79">
        <v>0.08</v>
      </c>
      <c r="I146" s="79">
        <v>0</v>
      </c>
      <c r="J146" s="80"/>
    </row>
    <row r="147" spans="1:10" s="66" customFormat="1" ht="25.15" customHeight="1">
      <c r="A147" s="75"/>
      <c r="B147" s="64" t="s">
        <v>266</v>
      </c>
      <c r="C147" s="76" t="s">
        <v>124</v>
      </c>
      <c r="D147" s="79">
        <v>110</v>
      </c>
      <c r="E147" s="79">
        <v>29</v>
      </c>
      <c r="F147" s="79">
        <v>0</v>
      </c>
      <c r="G147" s="79">
        <v>35</v>
      </c>
      <c r="H147" s="79">
        <v>0</v>
      </c>
      <c r="I147" s="79">
        <v>0</v>
      </c>
      <c r="J147" s="80"/>
    </row>
    <row r="148" spans="1:10" s="66" customFormat="1" ht="25.15" customHeight="1">
      <c r="A148" s="75"/>
      <c r="B148" s="78" t="s">
        <v>267</v>
      </c>
      <c r="C148" s="76" t="s">
        <v>124</v>
      </c>
      <c r="D148" s="79">
        <v>27</v>
      </c>
      <c r="E148" s="79">
        <v>6</v>
      </c>
      <c r="F148" s="79">
        <v>3</v>
      </c>
      <c r="G148" s="79">
        <v>1</v>
      </c>
      <c r="H148" s="79">
        <v>1</v>
      </c>
      <c r="I148" s="79">
        <v>0</v>
      </c>
      <c r="J148" s="80"/>
    </row>
    <row r="149" spans="1:10" s="66" customFormat="1" ht="25.15" customHeight="1">
      <c r="A149" s="75"/>
      <c r="B149" s="78" t="s">
        <v>268</v>
      </c>
      <c r="C149" s="76" t="s">
        <v>124</v>
      </c>
      <c r="D149" s="79">
        <v>-0.5</v>
      </c>
      <c r="E149" s="79"/>
      <c r="F149" s="79"/>
      <c r="G149" s="79"/>
      <c r="H149" s="79"/>
      <c r="I149" s="79"/>
      <c r="J149" s="80"/>
    </row>
    <row r="150" spans="1:10" s="66" customFormat="1" ht="25.15" customHeight="1">
      <c r="A150" s="75"/>
      <c r="B150" s="64" t="s">
        <v>269</v>
      </c>
      <c r="C150" s="76" t="s">
        <v>124</v>
      </c>
      <c r="D150" s="79">
        <v>-2</v>
      </c>
      <c r="E150" s="79"/>
      <c r="F150" s="79"/>
      <c r="G150" s="79"/>
      <c r="H150" s="79"/>
      <c r="I150" s="79"/>
      <c r="J150" s="80"/>
    </row>
    <row r="151" spans="1:10" s="66" customFormat="1" ht="25.15" customHeight="1">
      <c r="A151" s="75"/>
      <c r="B151" s="64" t="s">
        <v>270</v>
      </c>
      <c r="C151" s="76" t="s">
        <v>124</v>
      </c>
      <c r="D151" s="79">
        <v>120</v>
      </c>
      <c r="E151" s="79">
        <v>22</v>
      </c>
      <c r="F151" s="79">
        <v>1</v>
      </c>
      <c r="G151" s="79">
        <v>190</v>
      </c>
      <c r="H151" s="79">
        <v>4</v>
      </c>
      <c r="I151" s="79">
        <v>0</v>
      </c>
      <c r="J151" s="80"/>
    </row>
    <row r="152" spans="1:10" s="66" customFormat="1" ht="25.15" customHeight="1">
      <c r="A152" s="75"/>
      <c r="B152" s="64" t="s">
        <v>271</v>
      </c>
      <c r="C152" s="76" t="s">
        <v>119</v>
      </c>
      <c r="D152" s="79">
        <f>33/67</f>
        <v>0.4925373134328358</v>
      </c>
      <c r="E152" s="79">
        <f>7/67</f>
        <v>0.1044776119402985</v>
      </c>
      <c r="F152" s="79">
        <f>1/67</f>
        <v>1.4925373134328358E-2</v>
      </c>
      <c r="G152" s="79">
        <f>29/67</f>
        <v>0.43283582089552236</v>
      </c>
      <c r="H152" s="79">
        <f>2/67</f>
        <v>2.9850746268656716E-2</v>
      </c>
      <c r="I152" s="79">
        <v>0</v>
      </c>
      <c r="J152" s="80"/>
    </row>
    <row r="153" spans="1:10" s="66" customFormat="1" ht="25.15" customHeight="1">
      <c r="A153" s="75"/>
      <c r="B153" s="64" t="s">
        <v>272</v>
      </c>
      <c r="C153" s="76" t="s">
        <v>146</v>
      </c>
      <c r="D153" s="79">
        <v>20</v>
      </c>
      <c r="E153" s="79">
        <v>5</v>
      </c>
      <c r="F153" s="79">
        <v>0</v>
      </c>
      <c r="G153" s="79">
        <v>160</v>
      </c>
      <c r="H153" s="79">
        <v>0</v>
      </c>
      <c r="I153" s="79">
        <v>0</v>
      </c>
      <c r="J153" s="80"/>
    </row>
    <row r="154" spans="1:10" s="66" customFormat="1" ht="25.15" customHeight="1">
      <c r="A154" s="75"/>
      <c r="B154" s="78" t="s">
        <v>60</v>
      </c>
      <c r="C154" s="76" t="s">
        <v>146</v>
      </c>
      <c r="D154" s="79">
        <v>5</v>
      </c>
      <c r="E154" s="79">
        <f>2/2</f>
        <v>1</v>
      </c>
      <c r="F154" s="79">
        <f>1/2</f>
        <v>0.5</v>
      </c>
      <c r="G154" s="79">
        <f>280/2</f>
        <v>140</v>
      </c>
      <c r="H154" s="79">
        <f>1/2</f>
        <v>0.5</v>
      </c>
      <c r="I154" s="79">
        <v>0</v>
      </c>
      <c r="J154" s="80"/>
    </row>
    <row r="155" spans="1:10" s="66" customFormat="1" ht="25.15" customHeight="1">
      <c r="A155" s="75"/>
      <c r="B155" s="78" t="s">
        <v>93</v>
      </c>
      <c r="C155" s="76" t="s">
        <v>124</v>
      </c>
      <c r="D155" s="79">
        <v>50</v>
      </c>
      <c r="E155" s="79">
        <v>2</v>
      </c>
      <c r="F155" s="79">
        <v>0</v>
      </c>
      <c r="G155" s="79">
        <v>230</v>
      </c>
      <c r="H155" s="79">
        <v>3</v>
      </c>
      <c r="I155" s="79">
        <v>15</v>
      </c>
      <c r="J155" s="81" t="s">
        <v>273</v>
      </c>
    </row>
    <row r="156" spans="1:10" s="66" customFormat="1" ht="25.15" customHeight="1">
      <c r="A156" s="75"/>
      <c r="B156" s="64" t="s">
        <v>274</v>
      </c>
      <c r="C156" s="76" t="s">
        <v>275</v>
      </c>
      <c r="D156" s="79">
        <f>220*4</f>
        <v>880</v>
      </c>
      <c r="E156" s="79">
        <f>35*4</f>
        <v>140</v>
      </c>
      <c r="F156" s="79">
        <f>2*4</f>
        <v>8</v>
      </c>
      <c r="G156" s="79">
        <f>350*4</f>
        <v>1400</v>
      </c>
      <c r="H156" s="79">
        <f>7*4</f>
        <v>28</v>
      </c>
      <c r="I156" s="79">
        <f>5*4</f>
        <v>20</v>
      </c>
      <c r="J156" s="80"/>
    </row>
    <row r="157" spans="1:10" s="66" customFormat="1" ht="25.15" customHeight="1">
      <c r="A157" s="75"/>
      <c r="B157" s="78" t="s">
        <v>58</v>
      </c>
      <c r="C157" s="76" t="s">
        <v>146</v>
      </c>
      <c r="D157" s="79">
        <v>3.2</v>
      </c>
      <c r="E157" s="79">
        <v>1</v>
      </c>
      <c r="F157" s="79">
        <v>0</v>
      </c>
      <c r="G157" s="79">
        <v>3.2</v>
      </c>
      <c r="H157" s="79">
        <v>0.1</v>
      </c>
      <c r="I157" s="79">
        <v>0</v>
      </c>
      <c r="J157" s="80"/>
    </row>
    <row r="158" spans="1:10" s="66" customFormat="1" ht="25.15" customHeight="1">
      <c r="A158" s="75"/>
      <c r="B158" s="64" t="s">
        <v>276</v>
      </c>
      <c r="C158" s="76" t="s">
        <v>140</v>
      </c>
      <c r="D158" s="79">
        <f>160*540/250</f>
        <v>345.6</v>
      </c>
      <c r="E158" s="79">
        <f>27*540/250</f>
        <v>58.32</v>
      </c>
      <c r="F158" s="79">
        <f>6*540/250</f>
        <v>12.96</v>
      </c>
      <c r="G158" s="79">
        <f>250*540/250</f>
        <v>540</v>
      </c>
      <c r="H158" s="79">
        <f>12*540/250</f>
        <v>25.92</v>
      </c>
      <c r="I158" s="79">
        <v>0</v>
      </c>
      <c r="J158" s="80" t="s">
        <v>142</v>
      </c>
    </row>
    <row r="159" spans="1:10" s="66" customFormat="1" ht="25.15" customHeight="1">
      <c r="A159" s="75"/>
      <c r="B159" s="78" t="s">
        <v>277</v>
      </c>
      <c r="C159" s="76" t="s">
        <v>119</v>
      </c>
      <c r="D159" s="79">
        <f>165/100</f>
        <v>1.65</v>
      </c>
      <c r="E159" s="79">
        <f>18.73/100</f>
        <v>0.18729999999999999</v>
      </c>
      <c r="F159" s="79">
        <f>7.4/100</f>
        <v>7.400000000000001E-2</v>
      </c>
      <c r="G159" s="79">
        <f>220/100</f>
        <v>2.2000000000000002</v>
      </c>
      <c r="H159" s="79">
        <f>8.39/100</f>
        <v>8.3900000000000002E-2</v>
      </c>
      <c r="I159" s="79">
        <v>0</v>
      </c>
      <c r="J159" s="81" t="s">
        <v>278</v>
      </c>
    </row>
    <row r="160" spans="1:10" s="66" customFormat="1" ht="25.15" customHeight="1">
      <c r="A160" s="75"/>
      <c r="B160" s="78" t="s">
        <v>62</v>
      </c>
      <c r="C160" s="76" t="s">
        <v>116</v>
      </c>
      <c r="D160" s="79">
        <f>120*4</f>
        <v>480</v>
      </c>
      <c r="E160" s="79">
        <f>22*4</f>
        <v>88</v>
      </c>
      <c r="F160" s="79">
        <f>4*4</f>
        <v>16</v>
      </c>
      <c r="G160" s="79">
        <v>0</v>
      </c>
      <c r="H160" s="79">
        <f>9*4</f>
        <v>36</v>
      </c>
      <c r="I160" s="79">
        <v>0</v>
      </c>
      <c r="J160" s="80" t="s">
        <v>142</v>
      </c>
    </row>
    <row r="161" spans="1:10" s="66" customFormat="1" ht="25.15" customHeight="1">
      <c r="A161" s="75"/>
      <c r="B161" s="78" t="s">
        <v>90</v>
      </c>
      <c r="C161" s="76" t="s">
        <v>119</v>
      </c>
      <c r="D161" s="79">
        <f>120/35</f>
        <v>3.4285714285714284</v>
      </c>
      <c r="E161" s="79">
        <f>22/35</f>
        <v>0.62857142857142856</v>
      </c>
      <c r="F161" s="79">
        <f>4/35</f>
        <v>0.11428571428571428</v>
      </c>
      <c r="G161" s="79">
        <v>0</v>
      </c>
      <c r="H161" s="79">
        <f>9/35</f>
        <v>0.25714285714285712</v>
      </c>
      <c r="I161" s="79">
        <v>0</v>
      </c>
      <c r="J161" s="80" t="s">
        <v>142</v>
      </c>
    </row>
    <row r="162" spans="1:10" s="66" customFormat="1" ht="25.15" customHeight="1">
      <c r="A162" s="75"/>
      <c r="B162" s="78" t="s">
        <v>61</v>
      </c>
      <c r="C162" s="76" t="s">
        <v>279</v>
      </c>
      <c r="D162" s="79">
        <v>2</v>
      </c>
      <c r="E162" s="79">
        <v>0.33</v>
      </c>
      <c r="F162" s="79">
        <v>0.2</v>
      </c>
      <c r="G162" s="79">
        <v>1</v>
      </c>
      <c r="H162" s="79">
        <v>0.2</v>
      </c>
      <c r="I162" s="79">
        <v>0</v>
      </c>
      <c r="J162" s="81" t="s">
        <v>280</v>
      </c>
    </row>
    <row r="163" spans="1:10" s="66" customFormat="1" ht="25.15" customHeight="1">
      <c r="A163" s="75"/>
      <c r="B163" s="78" t="s">
        <v>281</v>
      </c>
      <c r="C163" s="76" t="s">
        <v>116</v>
      </c>
      <c r="D163" s="79">
        <v>7</v>
      </c>
      <c r="E163" s="79">
        <v>1.23</v>
      </c>
      <c r="F163" s="79">
        <v>0.6</v>
      </c>
      <c r="G163" s="79">
        <v>3</v>
      </c>
      <c r="H163" s="79">
        <v>0.74</v>
      </c>
      <c r="I163" s="79">
        <v>0</v>
      </c>
      <c r="J163" s="114" t="s">
        <v>280</v>
      </c>
    </row>
    <row r="164" spans="1:10" s="66" customFormat="1" ht="25.15" customHeight="1">
      <c r="A164" s="75"/>
      <c r="B164" s="64" t="s">
        <v>282</v>
      </c>
      <c r="C164" s="76" t="s">
        <v>116</v>
      </c>
      <c r="D164" s="79">
        <v>10</v>
      </c>
      <c r="E164" s="79">
        <v>2.1</v>
      </c>
      <c r="F164" s="79">
        <v>0.9</v>
      </c>
      <c r="G164" s="79">
        <v>7.2</v>
      </c>
      <c r="H164" s="79">
        <v>0.6</v>
      </c>
      <c r="I164" s="79">
        <v>0</v>
      </c>
      <c r="J164" s="80"/>
    </row>
    <row r="165" spans="1:10" s="66" customFormat="1" ht="25.15" customHeight="1">
      <c r="A165" s="75"/>
      <c r="B165" s="64" t="s">
        <v>282</v>
      </c>
      <c r="C165" s="76" t="s">
        <v>119</v>
      </c>
      <c r="D165" s="79">
        <f>10/72</f>
        <v>0.1388888888888889</v>
      </c>
      <c r="E165" s="79">
        <f>2.1/72</f>
        <v>2.9166666666666667E-2</v>
      </c>
      <c r="F165" s="79">
        <f>0.9/72</f>
        <v>1.2500000000000001E-2</v>
      </c>
      <c r="G165" s="79">
        <f>7.2/72</f>
        <v>0.1</v>
      </c>
      <c r="H165" s="79">
        <f>0.6/72</f>
        <v>8.3333333333333332E-3</v>
      </c>
      <c r="I165" s="79">
        <v>0</v>
      </c>
      <c r="J165" s="80"/>
    </row>
    <row r="166" spans="1:10" s="66" customFormat="1" ht="25.15" customHeight="1">
      <c r="A166" s="75"/>
      <c r="B166" s="64" t="s">
        <v>283</v>
      </c>
      <c r="C166" s="76" t="s">
        <v>124</v>
      </c>
      <c r="D166" s="79">
        <v>219</v>
      </c>
      <c r="E166" s="79">
        <v>24</v>
      </c>
      <c r="F166" s="79">
        <v>2</v>
      </c>
      <c r="G166" s="79">
        <v>999</v>
      </c>
      <c r="H166" s="79">
        <v>8</v>
      </c>
      <c r="I166" s="79">
        <v>16</v>
      </c>
      <c r="J166" s="80"/>
    </row>
    <row r="167" spans="1:10" s="66" customFormat="1" ht="25.15" customHeight="1">
      <c r="A167" s="75"/>
      <c r="B167" s="64" t="s">
        <v>284</v>
      </c>
      <c r="C167" s="76" t="s">
        <v>116</v>
      </c>
      <c r="D167" s="79">
        <v>93.100000000000009</v>
      </c>
      <c r="E167" s="79">
        <v>25.270000000000003</v>
      </c>
      <c r="F167" s="79">
        <v>2.66</v>
      </c>
      <c r="G167" s="79">
        <v>0</v>
      </c>
      <c r="H167" s="79">
        <v>1.33</v>
      </c>
      <c r="I167" s="79">
        <v>0</v>
      </c>
      <c r="J167" s="80"/>
    </row>
    <row r="168" spans="1:10" s="66" customFormat="1" ht="25.15" customHeight="1">
      <c r="A168" s="75"/>
      <c r="B168" s="64" t="s">
        <v>285</v>
      </c>
      <c r="C168" s="76" t="s">
        <v>119</v>
      </c>
      <c r="D168" s="79">
        <f>80/140</f>
        <v>0.5714285714285714</v>
      </c>
      <c r="E168" s="79">
        <f>21/140</f>
        <v>0.15</v>
      </c>
      <c r="F168" s="79">
        <f>2/140</f>
        <v>1.4285714285714285E-2</v>
      </c>
      <c r="G168" s="79">
        <v>0</v>
      </c>
      <c r="H168" s="79">
        <f>1/140</f>
        <v>7.1428571428571426E-3</v>
      </c>
      <c r="I168" s="79">
        <v>0</v>
      </c>
      <c r="J168" s="80"/>
    </row>
    <row r="169" spans="1:10" s="66" customFormat="1" ht="25.15" customHeight="1">
      <c r="A169" s="75"/>
      <c r="B169" s="64" t="s">
        <v>286</v>
      </c>
      <c r="C169" s="76" t="s">
        <v>146</v>
      </c>
      <c r="D169" s="79">
        <v>52</v>
      </c>
      <c r="E169" s="79">
        <v>13</v>
      </c>
      <c r="F169" s="79">
        <v>0</v>
      </c>
      <c r="G169" s="79">
        <v>2</v>
      </c>
      <c r="H169" s="79">
        <v>0</v>
      </c>
      <c r="I169" s="79">
        <v>0</v>
      </c>
      <c r="J169" s="80"/>
    </row>
    <row r="170" spans="1:10" s="66" customFormat="1" ht="25.15" customHeight="1">
      <c r="A170" s="75"/>
      <c r="B170" s="78" t="s">
        <v>287</v>
      </c>
      <c r="C170" s="76" t="s">
        <v>216</v>
      </c>
      <c r="D170" s="79">
        <v>35</v>
      </c>
      <c r="E170" s="79">
        <v>0</v>
      </c>
      <c r="F170" s="79">
        <v>0</v>
      </c>
      <c r="G170" s="79">
        <v>35</v>
      </c>
      <c r="H170" s="79">
        <v>0</v>
      </c>
      <c r="I170" s="79">
        <v>0</v>
      </c>
      <c r="J170" s="80"/>
    </row>
    <row r="171" spans="1:10" s="66" customFormat="1" ht="25.15" customHeight="1">
      <c r="A171" s="75"/>
      <c r="B171" s="64" t="s">
        <v>288</v>
      </c>
      <c r="C171" s="76" t="s">
        <v>124</v>
      </c>
      <c r="D171" s="79">
        <v>110</v>
      </c>
      <c r="E171" s="79">
        <v>18</v>
      </c>
      <c r="F171" s="79">
        <v>1</v>
      </c>
      <c r="G171" s="79">
        <v>590</v>
      </c>
      <c r="H171" s="79">
        <v>3</v>
      </c>
      <c r="I171" s="79">
        <v>5</v>
      </c>
      <c r="J171" s="80"/>
    </row>
    <row r="172" spans="1:10" s="66" customFormat="1" ht="25.15" customHeight="1">
      <c r="A172" s="75"/>
      <c r="B172" s="78" t="s">
        <v>35</v>
      </c>
      <c r="C172" s="76" t="s">
        <v>146</v>
      </c>
      <c r="D172" s="79">
        <v>90</v>
      </c>
      <c r="E172" s="79">
        <v>0</v>
      </c>
      <c r="F172" s="79">
        <v>0</v>
      </c>
      <c r="G172" s="79">
        <v>90</v>
      </c>
      <c r="H172" s="79">
        <v>0</v>
      </c>
      <c r="I172" s="79">
        <v>5</v>
      </c>
      <c r="J172" s="80"/>
    </row>
    <row r="173" spans="1:10" s="66" customFormat="1" ht="25.15" customHeight="1">
      <c r="A173" s="75"/>
      <c r="B173" s="78" t="s">
        <v>289</v>
      </c>
      <c r="C173" s="76" t="s">
        <v>124</v>
      </c>
      <c r="D173" s="79">
        <v>430</v>
      </c>
      <c r="E173" s="79">
        <v>31</v>
      </c>
      <c r="F173" s="79">
        <v>2</v>
      </c>
      <c r="G173" s="79">
        <v>850</v>
      </c>
      <c r="H173" s="79">
        <v>20</v>
      </c>
      <c r="I173" s="79">
        <v>225</v>
      </c>
      <c r="J173" s="80"/>
    </row>
    <row r="174" spans="1:10" s="66" customFormat="1" ht="25.15" customHeight="1">
      <c r="A174" s="75"/>
      <c r="B174" s="78" t="s">
        <v>290</v>
      </c>
      <c r="C174" s="76" t="s">
        <v>124</v>
      </c>
      <c r="D174" s="79">
        <f>240/6</f>
        <v>40</v>
      </c>
      <c r="E174" s="79">
        <f>4/6</f>
        <v>0.66666666666666663</v>
      </c>
      <c r="F174" s="79">
        <f>1/6</f>
        <v>0.16666666666666666</v>
      </c>
      <c r="G174" s="79">
        <f>380/6</f>
        <v>63.333333333333336</v>
      </c>
      <c r="H174" s="79">
        <f>14/6</f>
        <v>2.3333333333333335</v>
      </c>
      <c r="I174" s="79">
        <f>100/6</f>
        <v>16.666666666666668</v>
      </c>
      <c r="J174" s="80"/>
    </row>
    <row r="175" spans="1:10" s="66" customFormat="1" ht="25.15" customHeight="1">
      <c r="A175" s="75"/>
      <c r="B175" s="78" t="s">
        <v>291</v>
      </c>
      <c r="C175" s="76" t="s">
        <v>116</v>
      </c>
      <c r="D175" s="79">
        <v>122</v>
      </c>
      <c r="E175" s="79">
        <v>12</v>
      </c>
      <c r="F175" s="79">
        <v>0</v>
      </c>
      <c r="G175" s="79">
        <v>100</v>
      </c>
      <c r="H175" s="79">
        <v>8</v>
      </c>
      <c r="I175" s="79">
        <v>20</v>
      </c>
      <c r="J175" s="80"/>
    </row>
    <row r="176" spans="1:10" s="66" customFormat="1" ht="25.15" customHeight="1">
      <c r="A176" s="75"/>
      <c r="B176" s="78" t="s">
        <v>292</v>
      </c>
      <c r="C176" s="76" t="s">
        <v>119</v>
      </c>
      <c r="D176" s="79">
        <f>118/100</f>
        <v>1.18</v>
      </c>
      <c r="E176" s="79">
        <f>23.57/100</f>
        <v>0.23569999999999999</v>
      </c>
      <c r="F176" s="79">
        <f>1.3/100</f>
        <v>1.3000000000000001E-2</v>
      </c>
      <c r="G176" s="79">
        <f>168/100</f>
        <v>1.68</v>
      </c>
      <c r="H176" s="79">
        <f>3.5/100</f>
        <v>3.5000000000000003E-2</v>
      </c>
      <c r="I176" s="79">
        <v>0</v>
      </c>
      <c r="J176" s="81" t="s">
        <v>293</v>
      </c>
    </row>
    <row r="177" spans="1:10" s="66" customFormat="1" ht="25.15" customHeight="1">
      <c r="A177" s="75"/>
      <c r="B177" s="78" t="s">
        <v>294</v>
      </c>
      <c r="C177" s="76" t="s">
        <v>119</v>
      </c>
      <c r="D177" s="79">
        <f>175/51</f>
        <v>3.4313725490196076</v>
      </c>
      <c r="E177" s="79">
        <f>42/51</f>
        <v>0.82352941176470584</v>
      </c>
      <c r="F177" s="79">
        <f>5/51</f>
        <v>9.8039215686274508E-2</v>
      </c>
      <c r="G177" s="79">
        <f>5/51</f>
        <v>9.8039215686274508E-2</v>
      </c>
      <c r="H177" s="79">
        <f>5/51</f>
        <v>9.8039215686274508E-2</v>
      </c>
      <c r="I177" s="79">
        <v>0</v>
      </c>
      <c r="J177" s="80"/>
    </row>
    <row r="178" spans="1:10" s="66" customFormat="1" ht="25.15" customHeight="1">
      <c r="A178" s="75"/>
      <c r="B178" s="78" t="s">
        <v>97</v>
      </c>
      <c r="C178" s="76" t="s">
        <v>218</v>
      </c>
      <c r="D178" s="79">
        <v>1</v>
      </c>
      <c r="E178" s="79"/>
      <c r="F178" s="79"/>
      <c r="G178" s="79"/>
      <c r="H178" s="79"/>
      <c r="I178" s="79"/>
      <c r="J178" s="80"/>
    </row>
    <row r="179" spans="1:10" s="66" customFormat="1" ht="25.15" customHeight="1">
      <c r="A179" s="75"/>
      <c r="B179" s="78" t="s">
        <v>52</v>
      </c>
      <c r="C179" s="76" t="s">
        <v>124</v>
      </c>
      <c r="D179" s="79">
        <v>0</v>
      </c>
      <c r="E179" s="79">
        <v>0</v>
      </c>
      <c r="F179" s="79">
        <v>0</v>
      </c>
      <c r="G179" s="79">
        <v>0</v>
      </c>
      <c r="H179" s="79">
        <v>0</v>
      </c>
      <c r="I179" s="79">
        <v>0</v>
      </c>
      <c r="J179" s="80"/>
    </row>
    <row r="180" spans="1:10" s="66" customFormat="1" ht="25.15" customHeight="1">
      <c r="A180" s="75"/>
      <c r="B180" s="78" t="s">
        <v>53</v>
      </c>
      <c r="C180" s="76" t="s">
        <v>124</v>
      </c>
      <c r="D180" s="79">
        <v>0</v>
      </c>
      <c r="E180" s="79">
        <v>0</v>
      </c>
      <c r="F180" s="79">
        <v>0</v>
      </c>
      <c r="G180" s="79">
        <v>0</v>
      </c>
      <c r="H180" s="79">
        <v>0</v>
      </c>
      <c r="I180" s="79">
        <v>0</v>
      </c>
      <c r="J180" s="80"/>
    </row>
    <row r="181" spans="1:10" s="66" customFormat="1" ht="25.15" customHeight="1">
      <c r="A181" s="75"/>
      <c r="B181" s="78" t="s">
        <v>295</v>
      </c>
      <c r="C181" s="76" t="s">
        <v>124</v>
      </c>
      <c r="D181" s="79">
        <f>190*2</f>
        <v>380</v>
      </c>
      <c r="E181" s="79">
        <f>27*2</f>
        <v>54</v>
      </c>
      <c r="F181" s="79">
        <v>2</v>
      </c>
      <c r="G181" s="79">
        <v>1200</v>
      </c>
      <c r="H181" s="79">
        <v>0</v>
      </c>
      <c r="I181" s="79">
        <v>0</v>
      </c>
      <c r="J181" s="80"/>
    </row>
    <row r="182" spans="1:10" s="66" customFormat="1" ht="25.15" customHeight="1">
      <c r="A182" s="75"/>
      <c r="B182" s="78" t="s">
        <v>40</v>
      </c>
      <c r="C182" s="76" t="s">
        <v>124</v>
      </c>
      <c r="D182" s="79">
        <v>15</v>
      </c>
      <c r="E182" s="79">
        <v>3</v>
      </c>
      <c r="F182" s="79">
        <v>2</v>
      </c>
      <c r="G182" s="79">
        <v>40</v>
      </c>
      <c r="H182" s="79">
        <v>1</v>
      </c>
      <c r="I182" s="79">
        <v>0</v>
      </c>
      <c r="J182" s="80" t="s">
        <v>142</v>
      </c>
    </row>
    <row r="183" spans="1:10" s="66" customFormat="1" ht="25.15" customHeight="1">
      <c r="A183" s="75"/>
      <c r="B183" s="78" t="s">
        <v>296</v>
      </c>
      <c r="C183" s="76" t="s">
        <v>124</v>
      </c>
      <c r="D183" s="79">
        <v>340</v>
      </c>
      <c r="E183" s="79">
        <v>57</v>
      </c>
      <c r="F183" s="79">
        <v>2</v>
      </c>
      <c r="G183" s="79">
        <v>430</v>
      </c>
      <c r="H183" s="79">
        <v>5</v>
      </c>
      <c r="I183" s="79">
        <v>30</v>
      </c>
      <c r="J183" s="80"/>
    </row>
    <row r="184" spans="1:10" s="66" customFormat="1" ht="25.15" customHeight="1">
      <c r="A184" s="75"/>
      <c r="B184" s="78" t="s">
        <v>297</v>
      </c>
      <c r="C184" s="76" t="s">
        <v>124</v>
      </c>
      <c r="D184" s="79">
        <v>20</v>
      </c>
      <c r="E184" s="79">
        <v>3</v>
      </c>
      <c r="F184" s="79">
        <v>0</v>
      </c>
      <c r="G184" s="79">
        <v>5</v>
      </c>
      <c r="H184" s="79">
        <v>2</v>
      </c>
      <c r="I184" s="79">
        <v>0</v>
      </c>
      <c r="J184" s="80"/>
    </row>
    <row r="185" spans="1:10" s="66" customFormat="1" ht="25.15" customHeight="1">
      <c r="A185" s="75"/>
      <c r="B185" s="78" t="s">
        <v>67</v>
      </c>
      <c r="C185" s="76" t="s">
        <v>119</v>
      </c>
      <c r="D185" s="79">
        <f>3.4/12</f>
        <v>0.28333333333333333</v>
      </c>
      <c r="E185" s="79">
        <f>0.6/12</f>
        <v>4.9999999999999996E-2</v>
      </c>
      <c r="F185" s="79">
        <f>0.3/12</f>
        <v>2.4999999999999998E-2</v>
      </c>
      <c r="G185" s="79">
        <f>0.2/12</f>
        <v>1.6666666666666666E-2</v>
      </c>
      <c r="H185" s="79">
        <f>0.3/12</f>
        <v>2.4999999999999998E-2</v>
      </c>
      <c r="I185" s="79">
        <v>0</v>
      </c>
      <c r="J185" s="81" t="s">
        <v>298</v>
      </c>
    </row>
    <row r="186" spans="1:10" s="66" customFormat="1" ht="25.15" customHeight="1">
      <c r="A186" s="75"/>
      <c r="B186" s="78" t="s">
        <v>49</v>
      </c>
      <c r="C186" s="76" t="s">
        <v>124</v>
      </c>
      <c r="D186" s="79">
        <v>841</v>
      </c>
      <c r="E186" s="79">
        <v>0</v>
      </c>
      <c r="F186" s="79">
        <v>0</v>
      </c>
      <c r="G186" s="79">
        <v>1943</v>
      </c>
      <c r="H186" s="79">
        <v>70</v>
      </c>
      <c r="I186" s="79">
        <v>213</v>
      </c>
      <c r="J186" s="81" t="s">
        <v>299</v>
      </c>
    </row>
    <row r="187" spans="1:10" s="66" customFormat="1" ht="25.15" customHeight="1">
      <c r="A187" s="75"/>
      <c r="B187" s="78" t="s">
        <v>29</v>
      </c>
      <c r="C187" s="76" t="s">
        <v>300</v>
      </c>
      <c r="D187" s="79">
        <v>25</v>
      </c>
      <c r="E187" s="79">
        <v>2</v>
      </c>
      <c r="F187" s="79">
        <v>0</v>
      </c>
      <c r="G187" s="79">
        <v>125</v>
      </c>
      <c r="H187" s="79">
        <v>1</v>
      </c>
      <c r="I187" s="79">
        <v>0</v>
      </c>
      <c r="J187" s="80" t="s">
        <v>142</v>
      </c>
    </row>
    <row r="188" spans="1:10" s="66" customFormat="1" ht="25.15" customHeight="1">
      <c r="A188" s="75"/>
      <c r="B188" s="78" t="s">
        <v>301</v>
      </c>
      <c r="C188" s="76" t="s">
        <v>116</v>
      </c>
      <c r="D188" s="79">
        <v>307</v>
      </c>
      <c r="E188" s="79">
        <v>56</v>
      </c>
      <c r="F188" s="79">
        <v>8</v>
      </c>
      <c r="G188" s="79">
        <v>5</v>
      </c>
      <c r="H188" s="79">
        <v>11</v>
      </c>
      <c r="I188" s="79">
        <v>0</v>
      </c>
      <c r="J188" s="80"/>
    </row>
    <row r="189" spans="1:10" s="66" customFormat="1" ht="25.15" customHeight="1">
      <c r="A189" s="75"/>
      <c r="B189" s="78" t="s">
        <v>15</v>
      </c>
      <c r="C189" s="76" t="s">
        <v>146</v>
      </c>
      <c r="D189" s="79">
        <v>120</v>
      </c>
      <c r="E189" s="79">
        <v>0</v>
      </c>
      <c r="F189" s="79">
        <v>0</v>
      </c>
      <c r="G189" s="79">
        <v>0</v>
      </c>
      <c r="H189" s="79">
        <v>0</v>
      </c>
      <c r="I189" s="79">
        <v>0</v>
      </c>
      <c r="J189" s="80"/>
    </row>
    <row r="190" spans="1:10" s="66" customFormat="1" ht="25.15" customHeight="1">
      <c r="A190" s="75"/>
      <c r="B190" s="78" t="s">
        <v>302</v>
      </c>
      <c r="C190" s="76" t="s">
        <v>216</v>
      </c>
      <c r="D190" s="79">
        <v>41.333333333333336</v>
      </c>
      <c r="E190" s="79">
        <v>0</v>
      </c>
      <c r="F190" s="79">
        <v>0</v>
      </c>
      <c r="G190" s="79">
        <v>0</v>
      </c>
      <c r="H190" s="79">
        <v>0</v>
      </c>
      <c r="I190" s="79">
        <v>0</v>
      </c>
      <c r="J190" s="81" t="s">
        <v>303</v>
      </c>
    </row>
    <row r="191" spans="1:10" s="66" customFormat="1" ht="25.15" customHeight="1">
      <c r="A191" s="75"/>
      <c r="B191" s="78" t="s">
        <v>304</v>
      </c>
      <c r="C191" s="76" t="s">
        <v>146</v>
      </c>
      <c r="D191" s="79">
        <v>124</v>
      </c>
      <c r="E191" s="79">
        <v>0</v>
      </c>
      <c r="F191" s="79">
        <v>0</v>
      </c>
      <c r="G191" s="79">
        <v>0</v>
      </c>
      <c r="H191" s="79">
        <v>0</v>
      </c>
      <c r="I191" s="79">
        <v>0</v>
      </c>
      <c r="J191" s="80"/>
    </row>
    <row r="192" spans="1:10" s="66" customFormat="1" ht="25.15" customHeight="1">
      <c r="A192" s="75"/>
      <c r="B192" s="78" t="s">
        <v>305</v>
      </c>
      <c r="C192" s="76" t="s">
        <v>216</v>
      </c>
      <c r="D192" s="79">
        <v>3.75</v>
      </c>
      <c r="E192" s="79">
        <v>0</v>
      </c>
      <c r="F192" s="79">
        <v>0</v>
      </c>
      <c r="G192" s="79">
        <v>0</v>
      </c>
      <c r="H192" s="79">
        <v>0</v>
      </c>
      <c r="I192" s="79">
        <v>0</v>
      </c>
      <c r="J192" s="80"/>
    </row>
    <row r="193" spans="1:10" s="66" customFormat="1" ht="25.15" customHeight="1">
      <c r="A193" s="75"/>
      <c r="B193" s="78" t="s">
        <v>64</v>
      </c>
      <c r="C193" s="76" t="s">
        <v>116</v>
      </c>
      <c r="D193" s="79">
        <v>31</v>
      </c>
      <c r="E193" s="79">
        <v>7.03</v>
      </c>
      <c r="F193" s="79">
        <v>3.2</v>
      </c>
      <c r="G193" s="79">
        <v>8</v>
      </c>
      <c r="H193" s="79">
        <v>2</v>
      </c>
      <c r="I193" s="79">
        <v>0</v>
      </c>
      <c r="J193" s="81" t="s">
        <v>306</v>
      </c>
    </row>
    <row r="194" spans="1:10" s="66" customFormat="1" ht="25.15" customHeight="1">
      <c r="A194" s="75"/>
      <c r="B194" s="78" t="s">
        <v>71</v>
      </c>
      <c r="C194" s="76" t="s">
        <v>119</v>
      </c>
      <c r="D194" s="79">
        <f>31/100</f>
        <v>0.31</v>
      </c>
      <c r="E194" s="79">
        <f>7.03/100</f>
        <v>7.0300000000000001E-2</v>
      </c>
      <c r="F194" s="79">
        <f>3.2/100</f>
        <v>3.2000000000000001E-2</v>
      </c>
      <c r="G194" s="79">
        <f>8/100</f>
        <v>0.08</v>
      </c>
      <c r="H194" s="79">
        <f>2/100</f>
        <v>0.02</v>
      </c>
      <c r="I194" s="79">
        <v>0</v>
      </c>
      <c r="J194" s="81" t="s">
        <v>306</v>
      </c>
    </row>
    <row r="195" spans="1:10" s="66" customFormat="1" ht="25.15" customHeight="1">
      <c r="A195" s="75"/>
      <c r="B195" s="78" t="s">
        <v>14</v>
      </c>
      <c r="C195" s="76" t="s">
        <v>116</v>
      </c>
      <c r="D195" s="79">
        <v>67</v>
      </c>
      <c r="E195" s="79">
        <v>16.18</v>
      </c>
      <c r="F195" s="79">
        <v>2.2000000000000002</v>
      </c>
      <c r="G195" s="79">
        <v>5</v>
      </c>
      <c r="H195" s="79">
        <v>1.47</v>
      </c>
      <c r="I195" s="79">
        <v>0</v>
      </c>
      <c r="J195" s="81" t="s">
        <v>307</v>
      </c>
    </row>
    <row r="196" spans="1:10" s="66" customFormat="1" ht="25.15" customHeight="1">
      <c r="A196" s="75"/>
      <c r="B196" s="78" t="s">
        <v>308</v>
      </c>
      <c r="C196" s="76" t="s">
        <v>309</v>
      </c>
      <c r="D196" s="79">
        <v>278</v>
      </c>
      <c r="E196" s="79">
        <v>25</v>
      </c>
      <c r="F196" s="79">
        <v>3</v>
      </c>
      <c r="G196" s="79">
        <v>458</v>
      </c>
      <c r="H196" s="79">
        <v>3</v>
      </c>
      <c r="I196" s="79">
        <v>12</v>
      </c>
      <c r="J196" s="80" t="s">
        <v>149</v>
      </c>
    </row>
    <row r="197" spans="1:10" s="66" customFormat="1" ht="25.15" customHeight="1">
      <c r="A197" s="75"/>
      <c r="B197" s="78" t="s">
        <v>310</v>
      </c>
      <c r="C197" s="76" t="s">
        <v>124</v>
      </c>
      <c r="D197" s="79">
        <v>94</v>
      </c>
      <c r="E197" s="79">
        <v>16.5</v>
      </c>
      <c r="F197" s="79">
        <v>1</v>
      </c>
      <c r="G197" s="79">
        <v>212</v>
      </c>
      <c r="H197" s="79">
        <v>2.2400000000000002</v>
      </c>
      <c r="I197" s="79">
        <v>8</v>
      </c>
      <c r="J197" s="81" t="s">
        <v>311</v>
      </c>
    </row>
    <row r="198" spans="1:10" s="66" customFormat="1" ht="25.15" customHeight="1">
      <c r="A198" s="75"/>
      <c r="B198" s="78" t="s">
        <v>91</v>
      </c>
      <c r="C198" s="76" t="s">
        <v>146</v>
      </c>
      <c r="D198" s="79">
        <v>20</v>
      </c>
      <c r="E198" s="79">
        <v>3.85</v>
      </c>
      <c r="F198" s="79">
        <v>2.6</v>
      </c>
      <c r="G198" s="79">
        <v>2</v>
      </c>
      <c r="H198" s="79">
        <v>1.02</v>
      </c>
      <c r="I198" s="79">
        <v>0</v>
      </c>
      <c r="J198" s="81" t="s">
        <v>312</v>
      </c>
    </row>
    <row r="199" spans="1:10" s="66" customFormat="1" ht="25.15" customHeight="1">
      <c r="A199" s="75"/>
      <c r="B199" s="78" t="s">
        <v>313</v>
      </c>
      <c r="C199" s="76" t="s">
        <v>116</v>
      </c>
      <c r="D199" s="79">
        <v>22</v>
      </c>
      <c r="E199" s="79">
        <v>4</v>
      </c>
      <c r="F199" s="79">
        <v>2</v>
      </c>
      <c r="G199" s="79">
        <v>34</v>
      </c>
      <c r="H199" s="79">
        <v>2</v>
      </c>
      <c r="I199" s="79">
        <v>0</v>
      </c>
      <c r="J199" s="80"/>
    </row>
    <row r="200" spans="1:10" s="66" customFormat="1" ht="25.15" customHeight="1">
      <c r="A200" s="75"/>
      <c r="B200" s="78" t="s">
        <v>95</v>
      </c>
      <c r="C200" s="76" t="s">
        <v>116</v>
      </c>
      <c r="D200" s="79">
        <v>14.9</v>
      </c>
      <c r="E200" s="79">
        <v>3</v>
      </c>
      <c r="F200" s="79">
        <v>1.5</v>
      </c>
      <c r="G200" s="79">
        <v>104.5</v>
      </c>
      <c r="H200" s="79">
        <v>3</v>
      </c>
      <c r="I200" s="79">
        <v>0</v>
      </c>
      <c r="J200" s="81" t="s">
        <v>314</v>
      </c>
    </row>
    <row r="201" spans="1:10" s="66" customFormat="1" ht="25.15" customHeight="1">
      <c r="A201" s="75"/>
      <c r="B201" s="78" t="s">
        <v>315</v>
      </c>
      <c r="C201" s="76" t="s">
        <v>116</v>
      </c>
      <c r="D201" s="79">
        <v>100</v>
      </c>
      <c r="E201" s="79">
        <v>23.93</v>
      </c>
      <c r="F201" s="79">
        <v>6.5</v>
      </c>
      <c r="G201" s="79">
        <v>13</v>
      </c>
      <c r="H201" s="79">
        <v>1.6</v>
      </c>
      <c r="I201" s="79">
        <v>0</v>
      </c>
      <c r="J201" s="81" t="s">
        <v>316</v>
      </c>
    </row>
    <row r="202" spans="1:10" s="66" customFormat="1" ht="25.15" customHeight="1">
      <c r="A202" s="75"/>
      <c r="B202" s="78" t="s">
        <v>108</v>
      </c>
      <c r="C202" s="76" t="s">
        <v>119</v>
      </c>
      <c r="D202" s="76">
        <f>75/100</f>
        <v>0.75</v>
      </c>
      <c r="E202" s="79">
        <f>17.99/100</f>
        <v>0.17989999999999998</v>
      </c>
      <c r="F202" s="79">
        <f>4.9/100</f>
        <v>4.9000000000000002E-2</v>
      </c>
      <c r="G202" s="79">
        <f>10/100</f>
        <v>0.1</v>
      </c>
      <c r="H202" s="79">
        <f>1.2/100</f>
        <v>1.2E-2</v>
      </c>
      <c r="I202" s="79">
        <v>0</v>
      </c>
      <c r="J202" s="81" t="s">
        <v>316</v>
      </c>
    </row>
    <row r="203" spans="1:10" s="66" customFormat="1" ht="25.15" customHeight="1">
      <c r="A203" s="75"/>
      <c r="B203" s="78" t="s">
        <v>317</v>
      </c>
      <c r="C203" s="76" t="s">
        <v>119</v>
      </c>
      <c r="D203" s="79">
        <f>220/140</f>
        <v>1.5714285714285714</v>
      </c>
      <c r="E203" s="79">
        <f>43/140</f>
        <v>0.30714285714285716</v>
      </c>
      <c r="F203" s="79">
        <f>3/140</f>
        <v>2.1428571428571429E-2</v>
      </c>
      <c r="G203" s="79">
        <f>183/140</f>
        <v>1.3071428571428572</v>
      </c>
      <c r="H203" s="79">
        <f>8/140</f>
        <v>5.7142857142857141E-2</v>
      </c>
      <c r="I203" s="79">
        <v>0</v>
      </c>
      <c r="J203" s="80"/>
    </row>
    <row r="204" spans="1:10" s="66" customFormat="1" ht="25.15" customHeight="1">
      <c r="A204" s="75"/>
      <c r="B204" s="78" t="s">
        <v>318</v>
      </c>
      <c r="C204" s="76" t="s">
        <v>124</v>
      </c>
      <c r="D204" s="79">
        <f>66/175*150</f>
        <v>56.571428571428577</v>
      </c>
      <c r="E204" s="79">
        <f>17/175*150</f>
        <v>14.571428571428571</v>
      </c>
      <c r="F204" s="79">
        <f>3/175*150</f>
        <v>2.5714285714285716</v>
      </c>
      <c r="G204" s="79">
        <v>0</v>
      </c>
      <c r="H204" s="79">
        <f>2/175*150</f>
        <v>1.7142857142857142</v>
      </c>
      <c r="I204" s="79">
        <v>0</v>
      </c>
      <c r="J204" s="80"/>
    </row>
    <row r="205" spans="1:10" s="66" customFormat="1" ht="25.15" customHeight="1">
      <c r="A205" s="75"/>
      <c r="B205" s="78" t="s">
        <v>319</v>
      </c>
      <c r="C205" s="76" t="s">
        <v>119</v>
      </c>
      <c r="D205" s="79">
        <f>68/175</f>
        <v>0.38857142857142857</v>
      </c>
      <c r="E205" s="79">
        <f>17/175</f>
        <v>9.7142857142857142E-2</v>
      </c>
      <c r="F205" s="79">
        <f>3/175</f>
        <v>1.7142857142857144E-2</v>
      </c>
      <c r="G205" s="79">
        <v>0</v>
      </c>
      <c r="H205" s="79">
        <f>2/175</f>
        <v>1.1428571428571429E-2</v>
      </c>
      <c r="I205" s="79">
        <v>0</v>
      </c>
      <c r="J205" s="80"/>
    </row>
    <row r="206" spans="1:10" s="66" customFormat="1" ht="25.15" customHeight="1">
      <c r="A206" s="75"/>
      <c r="B206" s="78" t="s">
        <v>320</v>
      </c>
      <c r="C206" s="76" t="s">
        <v>116</v>
      </c>
      <c r="D206" s="79">
        <v>117</v>
      </c>
      <c r="E206" s="79">
        <v>20.97</v>
      </c>
      <c r="F206" s="79">
        <v>7.4</v>
      </c>
      <c r="G206" s="79">
        <v>7</v>
      </c>
      <c r="H206" s="79">
        <v>7.86</v>
      </c>
      <c r="I206" s="79">
        <v>0</v>
      </c>
      <c r="J206" s="81" t="s">
        <v>321</v>
      </c>
    </row>
    <row r="207" spans="1:10" s="66" customFormat="1" ht="25.15" customHeight="1">
      <c r="A207" s="75"/>
      <c r="B207" s="78" t="s">
        <v>322</v>
      </c>
      <c r="C207" s="76" t="s">
        <v>119</v>
      </c>
      <c r="D207" s="79">
        <f>81/100</f>
        <v>0.81</v>
      </c>
      <c r="E207" s="79">
        <f>14.46/100</f>
        <v>0.14460000000000001</v>
      </c>
      <c r="F207" s="79">
        <f>5.1/100</f>
        <v>5.0999999999999997E-2</v>
      </c>
      <c r="G207" s="79">
        <f>5/100</f>
        <v>0.05</v>
      </c>
      <c r="H207" s="79">
        <f>5.42/100</f>
        <v>5.4199999999999998E-2</v>
      </c>
      <c r="I207" s="79">
        <v>0</v>
      </c>
      <c r="J207" s="81" t="s">
        <v>321</v>
      </c>
    </row>
    <row r="208" spans="1:10" s="66" customFormat="1" ht="25.15" customHeight="1">
      <c r="A208" s="75"/>
      <c r="B208" s="78" t="s">
        <v>323</v>
      </c>
      <c r="C208" s="76" t="s">
        <v>116</v>
      </c>
      <c r="D208" s="79">
        <f>290*4</f>
        <v>1160</v>
      </c>
      <c r="E208" s="79">
        <f>4*4</f>
        <v>16</v>
      </c>
      <c r="F208" s="79">
        <v>8</v>
      </c>
      <c r="G208" s="79">
        <v>0</v>
      </c>
      <c r="H208" s="79">
        <f>18*4</f>
        <v>72</v>
      </c>
      <c r="I208" s="79">
        <v>0</v>
      </c>
      <c r="J208" s="80"/>
    </row>
    <row r="209" spans="1:10" s="66" customFormat="1" ht="25.15" customHeight="1">
      <c r="A209" s="75"/>
      <c r="B209" s="78" t="s">
        <v>324</v>
      </c>
      <c r="C209" s="76" t="s">
        <v>119</v>
      </c>
      <c r="D209" s="79">
        <f>290/50</f>
        <v>5.8</v>
      </c>
      <c r="E209" s="79">
        <f>4/50</f>
        <v>0.08</v>
      </c>
      <c r="F209" s="79">
        <f>2/50</f>
        <v>0.04</v>
      </c>
      <c r="G209" s="79">
        <v>0</v>
      </c>
      <c r="H209" s="79">
        <f>18/50</f>
        <v>0.36</v>
      </c>
      <c r="I209" s="79">
        <v>0</v>
      </c>
      <c r="J209" s="80"/>
    </row>
    <row r="210" spans="1:10" s="66" customFormat="1" ht="25.15" customHeight="1">
      <c r="A210" s="75"/>
      <c r="B210" s="78" t="s">
        <v>50</v>
      </c>
      <c r="C210" s="76" t="s">
        <v>127</v>
      </c>
      <c r="D210" s="79">
        <v>15</v>
      </c>
      <c r="E210" s="79">
        <v>2</v>
      </c>
      <c r="F210" s="79">
        <v>0.5</v>
      </c>
      <c r="G210" s="79">
        <v>15</v>
      </c>
      <c r="H210" s="79">
        <v>0.15</v>
      </c>
      <c r="I210" s="79">
        <v>0</v>
      </c>
      <c r="J210" s="80" t="s">
        <v>142</v>
      </c>
    </row>
    <row r="211" spans="1:10" s="66" customFormat="1" ht="25.15" customHeight="1">
      <c r="A211" s="75"/>
      <c r="B211" s="78" t="s">
        <v>43</v>
      </c>
      <c r="C211" s="76" t="s">
        <v>124</v>
      </c>
      <c r="D211" s="79">
        <v>23</v>
      </c>
      <c r="E211" s="79">
        <v>5.3</v>
      </c>
      <c r="F211" s="79">
        <v>0.3</v>
      </c>
      <c r="G211" s="79">
        <v>114</v>
      </c>
      <c r="H211" s="79">
        <v>0.1</v>
      </c>
      <c r="I211" s="79">
        <v>0</v>
      </c>
      <c r="J211" s="81" t="s">
        <v>325</v>
      </c>
    </row>
    <row r="212" spans="1:10" s="66" customFormat="1" ht="25.15" customHeight="1">
      <c r="A212" s="75"/>
      <c r="B212" s="78" t="s">
        <v>326</v>
      </c>
      <c r="C212" s="76" t="s">
        <v>127</v>
      </c>
      <c r="D212" s="79">
        <v>1</v>
      </c>
      <c r="E212" s="79">
        <f>4/143*7</f>
        <v>0.19580419580419581</v>
      </c>
      <c r="F212" s="79">
        <v>2</v>
      </c>
      <c r="G212" s="79">
        <f>1251/143*7</f>
        <v>61.23776223776224</v>
      </c>
      <c r="H212" s="79">
        <f>1/143*7</f>
        <v>4.8951048951048952E-2</v>
      </c>
      <c r="I212" s="79">
        <v>0</v>
      </c>
      <c r="J212" s="80"/>
    </row>
    <row r="213" spans="1:10" s="66" customFormat="1" ht="25.15" customHeight="1">
      <c r="A213" s="75"/>
      <c r="B213" s="78" t="s">
        <v>327</v>
      </c>
      <c r="C213" s="76" t="s">
        <v>119</v>
      </c>
      <c r="D213" s="79">
        <f>17/143</f>
        <v>0.11888111888111888</v>
      </c>
      <c r="E213" s="79">
        <f>4/143</f>
        <v>2.7972027972027972E-2</v>
      </c>
      <c r="F213" s="79">
        <f>2/143</f>
        <v>1.3986013986013986E-2</v>
      </c>
      <c r="G213" s="79">
        <f>1251/143</f>
        <v>8.7482517482517483</v>
      </c>
      <c r="H213" s="79">
        <f>1/143</f>
        <v>6.993006993006993E-3</v>
      </c>
      <c r="I213" s="79">
        <v>0</v>
      </c>
      <c r="J213" s="80"/>
    </row>
    <row r="214" spans="1:10" s="66" customFormat="1" ht="25.15" customHeight="1">
      <c r="A214" s="75"/>
      <c r="B214" s="64" t="s">
        <v>328</v>
      </c>
      <c r="C214" s="76" t="s">
        <v>124</v>
      </c>
      <c r="D214" s="79">
        <f>170/3</f>
        <v>56.666666666666664</v>
      </c>
      <c r="E214" s="79">
        <f>32/3</f>
        <v>10.666666666666666</v>
      </c>
      <c r="F214" s="79">
        <f>1/3</f>
        <v>0.33333333333333331</v>
      </c>
      <c r="G214" s="79">
        <f>350/3</f>
        <v>116.66666666666667</v>
      </c>
      <c r="H214" s="79">
        <f>5/3</f>
        <v>1.6666666666666667</v>
      </c>
      <c r="I214" s="79">
        <v>0</v>
      </c>
      <c r="J214" s="80"/>
    </row>
    <row r="215" spans="1:10" s="66" customFormat="1" ht="25.15" customHeight="1">
      <c r="A215" s="75"/>
      <c r="B215" s="78" t="s">
        <v>329</v>
      </c>
      <c r="C215" s="76" t="s">
        <v>124</v>
      </c>
      <c r="D215" s="79">
        <v>160</v>
      </c>
      <c r="E215" s="79">
        <v>34</v>
      </c>
      <c r="F215" s="79">
        <v>2</v>
      </c>
      <c r="G215" s="79">
        <v>135</v>
      </c>
      <c r="H215" s="79">
        <v>5</v>
      </c>
      <c r="I215" s="79">
        <v>0</v>
      </c>
      <c r="J215" s="80"/>
    </row>
    <row r="216" spans="1:10" s="66" customFormat="1" ht="25.15" customHeight="1">
      <c r="A216" s="75"/>
      <c r="B216" s="78" t="s">
        <v>330</v>
      </c>
      <c r="C216" s="76" t="s">
        <v>119</v>
      </c>
      <c r="D216" s="79">
        <f>215/139</f>
        <v>1.5467625899280575</v>
      </c>
      <c r="E216" s="79">
        <f>58/139</f>
        <v>0.41726618705035973</v>
      </c>
      <c r="F216" s="79">
        <f>3/139</f>
        <v>2.1582733812949641E-2</v>
      </c>
      <c r="G216" s="79">
        <v>0</v>
      </c>
      <c r="H216" s="79">
        <f>2/139</f>
        <v>1.4388489208633094E-2</v>
      </c>
      <c r="I216" s="79">
        <v>0</v>
      </c>
      <c r="J216" s="81" t="s">
        <v>331</v>
      </c>
    </row>
    <row r="217" spans="1:10" s="66" customFormat="1" ht="25.15" customHeight="1">
      <c r="A217" s="75"/>
      <c r="B217" s="78" t="s">
        <v>332</v>
      </c>
      <c r="C217" s="76" t="s">
        <v>119</v>
      </c>
      <c r="D217" s="79">
        <v>0.85</v>
      </c>
      <c r="E217" s="79">
        <f>18.1/100</f>
        <v>0.18100000000000002</v>
      </c>
      <c r="F217" s="79">
        <f>1.7/100</f>
        <v>1.7000000000000001E-2</v>
      </c>
      <c r="G217" s="79">
        <f>96/100</f>
        <v>0.96</v>
      </c>
      <c r="H217" s="79">
        <f>1.98/100</f>
        <v>1.9799999999999998E-2</v>
      </c>
      <c r="I217" s="79">
        <v>0</v>
      </c>
      <c r="J217" s="81" t="s">
        <v>333</v>
      </c>
    </row>
    <row r="218" spans="1:10" s="66" customFormat="1" ht="25.15" customHeight="1">
      <c r="A218" s="75"/>
      <c r="B218" s="78" t="s">
        <v>334</v>
      </c>
      <c r="C218" s="76" t="s">
        <v>119</v>
      </c>
      <c r="D218" s="79">
        <f>90/85</f>
        <v>1.0588235294117647</v>
      </c>
      <c r="E218" s="79">
        <f>10/85</f>
        <v>0.11764705882352941</v>
      </c>
      <c r="F218" s="79">
        <v>0</v>
      </c>
      <c r="G218" s="79">
        <f>600/85</f>
        <v>7.0588235294117645</v>
      </c>
      <c r="H218" s="79">
        <f>10/85</f>
        <v>0.11764705882352941</v>
      </c>
      <c r="I218" s="79">
        <f>15/85</f>
        <v>0.17647058823529413</v>
      </c>
      <c r="J218" s="80"/>
    </row>
    <row r="219" spans="1:10" s="66" customFormat="1" ht="25.15" customHeight="1">
      <c r="A219" s="75"/>
      <c r="B219" s="78" t="s">
        <v>335</v>
      </c>
      <c r="C219" s="76" t="s">
        <v>182</v>
      </c>
      <c r="D219" s="79">
        <f>190/50*80</f>
        <v>304</v>
      </c>
      <c r="E219" s="79">
        <f>24/50*80</f>
        <v>38.4</v>
      </c>
      <c r="F219" s="79">
        <f>6/50*80</f>
        <v>9.6</v>
      </c>
      <c r="G219" s="79">
        <f>250/50*80</f>
        <v>400</v>
      </c>
      <c r="H219" s="79">
        <f>3/50*80</f>
        <v>4.8</v>
      </c>
      <c r="I219" s="79">
        <v>0</v>
      </c>
      <c r="J219" s="80"/>
    </row>
    <row r="220" spans="1:10" s="66" customFormat="1" ht="25.15" customHeight="1">
      <c r="A220" s="75"/>
      <c r="B220" s="78" t="s">
        <v>336</v>
      </c>
      <c r="C220" s="76" t="s">
        <v>182</v>
      </c>
      <c r="D220" s="79">
        <f>90/15*70</f>
        <v>420</v>
      </c>
      <c r="E220" s="79">
        <f>1/15*70</f>
        <v>4.666666666666667</v>
      </c>
      <c r="F220" s="79">
        <v>0</v>
      </c>
      <c r="G220" s="79">
        <f>310/15*70</f>
        <v>1446.6666666666667</v>
      </c>
      <c r="H220" s="79">
        <f>7/15*70</f>
        <v>32.666666666666664</v>
      </c>
      <c r="I220" s="79">
        <f>20/15*70</f>
        <v>93.333333333333329</v>
      </c>
      <c r="J220" s="80"/>
    </row>
    <row r="221" spans="1:10" s="66" customFormat="1" ht="25.15" customHeight="1">
      <c r="A221" s="75"/>
      <c r="B221" s="78" t="s">
        <v>337</v>
      </c>
      <c r="C221" s="76" t="s">
        <v>119</v>
      </c>
      <c r="D221" s="79">
        <f>122/85</f>
        <v>1.4352941176470588</v>
      </c>
      <c r="E221" s="79">
        <v>0</v>
      </c>
      <c r="F221" s="79">
        <v>0</v>
      </c>
      <c r="G221" s="79">
        <f>48/85</f>
        <v>0.56470588235294117</v>
      </c>
      <c r="H221" s="79">
        <f>22/85</f>
        <v>0.25882352941176473</v>
      </c>
      <c r="I221" s="79">
        <f>62/85</f>
        <v>0.72941176470588232</v>
      </c>
      <c r="J221" s="80"/>
    </row>
    <row r="222" spans="1:10" s="66" customFormat="1" ht="25.15" customHeight="1">
      <c r="A222" s="75"/>
      <c r="B222" s="78" t="s">
        <v>338</v>
      </c>
      <c r="C222" s="76" t="s">
        <v>339</v>
      </c>
      <c r="D222" s="79">
        <v>258</v>
      </c>
      <c r="E222" s="79"/>
      <c r="F222" s="79"/>
      <c r="G222" s="79"/>
      <c r="H222" s="79"/>
      <c r="I222" s="79"/>
      <c r="J222" s="80"/>
    </row>
    <row r="223" spans="1:10" s="66" customFormat="1" ht="25.15" customHeight="1">
      <c r="A223" s="75"/>
      <c r="B223" s="78" t="s">
        <v>340</v>
      </c>
      <c r="C223" s="76" t="s">
        <v>119</v>
      </c>
      <c r="D223" s="79">
        <f>161/173</f>
        <v>0.93063583815028905</v>
      </c>
      <c r="E223" s="79">
        <f>36.6/173</f>
        <v>0.2115606936416185</v>
      </c>
      <c r="F223" s="79">
        <f>3.8/173</f>
        <v>2.1965317919075144E-2</v>
      </c>
      <c r="G223" s="79">
        <f>17.3/173</f>
        <v>0.1</v>
      </c>
      <c r="H223" s="79">
        <f>4.3/173</f>
        <v>2.4855491329479767E-2</v>
      </c>
      <c r="I223" s="79">
        <v>0</v>
      </c>
      <c r="J223" s="80"/>
    </row>
    <row r="224" spans="1:10" s="66" customFormat="1" ht="25.15" customHeight="1">
      <c r="A224" s="75"/>
      <c r="B224" s="78" t="s">
        <v>341</v>
      </c>
      <c r="C224" s="76" t="s">
        <v>124</v>
      </c>
      <c r="D224" s="79">
        <v>-0.5</v>
      </c>
      <c r="E224" s="79"/>
      <c r="F224" s="79"/>
      <c r="G224" s="79"/>
      <c r="H224" s="79"/>
      <c r="I224" s="79"/>
      <c r="J224" s="80"/>
    </row>
    <row r="225" spans="1:10" s="66" customFormat="1" ht="25.15" customHeight="1">
      <c r="A225" s="75"/>
      <c r="B225" s="78" t="s">
        <v>342</v>
      </c>
      <c r="C225" s="76" t="s">
        <v>124</v>
      </c>
      <c r="D225" s="79">
        <v>-1</v>
      </c>
      <c r="E225" s="79"/>
      <c r="F225" s="79"/>
      <c r="G225" s="79"/>
      <c r="H225" s="79"/>
      <c r="I225" s="79"/>
      <c r="J225" s="80"/>
    </row>
    <row r="226" spans="1:10" s="66" customFormat="1" ht="25.15" customHeight="1">
      <c r="A226" s="75"/>
      <c r="B226" s="78" t="s">
        <v>27</v>
      </c>
      <c r="C226" s="76" t="s">
        <v>124</v>
      </c>
      <c r="D226" s="79">
        <f>540-130+60</f>
        <v>470</v>
      </c>
      <c r="E226" s="79">
        <f>31-26+12</f>
        <v>17</v>
      </c>
      <c r="F226" s="79">
        <f>2-1+5</f>
        <v>6</v>
      </c>
      <c r="G226" s="79">
        <f>1300-270+50</f>
        <v>1080</v>
      </c>
      <c r="H226" s="79">
        <f>63-4+5</f>
        <v>64</v>
      </c>
      <c r="I226" s="79">
        <f>185</f>
        <v>185</v>
      </c>
      <c r="J226" s="80" t="s">
        <v>149</v>
      </c>
    </row>
    <row r="227" spans="1:10" s="66" customFormat="1" ht="25.15" customHeight="1">
      <c r="A227" s="75"/>
      <c r="B227" s="64" t="s">
        <v>343</v>
      </c>
      <c r="C227" s="76" t="s">
        <v>116</v>
      </c>
      <c r="D227" s="79">
        <v>222</v>
      </c>
      <c r="E227" s="79">
        <v>39</v>
      </c>
      <c r="F227" s="79">
        <v>5</v>
      </c>
      <c r="G227" s="79">
        <v>13</v>
      </c>
      <c r="H227" s="79">
        <v>8</v>
      </c>
      <c r="I227" s="79">
        <v>0</v>
      </c>
      <c r="J227" s="80" t="s">
        <v>142</v>
      </c>
    </row>
    <row r="228" spans="1:10" s="66" customFormat="1" ht="25.15" customHeight="1">
      <c r="A228" s="75"/>
      <c r="B228" s="64" t="s">
        <v>19</v>
      </c>
      <c r="C228" s="76" t="s">
        <v>119</v>
      </c>
      <c r="D228" s="79">
        <f>222/185</f>
        <v>1.2</v>
      </c>
      <c r="E228" s="79">
        <f>39/185</f>
        <v>0.21081081081081082</v>
      </c>
      <c r="F228" s="79">
        <f>5/185</f>
        <v>2.7027027027027029E-2</v>
      </c>
      <c r="G228" s="79">
        <f>13/185</f>
        <v>7.0270270270270274E-2</v>
      </c>
      <c r="H228" s="79">
        <f>8/185</f>
        <v>4.3243243243243246E-2</v>
      </c>
      <c r="I228" s="79">
        <v>0</v>
      </c>
      <c r="J228" s="80" t="s">
        <v>142</v>
      </c>
    </row>
    <row r="229" spans="1:10" s="66" customFormat="1" ht="25.15" customHeight="1">
      <c r="A229" s="75"/>
      <c r="B229" s="78" t="s">
        <v>80</v>
      </c>
      <c r="C229" s="76" t="s">
        <v>116</v>
      </c>
      <c r="D229" s="79">
        <v>626</v>
      </c>
      <c r="E229" s="79">
        <v>109</v>
      </c>
      <c r="F229" s="79">
        <v>12</v>
      </c>
      <c r="G229" s="79">
        <v>8.5</v>
      </c>
      <c r="H229" s="79">
        <v>24</v>
      </c>
      <c r="I229" s="79">
        <v>0</v>
      </c>
      <c r="J229" s="80"/>
    </row>
    <row r="230" spans="1:10" s="66" customFormat="1" ht="25.15" customHeight="1">
      <c r="A230" s="75"/>
      <c r="B230" s="64" t="s">
        <v>68</v>
      </c>
      <c r="C230" s="76" t="s">
        <v>124</v>
      </c>
      <c r="D230" s="79">
        <v>0.7</v>
      </c>
      <c r="E230" s="79">
        <v>0.1</v>
      </c>
      <c r="F230" s="79">
        <v>0.1</v>
      </c>
      <c r="G230" s="79">
        <v>1.8</v>
      </c>
      <c r="H230" s="79">
        <v>0</v>
      </c>
      <c r="I230" s="79">
        <v>0</v>
      </c>
      <c r="J230" s="81" t="s">
        <v>344</v>
      </c>
    </row>
    <row r="231" spans="1:10" s="66" customFormat="1" ht="25.15" customHeight="1">
      <c r="A231" s="75"/>
      <c r="B231" s="78" t="s">
        <v>345</v>
      </c>
      <c r="C231" s="76" t="s">
        <v>119</v>
      </c>
      <c r="D231" s="79">
        <f>434/145</f>
        <v>2.9931034482758623</v>
      </c>
      <c r="E231" s="79">
        <f>115/145</f>
        <v>0.7931034482758621</v>
      </c>
      <c r="F231" s="79">
        <f>7/165</f>
        <v>4.2424242424242427E-2</v>
      </c>
      <c r="G231" s="79">
        <f>16/145</f>
        <v>0.1103448275862069</v>
      </c>
      <c r="H231" s="79">
        <f>4/145</f>
        <v>2.7586206896551724E-2</v>
      </c>
      <c r="I231" s="79">
        <v>0</v>
      </c>
      <c r="J231" s="80"/>
    </row>
    <row r="232" spans="1:10" s="66" customFormat="1" ht="25.15" customHeight="1">
      <c r="A232" s="75"/>
      <c r="B232" s="78" t="s">
        <v>346</v>
      </c>
      <c r="C232" s="76" t="s">
        <v>124</v>
      </c>
      <c r="D232" s="79">
        <v>500</v>
      </c>
      <c r="E232" s="79">
        <v>59</v>
      </c>
      <c r="F232" s="79">
        <v>3</v>
      </c>
      <c r="G232" s="79">
        <v>1110</v>
      </c>
      <c r="H232" s="79">
        <v>9</v>
      </c>
      <c r="I232" s="79">
        <v>0</v>
      </c>
      <c r="J232" s="80"/>
    </row>
    <row r="233" spans="1:10" s="66" customFormat="1" ht="25.15" customHeight="1">
      <c r="A233" s="75"/>
      <c r="B233" s="78" t="s">
        <v>70</v>
      </c>
      <c r="C233" s="76" t="s">
        <v>146</v>
      </c>
      <c r="D233" s="79">
        <v>60</v>
      </c>
      <c r="E233" s="79">
        <v>1</v>
      </c>
      <c r="F233" s="79">
        <v>0</v>
      </c>
      <c r="G233" s="79">
        <v>130</v>
      </c>
      <c r="H233" s="79">
        <v>0</v>
      </c>
      <c r="I233" s="79">
        <v>2.5</v>
      </c>
      <c r="J233" s="81" t="s">
        <v>347</v>
      </c>
    </row>
    <row r="234" spans="1:10" s="66" customFormat="1" ht="25.15" customHeight="1">
      <c r="A234" s="75"/>
      <c r="B234" s="78" t="s">
        <v>51</v>
      </c>
      <c r="C234" s="76" t="s">
        <v>116</v>
      </c>
      <c r="D234" s="79">
        <v>46.2</v>
      </c>
      <c r="E234" s="79">
        <v>9</v>
      </c>
      <c r="F234" s="79">
        <v>3.1</v>
      </c>
      <c r="G234" s="79">
        <v>6</v>
      </c>
      <c r="H234" s="79">
        <v>1.5</v>
      </c>
      <c r="I234" s="79">
        <v>0</v>
      </c>
      <c r="J234" s="81" t="s">
        <v>348</v>
      </c>
    </row>
    <row r="235" spans="1:10" s="66" customFormat="1" ht="25.15" customHeight="1">
      <c r="A235" s="75"/>
      <c r="B235" s="78" t="s">
        <v>349</v>
      </c>
      <c r="C235" s="76" t="s">
        <v>119</v>
      </c>
      <c r="D235" s="79">
        <v>0.31</v>
      </c>
      <c r="E235" s="79">
        <v>0.06</v>
      </c>
      <c r="F235" s="79" t="s">
        <v>350</v>
      </c>
      <c r="G235" s="79">
        <v>2.11</v>
      </c>
      <c r="H235" s="79">
        <v>0.01</v>
      </c>
      <c r="I235" s="79">
        <v>0</v>
      </c>
      <c r="J235" s="81" t="s">
        <v>348</v>
      </c>
    </row>
    <row r="236" spans="1:10" s="66" customFormat="1" ht="25.15" customHeight="1">
      <c r="A236" s="75"/>
      <c r="B236" s="78" t="s">
        <v>351</v>
      </c>
      <c r="C236" s="76" t="s">
        <v>116</v>
      </c>
      <c r="D236" s="79">
        <v>205</v>
      </c>
      <c r="E236" s="79">
        <v>45</v>
      </c>
      <c r="F236" s="79">
        <v>0.6</v>
      </c>
      <c r="G236" s="79">
        <v>1.6</v>
      </c>
      <c r="H236" s="79">
        <v>4.3</v>
      </c>
      <c r="I236" s="79">
        <v>0</v>
      </c>
      <c r="J236" s="81" t="s">
        <v>352</v>
      </c>
    </row>
    <row r="237" spans="1:10" s="66" customFormat="1" ht="25.15" customHeight="1">
      <c r="A237" s="75"/>
      <c r="B237" s="78" t="s">
        <v>353</v>
      </c>
      <c r="C237" s="76" t="s">
        <v>119</v>
      </c>
      <c r="D237" s="79">
        <f>205/158</f>
        <v>1.2974683544303798</v>
      </c>
      <c r="E237" s="79">
        <f>45/158</f>
        <v>0.2848101265822785</v>
      </c>
      <c r="F237" s="79">
        <f>0.6/158</f>
        <v>3.7974683544303796E-3</v>
      </c>
      <c r="G237" s="79">
        <f>1.6/158</f>
        <v>1.0126582278481013E-2</v>
      </c>
      <c r="H237" s="79">
        <f>4.3/158</f>
        <v>2.7215189873417721E-2</v>
      </c>
      <c r="I237" s="79">
        <v>0</v>
      </c>
      <c r="J237" s="81" t="s">
        <v>352</v>
      </c>
    </row>
    <row r="238" spans="1:10" s="66" customFormat="1" ht="25.15" customHeight="1">
      <c r="A238" s="75"/>
      <c r="B238" s="78" t="s">
        <v>354</v>
      </c>
      <c r="C238" s="76" t="s">
        <v>116</v>
      </c>
      <c r="D238" s="79">
        <v>600</v>
      </c>
      <c r="E238" s="79">
        <v>140</v>
      </c>
      <c r="F238" s="79">
        <v>0</v>
      </c>
      <c r="G238" s="79">
        <v>0</v>
      </c>
      <c r="H238" s="79">
        <v>12</v>
      </c>
      <c r="I238" s="79">
        <v>0</v>
      </c>
      <c r="J238" s="81" t="s">
        <v>355</v>
      </c>
    </row>
    <row r="239" spans="1:10" s="66" customFormat="1" ht="25.15" customHeight="1">
      <c r="A239" s="75"/>
      <c r="B239" s="78" t="s">
        <v>356</v>
      </c>
      <c r="C239" s="76" t="s">
        <v>119</v>
      </c>
      <c r="D239" s="79">
        <f>101/100</f>
        <v>1.01</v>
      </c>
      <c r="E239" s="79">
        <f>21.3/100</f>
        <v>0.21299999999999999</v>
      </c>
      <c r="F239" s="79">
        <f>1.8/100</f>
        <v>1.8000000000000002E-2</v>
      </c>
      <c r="G239" s="79">
        <f>3/100</f>
        <v>0.03</v>
      </c>
      <c r="H239" s="79">
        <f>4/100</f>
        <v>0.04</v>
      </c>
      <c r="I239" s="79">
        <v>0</v>
      </c>
      <c r="J239" s="80"/>
    </row>
    <row r="240" spans="1:10" s="66" customFormat="1" ht="25.15" customHeight="1">
      <c r="A240" s="75"/>
      <c r="B240" s="78" t="s">
        <v>357</v>
      </c>
      <c r="C240" s="76" t="s">
        <v>218</v>
      </c>
      <c r="D240" s="79">
        <v>-1</v>
      </c>
      <c r="E240" s="79"/>
      <c r="F240" s="79"/>
      <c r="G240" s="79"/>
      <c r="H240" s="79"/>
      <c r="I240" s="79"/>
      <c r="J240" s="80"/>
    </row>
    <row r="241" spans="1:10" s="66" customFormat="1" ht="25.15" customHeight="1">
      <c r="A241" s="75"/>
      <c r="B241" s="78" t="s">
        <v>44</v>
      </c>
      <c r="C241" s="76" t="s">
        <v>124</v>
      </c>
      <c r="D241" s="79">
        <f>80/2</f>
        <v>40</v>
      </c>
      <c r="E241" s="79">
        <f>12/2</f>
        <v>6</v>
      </c>
      <c r="F241" s="79">
        <f>4/2</f>
        <v>2</v>
      </c>
      <c r="G241" s="79">
        <f>40/2</f>
        <v>20</v>
      </c>
      <c r="H241" s="79">
        <f>3/2</f>
        <v>1.5</v>
      </c>
      <c r="I241" s="79">
        <v>0</v>
      </c>
      <c r="J241" s="80" t="s">
        <v>142</v>
      </c>
    </row>
    <row r="242" spans="1:10" s="66" customFormat="1" ht="25.15" customHeight="1">
      <c r="A242" s="75"/>
      <c r="B242" s="78" t="s">
        <v>358</v>
      </c>
      <c r="C242" s="76" t="s">
        <v>146</v>
      </c>
      <c r="D242" s="79">
        <v>13</v>
      </c>
      <c r="E242" s="79">
        <v>2</v>
      </c>
      <c r="F242" s="79">
        <v>0</v>
      </c>
      <c r="G242" s="79">
        <v>180</v>
      </c>
      <c r="H242" s="79">
        <v>0</v>
      </c>
      <c r="I242" s="79">
        <v>0</v>
      </c>
      <c r="J242" s="80"/>
    </row>
    <row r="243" spans="1:10" s="66" customFormat="1" ht="25.15" customHeight="1">
      <c r="A243" s="75"/>
      <c r="B243" s="78" t="s">
        <v>18</v>
      </c>
      <c r="C243" s="76" t="s">
        <v>119</v>
      </c>
      <c r="D243" s="79">
        <f>367/178</f>
        <v>2.0617977528089888</v>
      </c>
      <c r="E243" s="79">
        <v>0</v>
      </c>
      <c r="F243" s="79">
        <v>0</v>
      </c>
      <c r="G243" s="79">
        <f>109/178</f>
        <v>0.61235955056179781</v>
      </c>
      <c r="H243" s="79">
        <f>39/178</f>
        <v>0.21910112359550563</v>
      </c>
      <c r="I243" s="79">
        <f>112/178</f>
        <v>0.6292134831460674</v>
      </c>
      <c r="J243" s="80"/>
    </row>
    <row r="244" spans="1:10" s="66" customFormat="1" ht="25.15" customHeight="1">
      <c r="A244" s="75"/>
      <c r="B244" s="78" t="s">
        <v>359</v>
      </c>
      <c r="C244" s="76" t="s">
        <v>119</v>
      </c>
      <c r="D244" s="79">
        <v>0</v>
      </c>
      <c r="E244" s="79">
        <v>0</v>
      </c>
      <c r="F244" s="79">
        <v>0</v>
      </c>
      <c r="G244" s="79">
        <f>38758/100</f>
        <v>387.58</v>
      </c>
      <c r="H244" s="79">
        <v>0</v>
      </c>
      <c r="I244" s="79">
        <v>0</v>
      </c>
      <c r="J244" s="81" t="s">
        <v>360</v>
      </c>
    </row>
    <row r="245" spans="1:10" s="66" customFormat="1" ht="25.15" customHeight="1">
      <c r="A245" s="75"/>
      <c r="B245" s="78" t="s">
        <v>45</v>
      </c>
      <c r="C245" s="76" t="s">
        <v>361</v>
      </c>
      <c r="D245" s="79">
        <v>0</v>
      </c>
      <c r="E245" s="79">
        <v>0</v>
      </c>
      <c r="F245" s="79">
        <v>0</v>
      </c>
      <c r="G245" s="79">
        <f>387.58*0.36</f>
        <v>139.52879999999999</v>
      </c>
      <c r="H245" s="79">
        <v>0</v>
      </c>
      <c r="I245" s="79">
        <v>0</v>
      </c>
      <c r="J245" s="81" t="s">
        <v>362</v>
      </c>
    </row>
    <row r="246" spans="1:10" s="66" customFormat="1" ht="25.15" customHeight="1">
      <c r="A246" s="75"/>
      <c r="B246" s="78" t="s">
        <v>363</v>
      </c>
      <c r="C246" s="76" t="s">
        <v>216</v>
      </c>
      <c r="D246" s="79">
        <v>0</v>
      </c>
      <c r="E246" s="79">
        <v>0</v>
      </c>
      <c r="F246" s="79">
        <v>0</v>
      </c>
      <c r="G246" s="79">
        <v>2325</v>
      </c>
      <c r="H246" s="79">
        <v>0</v>
      </c>
      <c r="I246" s="79">
        <v>0</v>
      </c>
      <c r="J246" s="80"/>
    </row>
    <row r="247" spans="1:10" s="66" customFormat="1" ht="25.15" customHeight="1">
      <c r="A247" s="75"/>
      <c r="B247" s="78" t="s">
        <v>78</v>
      </c>
      <c r="C247" s="76" t="s">
        <v>140</v>
      </c>
      <c r="D247" s="79">
        <v>170</v>
      </c>
      <c r="E247" s="79">
        <v>0</v>
      </c>
      <c r="F247" s="79">
        <v>0</v>
      </c>
      <c r="G247" s="79">
        <v>270</v>
      </c>
      <c r="H247" s="79">
        <v>17</v>
      </c>
      <c r="I247" s="79">
        <v>100</v>
      </c>
      <c r="J247" s="80" t="s">
        <v>142</v>
      </c>
    </row>
    <row r="248" spans="1:10" s="66" customFormat="1" ht="25.15" customHeight="1">
      <c r="A248" s="75"/>
      <c r="B248" s="78" t="s">
        <v>103</v>
      </c>
      <c r="C248" s="76" t="s">
        <v>124</v>
      </c>
      <c r="D248" s="79">
        <v>440</v>
      </c>
      <c r="E248" s="79">
        <v>31</v>
      </c>
      <c r="F248" s="79">
        <v>2</v>
      </c>
      <c r="G248" s="79">
        <v>840</v>
      </c>
      <c r="H248" s="79">
        <v>20</v>
      </c>
      <c r="I248" s="79">
        <v>220</v>
      </c>
      <c r="J248" s="80" t="s">
        <v>149</v>
      </c>
    </row>
    <row r="249" spans="1:10" s="66" customFormat="1" ht="25.15" customHeight="1">
      <c r="A249" s="75"/>
      <c r="B249" s="64" t="s">
        <v>364</v>
      </c>
      <c r="C249" s="76" t="s">
        <v>124</v>
      </c>
      <c r="D249" s="79">
        <f>250/3</f>
        <v>83.333333333333329</v>
      </c>
      <c r="E249" s="79">
        <f>2/3</f>
        <v>0.66666666666666663</v>
      </c>
      <c r="F249" s="79">
        <v>0</v>
      </c>
      <c r="G249" s="79">
        <f>630/3</f>
        <v>210</v>
      </c>
      <c r="H249" s="79">
        <f>13/3</f>
        <v>4.333333333333333</v>
      </c>
      <c r="I249" s="79">
        <f>55/3</f>
        <v>18.333333333333332</v>
      </c>
      <c r="J249" s="80"/>
    </row>
    <row r="250" spans="1:10" s="66" customFormat="1" ht="25.15" customHeight="1">
      <c r="A250" s="75"/>
      <c r="B250" s="78" t="s">
        <v>65</v>
      </c>
      <c r="C250" s="76" t="s">
        <v>124</v>
      </c>
      <c r="D250" s="79">
        <v>430</v>
      </c>
      <c r="E250" s="79">
        <v>4</v>
      </c>
      <c r="F250" s="79">
        <v>1</v>
      </c>
      <c r="G250" s="79">
        <v>1060</v>
      </c>
      <c r="H250" s="79">
        <v>22</v>
      </c>
      <c r="I250" s="79">
        <v>85</v>
      </c>
      <c r="J250" s="80" t="s">
        <v>142</v>
      </c>
    </row>
    <row r="251" spans="1:10" s="66" customFormat="1" ht="25.15" customHeight="1">
      <c r="A251" s="75"/>
      <c r="B251" s="78" t="s">
        <v>365</v>
      </c>
      <c r="C251" s="76" t="s">
        <v>218</v>
      </c>
      <c r="D251" s="79">
        <v>-1</v>
      </c>
      <c r="E251" s="79"/>
      <c r="F251" s="79"/>
      <c r="G251" s="79"/>
      <c r="H251" s="79"/>
      <c r="I251" s="79"/>
      <c r="J251" s="80"/>
    </row>
    <row r="252" spans="1:10" s="66" customFormat="1" ht="25.15" customHeight="1">
      <c r="A252" s="75"/>
      <c r="B252" s="78" t="s">
        <v>83</v>
      </c>
      <c r="C252" s="76" t="s">
        <v>119</v>
      </c>
      <c r="D252" s="79">
        <f>59/85</f>
        <v>0.69411764705882351</v>
      </c>
      <c r="E252" s="79">
        <f>2.7/85</f>
        <v>3.1764705882352945E-2</v>
      </c>
      <c r="F252" s="79">
        <v>0</v>
      </c>
      <c r="G252" s="79">
        <f>333/85</f>
        <v>3.9176470588235293</v>
      </c>
      <c r="H252" s="79">
        <f>10/85</f>
        <v>0.11764705882352941</v>
      </c>
      <c r="I252" s="79">
        <f>20/85</f>
        <v>0.23529411764705882</v>
      </c>
      <c r="J252" s="81" t="s">
        <v>366</v>
      </c>
    </row>
    <row r="253" spans="1:10" s="66" customFormat="1" ht="25.15" customHeight="1">
      <c r="A253" s="75"/>
      <c r="B253" s="78" t="s">
        <v>367</v>
      </c>
      <c r="C253" s="76" t="s">
        <v>146</v>
      </c>
      <c r="D253" s="79">
        <v>52</v>
      </c>
      <c r="E253" s="79">
        <v>2.1</v>
      </c>
      <c r="F253" s="79">
        <v>0.75</v>
      </c>
      <c r="G253" s="79">
        <v>1</v>
      </c>
      <c r="H253" s="79">
        <v>1</v>
      </c>
      <c r="I253" s="79">
        <v>0</v>
      </c>
      <c r="J253" s="80"/>
    </row>
    <row r="254" spans="1:10" s="66" customFormat="1" ht="25.15" customHeight="1">
      <c r="A254" s="75"/>
      <c r="B254" s="78" t="s">
        <v>368</v>
      </c>
      <c r="C254" s="76" t="s">
        <v>124</v>
      </c>
      <c r="D254" s="79">
        <v>31</v>
      </c>
      <c r="E254" s="79">
        <v>7.1</v>
      </c>
      <c r="F254" s="79">
        <v>1.4</v>
      </c>
      <c r="G254" s="79">
        <v>5.0999999999999996</v>
      </c>
      <c r="H254" s="79">
        <v>1.1000000000000001</v>
      </c>
      <c r="I254" s="79">
        <v>0</v>
      </c>
      <c r="J254" s="81" t="s">
        <v>369</v>
      </c>
    </row>
    <row r="255" spans="1:10" s="66" customFormat="1" ht="25.15" customHeight="1">
      <c r="A255" s="75"/>
      <c r="B255" s="78" t="s">
        <v>370</v>
      </c>
      <c r="C255" s="76" t="s">
        <v>124</v>
      </c>
      <c r="D255" s="79">
        <v>850</v>
      </c>
      <c r="E255" s="79">
        <v>60</v>
      </c>
      <c r="F255" s="79">
        <v>6</v>
      </c>
      <c r="G255" s="79">
        <v>1000</v>
      </c>
      <c r="H255" s="79"/>
      <c r="I255" s="79"/>
      <c r="J255" s="80"/>
    </row>
    <row r="256" spans="1:10" s="66" customFormat="1" ht="25.15" customHeight="1">
      <c r="A256" s="75"/>
      <c r="B256" s="78" t="s">
        <v>371</v>
      </c>
      <c r="C256" s="76" t="s">
        <v>124</v>
      </c>
      <c r="D256" s="79">
        <v>550</v>
      </c>
      <c r="E256" s="79"/>
      <c r="F256" s="79"/>
      <c r="G256" s="79"/>
      <c r="H256" s="79"/>
      <c r="I256" s="79"/>
      <c r="J256" s="80"/>
    </row>
    <row r="257" spans="1:10" s="66" customFormat="1" ht="25.15" customHeight="1">
      <c r="A257" s="75"/>
      <c r="B257" s="78" t="s">
        <v>41</v>
      </c>
      <c r="C257" s="76" t="s">
        <v>119</v>
      </c>
      <c r="D257" s="79">
        <f>106/100</f>
        <v>1.06</v>
      </c>
      <c r="E257" s="79">
        <f>0.91/100</f>
        <v>9.1000000000000004E-3</v>
      </c>
      <c r="F257" s="79">
        <v>0</v>
      </c>
      <c r="G257" s="79">
        <f>148/100</f>
        <v>1.48</v>
      </c>
      <c r="H257" s="79">
        <f>20.31/100</f>
        <v>0.20309999999999997</v>
      </c>
      <c r="I257" s="79">
        <f>152/100</f>
        <v>1.52</v>
      </c>
      <c r="J257" s="81" t="s">
        <v>372</v>
      </c>
    </row>
    <row r="258" spans="1:10" s="66" customFormat="1" ht="25.15" customHeight="1">
      <c r="A258" s="75"/>
      <c r="B258" s="64" t="s">
        <v>107</v>
      </c>
      <c r="C258" s="76" t="s">
        <v>373</v>
      </c>
      <c r="D258" s="79">
        <v>100</v>
      </c>
      <c r="E258" s="79">
        <v>0</v>
      </c>
      <c r="F258" s="79">
        <v>0</v>
      </c>
      <c r="G258" s="79">
        <v>740</v>
      </c>
      <c r="H258" s="79">
        <v>22</v>
      </c>
      <c r="I258" s="79">
        <v>100</v>
      </c>
      <c r="J258" s="80"/>
    </row>
    <row r="259" spans="1:10" s="66" customFormat="1" ht="25.15" customHeight="1">
      <c r="A259" s="75"/>
      <c r="B259" s="78" t="s">
        <v>107</v>
      </c>
      <c r="C259" s="76" t="s">
        <v>140</v>
      </c>
      <c r="D259" s="79">
        <f>50*2</f>
        <v>100</v>
      </c>
      <c r="E259" s="79">
        <f>1*2</f>
        <v>2</v>
      </c>
      <c r="F259" s="79">
        <v>0</v>
      </c>
      <c r="G259" s="79">
        <f>300*2</f>
        <v>600</v>
      </c>
      <c r="H259" s="79">
        <f>12*2</f>
        <v>24</v>
      </c>
      <c r="I259" s="79">
        <f>135*2</f>
        <v>270</v>
      </c>
      <c r="J259" s="80" t="s">
        <v>142</v>
      </c>
    </row>
    <row r="260" spans="1:10" s="66" customFormat="1" ht="25.15" customHeight="1">
      <c r="A260" s="75"/>
      <c r="B260" s="78" t="s">
        <v>374</v>
      </c>
      <c r="C260" s="76" t="s">
        <v>119</v>
      </c>
      <c r="D260" s="79">
        <f>250/175</f>
        <v>1.4285714285714286</v>
      </c>
      <c r="E260" s="79">
        <f>4/175</f>
        <v>2.2857142857142857E-2</v>
      </c>
      <c r="F260" s="79">
        <f>1/175</f>
        <v>5.7142857142857143E-3</v>
      </c>
      <c r="G260" s="79">
        <f>690/175</f>
        <v>3.9428571428571431</v>
      </c>
      <c r="H260" s="79">
        <f>32/175</f>
        <v>0.18285714285714286</v>
      </c>
      <c r="I260" s="79">
        <f>95/175</f>
        <v>0.54285714285714282</v>
      </c>
      <c r="J260" s="80"/>
    </row>
    <row r="261" spans="1:10" s="66" customFormat="1" ht="25.15" customHeight="1">
      <c r="A261" s="75"/>
      <c r="B261" s="78" t="s">
        <v>47</v>
      </c>
      <c r="C261" s="76" t="s">
        <v>140</v>
      </c>
      <c r="D261" s="79">
        <v>130</v>
      </c>
      <c r="E261" s="79">
        <v>2</v>
      </c>
      <c r="F261" s="79">
        <v>0</v>
      </c>
      <c r="G261" s="79">
        <v>210</v>
      </c>
      <c r="H261" s="79">
        <v>13</v>
      </c>
      <c r="I261" s="79">
        <v>75</v>
      </c>
      <c r="J261" s="81" t="s">
        <v>375</v>
      </c>
    </row>
    <row r="262" spans="1:10" s="66" customFormat="1" ht="25.15" customHeight="1">
      <c r="A262" s="75"/>
      <c r="B262" s="78" t="s">
        <v>30</v>
      </c>
      <c r="C262" s="76" t="s">
        <v>119</v>
      </c>
      <c r="D262" s="79">
        <f>95/57</f>
        <v>1.6666666666666667</v>
      </c>
      <c r="E262" s="79">
        <v>0</v>
      </c>
      <c r="F262" s="79">
        <v>0</v>
      </c>
      <c r="G262" s="79">
        <f>550/57</f>
        <v>9.6491228070175445</v>
      </c>
      <c r="H262" s="79">
        <f>11/57</f>
        <v>0.19298245614035087</v>
      </c>
      <c r="I262" s="79">
        <f>20/57</f>
        <v>0.35087719298245612</v>
      </c>
      <c r="J262" s="80" t="s">
        <v>142</v>
      </c>
    </row>
    <row r="263" spans="1:10" s="66" customFormat="1" ht="25.15" customHeight="1">
      <c r="A263" s="75"/>
      <c r="B263" s="78" t="s">
        <v>88</v>
      </c>
      <c r="C263" s="76" t="s">
        <v>124</v>
      </c>
      <c r="D263" s="79">
        <f>70/2</f>
        <v>35</v>
      </c>
      <c r="E263" s="79">
        <v>0</v>
      </c>
      <c r="F263" s="79">
        <v>0</v>
      </c>
      <c r="G263" s="79">
        <f>400/2</f>
        <v>200</v>
      </c>
      <c r="H263" s="79">
        <f>13/2</f>
        <v>6.5</v>
      </c>
      <c r="I263" s="79">
        <f>45/2</f>
        <v>22.5</v>
      </c>
      <c r="J263" s="80"/>
    </row>
    <row r="264" spans="1:10" s="66" customFormat="1" ht="25.15" customHeight="1">
      <c r="A264" s="75"/>
      <c r="B264" s="78" t="s">
        <v>31</v>
      </c>
      <c r="C264" s="76" t="s">
        <v>146</v>
      </c>
      <c r="D264" s="79">
        <f>50/2</f>
        <v>25</v>
      </c>
      <c r="E264" s="79">
        <f>2/2</f>
        <v>1</v>
      </c>
      <c r="F264" s="79">
        <v>0</v>
      </c>
      <c r="G264" s="79">
        <f>20/2</f>
        <v>10</v>
      </c>
      <c r="H264" s="79">
        <f>1/2</f>
        <v>0.5</v>
      </c>
      <c r="I264" s="79">
        <f>15/2</f>
        <v>7.5</v>
      </c>
      <c r="J264" s="80" t="s">
        <v>142</v>
      </c>
    </row>
    <row r="265" spans="1:10" s="66" customFormat="1" ht="25.15" customHeight="1">
      <c r="A265" s="75"/>
      <c r="B265" s="78" t="s">
        <v>20</v>
      </c>
      <c r="C265" s="76" t="s">
        <v>212</v>
      </c>
      <c r="D265" s="79">
        <f>50/30</f>
        <v>1.6666666666666667</v>
      </c>
      <c r="E265" s="79">
        <f>2/30</f>
        <v>6.6666666666666666E-2</v>
      </c>
      <c r="F265" s="79">
        <v>0</v>
      </c>
      <c r="G265" s="79">
        <f>20/30</f>
        <v>0.66666666666666663</v>
      </c>
      <c r="H265" s="79">
        <f>1/30</f>
        <v>3.3333333333333333E-2</v>
      </c>
      <c r="I265" s="79">
        <f>15/30</f>
        <v>0.5</v>
      </c>
      <c r="J265" s="80" t="s">
        <v>142</v>
      </c>
    </row>
    <row r="266" spans="1:10" s="66" customFormat="1" ht="25.15" customHeight="1">
      <c r="A266" s="75"/>
      <c r="B266" s="78" t="s">
        <v>376</v>
      </c>
      <c r="C266" s="76" t="s">
        <v>116</v>
      </c>
      <c r="D266" s="79">
        <v>100</v>
      </c>
      <c r="E266" s="79">
        <v>8</v>
      </c>
      <c r="F266" s="79">
        <v>2</v>
      </c>
      <c r="G266" s="79">
        <v>110</v>
      </c>
      <c r="H266" s="79">
        <v>7</v>
      </c>
      <c r="I266" s="79">
        <v>0</v>
      </c>
      <c r="J266" s="80"/>
    </row>
    <row r="267" spans="1:10" s="66" customFormat="1" ht="25.15" customHeight="1">
      <c r="A267" s="75"/>
      <c r="B267" s="78" t="s">
        <v>377</v>
      </c>
      <c r="C267" s="76" t="s">
        <v>116</v>
      </c>
      <c r="D267" s="79">
        <v>80</v>
      </c>
      <c r="E267" s="79">
        <v>4</v>
      </c>
      <c r="F267" s="79">
        <v>2</v>
      </c>
      <c r="G267" s="79">
        <v>75</v>
      </c>
      <c r="H267" s="79">
        <v>7</v>
      </c>
      <c r="I267" s="79">
        <v>0</v>
      </c>
      <c r="J267" s="80"/>
    </row>
    <row r="268" spans="1:10" s="66" customFormat="1" ht="25.15" customHeight="1">
      <c r="A268" s="75"/>
      <c r="B268" s="78" t="s">
        <v>86</v>
      </c>
      <c r="C268" s="76" t="s">
        <v>146</v>
      </c>
      <c r="D268" s="79">
        <v>10</v>
      </c>
      <c r="E268" s="79">
        <v>1</v>
      </c>
      <c r="F268" s="79">
        <v>0</v>
      </c>
      <c r="G268" s="79">
        <v>920</v>
      </c>
      <c r="H268" s="79">
        <v>2</v>
      </c>
      <c r="I268" s="79">
        <v>0</v>
      </c>
      <c r="J268" s="81" t="s">
        <v>378</v>
      </c>
    </row>
    <row r="269" spans="1:10" s="66" customFormat="1" ht="25.15" customHeight="1">
      <c r="A269" s="75"/>
      <c r="B269" s="78" t="s">
        <v>379</v>
      </c>
      <c r="C269" s="76" t="s">
        <v>119</v>
      </c>
      <c r="D269" s="79">
        <f>7/30</f>
        <v>0.23333333333333334</v>
      </c>
      <c r="E269" s="79">
        <f>1/30</f>
        <v>3.3333333333333333E-2</v>
      </c>
      <c r="F269" s="79">
        <f>1/30</f>
        <v>3.3333333333333333E-2</v>
      </c>
      <c r="G269" s="79">
        <f>24/30</f>
        <v>0.8</v>
      </c>
      <c r="H269" s="79">
        <f>1/30</f>
        <v>3.3333333333333333E-2</v>
      </c>
      <c r="I269" s="79">
        <v>0</v>
      </c>
      <c r="J269" s="80"/>
    </row>
    <row r="270" spans="1:10" s="66" customFormat="1" ht="25.15" customHeight="1">
      <c r="A270" s="75"/>
      <c r="B270" s="78" t="s">
        <v>87</v>
      </c>
      <c r="C270" s="76" t="s">
        <v>216</v>
      </c>
      <c r="D270" s="79">
        <v>6</v>
      </c>
      <c r="E270" s="79">
        <v>1.2</v>
      </c>
      <c r="F270" s="79">
        <v>0.1</v>
      </c>
      <c r="G270" s="79">
        <v>138</v>
      </c>
      <c r="H270" s="79">
        <v>0.1</v>
      </c>
      <c r="I270" s="79">
        <v>0</v>
      </c>
      <c r="J270" s="81" t="s">
        <v>380</v>
      </c>
    </row>
    <row r="271" spans="1:10" s="66" customFormat="1" ht="25.15" customHeight="1">
      <c r="A271" s="75"/>
      <c r="B271" s="78" t="s">
        <v>66</v>
      </c>
      <c r="C271" s="76" t="s">
        <v>119</v>
      </c>
      <c r="D271" s="79">
        <f>45.5/28.34</f>
        <v>1.6055045871559632</v>
      </c>
      <c r="E271" s="79">
        <v>0</v>
      </c>
      <c r="F271" s="79">
        <v>0</v>
      </c>
      <c r="G271" s="79">
        <f>18.2/28.34</f>
        <v>0.64220183486238525</v>
      </c>
      <c r="H271" s="79">
        <f>6.1/28.34</f>
        <v>0.21524347212420605</v>
      </c>
      <c r="I271" s="79">
        <f>13.6/28.34</f>
        <v>0.47988708539167252</v>
      </c>
      <c r="J271" s="81" t="s">
        <v>381</v>
      </c>
    </row>
    <row r="272" spans="1:10" s="66" customFormat="1" ht="25.15" customHeight="1">
      <c r="A272" s="75"/>
      <c r="B272" s="78" t="s">
        <v>382</v>
      </c>
      <c r="C272" s="76" t="s">
        <v>119</v>
      </c>
      <c r="D272" s="85">
        <f>50/140</f>
        <v>0.35714285714285715</v>
      </c>
      <c r="E272" s="79">
        <f>13/140</f>
        <v>9.285714285714286E-2</v>
      </c>
      <c r="F272" s="79">
        <f>3/140</f>
        <v>2.1428571428571429E-2</v>
      </c>
      <c r="G272" s="79">
        <v>0</v>
      </c>
      <c r="H272" s="79">
        <f>1/140</f>
        <v>7.1428571428571426E-3</v>
      </c>
      <c r="I272" s="79">
        <v>0</v>
      </c>
      <c r="J272" s="80"/>
    </row>
    <row r="273" spans="1:10" s="66" customFormat="1" ht="25.15" customHeight="1">
      <c r="A273" s="75"/>
      <c r="B273" s="78" t="s">
        <v>22</v>
      </c>
      <c r="C273" s="76" t="s">
        <v>119</v>
      </c>
      <c r="D273" s="79">
        <v>3.87</v>
      </c>
      <c r="E273" s="79">
        <v>0.99980000000000002</v>
      </c>
      <c r="F273" s="79">
        <v>0</v>
      </c>
      <c r="G273" s="79">
        <v>0</v>
      </c>
      <c r="H273" s="79">
        <v>0</v>
      </c>
      <c r="I273" s="79">
        <v>0</v>
      </c>
      <c r="J273" s="80" t="s">
        <v>383</v>
      </c>
    </row>
    <row r="274" spans="1:10" s="66" customFormat="1" ht="25.15" customHeight="1">
      <c r="A274" s="75"/>
      <c r="B274" s="78" t="s">
        <v>384</v>
      </c>
      <c r="C274" s="76" t="s">
        <v>146</v>
      </c>
      <c r="D274" s="79">
        <v>48</v>
      </c>
      <c r="E274" s="79">
        <v>12.600000000000001</v>
      </c>
      <c r="F274" s="79">
        <v>0</v>
      </c>
      <c r="G274" s="79">
        <v>0</v>
      </c>
      <c r="H274" s="79">
        <v>0</v>
      </c>
      <c r="I274" s="79">
        <v>0</v>
      </c>
      <c r="J274" s="80" t="s">
        <v>383</v>
      </c>
    </row>
    <row r="275" spans="1:10" s="66" customFormat="1" ht="25.15" customHeight="1">
      <c r="A275" s="75"/>
      <c r="B275" s="78" t="s">
        <v>385</v>
      </c>
      <c r="C275" s="76" t="s">
        <v>216</v>
      </c>
      <c r="D275" s="79">
        <v>16</v>
      </c>
      <c r="E275" s="79">
        <v>4.2</v>
      </c>
      <c r="F275" s="79">
        <v>0</v>
      </c>
      <c r="G275" s="79">
        <v>0</v>
      </c>
      <c r="H275" s="79">
        <v>0</v>
      </c>
      <c r="I275" s="79">
        <v>0</v>
      </c>
      <c r="J275" s="80" t="s">
        <v>383</v>
      </c>
    </row>
    <row r="276" spans="1:10" s="66" customFormat="1" ht="25.15" customHeight="1">
      <c r="A276" s="75"/>
      <c r="B276" s="78" t="s">
        <v>23</v>
      </c>
      <c r="C276" s="76" t="s">
        <v>124</v>
      </c>
      <c r="D276" s="79">
        <v>120</v>
      </c>
      <c r="E276" s="79">
        <v>32</v>
      </c>
      <c r="F276" s="79">
        <v>2</v>
      </c>
      <c r="G276" s="79">
        <v>10</v>
      </c>
      <c r="H276" s="79">
        <v>0.4</v>
      </c>
      <c r="I276" s="79">
        <v>0</v>
      </c>
      <c r="J276" s="80" t="s">
        <v>142</v>
      </c>
    </row>
    <row r="277" spans="1:10" s="66" customFormat="1" ht="25.15" customHeight="1">
      <c r="A277" s="75"/>
      <c r="B277" s="78" t="s">
        <v>386</v>
      </c>
      <c r="C277" s="76" t="s">
        <v>119</v>
      </c>
      <c r="D277" s="79">
        <f>165/100</f>
        <v>1.65</v>
      </c>
      <c r="E277" s="79">
        <f>38.12/100</f>
        <v>0.38119999999999998</v>
      </c>
      <c r="F277" s="79">
        <f>6.3/100</f>
        <v>6.3E-2</v>
      </c>
      <c r="G277" s="79">
        <v>4.16</v>
      </c>
      <c r="H277" s="79">
        <f>3.65/100</f>
        <v>3.6499999999999998E-2</v>
      </c>
      <c r="I277" s="79">
        <v>0</v>
      </c>
      <c r="J277" s="81" t="s">
        <v>387</v>
      </c>
    </row>
    <row r="278" spans="1:10" s="66" customFormat="1" ht="25.15" customHeight="1">
      <c r="A278" s="75"/>
      <c r="B278" s="78" t="s">
        <v>388</v>
      </c>
      <c r="C278" s="76" t="s">
        <v>146</v>
      </c>
      <c r="D278" s="79">
        <v>53</v>
      </c>
      <c r="E278" s="79">
        <v>13.71</v>
      </c>
      <c r="F278" s="79">
        <v>0</v>
      </c>
      <c r="G278" s="79">
        <v>17</v>
      </c>
      <c r="H278" s="79">
        <v>0</v>
      </c>
      <c r="I278" s="79">
        <v>0</v>
      </c>
      <c r="J278" s="80" t="s">
        <v>389</v>
      </c>
    </row>
    <row r="279" spans="1:10" s="66" customFormat="1" ht="25.15" customHeight="1">
      <c r="A279" s="75"/>
      <c r="B279" s="64" t="s">
        <v>390</v>
      </c>
      <c r="C279" s="76" t="s">
        <v>119</v>
      </c>
      <c r="D279" s="79">
        <f>130/85</f>
        <v>1.5294117647058822</v>
      </c>
      <c r="E279" s="79">
        <f>17/85</f>
        <v>0.2</v>
      </c>
      <c r="F279" s="79">
        <f>1/85</f>
        <v>1.1764705882352941E-2</v>
      </c>
      <c r="G279" s="79">
        <f>200/85</f>
        <v>2.3529411764705883</v>
      </c>
      <c r="H279" s="79">
        <f>1/85</f>
        <v>1.1764705882352941E-2</v>
      </c>
      <c r="I279" s="79">
        <v>0</v>
      </c>
      <c r="J279" s="80" t="s">
        <v>142</v>
      </c>
    </row>
    <row r="280" spans="1:10" s="66" customFormat="1" ht="25.15" customHeight="1">
      <c r="A280" s="75"/>
      <c r="B280" s="78" t="s">
        <v>391</v>
      </c>
      <c r="C280" s="76" t="s">
        <v>124</v>
      </c>
      <c r="D280" s="79">
        <v>2</v>
      </c>
      <c r="E280" s="79">
        <v>0.47</v>
      </c>
      <c r="F280" s="79">
        <v>0</v>
      </c>
      <c r="G280" s="79">
        <v>2</v>
      </c>
      <c r="H280" s="79">
        <v>0</v>
      </c>
      <c r="I280" s="79">
        <v>0</v>
      </c>
      <c r="J280" s="80"/>
    </row>
    <row r="281" spans="1:10" s="66" customFormat="1" ht="25.15" customHeight="1">
      <c r="A281" s="75"/>
      <c r="B281" s="78" t="s">
        <v>392</v>
      </c>
      <c r="C281" s="76" t="s">
        <v>146</v>
      </c>
      <c r="D281" s="79">
        <v>20</v>
      </c>
      <c r="E281" s="79">
        <v>5</v>
      </c>
      <c r="F281" s="79">
        <v>0</v>
      </c>
      <c r="G281" s="79">
        <v>300</v>
      </c>
      <c r="H281" s="79">
        <v>0.2</v>
      </c>
      <c r="I281" s="79">
        <v>0</v>
      </c>
      <c r="J281" s="80"/>
    </row>
    <row r="282" spans="1:10" s="66" customFormat="1" ht="25.15" customHeight="1">
      <c r="A282" s="75"/>
      <c r="B282" s="64" t="s">
        <v>393</v>
      </c>
      <c r="C282" s="76" t="s">
        <v>146</v>
      </c>
      <c r="D282" s="79">
        <v>15</v>
      </c>
      <c r="E282" s="79">
        <v>2</v>
      </c>
      <c r="F282" s="79">
        <v>0</v>
      </c>
      <c r="G282" s="79">
        <v>610</v>
      </c>
      <c r="H282" s="79">
        <v>1</v>
      </c>
      <c r="I282" s="79">
        <v>0</v>
      </c>
      <c r="J282" s="80"/>
    </row>
    <row r="283" spans="1:10" s="66" customFormat="1" ht="25.15" customHeight="1">
      <c r="A283" s="75"/>
      <c r="B283" s="64" t="s">
        <v>394</v>
      </c>
      <c r="C283" s="76" t="s">
        <v>146</v>
      </c>
      <c r="D283" s="79">
        <v>15</v>
      </c>
      <c r="E283" s="79">
        <v>3</v>
      </c>
      <c r="F283" s="79">
        <v>0</v>
      </c>
      <c r="G283" s="79">
        <v>320</v>
      </c>
      <c r="H283" s="79">
        <v>1</v>
      </c>
      <c r="I283" s="79">
        <v>0</v>
      </c>
      <c r="J283" s="80"/>
    </row>
    <row r="284" spans="1:10" s="66" customFormat="1" ht="25.15" customHeight="1">
      <c r="A284" s="75"/>
      <c r="B284" s="64" t="s">
        <v>395</v>
      </c>
      <c r="C284" s="76" t="s">
        <v>124</v>
      </c>
      <c r="D284" s="79">
        <v>100</v>
      </c>
      <c r="E284" s="79">
        <v>0</v>
      </c>
      <c r="F284" s="79">
        <v>0</v>
      </c>
      <c r="G284" s="79">
        <v>310</v>
      </c>
      <c r="H284" s="79"/>
      <c r="I284" s="79">
        <v>45</v>
      </c>
      <c r="J284" s="80"/>
    </row>
    <row r="285" spans="1:10" s="66" customFormat="1" ht="25.15" customHeight="1">
      <c r="A285" s="75"/>
      <c r="B285" s="78" t="s">
        <v>63</v>
      </c>
      <c r="C285" s="76" t="s">
        <v>300</v>
      </c>
      <c r="D285" s="79">
        <f>130*4</f>
        <v>520</v>
      </c>
      <c r="E285" s="79">
        <f>3*4</f>
        <v>12</v>
      </c>
      <c r="F285" s="79">
        <v>0</v>
      </c>
      <c r="G285" s="79">
        <f>5*4</f>
        <v>20</v>
      </c>
      <c r="H285" s="79">
        <f>14*4</f>
        <v>56</v>
      </c>
      <c r="I285" s="79">
        <v>0</v>
      </c>
      <c r="J285" s="80" t="s">
        <v>142</v>
      </c>
    </row>
    <row r="286" spans="1:10" s="66" customFormat="1" ht="25.15" customHeight="1">
      <c r="A286" s="75"/>
      <c r="B286" s="78" t="s">
        <v>396</v>
      </c>
      <c r="C286" s="76" t="s">
        <v>300</v>
      </c>
      <c r="D286" s="79">
        <f>70*5</f>
        <v>350</v>
      </c>
      <c r="E286" s="79">
        <f>2*5</f>
        <v>10</v>
      </c>
      <c r="F286" s="79">
        <v>0</v>
      </c>
      <c r="G286" s="79">
        <f>3*5</f>
        <v>15</v>
      </c>
      <c r="H286" s="79">
        <f>7*5</f>
        <v>35</v>
      </c>
      <c r="I286" s="79">
        <v>0</v>
      </c>
      <c r="J286" s="80" t="s">
        <v>142</v>
      </c>
    </row>
    <row r="287" spans="1:10" s="66" customFormat="1" ht="25.15" customHeight="1">
      <c r="A287" s="75"/>
      <c r="B287" s="78" t="s">
        <v>85</v>
      </c>
      <c r="C287" s="76" t="s">
        <v>300</v>
      </c>
      <c r="D287" s="79">
        <f>45*6</f>
        <v>270</v>
      </c>
      <c r="E287" s="79">
        <f>1*6</f>
        <v>6</v>
      </c>
      <c r="F287" s="79">
        <v>0</v>
      </c>
      <c r="G287" s="79">
        <f>2*6</f>
        <v>12</v>
      </c>
      <c r="H287" s="79">
        <f>5*6</f>
        <v>30</v>
      </c>
      <c r="I287" s="79">
        <v>0</v>
      </c>
      <c r="J287" s="80" t="s">
        <v>142</v>
      </c>
    </row>
    <row r="288" spans="1:10" s="66" customFormat="1" ht="25.15" customHeight="1">
      <c r="A288" s="75"/>
      <c r="B288" s="104" t="s">
        <v>37</v>
      </c>
      <c r="C288" s="76" t="s">
        <v>116</v>
      </c>
      <c r="D288" s="79">
        <v>90</v>
      </c>
      <c r="E288" s="79">
        <v>18</v>
      </c>
      <c r="F288" s="79">
        <v>3.7</v>
      </c>
      <c r="G288" s="79">
        <v>27</v>
      </c>
      <c r="H288" s="79">
        <v>3.17</v>
      </c>
      <c r="I288" s="79">
        <v>0</v>
      </c>
      <c r="J288" s="81" t="s">
        <v>397</v>
      </c>
    </row>
    <row r="289" spans="1:10" s="66" customFormat="1" ht="25.15" customHeight="1">
      <c r="A289" s="75"/>
      <c r="B289" s="104" t="s">
        <v>398</v>
      </c>
      <c r="C289" s="76" t="s">
        <v>146</v>
      </c>
      <c r="D289" s="79">
        <v>5.625</v>
      </c>
      <c r="E289" s="79">
        <v>1.125</v>
      </c>
      <c r="F289" s="79">
        <v>0.23125000000000001</v>
      </c>
      <c r="G289" s="79">
        <v>1.6875</v>
      </c>
      <c r="H289" s="79">
        <v>0.198125</v>
      </c>
      <c r="I289" s="79">
        <v>0</v>
      </c>
      <c r="J289" s="81" t="s">
        <v>397</v>
      </c>
    </row>
    <row r="290" spans="1:10" s="66" customFormat="1" ht="25.15" customHeight="1">
      <c r="A290" s="75"/>
      <c r="B290" s="78" t="s">
        <v>399</v>
      </c>
      <c r="C290" s="76" t="s">
        <v>116</v>
      </c>
      <c r="D290" s="79">
        <v>80</v>
      </c>
      <c r="E290" s="79">
        <v>18</v>
      </c>
      <c r="F290" s="79">
        <v>6</v>
      </c>
      <c r="G290" s="79">
        <v>640</v>
      </c>
      <c r="H290" s="79">
        <v>4</v>
      </c>
      <c r="I290" s="79">
        <v>0</v>
      </c>
      <c r="J290" s="80"/>
    </row>
    <row r="291" spans="1:10" s="66" customFormat="1" ht="25.15" customHeight="1">
      <c r="A291" s="75"/>
      <c r="B291" s="78" t="s">
        <v>400</v>
      </c>
      <c r="C291" s="76" t="s">
        <v>124</v>
      </c>
      <c r="D291" s="79">
        <v>290</v>
      </c>
      <c r="E291" s="79">
        <v>48</v>
      </c>
      <c r="F291" s="79">
        <v>2</v>
      </c>
      <c r="G291" s="79">
        <v>200</v>
      </c>
      <c r="H291" s="79">
        <v>6</v>
      </c>
      <c r="I291" s="79">
        <v>0</v>
      </c>
      <c r="J291" s="80"/>
    </row>
    <row r="292" spans="1:10" s="66" customFormat="1" ht="25.15" customHeight="1">
      <c r="A292" s="75"/>
      <c r="B292" s="78" t="s">
        <v>100</v>
      </c>
      <c r="C292" s="76" t="s">
        <v>140</v>
      </c>
      <c r="D292" s="79">
        <v>240</v>
      </c>
      <c r="E292" s="79">
        <v>0</v>
      </c>
      <c r="F292" s="79">
        <v>0</v>
      </c>
      <c r="G292" s="79">
        <f>280*2</f>
        <v>560</v>
      </c>
      <c r="H292" s="79">
        <f>18*2</f>
        <v>36</v>
      </c>
      <c r="I292" s="79">
        <f>35*2</f>
        <v>70</v>
      </c>
      <c r="J292" s="80" t="s">
        <v>142</v>
      </c>
    </row>
    <row r="293" spans="1:10" s="66" customFormat="1" ht="25.15" customHeight="1">
      <c r="A293" s="75"/>
      <c r="B293" s="78" t="s">
        <v>34</v>
      </c>
      <c r="C293" s="76" t="s">
        <v>119</v>
      </c>
      <c r="D293" s="79">
        <f>120/70</f>
        <v>1.7142857142857142</v>
      </c>
      <c r="E293" s="79">
        <v>0</v>
      </c>
      <c r="F293" s="79">
        <v>0</v>
      </c>
      <c r="G293" s="79">
        <f>280/70</f>
        <v>4</v>
      </c>
      <c r="H293" s="79">
        <f>18/70</f>
        <v>0.25714285714285712</v>
      </c>
      <c r="I293" s="79">
        <f>35/70</f>
        <v>0.5</v>
      </c>
      <c r="J293" s="80"/>
    </row>
    <row r="294" spans="1:10" s="66" customFormat="1" ht="25.15" customHeight="1">
      <c r="A294" s="75"/>
      <c r="B294" s="78" t="s">
        <v>401</v>
      </c>
      <c r="C294" s="76" t="s">
        <v>119</v>
      </c>
      <c r="D294" s="79">
        <v>0.93333333333333335</v>
      </c>
      <c r="E294" s="79">
        <v>0</v>
      </c>
      <c r="F294" s="79">
        <v>0</v>
      </c>
      <c r="G294" s="79">
        <v>8</v>
      </c>
      <c r="H294" s="79">
        <v>0.21333333333333335</v>
      </c>
      <c r="I294" s="79">
        <v>0.46666666666666667</v>
      </c>
      <c r="J294" s="80"/>
    </row>
    <row r="295" spans="1:10" s="66" customFormat="1" ht="25.15" customHeight="1">
      <c r="A295" s="75"/>
      <c r="B295" s="78" t="s">
        <v>402</v>
      </c>
      <c r="C295" s="76" t="s">
        <v>119</v>
      </c>
      <c r="D295" s="79">
        <f>190*4.05/884</f>
        <v>0.87047511312217196</v>
      </c>
      <c r="E295" s="79">
        <f>40*4.05/884</f>
        <v>0.18325791855203619</v>
      </c>
      <c r="F295" s="79">
        <f>4*4.05/884</f>
        <v>1.8325791855203621E-2</v>
      </c>
      <c r="G295" s="79">
        <f>730*4.05/884</f>
        <v>3.3444570135746607</v>
      </c>
      <c r="H295" s="79">
        <f>7*4.05/884</f>
        <v>3.2070135746606332E-2</v>
      </c>
      <c r="I295" s="79">
        <v>0</v>
      </c>
      <c r="J295" s="80"/>
    </row>
    <row r="296" spans="1:10" s="66" customFormat="1" ht="25.15" customHeight="1">
      <c r="A296" s="75"/>
      <c r="B296" s="78" t="s">
        <v>403</v>
      </c>
      <c r="C296" s="76" t="s">
        <v>119</v>
      </c>
      <c r="D296" s="79">
        <v>1.3977832512315271</v>
      </c>
      <c r="E296" s="79">
        <v>0.30898366606170596</v>
      </c>
      <c r="F296" s="79">
        <v>0</v>
      </c>
      <c r="G296" s="79">
        <v>5.7382680840031108</v>
      </c>
      <c r="H296" s="79">
        <v>3.6783769769250713E-2</v>
      </c>
      <c r="I296" s="79">
        <v>1.8391884884625356E-2</v>
      </c>
      <c r="J296" s="80"/>
    </row>
    <row r="297" spans="1:10" s="66" customFormat="1" ht="25.15" customHeight="1">
      <c r="A297" s="75"/>
      <c r="B297" s="78" t="s">
        <v>404</v>
      </c>
      <c r="C297" s="76" t="s">
        <v>119</v>
      </c>
      <c r="D297" s="79">
        <v>0</v>
      </c>
      <c r="E297" s="79">
        <v>0</v>
      </c>
      <c r="F297" s="79">
        <v>0</v>
      </c>
      <c r="G297" s="79">
        <v>0</v>
      </c>
      <c r="H297" s="79">
        <v>0</v>
      </c>
      <c r="I297" s="79">
        <v>0</v>
      </c>
      <c r="J297" s="80"/>
    </row>
    <row r="298" spans="1:10" s="66" customFormat="1" ht="25.15" customHeight="1">
      <c r="A298" s="75"/>
      <c r="B298" s="78" t="s">
        <v>94</v>
      </c>
      <c r="C298" s="76" t="s">
        <v>218</v>
      </c>
      <c r="D298" s="79">
        <v>-1</v>
      </c>
      <c r="E298" s="79"/>
      <c r="F298" s="79"/>
      <c r="G298" s="79"/>
      <c r="H298" s="79"/>
      <c r="I298" s="79"/>
      <c r="J298" s="80"/>
    </row>
    <row r="299" spans="1:10" s="66" customFormat="1" ht="25.15" customHeight="1">
      <c r="A299" s="75"/>
      <c r="B299" s="78" t="s">
        <v>405</v>
      </c>
      <c r="C299" s="76" t="s">
        <v>218</v>
      </c>
      <c r="D299" s="79">
        <v>-1</v>
      </c>
      <c r="E299" s="79"/>
      <c r="F299" s="79"/>
      <c r="G299" s="79"/>
      <c r="H299" s="79"/>
      <c r="I299" s="79"/>
      <c r="J299" s="80"/>
    </row>
    <row r="300" spans="1:10" s="66" customFormat="1" ht="25.15" customHeight="1">
      <c r="A300" s="75"/>
      <c r="B300" s="78" t="s">
        <v>406</v>
      </c>
      <c r="C300" s="76" t="s">
        <v>116</v>
      </c>
      <c r="D300" s="79">
        <f>120/3*4</f>
        <v>160</v>
      </c>
      <c r="E300" s="79">
        <f>6/3*4</f>
        <v>8</v>
      </c>
      <c r="F300" s="79">
        <v>0</v>
      </c>
      <c r="G300" s="79">
        <f>65/3*4</f>
        <v>86.666666666666671</v>
      </c>
      <c r="H300" s="79">
        <f>16/3*4</f>
        <v>21.333333333333332</v>
      </c>
      <c r="I300" s="79">
        <f>15/3*4</f>
        <v>20</v>
      </c>
      <c r="J300" s="80"/>
    </row>
    <row r="301" spans="1:10" s="66" customFormat="1" ht="25.15" customHeight="1">
      <c r="A301" s="75"/>
      <c r="B301" s="78" t="s">
        <v>407</v>
      </c>
      <c r="C301" s="76" t="s">
        <v>119</v>
      </c>
      <c r="D301" s="79">
        <f>180/175</f>
        <v>1.0285714285714285</v>
      </c>
      <c r="E301" s="79">
        <f>16/175</f>
        <v>9.1428571428571428E-2</v>
      </c>
      <c r="F301" s="79">
        <v>0</v>
      </c>
      <c r="G301" s="79">
        <f>50/175</f>
        <v>0.2857142857142857</v>
      </c>
      <c r="H301" s="79">
        <f>16/175</f>
        <v>9.1428571428571428E-2</v>
      </c>
      <c r="I301" s="79">
        <f>25/175</f>
        <v>0.14285714285714285</v>
      </c>
      <c r="J301" s="80"/>
    </row>
    <row r="302" spans="1:10" s="66" customFormat="1" ht="25.15" customHeight="1">
      <c r="A302" s="75"/>
      <c r="B302" s="78" t="s">
        <v>408</v>
      </c>
      <c r="C302" s="76" t="s">
        <v>124</v>
      </c>
      <c r="D302" s="79">
        <v>100</v>
      </c>
      <c r="E302" s="79">
        <v>13</v>
      </c>
      <c r="F302" s="79">
        <v>0</v>
      </c>
      <c r="G302" s="79">
        <v>30</v>
      </c>
      <c r="H302" s="79">
        <v>8</v>
      </c>
      <c r="I302" s="79">
        <v>10</v>
      </c>
      <c r="J302" s="80"/>
    </row>
    <row r="303" spans="1:10" s="66" customFormat="1" ht="25.15" customHeight="1">
      <c r="A303" s="75"/>
      <c r="B303" s="78" t="s">
        <v>105</v>
      </c>
      <c r="C303" s="76" t="s">
        <v>119</v>
      </c>
      <c r="D303" s="79">
        <f>530/100</f>
        <v>5.3</v>
      </c>
      <c r="E303" s="79">
        <f>7.1/100</f>
        <v>7.0999999999999994E-2</v>
      </c>
      <c r="F303" s="79">
        <f>3/100</f>
        <v>0.03</v>
      </c>
      <c r="G303" s="79">
        <f>12/100</f>
        <v>0.12</v>
      </c>
      <c r="H303" s="79">
        <f>50/100</f>
        <v>0.5</v>
      </c>
      <c r="I303" s="79">
        <v>0</v>
      </c>
      <c r="J303" s="81" t="s">
        <v>409</v>
      </c>
    </row>
    <row r="304" spans="1:10" s="66" customFormat="1" ht="25.15" customHeight="1">
      <c r="A304" s="75"/>
      <c r="B304" s="78" t="s">
        <v>110</v>
      </c>
      <c r="C304" s="76" t="s">
        <v>119</v>
      </c>
      <c r="D304" s="79">
        <f>110/125</f>
        <v>0.88</v>
      </c>
      <c r="E304" s="79">
        <f>6/125</f>
        <v>4.8000000000000001E-2</v>
      </c>
      <c r="F304" s="79">
        <v>0</v>
      </c>
      <c r="G304" s="79">
        <f>290/125</f>
        <v>2.3199999999999998</v>
      </c>
      <c r="H304" s="79">
        <f>15/125</f>
        <v>0.12</v>
      </c>
      <c r="I304" s="79">
        <f>15/125</f>
        <v>0.12</v>
      </c>
      <c r="J304" s="80" t="s">
        <v>142</v>
      </c>
    </row>
    <row r="305" spans="1:10" s="66" customFormat="1" ht="25.15" customHeight="1">
      <c r="A305" s="75"/>
      <c r="B305" s="78" t="s">
        <v>410</v>
      </c>
      <c r="C305" s="76" t="s">
        <v>116</v>
      </c>
      <c r="D305" s="79">
        <f>110*2</f>
        <v>220</v>
      </c>
      <c r="E305" s="79">
        <f>6*2</f>
        <v>12</v>
      </c>
      <c r="F305" s="79">
        <v>0</v>
      </c>
      <c r="G305" s="79">
        <f>290*2</f>
        <v>580</v>
      </c>
      <c r="H305" s="79">
        <f>15*2</f>
        <v>30</v>
      </c>
      <c r="I305" s="79">
        <f>15*2</f>
        <v>30</v>
      </c>
      <c r="J305" s="80" t="s">
        <v>142</v>
      </c>
    </row>
    <row r="306" spans="1:10" s="66" customFormat="1" ht="25.15" customHeight="1">
      <c r="A306" s="75"/>
      <c r="B306" s="75"/>
      <c r="C306" s="76"/>
      <c r="D306" s="99"/>
      <c r="E306" s="76"/>
      <c r="F306" s="79"/>
      <c r="G306" s="76"/>
      <c r="H306" s="76"/>
      <c r="I306" s="76"/>
      <c r="J306" s="75"/>
    </row>
    <row r="307" spans="1:10" s="66" customFormat="1" ht="25.15" customHeight="1">
      <c r="A307" s="75"/>
      <c r="B307" s="75"/>
      <c r="C307" s="76"/>
      <c r="D307" s="99"/>
      <c r="E307" s="76"/>
      <c r="F307" s="79"/>
      <c r="G307" s="76"/>
      <c r="H307" s="76"/>
      <c r="I307" s="76"/>
      <c r="J307" s="75"/>
    </row>
    <row r="308" spans="1:10" s="66" customFormat="1" ht="25.15" customHeight="1">
      <c r="A308" s="75"/>
      <c r="B308" s="75"/>
      <c r="C308" s="76"/>
      <c r="D308" s="99"/>
      <c r="E308" s="76"/>
      <c r="F308" s="79"/>
      <c r="G308" s="76"/>
      <c r="H308" s="76"/>
      <c r="I308" s="76"/>
      <c r="J308" s="75"/>
    </row>
    <row r="309" spans="1:10" s="66" customFormat="1" ht="25.15" customHeight="1">
      <c r="A309" s="75"/>
      <c r="B309" s="75"/>
      <c r="C309" s="76"/>
      <c r="D309" s="99"/>
      <c r="E309" s="76"/>
      <c r="F309" s="79"/>
      <c r="G309" s="76"/>
      <c r="H309" s="76"/>
      <c r="I309" s="76"/>
      <c r="J309" s="75"/>
    </row>
    <row r="310" spans="1:10" s="66" customFormat="1" ht="25.15" customHeight="1">
      <c r="A310" s="75"/>
      <c r="B310" s="75"/>
      <c r="C310" s="76"/>
      <c r="D310" s="99"/>
      <c r="E310" s="76"/>
      <c r="F310" s="79"/>
      <c r="G310" s="76"/>
      <c r="H310" s="76"/>
      <c r="I310" s="76"/>
      <c r="J310" s="75"/>
    </row>
    <row r="311" spans="1:10" s="66" customFormat="1" ht="25.15" customHeight="1">
      <c r="A311" s="75"/>
      <c r="B311" s="75"/>
      <c r="C311" s="76"/>
      <c r="D311" s="99"/>
      <c r="E311" s="76"/>
      <c r="F311" s="79"/>
      <c r="G311" s="76"/>
      <c r="H311" s="76"/>
      <c r="I311" s="76"/>
      <c r="J311" s="75"/>
    </row>
    <row r="312" spans="1:10" s="66" customFormat="1" ht="25.15" customHeight="1">
      <c r="A312" s="75"/>
      <c r="B312" s="75"/>
      <c r="C312" s="76"/>
      <c r="D312" s="99"/>
      <c r="E312" s="76"/>
      <c r="F312" s="79"/>
      <c r="G312" s="76"/>
      <c r="H312" s="76"/>
      <c r="I312" s="76"/>
      <c r="J312" s="75"/>
    </row>
    <row r="313" spans="1:10" s="66" customFormat="1" ht="25.15" customHeight="1">
      <c r="A313" s="75"/>
      <c r="B313" s="75"/>
      <c r="C313" s="76"/>
      <c r="D313" s="99"/>
      <c r="E313" s="76"/>
      <c r="F313" s="79"/>
      <c r="G313" s="76"/>
      <c r="H313" s="76"/>
      <c r="I313" s="76"/>
      <c r="J313" s="75"/>
    </row>
    <row r="314" spans="1:10" s="66" customFormat="1" ht="25.15" customHeight="1">
      <c r="A314" s="75"/>
      <c r="B314" s="75"/>
      <c r="C314" s="76"/>
      <c r="D314" s="99"/>
      <c r="E314" s="76"/>
      <c r="F314" s="79"/>
      <c r="G314" s="76"/>
      <c r="H314" s="76"/>
      <c r="I314" s="76"/>
      <c r="J314" s="75"/>
    </row>
    <row r="315" spans="1:10" s="66" customFormat="1" ht="25.15" customHeight="1">
      <c r="A315" s="75"/>
      <c r="B315" s="75"/>
      <c r="C315" s="76"/>
      <c r="D315" s="99"/>
      <c r="E315" s="76"/>
      <c r="F315" s="79"/>
      <c r="G315" s="76"/>
      <c r="H315" s="76"/>
      <c r="I315" s="76"/>
      <c r="J315" s="75"/>
    </row>
    <row r="316" spans="1:10" s="66" customFormat="1" ht="25.15" customHeight="1">
      <c r="A316" s="75"/>
      <c r="B316" s="75"/>
      <c r="C316" s="76"/>
      <c r="D316" s="99"/>
      <c r="E316" s="76"/>
      <c r="F316" s="79"/>
      <c r="G316" s="76"/>
      <c r="H316" s="76"/>
      <c r="I316" s="76"/>
      <c r="J316" s="75"/>
    </row>
    <row r="317" spans="1:10" s="66" customFormat="1" ht="25.15" customHeight="1">
      <c r="A317" s="75"/>
      <c r="B317" s="75"/>
      <c r="C317" s="76"/>
      <c r="D317" s="99"/>
      <c r="E317" s="76"/>
      <c r="F317" s="79"/>
      <c r="G317" s="76"/>
      <c r="H317" s="76"/>
      <c r="I317" s="76"/>
      <c r="J317" s="75"/>
    </row>
    <row r="318" spans="1:10" s="66" customFormat="1" ht="25.15" customHeight="1">
      <c r="A318" s="75"/>
      <c r="B318" s="75"/>
      <c r="C318" s="76"/>
      <c r="D318" s="99"/>
      <c r="E318" s="76"/>
      <c r="F318" s="79"/>
      <c r="G318" s="76"/>
      <c r="H318" s="76"/>
      <c r="I318" s="76"/>
      <c r="J318" s="75"/>
    </row>
    <row r="319" spans="1:10" s="66" customFormat="1" ht="25.15" customHeight="1">
      <c r="A319" s="75"/>
      <c r="B319" s="75"/>
      <c r="C319" s="76"/>
      <c r="D319" s="99"/>
      <c r="E319" s="76"/>
      <c r="F319" s="79"/>
      <c r="G319" s="76"/>
      <c r="H319" s="76"/>
      <c r="I319" s="76"/>
      <c r="J319" s="75"/>
    </row>
    <row r="320" spans="1:10" s="66" customFormat="1" ht="25.15" customHeight="1">
      <c r="A320" s="75"/>
      <c r="B320" s="75"/>
      <c r="C320" s="76"/>
      <c r="D320" s="99"/>
      <c r="E320" s="76"/>
      <c r="F320" s="79"/>
      <c r="G320" s="76"/>
      <c r="H320" s="76"/>
      <c r="I320" s="76"/>
      <c r="J320" s="75"/>
    </row>
    <row r="321" spans="1:10" s="66" customFormat="1" ht="25.15" customHeight="1">
      <c r="A321" s="75"/>
      <c r="B321" s="75"/>
      <c r="C321" s="76"/>
      <c r="D321" s="99"/>
      <c r="E321" s="76"/>
      <c r="F321" s="79"/>
      <c r="G321" s="76"/>
      <c r="H321" s="76"/>
      <c r="I321" s="76"/>
      <c r="J321" s="75"/>
    </row>
    <row r="322" spans="1:10" s="66" customFormat="1" ht="25.15" customHeight="1">
      <c r="A322" s="75"/>
      <c r="B322" s="75"/>
      <c r="C322" s="76"/>
      <c r="D322" s="99"/>
      <c r="E322" s="76"/>
      <c r="F322" s="79"/>
      <c r="G322" s="76"/>
      <c r="H322" s="76"/>
      <c r="I322" s="76"/>
      <c r="J322" s="75"/>
    </row>
    <row r="323" spans="1:10" s="66" customFormat="1" ht="25.15" customHeight="1">
      <c r="A323" s="75"/>
      <c r="B323" s="75"/>
      <c r="C323" s="76"/>
      <c r="D323" s="99"/>
      <c r="E323" s="76"/>
      <c r="F323" s="79"/>
      <c r="G323" s="76"/>
      <c r="H323" s="76"/>
      <c r="I323" s="76"/>
      <c r="J323" s="75"/>
    </row>
    <row r="324" spans="1:10" s="66" customFormat="1" ht="25.15" customHeight="1">
      <c r="A324" s="75"/>
      <c r="B324" s="75"/>
      <c r="C324" s="76"/>
      <c r="D324" s="99"/>
      <c r="E324" s="76"/>
      <c r="F324" s="79"/>
      <c r="G324" s="76"/>
      <c r="H324" s="76"/>
      <c r="I324" s="76"/>
      <c r="J324" s="75"/>
    </row>
    <row r="325" spans="1:10" s="66" customFormat="1" ht="25.15" customHeight="1">
      <c r="A325" s="75"/>
      <c r="B325" s="75"/>
      <c r="C325" s="76"/>
      <c r="D325" s="99"/>
      <c r="E325" s="76"/>
      <c r="F325" s="79"/>
      <c r="G325" s="76"/>
      <c r="H325" s="76"/>
      <c r="I325" s="76"/>
      <c r="J325" s="75"/>
    </row>
    <row r="326" spans="1:10" s="66" customFormat="1" ht="25.15" customHeight="1">
      <c r="A326" s="75"/>
      <c r="B326" s="75"/>
      <c r="C326" s="76"/>
      <c r="D326" s="99"/>
      <c r="E326" s="76"/>
      <c r="F326" s="79"/>
      <c r="G326" s="76"/>
      <c r="H326" s="76"/>
      <c r="I326" s="76"/>
      <c r="J326" s="75"/>
    </row>
    <row r="327" spans="1:10" s="66" customFormat="1" ht="25.15" customHeight="1">
      <c r="A327" s="75"/>
      <c r="B327" s="75"/>
      <c r="C327" s="76"/>
      <c r="D327" s="99"/>
      <c r="E327" s="76"/>
      <c r="F327" s="79"/>
      <c r="G327" s="76"/>
      <c r="H327" s="76"/>
      <c r="I327" s="76"/>
      <c r="J327" s="75"/>
    </row>
    <row r="328" spans="1:10" s="66" customFormat="1" ht="25.15" customHeight="1">
      <c r="A328" s="75"/>
      <c r="B328" s="75"/>
      <c r="C328" s="76"/>
      <c r="D328" s="99"/>
      <c r="E328" s="76"/>
      <c r="F328" s="79"/>
      <c r="G328" s="76"/>
      <c r="H328" s="76"/>
      <c r="I328" s="76"/>
      <c r="J328" s="75"/>
    </row>
    <row r="329" spans="1:10" s="66" customFormat="1" ht="25.15" customHeight="1">
      <c r="A329" s="75"/>
      <c r="B329" s="75"/>
      <c r="C329" s="76"/>
      <c r="D329" s="99"/>
      <c r="E329" s="76"/>
      <c r="F329" s="79"/>
      <c r="G329" s="76"/>
      <c r="H329" s="76"/>
      <c r="I329" s="76"/>
      <c r="J329" s="75"/>
    </row>
    <row r="330" spans="1:10" s="66" customFormat="1" ht="25.15" customHeight="1">
      <c r="A330" s="75"/>
      <c r="B330" s="75"/>
      <c r="C330" s="76"/>
      <c r="D330" s="99"/>
      <c r="E330" s="76"/>
      <c r="F330" s="79"/>
      <c r="G330" s="76"/>
      <c r="H330" s="76"/>
      <c r="I330" s="76"/>
      <c r="J330" s="75"/>
    </row>
    <row r="331" spans="1:10" s="66" customFormat="1" ht="25.15" customHeight="1">
      <c r="A331" s="75"/>
      <c r="B331" s="75"/>
      <c r="C331" s="76"/>
      <c r="D331" s="99"/>
      <c r="E331" s="76"/>
      <c r="F331" s="79"/>
      <c r="G331" s="76"/>
      <c r="H331" s="76"/>
      <c r="I331" s="76"/>
      <c r="J331" s="75"/>
    </row>
    <row r="332" spans="1:10" s="66" customFormat="1" ht="25.15" customHeight="1">
      <c r="A332" s="75"/>
      <c r="B332" s="75"/>
      <c r="C332" s="76"/>
      <c r="D332" s="99"/>
      <c r="E332" s="76"/>
      <c r="F332" s="79"/>
      <c r="G332" s="76"/>
      <c r="H332" s="76"/>
      <c r="I332" s="76"/>
      <c r="J332" s="75"/>
    </row>
    <row r="333" spans="1:10" s="66" customFormat="1" ht="25.15" customHeight="1">
      <c r="A333" s="75"/>
      <c r="B333" s="75"/>
      <c r="C333" s="76"/>
      <c r="D333" s="99"/>
      <c r="E333" s="76"/>
      <c r="F333" s="79"/>
      <c r="G333" s="76"/>
      <c r="H333" s="76"/>
      <c r="I333" s="76"/>
      <c r="J333" s="75"/>
    </row>
    <row r="334" spans="1:10" s="66" customFormat="1" ht="25.15" customHeight="1">
      <c r="A334" s="75"/>
      <c r="B334" s="75"/>
      <c r="C334" s="76"/>
      <c r="D334" s="99"/>
      <c r="E334" s="76"/>
      <c r="F334" s="79"/>
      <c r="G334" s="76"/>
      <c r="H334" s="76"/>
      <c r="I334" s="76"/>
      <c r="J334" s="75"/>
    </row>
    <row r="335" spans="1:10" s="66" customFormat="1" ht="25.15" customHeight="1">
      <c r="A335" s="75"/>
      <c r="B335" s="75"/>
      <c r="C335" s="76"/>
      <c r="D335" s="99"/>
      <c r="E335" s="76"/>
      <c r="F335" s="79"/>
      <c r="G335" s="76"/>
      <c r="H335" s="76"/>
      <c r="I335" s="76"/>
      <c r="J335" s="75"/>
    </row>
    <row r="336" spans="1:10" s="66" customFormat="1" ht="25.15" customHeight="1">
      <c r="A336" s="75"/>
      <c r="B336" s="75"/>
      <c r="C336" s="76"/>
      <c r="D336" s="99"/>
      <c r="E336" s="76"/>
      <c r="F336" s="79"/>
      <c r="G336" s="76"/>
      <c r="H336" s="76"/>
      <c r="I336" s="76"/>
      <c r="J336" s="75"/>
    </row>
    <row r="337" spans="1:10" s="66" customFormat="1" ht="25.15" customHeight="1">
      <c r="A337" s="75"/>
      <c r="B337" s="75"/>
      <c r="C337" s="76"/>
      <c r="D337" s="99"/>
      <c r="E337" s="76"/>
      <c r="F337" s="79"/>
      <c r="G337" s="76"/>
      <c r="H337" s="76"/>
      <c r="I337" s="76"/>
      <c r="J337" s="75"/>
    </row>
    <row r="338" spans="1:10" s="66" customFormat="1" ht="25.15" customHeight="1">
      <c r="A338" s="75"/>
      <c r="B338" s="75"/>
      <c r="C338" s="76"/>
      <c r="D338" s="99"/>
      <c r="E338" s="76"/>
      <c r="F338" s="79"/>
      <c r="G338" s="76"/>
      <c r="H338" s="76"/>
      <c r="I338" s="76"/>
      <c r="J338" s="75"/>
    </row>
    <row r="339" spans="1:10" s="66" customFormat="1" ht="25.15" customHeight="1">
      <c r="A339" s="75"/>
      <c r="B339" s="75"/>
      <c r="C339" s="76"/>
      <c r="D339" s="99"/>
      <c r="E339" s="76"/>
      <c r="F339" s="79"/>
      <c r="G339" s="76"/>
      <c r="H339" s="76"/>
      <c r="I339" s="76"/>
      <c r="J339" s="75"/>
    </row>
    <row r="340" spans="1:10" s="66" customFormat="1" ht="25.15" customHeight="1">
      <c r="A340" s="75"/>
      <c r="B340" s="75"/>
      <c r="C340" s="76"/>
      <c r="D340" s="99"/>
      <c r="E340" s="76"/>
      <c r="F340" s="79"/>
      <c r="G340" s="76"/>
      <c r="H340" s="76"/>
      <c r="I340" s="76"/>
      <c r="J340" s="75"/>
    </row>
    <row r="341" spans="1:10" s="66" customFormat="1" ht="25.15" customHeight="1">
      <c r="A341" s="75"/>
      <c r="B341" s="75"/>
      <c r="C341" s="76"/>
      <c r="D341" s="99"/>
      <c r="E341" s="76"/>
      <c r="F341" s="79"/>
      <c r="G341" s="76"/>
      <c r="H341" s="76"/>
      <c r="I341" s="76"/>
      <c r="J341" s="75"/>
    </row>
    <row r="342" spans="1:10" s="66" customFormat="1" ht="25.15" customHeight="1">
      <c r="A342" s="75"/>
      <c r="B342" s="75"/>
      <c r="C342" s="76"/>
      <c r="D342" s="99"/>
      <c r="E342" s="76"/>
      <c r="F342" s="79"/>
      <c r="G342" s="76"/>
      <c r="H342" s="76"/>
      <c r="I342" s="76"/>
      <c r="J342" s="75"/>
    </row>
    <row r="343" spans="1:10" s="66" customFormat="1" ht="25.15" customHeight="1">
      <c r="A343" s="75"/>
      <c r="B343" s="75"/>
      <c r="C343" s="76"/>
      <c r="D343" s="99"/>
      <c r="E343" s="76"/>
      <c r="F343" s="79"/>
      <c r="G343" s="76"/>
      <c r="H343" s="76"/>
      <c r="I343" s="76"/>
      <c r="J343" s="75"/>
    </row>
    <row r="344" spans="1:10" s="66" customFormat="1" ht="25.15" customHeight="1">
      <c r="A344" s="75"/>
      <c r="B344" s="75"/>
      <c r="C344" s="76"/>
      <c r="D344" s="99"/>
      <c r="E344" s="76"/>
      <c r="F344" s="79"/>
      <c r="G344" s="76"/>
      <c r="H344" s="76"/>
      <c r="I344" s="76"/>
      <c r="J344" s="75"/>
    </row>
    <row r="345" spans="1:10" s="66" customFormat="1" ht="25.15" customHeight="1">
      <c r="A345" s="75"/>
      <c r="B345" s="75"/>
      <c r="C345" s="76"/>
      <c r="D345" s="99"/>
      <c r="E345" s="76"/>
      <c r="F345" s="79"/>
      <c r="G345" s="76"/>
      <c r="H345" s="76"/>
      <c r="I345" s="76"/>
      <c r="J345" s="75"/>
    </row>
    <row r="346" spans="1:10" s="66" customFormat="1" ht="25.15" customHeight="1">
      <c r="A346" s="75"/>
      <c r="B346" s="75"/>
      <c r="C346" s="76"/>
      <c r="D346" s="99"/>
      <c r="E346" s="76"/>
      <c r="F346" s="79"/>
      <c r="G346" s="76"/>
      <c r="H346" s="76"/>
      <c r="I346" s="76"/>
      <c r="J346" s="75"/>
    </row>
    <row r="347" spans="1:10" s="66" customFormat="1" ht="25.15" customHeight="1">
      <c r="A347" s="75"/>
      <c r="B347" s="75"/>
      <c r="C347" s="76"/>
      <c r="D347" s="99"/>
      <c r="E347" s="76"/>
      <c r="F347" s="79"/>
      <c r="G347" s="76"/>
      <c r="H347" s="76"/>
      <c r="I347" s="76"/>
      <c r="J347" s="75"/>
    </row>
    <row r="348" spans="1:10" s="66" customFormat="1" ht="25.15" customHeight="1">
      <c r="A348" s="75"/>
      <c r="B348" s="75"/>
      <c r="C348" s="76"/>
      <c r="D348" s="99"/>
      <c r="E348" s="76"/>
      <c r="F348" s="79"/>
      <c r="G348" s="76"/>
      <c r="H348" s="76"/>
      <c r="I348" s="76"/>
      <c r="J348" s="75"/>
    </row>
    <row r="349" spans="1:10" s="66" customFormat="1" ht="25.15" customHeight="1">
      <c r="A349" s="75"/>
      <c r="B349" s="75"/>
      <c r="C349" s="76"/>
      <c r="D349" s="99"/>
      <c r="E349" s="76"/>
      <c r="F349" s="79"/>
      <c r="G349" s="76"/>
      <c r="H349" s="76"/>
      <c r="I349" s="76"/>
      <c r="J349" s="75"/>
    </row>
    <row r="350" spans="1:10" s="66" customFormat="1" ht="25.15" customHeight="1">
      <c r="A350" s="75"/>
      <c r="B350" s="75"/>
      <c r="C350" s="76"/>
      <c r="D350" s="99"/>
      <c r="E350" s="76"/>
      <c r="F350" s="79"/>
      <c r="G350" s="76"/>
      <c r="H350" s="76"/>
      <c r="I350" s="76"/>
      <c r="J350" s="75"/>
    </row>
    <row r="351" spans="1:10" s="66" customFormat="1" ht="25.15" customHeight="1">
      <c r="A351" s="75"/>
      <c r="B351" s="75"/>
      <c r="C351" s="76"/>
      <c r="D351" s="99"/>
      <c r="E351" s="76"/>
      <c r="F351" s="79"/>
      <c r="G351" s="76"/>
      <c r="H351" s="76"/>
      <c r="I351" s="76"/>
      <c r="J351" s="75"/>
    </row>
    <row r="352" spans="1:10" s="66" customFormat="1" ht="25.15" customHeight="1">
      <c r="A352" s="75"/>
      <c r="B352" s="75"/>
      <c r="C352" s="76"/>
      <c r="D352" s="99"/>
      <c r="E352" s="76"/>
      <c r="F352" s="79"/>
      <c r="G352" s="76"/>
      <c r="H352" s="76"/>
      <c r="I352" s="76"/>
      <c r="J352" s="75"/>
    </row>
    <row r="353" spans="1:10" s="66" customFormat="1" ht="25.15" customHeight="1">
      <c r="A353" s="75"/>
      <c r="B353" s="75"/>
      <c r="C353" s="76"/>
      <c r="D353" s="99"/>
      <c r="E353" s="76"/>
      <c r="F353" s="79"/>
      <c r="G353" s="76"/>
      <c r="H353" s="76"/>
      <c r="I353" s="76"/>
      <c r="J353" s="75"/>
    </row>
    <row r="354" spans="1:10" s="66" customFormat="1" ht="25.15" customHeight="1">
      <c r="A354" s="75"/>
      <c r="B354" s="75"/>
      <c r="C354" s="76"/>
      <c r="D354" s="99"/>
      <c r="E354" s="76"/>
      <c r="F354" s="79"/>
      <c r="G354" s="76"/>
      <c r="H354" s="76"/>
      <c r="I354" s="76"/>
      <c r="J354" s="75"/>
    </row>
    <row r="355" spans="1:10" s="66" customFormat="1" ht="25.15" customHeight="1">
      <c r="A355" s="75"/>
      <c r="B355" s="75"/>
      <c r="C355" s="76"/>
      <c r="D355" s="99"/>
      <c r="E355" s="76"/>
      <c r="F355" s="79"/>
      <c r="G355" s="76"/>
      <c r="H355" s="76"/>
      <c r="I355" s="76"/>
      <c r="J355" s="75"/>
    </row>
    <row r="356" spans="1:10" s="66" customFormat="1" ht="25.15" customHeight="1">
      <c r="A356" s="75"/>
      <c r="B356" s="75"/>
      <c r="C356" s="76"/>
      <c r="D356" s="99"/>
      <c r="E356" s="76"/>
      <c r="F356" s="79"/>
      <c r="G356" s="76"/>
      <c r="H356" s="76"/>
      <c r="I356" s="76"/>
      <c r="J356" s="75"/>
    </row>
    <row r="357" spans="1:10" s="66" customFormat="1" ht="25.15" customHeight="1">
      <c r="A357" s="75"/>
      <c r="B357" s="75"/>
      <c r="C357" s="76"/>
      <c r="D357" s="99"/>
      <c r="E357" s="76"/>
      <c r="F357" s="79"/>
      <c r="G357" s="76"/>
      <c r="H357" s="76"/>
      <c r="I357" s="76"/>
      <c r="J357" s="75"/>
    </row>
    <row r="358" spans="1:10" s="66" customFormat="1" ht="25.15" customHeight="1">
      <c r="A358" s="75"/>
      <c r="B358" s="75"/>
      <c r="C358" s="76"/>
      <c r="D358" s="99"/>
      <c r="E358" s="76"/>
      <c r="F358" s="79"/>
      <c r="G358" s="76"/>
      <c r="H358" s="76"/>
      <c r="I358" s="76"/>
      <c r="J358" s="75"/>
    </row>
    <row r="359" spans="1:10" s="66" customFormat="1" ht="25.15" customHeight="1">
      <c r="A359" s="75"/>
      <c r="B359" s="75"/>
      <c r="C359" s="76"/>
      <c r="D359" s="99"/>
      <c r="E359" s="76"/>
      <c r="F359" s="79"/>
      <c r="G359" s="76"/>
      <c r="H359" s="76"/>
      <c r="I359" s="76"/>
      <c r="J359" s="75"/>
    </row>
    <row r="360" spans="1:10" s="66" customFormat="1" ht="25.15" customHeight="1">
      <c r="A360" s="75"/>
      <c r="B360" s="75"/>
      <c r="C360" s="76"/>
      <c r="D360" s="99"/>
      <c r="E360" s="76"/>
      <c r="F360" s="79"/>
      <c r="G360" s="76"/>
      <c r="H360" s="76"/>
      <c r="I360" s="76"/>
      <c r="J360" s="75"/>
    </row>
    <row r="361" spans="1:10" s="66" customFormat="1" ht="25.15" customHeight="1">
      <c r="A361" s="75"/>
      <c r="B361" s="75"/>
      <c r="C361" s="76"/>
      <c r="D361" s="99"/>
      <c r="E361" s="76"/>
      <c r="F361" s="79"/>
      <c r="G361" s="76"/>
      <c r="H361" s="76"/>
      <c r="I361" s="76"/>
      <c r="J361" s="75"/>
    </row>
    <row r="362" spans="1:10" s="66" customFormat="1" ht="25.15" customHeight="1">
      <c r="A362" s="75"/>
      <c r="B362" s="75"/>
      <c r="C362" s="76"/>
      <c r="D362" s="99"/>
      <c r="E362" s="76"/>
      <c r="F362" s="79"/>
      <c r="G362" s="76"/>
      <c r="H362" s="76"/>
      <c r="I362" s="76"/>
      <c r="J362" s="75"/>
    </row>
    <row r="363" spans="1:10" s="66" customFormat="1" ht="25.15" customHeight="1">
      <c r="A363" s="75"/>
      <c r="B363" s="75"/>
      <c r="C363" s="76"/>
      <c r="D363" s="99"/>
      <c r="E363" s="76"/>
      <c r="F363" s="79"/>
      <c r="G363" s="76"/>
      <c r="H363" s="76"/>
      <c r="I363" s="76"/>
      <c r="J363" s="75"/>
    </row>
    <row r="364" spans="1:10" s="66" customFormat="1" ht="25.15" customHeight="1">
      <c r="A364" s="75"/>
      <c r="B364" s="75"/>
      <c r="C364" s="76"/>
      <c r="D364" s="99"/>
      <c r="E364" s="76"/>
      <c r="F364" s="79"/>
      <c r="G364" s="76"/>
      <c r="H364" s="76"/>
      <c r="I364" s="76"/>
      <c r="J364" s="75"/>
    </row>
    <row r="365" spans="1:10" s="66" customFormat="1" ht="25.15" customHeight="1">
      <c r="A365" s="75"/>
      <c r="B365" s="75"/>
      <c r="C365" s="76"/>
      <c r="D365" s="99"/>
      <c r="E365" s="76"/>
      <c r="F365" s="79"/>
      <c r="G365" s="76"/>
      <c r="H365" s="76"/>
      <c r="I365" s="76"/>
      <c r="J365" s="75"/>
    </row>
    <row r="366" spans="1:10" s="66" customFormat="1" ht="25.15" customHeight="1">
      <c r="A366" s="75"/>
      <c r="B366" s="75"/>
      <c r="C366" s="76"/>
      <c r="D366" s="99"/>
      <c r="E366" s="76"/>
      <c r="F366" s="79"/>
      <c r="G366" s="76"/>
      <c r="H366" s="76"/>
      <c r="I366" s="76"/>
      <c r="J366" s="75"/>
    </row>
    <row r="367" spans="1:10" s="66" customFormat="1" ht="25.15" customHeight="1">
      <c r="A367" s="75"/>
      <c r="B367" s="75"/>
      <c r="C367" s="76"/>
      <c r="D367" s="99"/>
      <c r="E367" s="76"/>
      <c r="F367" s="79"/>
      <c r="G367" s="76"/>
      <c r="H367" s="76"/>
      <c r="I367" s="76"/>
      <c r="J367" s="75"/>
    </row>
    <row r="368" spans="1:10" s="66" customFormat="1" ht="25.15" customHeight="1">
      <c r="A368" s="75"/>
      <c r="B368" s="75"/>
      <c r="C368" s="76"/>
      <c r="D368" s="99"/>
      <c r="E368" s="76"/>
      <c r="F368" s="79"/>
      <c r="G368" s="76"/>
      <c r="H368" s="76"/>
      <c r="I368" s="76"/>
      <c r="J368" s="75"/>
    </row>
    <row r="369" spans="1:10" s="66" customFormat="1" ht="25.15" customHeight="1">
      <c r="A369" s="75"/>
      <c r="B369" s="75"/>
      <c r="C369" s="76"/>
      <c r="D369" s="99"/>
      <c r="E369" s="76"/>
      <c r="F369" s="79"/>
      <c r="G369" s="76"/>
      <c r="H369" s="76"/>
      <c r="I369" s="76"/>
      <c r="J369" s="75"/>
    </row>
    <row r="370" spans="1:10" s="66" customFormat="1" ht="25.15" customHeight="1">
      <c r="A370" s="75"/>
      <c r="B370" s="75"/>
      <c r="C370" s="76"/>
      <c r="D370" s="99"/>
      <c r="E370" s="76"/>
      <c r="F370" s="79"/>
      <c r="G370" s="76"/>
      <c r="H370" s="76"/>
      <c r="I370" s="76"/>
      <c r="J370" s="75"/>
    </row>
    <row r="371" spans="1:10" s="66" customFormat="1" ht="25.15" customHeight="1">
      <c r="A371" s="75"/>
      <c r="B371" s="75"/>
      <c r="C371" s="76"/>
      <c r="D371" s="99"/>
      <c r="E371" s="76"/>
      <c r="F371" s="79"/>
      <c r="G371" s="76"/>
      <c r="H371" s="76"/>
      <c r="I371" s="76"/>
      <c r="J371" s="75"/>
    </row>
    <row r="372" spans="1:10" s="66" customFormat="1" ht="25.15" customHeight="1">
      <c r="A372" s="75"/>
      <c r="B372" s="75"/>
      <c r="C372" s="76"/>
      <c r="D372" s="99"/>
      <c r="E372" s="76"/>
      <c r="F372" s="79"/>
      <c r="G372" s="76"/>
      <c r="H372" s="76"/>
      <c r="I372" s="76"/>
      <c r="J372" s="75"/>
    </row>
    <row r="373" spans="1:10" s="66" customFormat="1" ht="25.15" customHeight="1">
      <c r="A373" s="75"/>
      <c r="B373" s="75"/>
      <c r="C373" s="76"/>
      <c r="D373" s="99"/>
      <c r="E373" s="76"/>
      <c r="F373" s="79"/>
      <c r="G373" s="76"/>
      <c r="H373" s="76"/>
      <c r="I373" s="76"/>
      <c r="J373" s="75"/>
    </row>
    <row r="374" spans="1:10" s="66" customFormat="1" ht="25.15" customHeight="1">
      <c r="A374" s="75"/>
      <c r="B374" s="75"/>
      <c r="C374" s="76"/>
      <c r="D374" s="99"/>
      <c r="E374" s="76"/>
      <c r="F374" s="79"/>
      <c r="G374" s="76"/>
      <c r="H374" s="76"/>
      <c r="I374" s="76"/>
      <c r="J374" s="75"/>
    </row>
    <row r="375" spans="1:10" s="66" customFormat="1" ht="25.15" customHeight="1">
      <c r="A375" s="75"/>
      <c r="B375" s="75"/>
      <c r="C375" s="76"/>
      <c r="D375" s="99"/>
      <c r="E375" s="76"/>
      <c r="F375" s="79"/>
      <c r="G375" s="76"/>
      <c r="H375" s="76"/>
      <c r="I375" s="76"/>
      <c r="J375" s="75"/>
    </row>
    <row r="376" spans="1:10" s="66" customFormat="1" ht="25.15" customHeight="1">
      <c r="A376" s="75"/>
      <c r="B376" s="75"/>
      <c r="C376" s="76"/>
      <c r="D376" s="99"/>
      <c r="E376" s="76"/>
      <c r="F376" s="79"/>
      <c r="G376" s="76"/>
      <c r="H376" s="76"/>
      <c r="I376" s="76"/>
      <c r="J376" s="75"/>
    </row>
    <row r="377" spans="1:10" s="66" customFormat="1" ht="25.15" customHeight="1">
      <c r="A377" s="75"/>
      <c r="B377" s="75"/>
      <c r="C377" s="76"/>
      <c r="D377" s="99"/>
      <c r="E377" s="76"/>
      <c r="F377" s="79"/>
      <c r="G377" s="76"/>
      <c r="H377" s="76"/>
      <c r="I377" s="76"/>
      <c r="J377" s="75"/>
    </row>
    <row r="378" spans="1:10" s="66" customFormat="1" ht="25.15" customHeight="1">
      <c r="A378" s="75"/>
      <c r="B378" s="75"/>
      <c r="C378" s="76"/>
      <c r="D378" s="99"/>
      <c r="E378" s="76"/>
      <c r="F378" s="79"/>
      <c r="G378" s="76"/>
      <c r="H378" s="76"/>
      <c r="I378" s="76"/>
      <c r="J378" s="75"/>
    </row>
    <row r="379" spans="1:10" s="66" customFormat="1" ht="25.15" customHeight="1">
      <c r="A379" s="75"/>
      <c r="B379" s="75"/>
      <c r="C379" s="76"/>
      <c r="D379" s="99"/>
      <c r="E379" s="76"/>
      <c r="F379" s="79"/>
      <c r="G379" s="76"/>
      <c r="H379" s="76"/>
      <c r="I379" s="76"/>
      <c r="J379" s="75"/>
    </row>
    <row r="380" spans="1:10" s="66" customFormat="1" ht="25.15" customHeight="1">
      <c r="A380" s="75"/>
      <c r="B380" s="75"/>
      <c r="C380" s="76"/>
      <c r="D380" s="99"/>
      <c r="E380" s="76"/>
      <c r="F380" s="79"/>
      <c r="G380" s="76"/>
      <c r="H380" s="76"/>
      <c r="I380" s="76"/>
      <c r="J380" s="75"/>
    </row>
    <row r="381" spans="1:10" s="66" customFormat="1" ht="25.15" customHeight="1">
      <c r="A381" s="75"/>
      <c r="B381" s="75"/>
      <c r="C381" s="76"/>
      <c r="D381" s="99"/>
      <c r="E381" s="76"/>
      <c r="F381" s="79"/>
      <c r="G381" s="76"/>
      <c r="H381" s="76"/>
      <c r="I381" s="76"/>
      <c r="J381" s="75"/>
    </row>
    <row r="382" spans="1:10" s="66" customFormat="1" ht="25.15" customHeight="1">
      <c r="A382" s="75"/>
      <c r="B382" s="75"/>
      <c r="C382" s="76"/>
      <c r="D382" s="99"/>
      <c r="E382" s="76"/>
      <c r="F382" s="79"/>
      <c r="G382" s="76"/>
      <c r="H382" s="76"/>
      <c r="I382" s="76"/>
      <c r="J382" s="75"/>
    </row>
    <row r="383" spans="1:10" s="66" customFormat="1" ht="25.15" customHeight="1">
      <c r="A383" s="75"/>
      <c r="B383" s="75"/>
      <c r="C383" s="76"/>
      <c r="D383" s="99"/>
      <c r="E383" s="76"/>
      <c r="F383" s="79"/>
      <c r="G383" s="76"/>
      <c r="H383" s="76"/>
      <c r="I383" s="76"/>
      <c r="J383" s="75"/>
    </row>
    <row r="384" spans="1:10" s="66" customFormat="1" ht="25.15" customHeight="1">
      <c r="A384" s="75"/>
      <c r="B384" s="75"/>
      <c r="C384" s="76"/>
      <c r="D384" s="99"/>
      <c r="E384" s="76"/>
      <c r="F384" s="79"/>
      <c r="G384" s="76"/>
      <c r="H384" s="76"/>
      <c r="I384" s="76"/>
      <c r="J384" s="75"/>
    </row>
    <row r="385" spans="1:10" s="66" customFormat="1" ht="25.15" customHeight="1">
      <c r="A385" s="75"/>
      <c r="B385" s="75"/>
      <c r="C385" s="76"/>
      <c r="D385" s="99"/>
      <c r="E385" s="76"/>
      <c r="F385" s="79"/>
      <c r="G385" s="76"/>
      <c r="H385" s="76"/>
      <c r="I385" s="76"/>
      <c r="J385" s="75"/>
    </row>
    <row r="386" spans="1:10" s="66" customFormat="1" ht="25.15" customHeight="1">
      <c r="A386" s="75"/>
      <c r="B386" s="75"/>
      <c r="C386" s="76"/>
      <c r="D386" s="99"/>
      <c r="E386" s="76"/>
      <c r="F386" s="79"/>
      <c r="G386" s="76"/>
      <c r="H386" s="76"/>
      <c r="I386" s="76"/>
      <c r="J386" s="75"/>
    </row>
    <row r="387" spans="1:10" s="66" customFormat="1" ht="25.15" customHeight="1">
      <c r="A387" s="75"/>
      <c r="B387" s="75"/>
      <c r="C387" s="76"/>
      <c r="D387" s="99"/>
      <c r="E387" s="76"/>
      <c r="F387" s="79"/>
      <c r="G387" s="76"/>
      <c r="H387" s="76"/>
      <c r="I387" s="76"/>
      <c r="J387" s="75"/>
    </row>
    <row r="388" spans="1:10" s="66" customFormat="1" ht="25.15" customHeight="1">
      <c r="A388" s="75"/>
      <c r="B388" s="75"/>
      <c r="C388" s="76"/>
      <c r="D388" s="99"/>
      <c r="E388" s="76"/>
      <c r="F388" s="79"/>
      <c r="G388" s="76"/>
      <c r="H388" s="76"/>
      <c r="I388" s="76"/>
      <c r="J388" s="75"/>
    </row>
    <row r="389" spans="1:10" s="66" customFormat="1" ht="25.15" customHeight="1">
      <c r="A389" s="75"/>
      <c r="B389" s="75"/>
      <c r="C389" s="76"/>
      <c r="D389" s="99"/>
      <c r="E389" s="76"/>
      <c r="F389" s="79"/>
      <c r="G389" s="76"/>
      <c r="H389" s="76"/>
      <c r="I389" s="76"/>
      <c r="J389" s="75"/>
    </row>
    <row r="390" spans="1:10" s="66" customFormat="1" ht="25.15" customHeight="1">
      <c r="A390" s="75"/>
      <c r="B390" s="75"/>
      <c r="C390" s="76"/>
      <c r="D390" s="99"/>
      <c r="E390" s="76"/>
      <c r="F390" s="79"/>
      <c r="G390" s="76"/>
      <c r="H390" s="76"/>
      <c r="I390" s="76"/>
      <c r="J390" s="75"/>
    </row>
    <row r="391" spans="1:10" s="66" customFormat="1" ht="25.15" customHeight="1">
      <c r="A391" s="75"/>
      <c r="B391" s="75"/>
      <c r="C391" s="76"/>
      <c r="D391" s="99"/>
      <c r="E391" s="76"/>
      <c r="F391" s="79"/>
      <c r="G391" s="76"/>
      <c r="H391" s="76"/>
      <c r="I391" s="76"/>
      <c r="J391" s="75"/>
    </row>
    <row r="392" spans="1:10" s="66" customFormat="1" ht="25.15" customHeight="1">
      <c r="A392" s="75"/>
      <c r="B392" s="75"/>
      <c r="C392" s="76"/>
      <c r="D392" s="99"/>
      <c r="E392" s="76"/>
      <c r="F392" s="79"/>
      <c r="G392" s="76"/>
      <c r="H392" s="76"/>
      <c r="I392" s="76"/>
      <c r="J392" s="75"/>
    </row>
    <row r="393" spans="1:10" s="66" customFormat="1" ht="25.15" customHeight="1">
      <c r="A393" s="75"/>
      <c r="B393" s="75"/>
      <c r="C393" s="76"/>
      <c r="D393" s="99"/>
      <c r="E393" s="76"/>
      <c r="F393" s="79"/>
      <c r="G393" s="76"/>
      <c r="H393" s="76"/>
      <c r="I393" s="76"/>
      <c r="J393" s="75"/>
    </row>
    <row r="394" spans="1:10" s="66" customFormat="1" ht="25.15" customHeight="1">
      <c r="A394" s="75"/>
      <c r="B394" s="75"/>
      <c r="C394" s="76"/>
      <c r="D394" s="99"/>
      <c r="E394" s="76"/>
      <c r="F394" s="79"/>
      <c r="G394" s="76"/>
      <c r="H394" s="76"/>
      <c r="I394" s="76"/>
      <c r="J394" s="75"/>
    </row>
    <row r="395" spans="1:10" s="66" customFormat="1" ht="25.15" customHeight="1">
      <c r="A395" s="75"/>
      <c r="B395" s="75"/>
      <c r="C395" s="76"/>
      <c r="D395" s="99"/>
      <c r="E395" s="76"/>
      <c r="F395" s="79"/>
      <c r="G395" s="76"/>
      <c r="H395" s="76"/>
      <c r="I395" s="76"/>
      <c r="J395" s="75"/>
    </row>
    <row r="396" spans="1:10" s="66" customFormat="1" ht="25.15" customHeight="1">
      <c r="A396" s="75"/>
      <c r="B396" s="75"/>
      <c r="C396" s="76"/>
      <c r="D396" s="99"/>
      <c r="E396" s="76"/>
      <c r="F396" s="79"/>
      <c r="G396" s="76"/>
      <c r="H396" s="76"/>
      <c r="I396" s="76"/>
      <c r="J396" s="75"/>
    </row>
    <row r="397" spans="1:10" s="66" customFormat="1" ht="25.15" customHeight="1">
      <c r="A397" s="75"/>
      <c r="B397" s="75"/>
      <c r="C397" s="76"/>
      <c r="D397" s="99"/>
      <c r="E397" s="76"/>
      <c r="F397" s="79"/>
      <c r="G397" s="76"/>
      <c r="H397" s="76"/>
      <c r="I397" s="76"/>
      <c r="J397" s="75"/>
    </row>
    <row r="398" spans="1:10" s="66" customFormat="1" ht="25.15" customHeight="1">
      <c r="A398" s="75"/>
      <c r="B398" s="75"/>
      <c r="C398" s="76"/>
      <c r="D398" s="99"/>
      <c r="E398" s="76"/>
      <c r="F398" s="79"/>
      <c r="G398" s="76"/>
      <c r="H398" s="76"/>
      <c r="I398" s="76"/>
      <c r="J398" s="75"/>
    </row>
    <row r="399" spans="1:10" s="66" customFormat="1" ht="25.15" customHeight="1">
      <c r="A399" s="75"/>
      <c r="B399" s="75"/>
      <c r="C399" s="76"/>
      <c r="D399" s="99"/>
      <c r="E399" s="76"/>
      <c r="F399" s="79"/>
      <c r="G399" s="76"/>
      <c r="H399" s="76"/>
      <c r="I399" s="76"/>
      <c r="J399" s="75"/>
    </row>
    <row r="400" spans="1:10" s="66" customFormat="1" ht="25.15" customHeight="1">
      <c r="A400" s="75"/>
      <c r="B400" s="75"/>
      <c r="C400" s="76"/>
      <c r="D400" s="99"/>
      <c r="E400" s="76"/>
      <c r="F400" s="79"/>
      <c r="G400" s="76"/>
      <c r="H400" s="76"/>
      <c r="I400" s="76"/>
      <c r="J400" s="75"/>
    </row>
    <row r="401" spans="1:10" s="66" customFormat="1" ht="25.15" customHeight="1">
      <c r="A401" s="75"/>
      <c r="B401" s="75"/>
      <c r="C401" s="76"/>
      <c r="D401" s="99"/>
      <c r="E401" s="76"/>
      <c r="F401" s="79"/>
      <c r="G401" s="76"/>
      <c r="H401" s="76"/>
      <c r="I401" s="76"/>
      <c r="J401" s="75"/>
    </row>
    <row r="402" spans="1:10" s="66" customFormat="1" ht="25.15" customHeight="1">
      <c r="A402" s="75"/>
      <c r="B402" s="75"/>
      <c r="C402" s="76"/>
      <c r="D402" s="99"/>
      <c r="E402" s="76"/>
      <c r="F402" s="79"/>
      <c r="G402" s="76"/>
      <c r="H402" s="76"/>
      <c r="I402" s="76"/>
      <c r="J402" s="75"/>
    </row>
    <row r="403" spans="1:10" s="66" customFormat="1" ht="25.15" customHeight="1">
      <c r="A403" s="75"/>
      <c r="B403" s="75"/>
      <c r="C403" s="76"/>
      <c r="D403" s="99"/>
      <c r="E403" s="76"/>
      <c r="F403" s="79"/>
      <c r="G403" s="76"/>
      <c r="H403" s="76"/>
      <c r="I403" s="76"/>
      <c r="J403" s="75"/>
    </row>
    <row r="404" spans="1:10" s="66" customFormat="1" ht="25.15" customHeight="1">
      <c r="A404" s="75"/>
      <c r="B404" s="75"/>
      <c r="C404" s="76"/>
      <c r="D404" s="99"/>
      <c r="E404" s="76"/>
      <c r="F404" s="79"/>
      <c r="G404" s="76"/>
      <c r="H404" s="76"/>
      <c r="I404" s="76"/>
      <c r="J404" s="75"/>
    </row>
    <row r="405" spans="1:10" s="66" customFormat="1" ht="25.15" customHeight="1">
      <c r="A405" s="75"/>
      <c r="B405" s="75"/>
      <c r="C405" s="76"/>
      <c r="D405" s="99"/>
      <c r="E405" s="76"/>
      <c r="F405" s="79"/>
      <c r="G405" s="76"/>
      <c r="H405" s="76"/>
      <c r="I405" s="76"/>
      <c r="J405" s="75"/>
    </row>
    <row r="406" spans="1:10" s="66" customFormat="1" ht="25.15" customHeight="1">
      <c r="A406" s="75"/>
      <c r="B406" s="75"/>
      <c r="C406" s="76"/>
      <c r="D406" s="99"/>
      <c r="E406" s="76"/>
      <c r="F406" s="79"/>
      <c r="G406" s="76"/>
      <c r="H406" s="76"/>
      <c r="I406" s="76"/>
      <c r="J406" s="75"/>
    </row>
    <row r="407" spans="1:10" s="66" customFormat="1" ht="25.15" customHeight="1">
      <c r="A407" s="75"/>
      <c r="B407" s="75"/>
      <c r="C407" s="76"/>
      <c r="D407" s="99"/>
      <c r="E407" s="76"/>
      <c r="F407" s="79"/>
      <c r="G407" s="76"/>
      <c r="H407" s="76"/>
      <c r="I407" s="76"/>
      <c r="J407" s="75"/>
    </row>
    <row r="408" spans="1:10" s="66" customFormat="1" ht="25.15" customHeight="1">
      <c r="A408" s="75"/>
      <c r="B408" s="75"/>
      <c r="C408" s="76"/>
      <c r="D408" s="99"/>
      <c r="E408" s="76"/>
      <c r="F408" s="79"/>
      <c r="G408" s="76"/>
      <c r="H408" s="76"/>
      <c r="I408" s="76"/>
      <c r="J408" s="75"/>
    </row>
    <row r="409" spans="1:10" s="66" customFormat="1" ht="25.15" customHeight="1">
      <c r="A409" s="75"/>
      <c r="B409" s="75"/>
      <c r="C409" s="76"/>
      <c r="D409" s="99"/>
      <c r="E409" s="76"/>
      <c r="F409" s="79"/>
      <c r="G409" s="76"/>
      <c r="H409" s="76"/>
      <c r="I409" s="76"/>
      <c r="J409" s="75"/>
    </row>
    <row r="410" spans="1:10" s="66" customFormat="1" ht="25.15" customHeight="1">
      <c r="A410" s="75"/>
      <c r="B410" s="75"/>
      <c r="C410" s="76"/>
      <c r="D410" s="99"/>
      <c r="E410" s="76"/>
      <c r="F410" s="79"/>
      <c r="G410" s="76"/>
      <c r="H410" s="76"/>
      <c r="I410" s="76"/>
      <c r="J410" s="75"/>
    </row>
    <row r="411" spans="1:10" s="66" customFormat="1" ht="25.15" customHeight="1">
      <c r="A411" s="75"/>
      <c r="B411" s="75"/>
      <c r="C411" s="76"/>
      <c r="D411" s="99"/>
      <c r="E411" s="76"/>
      <c r="F411" s="79"/>
      <c r="G411" s="76"/>
      <c r="H411" s="76"/>
      <c r="I411" s="76"/>
      <c r="J411" s="75"/>
    </row>
    <row r="412" spans="1:10" s="66" customFormat="1" ht="25.15" customHeight="1">
      <c r="A412" s="75"/>
      <c r="B412" s="75"/>
      <c r="C412" s="76"/>
      <c r="D412" s="99"/>
      <c r="E412" s="76"/>
      <c r="F412" s="79"/>
      <c r="G412" s="76"/>
      <c r="H412" s="76"/>
      <c r="I412" s="76"/>
      <c r="J412" s="75"/>
    </row>
    <row r="413" spans="1:10" s="66" customFormat="1" ht="25.15" customHeight="1">
      <c r="A413" s="75"/>
      <c r="B413" s="75"/>
      <c r="C413" s="76"/>
      <c r="D413" s="99"/>
      <c r="E413" s="76"/>
      <c r="F413" s="79"/>
      <c r="G413" s="76"/>
      <c r="H413" s="76"/>
      <c r="I413" s="76"/>
      <c r="J413" s="75"/>
    </row>
    <row r="414" spans="1:10" s="66" customFormat="1" ht="25.15" customHeight="1">
      <c r="A414" s="75"/>
      <c r="B414" s="75"/>
      <c r="C414" s="76"/>
      <c r="D414" s="99"/>
      <c r="E414" s="76"/>
      <c r="F414" s="79"/>
      <c r="G414" s="76"/>
      <c r="H414" s="76"/>
      <c r="I414" s="76"/>
      <c r="J414" s="75"/>
    </row>
    <row r="415" spans="1:10" s="66" customFormat="1" ht="25.15" customHeight="1">
      <c r="A415" s="75"/>
      <c r="B415" s="75"/>
      <c r="C415" s="76"/>
      <c r="D415" s="99"/>
      <c r="E415" s="76"/>
      <c r="F415" s="79"/>
      <c r="G415" s="76"/>
      <c r="H415" s="76"/>
      <c r="I415" s="76"/>
      <c r="J415" s="75"/>
    </row>
    <row r="416" spans="1:10" s="66" customFormat="1" ht="25.15" customHeight="1">
      <c r="A416" s="75"/>
      <c r="B416" s="75"/>
      <c r="C416" s="76"/>
      <c r="D416" s="99"/>
      <c r="E416" s="76"/>
      <c r="F416" s="79"/>
      <c r="G416" s="76"/>
      <c r="H416" s="76"/>
      <c r="I416" s="76"/>
      <c r="J416" s="75"/>
    </row>
    <row r="417" spans="1:10" s="66" customFormat="1" ht="25.15" customHeight="1">
      <c r="A417" s="75"/>
      <c r="B417" s="75"/>
      <c r="C417" s="76"/>
      <c r="D417" s="99"/>
      <c r="E417" s="76"/>
      <c r="F417" s="79"/>
      <c r="G417" s="76"/>
      <c r="H417" s="76"/>
      <c r="I417" s="76"/>
      <c r="J417" s="75"/>
    </row>
    <row r="418" spans="1:10" s="66" customFormat="1" ht="25.15" customHeight="1">
      <c r="A418" s="75"/>
      <c r="B418" s="75"/>
      <c r="C418" s="76"/>
      <c r="D418" s="99"/>
      <c r="E418" s="76"/>
      <c r="F418" s="79"/>
      <c r="G418" s="76"/>
      <c r="H418" s="76"/>
      <c r="I418" s="76"/>
      <c r="J418" s="75"/>
    </row>
    <row r="419" spans="1:10" s="66" customFormat="1" ht="25.15" customHeight="1">
      <c r="A419" s="75"/>
      <c r="B419" s="75"/>
      <c r="C419" s="76"/>
      <c r="D419" s="99"/>
      <c r="E419" s="76"/>
      <c r="F419" s="79"/>
      <c r="G419" s="76"/>
      <c r="H419" s="76"/>
      <c r="I419" s="76"/>
      <c r="J419" s="75"/>
    </row>
    <row r="420" spans="1:10" s="66" customFormat="1" ht="25.15" customHeight="1">
      <c r="A420" s="75"/>
      <c r="B420" s="75"/>
      <c r="C420" s="76"/>
      <c r="D420" s="99"/>
      <c r="E420" s="76"/>
      <c r="F420" s="79"/>
      <c r="G420" s="76"/>
      <c r="H420" s="76"/>
      <c r="I420" s="76"/>
      <c r="J420" s="75"/>
    </row>
    <row r="421" spans="1:10" s="66" customFormat="1" ht="25.15" customHeight="1">
      <c r="A421" s="75"/>
      <c r="B421" s="75"/>
      <c r="C421" s="76"/>
      <c r="D421" s="99"/>
      <c r="E421" s="76"/>
      <c r="F421" s="79"/>
      <c r="G421" s="76"/>
      <c r="H421" s="76"/>
      <c r="I421" s="76"/>
      <c r="J421" s="75"/>
    </row>
    <row r="422" spans="1:10" s="66" customFormat="1" ht="25.15" customHeight="1">
      <c r="A422" s="75"/>
      <c r="B422" s="75"/>
      <c r="C422" s="76"/>
      <c r="D422" s="99"/>
      <c r="E422" s="76"/>
      <c r="F422" s="79"/>
      <c r="G422" s="76"/>
      <c r="H422" s="76"/>
      <c r="I422" s="76"/>
      <c r="J422" s="75"/>
    </row>
    <row r="423" spans="1:10" s="66" customFormat="1" ht="25.15" customHeight="1">
      <c r="A423" s="75"/>
      <c r="B423" s="75"/>
      <c r="C423" s="76"/>
      <c r="D423" s="99"/>
      <c r="E423" s="76"/>
      <c r="F423" s="79"/>
      <c r="G423" s="76"/>
      <c r="H423" s="76"/>
      <c r="I423" s="76"/>
      <c r="J423" s="75"/>
    </row>
    <row r="424" spans="1:10" s="66" customFormat="1" ht="25.15" customHeight="1">
      <c r="A424" s="75"/>
      <c r="B424" s="75"/>
      <c r="C424" s="76"/>
      <c r="D424" s="99"/>
      <c r="E424" s="76"/>
      <c r="F424" s="79"/>
      <c r="G424" s="76"/>
      <c r="H424" s="76"/>
      <c r="I424" s="76"/>
      <c r="J424" s="75"/>
    </row>
    <row r="425" spans="1:10" s="66" customFormat="1" ht="25.15" customHeight="1">
      <c r="A425" s="75"/>
      <c r="B425" s="75"/>
      <c r="C425" s="76"/>
      <c r="D425" s="99"/>
      <c r="E425" s="76"/>
      <c r="F425" s="79"/>
      <c r="G425" s="76"/>
      <c r="H425" s="76"/>
      <c r="I425" s="76"/>
      <c r="J425" s="75"/>
    </row>
    <row r="426" spans="1:10" s="66" customFormat="1" ht="25.15" customHeight="1">
      <c r="A426" s="75"/>
      <c r="B426" s="75"/>
      <c r="C426" s="76"/>
      <c r="D426" s="99"/>
      <c r="E426" s="76"/>
      <c r="F426" s="79"/>
      <c r="G426" s="76"/>
      <c r="H426" s="76"/>
      <c r="I426" s="76"/>
      <c r="J426" s="75"/>
    </row>
    <row r="427" spans="1:10" s="66" customFormat="1" ht="25.15" customHeight="1">
      <c r="A427" s="75"/>
      <c r="B427" s="75"/>
      <c r="C427" s="76"/>
      <c r="D427" s="99"/>
      <c r="E427" s="76"/>
      <c r="F427" s="79"/>
      <c r="G427" s="76"/>
      <c r="H427" s="76"/>
      <c r="I427" s="76"/>
      <c r="J427" s="75"/>
    </row>
    <row r="428" spans="1:10" ht="14.25">
      <c r="A428" s="73"/>
      <c r="B428" s="75"/>
      <c r="C428" s="76"/>
      <c r="D428" s="99"/>
      <c r="E428" s="76"/>
      <c r="F428" s="79"/>
      <c r="G428" s="76"/>
      <c r="H428" s="76"/>
      <c r="I428" s="76"/>
      <c r="J428" s="75"/>
    </row>
    <row r="429" spans="1:10" ht="14.25">
      <c r="A429" s="73"/>
      <c r="B429" s="75"/>
      <c r="C429" s="76"/>
      <c r="D429" s="99"/>
      <c r="E429" s="76"/>
      <c r="F429" s="79"/>
      <c r="G429" s="76"/>
      <c r="H429" s="76"/>
      <c r="I429" s="76"/>
      <c r="J429" s="75"/>
    </row>
    <row r="430" spans="1:10" ht="14.25">
      <c r="A430" s="73"/>
      <c r="B430" s="75"/>
      <c r="C430" s="76"/>
      <c r="D430" s="99"/>
      <c r="E430" s="76"/>
      <c r="F430" s="79"/>
      <c r="G430" s="76"/>
      <c r="H430" s="76"/>
      <c r="I430" s="76"/>
      <c r="J430" s="75"/>
    </row>
    <row r="431" spans="1:10" ht="14.25">
      <c r="A431" s="73"/>
      <c r="B431" s="75"/>
      <c r="C431" s="76"/>
      <c r="D431" s="99"/>
      <c r="E431" s="76"/>
      <c r="F431" s="79"/>
      <c r="G431" s="76"/>
      <c r="H431" s="76"/>
      <c r="I431" s="76"/>
      <c r="J431" s="75"/>
    </row>
    <row r="432" spans="1:10" ht="14.25">
      <c r="A432" s="73"/>
      <c r="B432" s="75"/>
      <c r="C432" s="76"/>
      <c r="D432" s="99"/>
      <c r="E432" s="76"/>
      <c r="F432" s="79"/>
      <c r="G432" s="76"/>
      <c r="H432" s="76"/>
      <c r="I432" s="76"/>
      <c r="J432" s="75"/>
    </row>
    <row r="433" spans="1:10" ht="14.25">
      <c r="A433" s="73"/>
      <c r="B433" s="75"/>
      <c r="C433" s="76"/>
      <c r="D433" s="99"/>
      <c r="E433" s="76"/>
      <c r="F433" s="79"/>
      <c r="G433" s="76"/>
      <c r="H433" s="76"/>
      <c r="I433" s="76"/>
      <c r="J433" s="75"/>
    </row>
    <row r="434" spans="1:10" ht="14.25">
      <c r="A434" s="73"/>
      <c r="B434" s="75"/>
      <c r="C434" s="76"/>
      <c r="D434" s="99"/>
      <c r="E434" s="76"/>
      <c r="F434" s="79"/>
      <c r="G434" s="76"/>
      <c r="H434" s="76"/>
      <c r="I434" s="76"/>
      <c r="J434" s="75"/>
    </row>
    <row r="435" spans="1:10" ht="14.25">
      <c r="A435" s="73"/>
      <c r="B435" s="75"/>
      <c r="C435" s="76"/>
      <c r="D435" s="99"/>
      <c r="E435" s="76"/>
      <c r="F435" s="79"/>
      <c r="G435" s="76"/>
      <c r="H435" s="76"/>
      <c r="I435" s="76"/>
      <c r="J435" s="75"/>
    </row>
    <row r="436" spans="1:10" ht="14.25">
      <c r="A436" s="73"/>
      <c r="B436" s="75"/>
      <c r="C436" s="76"/>
      <c r="D436" s="99"/>
      <c r="E436" s="76"/>
      <c r="F436" s="79"/>
      <c r="G436" s="76"/>
      <c r="H436" s="76"/>
      <c r="I436" s="76"/>
      <c r="J436" s="75"/>
    </row>
    <row r="437" spans="1:10" ht="14.25">
      <c r="A437" s="73"/>
      <c r="B437" s="73"/>
      <c r="C437" s="74"/>
      <c r="D437" s="110"/>
      <c r="E437" s="74"/>
      <c r="F437" s="111"/>
      <c r="G437" s="74"/>
      <c r="H437" s="74"/>
      <c r="I437" s="74"/>
      <c r="J437" s="73"/>
    </row>
    <row r="438" spans="1:10" ht="14.25">
      <c r="A438" s="73"/>
      <c r="B438" s="73"/>
      <c r="C438" s="74"/>
      <c r="D438" s="110"/>
      <c r="E438" s="74"/>
      <c r="F438" s="111"/>
      <c r="G438" s="74"/>
      <c r="H438" s="74"/>
      <c r="I438" s="74"/>
      <c r="J438" s="73"/>
    </row>
    <row r="439" spans="1:10" ht="14.25">
      <c r="A439" s="73"/>
      <c r="B439" s="73"/>
      <c r="C439" s="74"/>
      <c r="D439" s="110"/>
      <c r="E439" s="74"/>
      <c r="F439" s="111"/>
      <c r="G439" s="74"/>
      <c r="H439" s="74"/>
      <c r="I439" s="74"/>
      <c r="J439" s="73"/>
    </row>
    <row r="440" spans="1:10" ht="14.25">
      <c r="A440" s="73"/>
      <c r="B440" s="73"/>
      <c r="C440" s="74"/>
      <c r="D440" s="110"/>
      <c r="E440" s="74"/>
      <c r="F440" s="111"/>
      <c r="G440" s="74"/>
      <c r="H440" s="74"/>
      <c r="I440" s="74"/>
      <c r="J440" s="73"/>
    </row>
    <row r="441" spans="1:10" ht="14.25">
      <c r="A441" s="73"/>
      <c r="B441" s="73"/>
      <c r="C441" s="74"/>
      <c r="D441" s="110"/>
      <c r="E441" s="74"/>
      <c r="F441" s="111"/>
      <c r="G441" s="74"/>
      <c r="H441" s="74"/>
      <c r="I441" s="74"/>
      <c r="J441" s="73"/>
    </row>
    <row r="442" spans="1:10" ht="14.25">
      <c r="A442" s="73"/>
      <c r="B442" s="73"/>
      <c r="C442" s="74"/>
      <c r="D442" s="110"/>
      <c r="E442" s="74"/>
      <c r="F442" s="111"/>
      <c r="G442" s="74"/>
      <c r="H442" s="74"/>
      <c r="I442" s="74"/>
      <c r="J442" s="73"/>
    </row>
    <row r="443" spans="1:10" ht="14.25">
      <c r="A443" s="73"/>
      <c r="B443" s="73"/>
      <c r="C443" s="74"/>
      <c r="D443" s="110"/>
      <c r="E443" s="74"/>
      <c r="F443" s="111"/>
      <c r="G443" s="74"/>
      <c r="H443" s="74"/>
      <c r="I443" s="74"/>
      <c r="J443" s="73"/>
    </row>
    <row r="444" spans="1:10" ht="14.25">
      <c r="A444" s="73"/>
      <c r="B444" s="73"/>
      <c r="C444" s="74"/>
      <c r="D444" s="110"/>
      <c r="E444" s="74"/>
      <c r="F444" s="111"/>
      <c r="G444" s="74"/>
      <c r="H444" s="74"/>
      <c r="I444" s="74"/>
      <c r="J444" s="73"/>
    </row>
  </sheetData>
  <dataValidations count="1">
    <dataValidation type="list" allowBlank="1" showInputMessage="1" sqref="B62" xr:uid="{4D64A622-5F60-418E-939F-7B5131D55273}">
      <formula1>$B$3:$B$305</formula1>
    </dataValidation>
  </dataValidations>
  <hyperlinks>
    <hyperlink ref="J238" r:id="rId1" xr:uid="{12297CFC-E4F5-4F6B-8141-C699A4AC2356}"/>
    <hyperlink ref="J237" r:id="rId2" xr:uid="{9839916E-EAB4-44CB-B731-D63670C065D1}"/>
    <hyperlink ref="J236" r:id="rId3" xr:uid="{37290EE9-A139-4FD4-A674-BB39359D8838}"/>
    <hyperlink ref="J80" r:id="rId4" xr:uid="{D866CF86-0932-463B-9F63-BBBD6C1CACF1}"/>
    <hyperlink ref="J81" r:id="rId5" xr:uid="{BA77CCF4-D362-499B-8860-E3F29E1F4FAB}"/>
    <hyperlink ref="J216" r:id="rId6" xr:uid="{90EBAB0F-25E2-42DE-9F7B-BC00352C314C}"/>
    <hyperlink ref="J17" r:id="rId7" xr:uid="{CF9C185D-E275-4E25-BCE8-34D0C417DA2A}"/>
    <hyperlink ref="J116" r:id="rId8" xr:uid="{1E72C3FA-F8CB-420B-9608-09B9FE921638}"/>
    <hyperlink ref="J176" r:id="rId9" xr:uid="{DE0618DB-12E6-4178-9317-3A2D5F1C810F}"/>
    <hyperlink ref="J159" r:id="rId10" xr:uid="{19C2CBEF-D532-4AF7-B341-EE001C169DC6}"/>
    <hyperlink ref="J206" r:id="rId11" xr:uid="{F0AB1F42-72E5-4C11-90EC-0F49D1D27C23}"/>
    <hyperlink ref="J207" r:id="rId12" xr:uid="{68B64828-87EC-45DC-A86D-17B6C0A3F012}"/>
    <hyperlink ref="J65" r:id="rId13" xr:uid="{98C311B4-7741-4B89-87DD-76AB994F14B1}"/>
    <hyperlink ref="J66" r:id="rId14" xr:uid="{2CB5A825-2A08-415D-A896-EA4BD160CEA4}"/>
    <hyperlink ref="J277" r:id="rId15" xr:uid="{030EC529-FCB7-4D18-8A43-6CB0106C8B32}"/>
    <hyperlink ref="J41" r:id="rId16" xr:uid="{1D60FBAA-E783-417D-8B05-B2D3268307AF}"/>
    <hyperlink ref="J89" r:id="rId17" xr:uid="{1F7DFC99-FC2D-4885-924D-0001295A6114}"/>
    <hyperlink ref="J288" r:id="rId18" xr:uid="{D718A5C8-4825-48AF-8C7F-E829D7FF1214}"/>
    <hyperlink ref="J289" r:id="rId19" xr:uid="{A208D91C-FCA6-47CD-BB12-7DB351F1F2E9}"/>
    <hyperlink ref="J257" r:id="rId20" xr:uid="{88BA6A38-F5BB-4583-8E4C-DD75639EA7ED}"/>
    <hyperlink ref="J68" r:id="rId21" xr:uid="{5CE3E865-1766-4445-B0C9-9A40872ECB19}"/>
    <hyperlink ref="J211" r:id="rId22" xr:uid="{3510D544-6538-4FFF-8938-BA04D472A2EF}"/>
    <hyperlink ref="J261" r:id="rId23" xr:uid="{848D5B2E-872C-478C-A969-165D6B793834}"/>
    <hyperlink ref="J31" r:id="rId24" xr:uid="{D7BA5D4C-DDB7-49E2-B841-9CC8B726C293}"/>
    <hyperlink ref="J186" r:id="rId25" xr:uid="{AC34AF2B-FE4D-42E5-85E6-000C7450A745}"/>
    <hyperlink ref="J234" r:id="rId26" xr:uid="{9E1300C8-5C6B-46B0-BE97-8B8AB670FAE0}"/>
    <hyperlink ref="J235" r:id="rId27" xr:uid="{F66BA499-EFBD-4FDB-BAA1-0DE401BFDD29}"/>
    <hyperlink ref="J110" r:id="rId28" xr:uid="{2B47A1A7-A7AB-40CF-920E-9F6B65C06D75}"/>
    <hyperlink ref="J112" r:id="rId29" xr:uid="{6AA49DB3-92E4-431C-B938-B5F32EDF6299}"/>
    <hyperlink ref="J111" r:id="rId30" xr:uid="{45D03D88-B705-4FCE-AEF9-295685165F29}"/>
    <hyperlink ref="J6" r:id="rId31" xr:uid="{7A6DC6BC-AACD-4000-BF14-445FF0F720B1}"/>
    <hyperlink ref="J11" r:id="rId32" xr:uid="{48F229B7-36F9-4AA9-B85A-8E2C50F8DEA5}"/>
    <hyperlink ref="J14" r:id="rId33" xr:uid="{FA7D7C8A-18CD-48C7-9612-720B9626530D}"/>
    <hyperlink ref="J48" r:id="rId34" xr:uid="{B030AF40-0B24-446B-AC48-FE2F279FEEB3}"/>
    <hyperlink ref="J49" r:id="rId35" xr:uid="{153F6A23-13FF-4E0A-A440-5AA1B0ADA34D}"/>
    <hyperlink ref="J50" r:id="rId36" xr:uid="{B400DB7D-B881-42ED-8B0D-32C7D41A0E83}"/>
    <hyperlink ref="J106" r:id="rId37" xr:uid="{60BD1E2C-578D-42D1-B37D-E6D7D9457297}"/>
    <hyperlink ref="J107" r:id="rId38" xr:uid="{4F6DD36C-85EC-4213-947D-05FF0B865EEF}"/>
    <hyperlink ref="J137" r:id="rId39" xr:uid="{BA41074F-B2FF-4202-A683-298A48786315}"/>
    <hyperlink ref="J197" r:id="rId40" xr:uid="{18E8C2CE-C02D-42E0-93C0-F682CC94F393}"/>
    <hyperlink ref="J190" r:id="rId41" xr:uid="{99826783-D1BC-4325-B69B-0D127147BBC7}"/>
    <hyperlink ref="J162" r:id="rId42" xr:uid="{F7F14D4C-D83C-4E00-87AC-1D100CA50160}"/>
    <hyperlink ref="J163" r:id="rId43" xr:uid="{29DA71D4-F03A-4EBB-BFA8-94B95187AB5A}"/>
    <hyperlink ref="J193" r:id="rId44" xr:uid="{3CB81E69-EBB8-5F48-BC9A-47864FA643AF}"/>
    <hyperlink ref="J5" r:id="rId45" xr:uid="{2E9516EC-B783-42AF-90B4-3EACDE634096}"/>
    <hyperlink ref="J4" r:id="rId46" xr:uid="{F65026D3-297C-4649-83E3-CC55D9810C86}"/>
    <hyperlink ref="J271" r:id="rId47" xr:uid="{DEA2D46F-CDE3-5C40-86B3-417B71D421DD}"/>
    <hyperlink ref="J185" r:id="rId48" xr:uid="{C0D40328-1CC7-AF4F-840D-8BBB517ABFFC}"/>
    <hyperlink ref="J230" r:id="rId49" xr:uid="{9B702912-8F05-8A4B-A5F0-D6ED5569E998}"/>
    <hyperlink ref="J270" r:id="rId50" xr:uid="{2B504F46-FA26-4D0B-8C38-DFE9739032D1}"/>
    <hyperlink ref="J233" r:id="rId51" xr:uid="{E19E95DC-EEC1-4D41-8368-BE4F4623A414}"/>
    <hyperlink ref="J194" r:id="rId52" xr:uid="{806370D6-94F5-4443-922A-586574CE81D8}"/>
    <hyperlink ref="J195" r:id="rId53" xr:uid="{55159FE0-838B-415B-A433-9991077D9953}"/>
    <hyperlink ref="J38" r:id="rId54" xr:uid="{C7416446-E658-45D5-87EC-6B8D596C75B9}"/>
    <hyperlink ref="J39" r:id="rId55" xr:uid="{71A28B9C-8190-47F9-AD78-EFB43E430B44}"/>
    <hyperlink ref="J90" r:id="rId56" xr:uid="{5557C1A5-041F-470F-9EC6-2134E97C96B1}"/>
    <hyperlink ref="J134" r:id="rId57" xr:uid="{0059B2E2-C36A-440D-92DD-A590C7C2CC87}"/>
    <hyperlink ref="J36" r:id="rId58" xr:uid="{86C90F0A-6AA9-411A-B203-F8D5804473A7}"/>
    <hyperlink ref="J37" r:id="rId59" xr:uid="{4544CE84-27BB-4D9B-B3BC-B1C77164F70C}"/>
    <hyperlink ref="J42" r:id="rId60" xr:uid="{524A0546-A1F9-4D93-894A-9686DFB3BC39}"/>
    <hyperlink ref="J268" r:id="rId61" xr:uid="{136407F8-5BFD-4930-8A22-458254B274B5}"/>
    <hyperlink ref="J18" r:id="rId62" xr:uid="{6FB8A6EC-B98B-4371-BE26-1861C6BDA674}"/>
    <hyperlink ref="J254" r:id="rId63" xr:uid="{29772390-45B1-4590-B2CB-EF60E18D3D12}"/>
    <hyperlink ref="J98" r:id="rId64" xr:uid="{EDF49555-AC3B-418E-910D-DFCCAD80ECB2}"/>
    <hyperlink ref="J252" r:id="rId65" xr:uid="{A8006D09-EB07-4662-985A-E2FEBB8CD77D}"/>
    <hyperlink ref="J198" r:id="rId66" xr:uid="{F138436E-2968-4F29-819A-9437A48B3390}"/>
    <hyperlink ref="J155" r:id="rId67" xr:uid="{2B1B252D-FBE3-4846-B4CE-AA424138EE8A}"/>
    <hyperlink ref="J200" r:id="rId68" xr:uid="{F7B463F7-BA4C-4B8D-9DCB-29028CDB9E50}"/>
    <hyperlink ref="J62" r:id="rId69" xr:uid="{9992C693-8353-4591-AA58-AC1AFBBE12F0}"/>
    <hyperlink ref="J71" r:id="rId70" xr:uid="{AA96B5A2-AB3D-42A8-B920-CDCD477C7631}"/>
    <hyperlink ref="J303" r:id="rId71" xr:uid="{F4100D60-97C5-4FE1-837D-E6E34281A222}"/>
    <hyperlink ref="J201" r:id="rId72" xr:uid="{6BFDBDDC-BF6A-4227-909A-2427F06B1488}"/>
    <hyperlink ref="J202" r:id="rId73" xr:uid="{6ED4B9A9-F940-4341-91D7-DA03E0859EE7}"/>
    <hyperlink ref="J245" r:id="rId74" xr:uid="{F2D8F05E-1E54-45E5-ACD3-1D3C0B2409D8}"/>
    <hyperlink ref="J244" r:id="rId75" xr:uid="{DFA92F82-EDB0-458E-BFE0-6799B65DE55D}"/>
    <hyperlink ref="J60" r:id="rId76" xr:uid="{62ACA0B1-D2C7-48AD-928D-4EEAF561D137}"/>
    <hyperlink ref="J59" r:id="rId77" xr:uid="{FC531CDD-4F4C-4E01-A856-C0EDB8FAF956}"/>
  </hyperlinks>
  <pageMargins left="0.7" right="0.7" top="0.75" bottom="0.75" header="0.3" footer="0.3"/>
  <pageSetup orientation="portrait" r:id="rId78"/>
  <tableParts count="1">
    <tablePart r:id="rId7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768"/>
  <sheetViews>
    <sheetView showGridLines="0" topLeftCell="A14" workbookViewId="0">
      <selection activeCell="B37" sqref="B37"/>
    </sheetView>
  </sheetViews>
  <sheetFormatPr defaultColWidth="8.5703125" defaultRowHeight="15.95"/>
  <cols>
    <col min="1" max="1" width="1.140625" style="73" customWidth="1"/>
    <col min="2" max="2" width="12.42578125" style="73" customWidth="1"/>
    <col min="3" max="3" width="9.28515625" style="77" customWidth="1"/>
    <col min="4" max="5" width="9.28515625" style="74" customWidth="1"/>
    <col min="6" max="6" width="9.28515625" style="74" hidden="1" customWidth="1"/>
    <col min="7" max="7" width="9.28515625" style="70" customWidth="1"/>
    <col min="8" max="9" width="9.28515625" style="74" customWidth="1"/>
    <col min="10" max="11" width="9.28515625" style="73" customWidth="1"/>
    <col min="12" max="12" width="9.28515625" style="105" customWidth="1"/>
    <col min="13" max="13" width="9.28515625" style="150" customWidth="1"/>
    <col min="14" max="14" width="1.140625" style="73" customWidth="1"/>
    <col min="15" max="15" width="18.140625" style="73" customWidth="1"/>
    <col min="16" max="16384" width="8.5703125" style="73"/>
  </cols>
  <sheetData>
    <row r="1" spans="2:16" ht="6" customHeight="1"/>
    <row r="2" spans="2:16" s="102" customFormat="1" ht="24" customHeight="1">
      <c r="B2" s="120" t="s">
        <v>0</v>
      </c>
      <c r="C2" s="76" t="s">
        <v>4</v>
      </c>
      <c r="D2" s="76" t="s">
        <v>8</v>
      </c>
      <c r="E2" s="75" t="s">
        <v>7</v>
      </c>
      <c r="F2" s="75" t="s">
        <v>9</v>
      </c>
      <c r="G2" s="76" t="s">
        <v>10</v>
      </c>
      <c r="H2" s="76" t="s">
        <v>411</v>
      </c>
      <c r="I2" s="76" t="s">
        <v>412</v>
      </c>
      <c r="J2" s="76" t="s">
        <v>413</v>
      </c>
      <c r="K2" s="76" t="s">
        <v>414</v>
      </c>
      <c r="L2" s="76" t="s">
        <v>415</v>
      </c>
      <c r="M2" s="150" t="s">
        <v>416</v>
      </c>
      <c r="N2" s="70"/>
      <c r="O2" s="89" t="s">
        <v>417</v>
      </c>
      <c r="P2" s="90"/>
    </row>
    <row r="3" spans="2:16" s="102" customFormat="1" ht="24" hidden="1" customHeight="1">
      <c r="B3" s="91">
        <v>44801</v>
      </c>
      <c r="C3" s="82">
        <f>SUMIFS(Log[Cal],Log[Date],tbDailyTotals[[#This Row],[Date]])</f>
        <v>1306.5280898876404</v>
      </c>
      <c r="D3" s="82">
        <f>SUMIFS(Log[Sodium],Log[Date],tbDailyTotals[[#This Row],[Date]])</f>
        <v>567.49886122077135</v>
      </c>
      <c r="E3" s="71">
        <f>SUMIFS(Log[Net Carbs],Log[Date],tbDailyTotals[[#This Row],[Date]])</f>
        <v>81.400405405405408</v>
      </c>
      <c r="F3" s="71">
        <f>SUMIFS(Log[Protein],Log[Date],tbDailyTotals[[#This Row],[Date]])</f>
        <v>70.272373975098702</v>
      </c>
      <c r="G3" s="83">
        <f>SUMIFS(Log[Chol],Log[Date],tbDailyTotals[[#This Row],[Date]])</f>
        <v>628.83146067415737</v>
      </c>
      <c r="H3" s="92">
        <v>9.4</v>
      </c>
      <c r="I3" s="70" t="str">
        <f>IF(COUNTIFS(Log[Date],tbDailyTotals[[#This Row],[Date]],Log[Item],"Morn meds",Log[Qty],1),"x","")</f>
        <v/>
      </c>
      <c r="J3" s="70" t="str">
        <f>IF(COUNTIFS(Log[Date],tbDailyTotals[[#This Row],[Date]],Log[Item],"Morn insulin",Log[Qty],1),"x","")</f>
        <v/>
      </c>
      <c r="K3" s="70" t="str">
        <f>IF(COUNTIFS(Log[Date],tbDailyTotals[[#This Row],[Date]],Log[Item],"Eve insulin",Log[Qty],1),"x","")</f>
        <v/>
      </c>
      <c r="L3" s="70" t="str">
        <f>IF(COUNTIFS(Log[Date],tbDailyTotals[[#This Row],[Date]],Log[Item],"Eve meds",Log[Qty],1),"x","")</f>
        <v/>
      </c>
      <c r="M3" s="150">
        <v>232.2</v>
      </c>
      <c r="N3" s="70"/>
      <c r="O3" s="117" t="s">
        <v>418</v>
      </c>
      <c r="P3" s="118">
        <v>2100</v>
      </c>
    </row>
    <row r="4" spans="2:16" s="102" customFormat="1" ht="24" hidden="1" customHeight="1">
      <c r="B4" s="91">
        <v>44802</v>
      </c>
      <c r="C4" s="82">
        <f>SUMIFS(Log[Cal],Log[Date],tbDailyTotals[[#This Row],[Date]])</f>
        <v>2311.3255521124252</v>
      </c>
      <c r="D4" s="82">
        <f>SUMIFS(Log[Sodium],Log[Date],tbDailyTotals[[#This Row],[Date]])</f>
        <v>768.40035459147907</v>
      </c>
      <c r="E4" s="71">
        <f>SUMIFS(Log[Net Carbs],Log[Date],tbDailyTotals[[#This Row],[Date]])</f>
        <v>61.98940000000001</v>
      </c>
      <c r="F4" s="71">
        <f>SUMIFS(Log[Protein],Log[Date],tbDailyTotals[[#This Row],[Date]])</f>
        <v>113.77744614327754</v>
      </c>
      <c r="G4" s="83">
        <f>SUMIFS(Log[Chol],Log[Date],tbDailyTotals[[#This Row],[Date]])</f>
        <v>979.95</v>
      </c>
      <c r="H4" s="92">
        <v>8.1999999999999993</v>
      </c>
      <c r="I4" s="70" t="str">
        <f>IF(COUNTIFS(Log[Date],tbDailyTotals[[#This Row],[Date]],Log[Item],"Morn meds",Log[Qty],1),"x","")</f>
        <v/>
      </c>
      <c r="J4" s="70" t="str">
        <f>IF(COUNTIFS(Log[Date],tbDailyTotals[[#This Row],[Date]],Log[Item],"Morn insulin",Log[Qty],1),"x","")</f>
        <v/>
      </c>
      <c r="K4" s="70" t="str">
        <f>IF(COUNTIFS(Log[Date],tbDailyTotals[[#This Row],[Date]],Log[Item],"Eve insulin",Log[Qty],1),"x","")</f>
        <v/>
      </c>
      <c r="L4" s="70" t="str">
        <f>IF(COUNTIFS(Log[Date],tbDailyTotals[[#This Row],[Date]],Log[Item],"Eve meds",Log[Qty],1),"x","")</f>
        <v/>
      </c>
      <c r="M4" s="150">
        <v>232.2</v>
      </c>
      <c r="N4" s="70"/>
      <c r="O4" s="94" t="s">
        <v>419</v>
      </c>
      <c r="P4" s="106">
        <v>1600</v>
      </c>
    </row>
    <row r="5" spans="2:16" s="75" customFormat="1" ht="25.15" hidden="1" customHeight="1">
      <c r="B5" s="91">
        <v>44803</v>
      </c>
      <c r="C5" s="82">
        <f>SUMIFS(Log[Cal],Log[Date],tbDailyTotals[[#This Row],[Date]])</f>
        <v>1499.5280898876404</v>
      </c>
      <c r="D5" s="82">
        <f>SUMIFS(Log[Sodium],Log[Date],tbDailyTotals[[#This Row],[Date]])</f>
        <v>1999.5056179775281</v>
      </c>
      <c r="E5" s="71">
        <f>SUMIFS(Log[Net Carbs],Log[Date],tbDailyTotals[[#This Row],[Date]])</f>
        <v>35</v>
      </c>
      <c r="F5" s="71">
        <f>SUMIFS(Log[Protein],Log[Date],tbDailyTotals[[#This Row],[Date]])</f>
        <v>129.23595505617976</v>
      </c>
      <c r="G5" s="83">
        <f>SUMIFS(Log[Chol],Log[Date],tbDailyTotals[[#This Row],[Date]])</f>
        <v>311.83146067415731</v>
      </c>
      <c r="H5" s="92">
        <v>7.6</v>
      </c>
      <c r="I5" s="70" t="str">
        <f>IF(COUNTIFS(Log[Date],tbDailyTotals[[#This Row],[Date]],Log[Item],"Morn meds",Log[Qty],1),"x","")</f>
        <v/>
      </c>
      <c r="J5" s="70" t="str">
        <f>IF(COUNTIFS(Log[Date],tbDailyTotals[[#This Row],[Date]],Log[Item],"Morn insulin",Log[Qty],1),"x","")</f>
        <v/>
      </c>
      <c r="K5" s="70" t="str">
        <f>IF(COUNTIFS(Log[Date],tbDailyTotals[[#This Row],[Date]],Log[Item],"Eve insulin",Log[Qty],1),"x","")</f>
        <v/>
      </c>
      <c r="L5" s="70" t="str">
        <f>IF(COUNTIFS(Log[Date],tbDailyTotals[[#This Row],[Date]],Log[Item],"Eve meds",Log[Qty],1),"x","")</f>
        <v/>
      </c>
      <c r="M5" s="150">
        <v>232.2</v>
      </c>
      <c r="N5" s="68"/>
      <c r="O5" s="94" t="s">
        <v>420</v>
      </c>
      <c r="P5" s="106">
        <v>1500</v>
      </c>
    </row>
    <row r="6" spans="2:16" s="75" customFormat="1" ht="25.15" hidden="1" customHeight="1">
      <c r="B6" s="91">
        <v>44804</v>
      </c>
      <c r="C6" s="82">
        <f>SUMIFS(Log[Cal],Log[Date],tbDailyTotals[[#This Row],[Date]])</f>
        <v>1525.3714285714286</v>
      </c>
      <c r="D6" s="82">
        <f>SUMIFS(Log[Sodium],Log[Date],tbDailyTotals[[#This Row],[Date]])</f>
        <v>2505.7743954480798</v>
      </c>
      <c r="E6" s="71">
        <f>SUMIFS(Log[Net Carbs],Log[Date],tbDailyTotals[[#This Row],[Date]])</f>
        <v>67.72837837837838</v>
      </c>
      <c r="F6" s="71">
        <f>SUMIFS(Log[Protein],Log[Date],tbDailyTotals[[#This Row],[Date]])</f>
        <v>83.613985978459652</v>
      </c>
      <c r="G6" s="83">
        <f>SUMIFS(Log[Chol],Log[Date],tbDailyTotals[[#This Row],[Date]])</f>
        <v>759.0526315789474</v>
      </c>
      <c r="H6" s="92">
        <v>6.8</v>
      </c>
      <c r="I6" s="70" t="str">
        <f>IF(COUNTIFS(Log[Date],tbDailyTotals[[#This Row],[Date]],Log[Item],"Morn meds",Log[Qty],1),"x","")</f>
        <v/>
      </c>
      <c r="J6" s="70" t="str">
        <f>IF(COUNTIFS(Log[Date],tbDailyTotals[[#This Row],[Date]],Log[Item],"Morn insulin",Log[Qty],1),"x","")</f>
        <v/>
      </c>
      <c r="K6" s="70" t="str">
        <f>IF(COUNTIFS(Log[Date],tbDailyTotals[[#This Row],[Date]],Log[Item],"Eve insulin",Log[Qty],1),"x","")</f>
        <v/>
      </c>
      <c r="L6" s="70" t="str">
        <f>IF(COUNTIFS(Log[Date],tbDailyTotals[[#This Row],[Date]],Log[Item],"Eve meds",Log[Qty],1),"x","")</f>
        <v/>
      </c>
      <c r="M6" s="150">
        <v>232.2</v>
      </c>
      <c r="N6" s="68"/>
      <c r="O6" s="94" t="s">
        <v>421</v>
      </c>
      <c r="P6" s="106">
        <v>1000</v>
      </c>
    </row>
    <row r="7" spans="2:16" s="75" customFormat="1" ht="25.15" customHeight="1">
      <c r="B7" s="91">
        <v>44805</v>
      </c>
      <c r="C7" s="82">
        <f>SUMIFS(Log[Cal],Log[Date],tbDailyTotals[[#This Row],[Date]])</f>
        <v>1086.4285714285716</v>
      </c>
      <c r="D7" s="82">
        <f>SUMIFS(Log[Sodium],Log[Date],tbDailyTotals[[#This Row],[Date]])</f>
        <v>1553.0270270270271</v>
      </c>
      <c r="E7" s="71">
        <f>SUMIFS(Log[Net Carbs],Log[Date],tbDailyTotals[[#This Row],[Date]])</f>
        <v>95.378378378378386</v>
      </c>
      <c r="F7" s="71">
        <f>SUMIFS(Log[Protein],Log[Date],tbDailyTotals[[#This Row],[Date]])</f>
        <v>86.038610038610045</v>
      </c>
      <c r="G7" s="83">
        <f>SUMIFS(Log[Chol],Log[Date],tbDailyTotals[[#This Row],[Date]])</f>
        <v>150</v>
      </c>
      <c r="H7" s="92">
        <v>6.3</v>
      </c>
      <c r="I7" s="70" t="str">
        <f>IF(COUNTIFS(Log[Date],tbDailyTotals[[#This Row],[Date]],Log[Item],"Morn meds",Log[Qty],1),"x","")</f>
        <v/>
      </c>
      <c r="J7" s="70" t="str">
        <f>IF(COUNTIFS(Log[Date],tbDailyTotals[[#This Row],[Date]],Log[Item],"Morn insulin",Log[Qty],1),"x","")</f>
        <v/>
      </c>
      <c r="K7" s="70" t="str">
        <f>IF(COUNTIFS(Log[Date],tbDailyTotals[[#This Row],[Date]],Log[Item],"Eve insulin",Log[Qty],1),"x","")</f>
        <v/>
      </c>
      <c r="L7" s="70" t="str">
        <f>IF(COUNTIFS(Log[Date],tbDailyTotals[[#This Row],[Date]],Log[Item],"Eve meds",Log[Qty],1),"x","")</f>
        <v/>
      </c>
      <c r="M7" s="150">
        <v>232.8</v>
      </c>
      <c r="N7" s="68"/>
      <c r="O7" s="94" t="s">
        <v>422</v>
      </c>
      <c r="P7" s="106">
        <v>150</v>
      </c>
    </row>
    <row r="8" spans="2:16" s="75" customFormat="1" ht="25.15" customHeight="1">
      <c r="B8" s="91">
        <v>44806</v>
      </c>
      <c r="C8" s="82">
        <f>SUMIFS(Log[Cal],Log[Date],tbDailyTotals[[#This Row],[Date]])</f>
        <v>1281.4666666666667</v>
      </c>
      <c r="D8" s="82">
        <f>SUMIFS(Log[Sodium],Log[Date],tbDailyTotals[[#This Row],[Date]])</f>
        <v>1952.4140350877194</v>
      </c>
      <c r="E8" s="71">
        <f>SUMIFS(Log[Net Carbs],Log[Date],tbDailyTotals[[#This Row],[Date]])</f>
        <v>56.726666666666659</v>
      </c>
      <c r="F8" s="71">
        <f>SUMIFS(Log[Protein],Log[Date],tbDailyTotals[[#This Row],[Date]])</f>
        <v>72.147280701754383</v>
      </c>
      <c r="G8" s="83">
        <f>SUMIFS(Log[Chol],Log[Date],tbDailyTotals[[#This Row],[Date]])</f>
        <v>389.0526315789474</v>
      </c>
      <c r="H8" s="92">
        <v>7</v>
      </c>
      <c r="I8" s="70" t="str">
        <f>IF(COUNTIFS(Log[Date],tbDailyTotals[[#This Row],[Date]],Log[Item],"Morn meds",Log[Qty],1),"x","")</f>
        <v/>
      </c>
      <c r="J8" s="70" t="str">
        <f>IF(COUNTIFS(Log[Date],tbDailyTotals[[#This Row],[Date]],Log[Item],"Morn insulin",Log[Qty],1),"x","")</f>
        <v/>
      </c>
      <c r="K8" s="70" t="str">
        <f>IF(COUNTIFS(Log[Date],tbDailyTotals[[#This Row],[Date]],Log[Item],"Eve insulin",Log[Qty],1),"x","")</f>
        <v/>
      </c>
      <c r="L8" s="70" t="str">
        <f>IF(COUNTIFS(Log[Date],tbDailyTotals[[#This Row],[Date]],Log[Item],"Eve meds",Log[Qty],1),"x","")</f>
        <v/>
      </c>
      <c r="M8" s="150">
        <v>232.8</v>
      </c>
      <c r="N8" s="68"/>
      <c r="O8" s="94" t="s">
        <v>423</v>
      </c>
      <c r="P8" s="106">
        <v>75</v>
      </c>
    </row>
    <row r="9" spans="2:16" s="75" customFormat="1" ht="25.15" customHeight="1">
      <c r="B9" s="91">
        <v>44807</v>
      </c>
      <c r="C9" s="82">
        <f>SUMIFS(Log[Cal],Log[Date],tbDailyTotals[[#This Row],[Date]])</f>
        <v>1500.9</v>
      </c>
      <c r="D9" s="82">
        <f>SUMIFS(Log[Sodium],Log[Date],tbDailyTotals[[#This Row],[Date]])</f>
        <v>2174.7864</v>
      </c>
      <c r="E9" s="71">
        <f>SUMIFS(Log[Net Carbs],Log[Date],tbDailyTotals[[#This Row],[Date]])</f>
        <v>18.658999999999999</v>
      </c>
      <c r="F9" s="71">
        <f>SUMIFS(Log[Protein],Log[Date],tbDailyTotals[[#This Row],[Date]])</f>
        <v>75.304000000000002</v>
      </c>
      <c r="G9" s="83">
        <f>SUMIFS(Log[Chol],Log[Date],tbDailyTotals[[#This Row],[Date]])</f>
        <v>1054.5</v>
      </c>
      <c r="H9" s="92">
        <v>7.4</v>
      </c>
      <c r="I9" s="70" t="str">
        <f>IF(COUNTIFS(Log[Date],tbDailyTotals[[#This Row],[Date]],Log[Item],"Morn meds",Log[Qty],1),"x","")</f>
        <v/>
      </c>
      <c r="J9" s="70" t="str">
        <f>IF(COUNTIFS(Log[Date],tbDailyTotals[[#This Row],[Date]],Log[Item],"Morn insulin",Log[Qty],1),"x","")</f>
        <v/>
      </c>
      <c r="K9" s="70" t="str">
        <f>IF(COUNTIFS(Log[Date],tbDailyTotals[[#This Row],[Date]],Log[Item],"Eve insulin",Log[Qty],1),"x","")</f>
        <v/>
      </c>
      <c r="L9" s="70" t="str">
        <f>IF(COUNTIFS(Log[Date],tbDailyTotals[[#This Row],[Date]],Log[Item],"Eve meds",Log[Qty],1),"x","")</f>
        <v/>
      </c>
      <c r="M9" s="150">
        <v>232.8</v>
      </c>
      <c r="N9" s="68"/>
      <c r="O9" s="94" t="s">
        <v>424</v>
      </c>
      <c r="P9" s="106">
        <v>200</v>
      </c>
    </row>
    <row r="10" spans="2:16" s="75" customFormat="1" ht="25.15" customHeight="1">
      <c r="B10" s="91">
        <v>44808</v>
      </c>
      <c r="C10" s="82">
        <f>SUMIFS(Log[Cal],Log[Date],tbDailyTotals[[#This Row],[Date]])</f>
        <v>3237.6579237218257</v>
      </c>
      <c r="D10" s="82">
        <f>SUMIFS(Log[Sodium],Log[Date],tbDailyTotals[[#This Row],[Date]])</f>
        <v>2834.7610186421111</v>
      </c>
      <c r="E10" s="71">
        <f>SUMIFS(Log[Net Carbs],Log[Date],tbDailyTotals[[#This Row],[Date]])</f>
        <v>47.000000000000007</v>
      </c>
      <c r="F10" s="71">
        <f>SUMIFS(Log[Protein],Log[Date],tbDailyTotals[[#This Row],[Date]])</f>
        <v>161.40027656548037</v>
      </c>
      <c r="G10" s="83">
        <f>SUMIFS(Log[Chol],Log[Date],tbDailyTotals[[#This Row],[Date]])</f>
        <v>1762.5</v>
      </c>
      <c r="H10" s="92">
        <v>6.2</v>
      </c>
      <c r="I10" s="70" t="str">
        <f>IF(COUNTIFS(Log[Date],tbDailyTotals[[#This Row],[Date]],Log[Item],"Morn meds",Log[Qty],1),"x","")</f>
        <v/>
      </c>
      <c r="J10" s="70" t="str">
        <f>IF(COUNTIFS(Log[Date],tbDailyTotals[[#This Row],[Date]],Log[Item],"Morn insulin",Log[Qty],1),"x","")</f>
        <v/>
      </c>
      <c r="K10" s="70" t="str">
        <f>IF(COUNTIFS(Log[Date],tbDailyTotals[[#This Row],[Date]],Log[Item],"Eve insulin",Log[Qty],1),"x","")</f>
        <v/>
      </c>
      <c r="L10" s="70" t="str">
        <f>IF(COUNTIFS(Log[Date],tbDailyTotals[[#This Row],[Date]],Log[Item],"Eve meds",Log[Qty],1),"x","")</f>
        <v/>
      </c>
      <c r="M10" s="150">
        <v>231.2</v>
      </c>
      <c r="N10" s="68"/>
      <c r="O10" s="94" t="s">
        <v>425</v>
      </c>
      <c r="P10" s="106">
        <v>150</v>
      </c>
    </row>
    <row r="11" spans="2:16" s="75" customFormat="1" ht="25.15" customHeight="1">
      <c r="B11" s="91">
        <v>44809</v>
      </c>
      <c r="C11" s="82">
        <f>SUMIFS(Log[Cal],Log[Date],tbDailyTotals[[#This Row],[Date]])</f>
        <v>1716.5083333333332</v>
      </c>
      <c r="D11" s="82">
        <f>SUMIFS(Log[Sodium],Log[Date],tbDailyTotals[[#This Row],[Date]])</f>
        <v>2169.5364</v>
      </c>
      <c r="E11" s="71">
        <f>SUMIFS(Log[Net Carbs],Log[Date],tbDailyTotals[[#This Row],[Date]])</f>
        <v>59.20150000000001</v>
      </c>
      <c r="F11" s="71">
        <f>SUMIFS(Log[Protein],Log[Date],tbDailyTotals[[#This Row],[Date]])</f>
        <v>105.62816666666667</v>
      </c>
      <c r="G11" s="83">
        <f>SUMIFS(Log[Chol],Log[Date],tbDailyTotals[[#This Row],[Date]])</f>
        <v>376.9666666666667</v>
      </c>
      <c r="H11" s="92">
        <v>6.2</v>
      </c>
      <c r="I11" s="70" t="str">
        <f>IF(COUNTIFS(Log[Date],tbDailyTotals[[#This Row],[Date]],Log[Item],"Morn meds",Log[Qty],1),"x","")</f>
        <v/>
      </c>
      <c r="J11" s="70" t="str">
        <f>IF(COUNTIFS(Log[Date],tbDailyTotals[[#This Row],[Date]],Log[Item],"Morn insulin",Log[Qty],1),"x","")</f>
        <v/>
      </c>
      <c r="K11" s="70" t="str">
        <f>IF(COUNTIFS(Log[Date],tbDailyTotals[[#This Row],[Date]],Log[Item],"Eve insulin",Log[Qty],1),"x","")</f>
        <v/>
      </c>
      <c r="L11" s="70" t="str">
        <f>IF(COUNTIFS(Log[Date],tbDailyTotals[[#This Row],[Date]],Log[Item],"Eve meds",Log[Qty],1),"x","")</f>
        <v/>
      </c>
      <c r="M11" s="150">
        <v>231.2</v>
      </c>
      <c r="N11" s="68"/>
      <c r="O11" s="94" t="s">
        <v>426</v>
      </c>
      <c r="P11" s="106">
        <v>8</v>
      </c>
    </row>
    <row r="12" spans="2:16" s="75" customFormat="1" ht="25.15" customHeight="1">
      <c r="B12" s="91">
        <v>44810</v>
      </c>
      <c r="C12" s="82">
        <f>SUMIFS(Log[Cal],Log[Date],tbDailyTotals[[#This Row],[Date]])</f>
        <v>1224.5833333333335</v>
      </c>
      <c r="D12" s="82">
        <f>SUMIFS(Log[Sodium],Log[Date],tbDailyTotals[[#This Row],[Date]])</f>
        <v>4228.5140000000001</v>
      </c>
      <c r="E12" s="71">
        <f>SUMIFS(Log[Net Carbs],Log[Date],tbDailyTotals[[#This Row],[Date]])</f>
        <v>63.796700000000008</v>
      </c>
      <c r="F12" s="71">
        <f>SUMIFS(Log[Protein],Log[Date],tbDailyTotals[[#This Row],[Date]])</f>
        <v>94.262966666666671</v>
      </c>
      <c r="G12" s="83">
        <f>SUMIFS(Log[Chol],Log[Date],tbDailyTotals[[#This Row],[Date]])</f>
        <v>548.19666666666672</v>
      </c>
      <c r="H12" s="92">
        <v>6</v>
      </c>
      <c r="I12" s="70" t="str">
        <f>IF(COUNTIFS(Log[Date],tbDailyTotals[[#This Row],[Date]],Log[Item],"Morn meds",Log[Qty],1),"x","")</f>
        <v>x</v>
      </c>
      <c r="J12" s="70" t="str">
        <f>IF(COUNTIFS(Log[Date],tbDailyTotals[[#This Row],[Date]],Log[Item],"Morn insulin",Log[Qty],1),"x","")</f>
        <v>x</v>
      </c>
      <c r="K12" s="70" t="str">
        <f>IF(COUNTIFS(Log[Date],tbDailyTotals[[#This Row],[Date]],Log[Item],"Eve insulin",Log[Qty],1),"x","")</f>
        <v>x</v>
      </c>
      <c r="L12" s="70" t="str">
        <f>IF(COUNTIFS(Log[Date],tbDailyTotals[[#This Row],[Date]],Log[Item],"Eve meds",Log[Qty],1),"x","")</f>
        <v>x</v>
      </c>
      <c r="M12" s="150">
        <v>231.39999999999998</v>
      </c>
      <c r="N12" s="68"/>
      <c r="O12" s="95" t="s">
        <v>427</v>
      </c>
      <c r="P12" s="107">
        <v>6.99</v>
      </c>
    </row>
    <row r="13" spans="2:16" s="75" customFormat="1" ht="25.15" customHeight="1">
      <c r="B13" s="91">
        <v>44811</v>
      </c>
      <c r="C13" s="82">
        <f>SUMIFS(Log[Cal],Log[Date],tbDailyTotals[[#This Row],[Date]])</f>
        <v>1709.875</v>
      </c>
      <c r="D13" s="82">
        <f>SUMIFS(Log[Sodium],Log[Date],tbDailyTotals[[#This Row],[Date]])</f>
        <v>1729.6826000000001</v>
      </c>
      <c r="E13" s="71">
        <f>SUMIFS(Log[Net Carbs],Log[Date],tbDailyTotals[[#This Row],[Date]])</f>
        <v>65.622500000000002</v>
      </c>
      <c r="F13" s="71">
        <f>SUMIFS(Log[Protein],Log[Date],tbDailyTotals[[#This Row],[Date]])</f>
        <v>87.883749999999992</v>
      </c>
      <c r="G13" s="83">
        <f>SUMIFS(Log[Chol],Log[Date],tbDailyTotals[[#This Row],[Date]])</f>
        <v>934</v>
      </c>
      <c r="H13" s="92">
        <v>5.9</v>
      </c>
      <c r="I13" s="70" t="str">
        <f>IF(COUNTIFS(Log[Date],tbDailyTotals[[#This Row],[Date]],Log[Item],"Morn meds",Log[Qty],1),"x","")</f>
        <v>x</v>
      </c>
      <c r="J13" s="70" t="str">
        <f>IF(COUNTIFS(Log[Date],tbDailyTotals[[#This Row],[Date]],Log[Item],"Morn insulin",Log[Qty],1),"x","")</f>
        <v>x</v>
      </c>
      <c r="K13" s="70" t="str">
        <f>IF(COUNTIFS(Log[Date],tbDailyTotals[[#This Row],[Date]],Log[Item],"Eve insulin",Log[Qty],1),"x","")</f>
        <v>x</v>
      </c>
      <c r="L13" s="70" t="str">
        <f>IF(COUNTIFS(Log[Date],tbDailyTotals[[#This Row],[Date]],Log[Item],"Eve meds",Log[Qty],1),"x","")</f>
        <v>x</v>
      </c>
      <c r="M13" s="150">
        <v>229.2</v>
      </c>
      <c r="N13" s="68"/>
    </row>
    <row r="14" spans="2:16" s="75" customFormat="1" ht="25.15" customHeight="1">
      <c r="B14" s="91">
        <v>44812</v>
      </c>
      <c r="C14" s="82">
        <f>SUMIFS(Log[Cal],Log[Date],tbDailyTotals[[#This Row],[Date]])</f>
        <v>1589.875</v>
      </c>
      <c r="D14" s="82">
        <f>SUMIFS(Log[Sodium],Log[Date],tbDailyTotals[[#This Row],[Date]])</f>
        <v>2897.7402000000002</v>
      </c>
      <c r="E14" s="71">
        <f>SUMIFS(Log[Net Carbs],Log[Date],tbDailyTotals[[#This Row],[Date]])</f>
        <v>48.662500000000001</v>
      </c>
      <c r="F14" s="71">
        <f>SUMIFS(Log[Protein],Log[Date],tbDailyTotals[[#This Row],[Date]])</f>
        <v>95.183750000000003</v>
      </c>
      <c r="G14" s="83">
        <f>SUMIFS(Log[Chol],Log[Date],tbDailyTotals[[#This Row],[Date]])</f>
        <v>803</v>
      </c>
      <c r="H14" s="92">
        <v>6.1</v>
      </c>
      <c r="I14" s="70" t="str">
        <f>IF(COUNTIFS(Log[Date],tbDailyTotals[[#This Row],[Date]],Log[Item],"Morn meds",Log[Qty],1),"x","")</f>
        <v>x</v>
      </c>
      <c r="J14" s="70" t="str">
        <f>IF(COUNTIFS(Log[Date],tbDailyTotals[[#This Row],[Date]],Log[Item],"Morn insulin",Log[Qty],1),"x","")</f>
        <v>x</v>
      </c>
      <c r="K14" s="70" t="str">
        <f>IF(COUNTIFS(Log[Date],tbDailyTotals[[#This Row],[Date]],Log[Item],"Eve insulin",Log[Qty],1),"x","")</f>
        <v>x</v>
      </c>
      <c r="L14" s="70" t="str">
        <f>IF(COUNTIFS(Log[Date],tbDailyTotals[[#This Row],[Date]],Log[Item],"Eve meds",Log[Qty],1),"x","")</f>
        <v>x</v>
      </c>
      <c r="M14" s="150">
        <v>230.39999999999998</v>
      </c>
      <c r="N14" s="68"/>
      <c r="O14" s="75" t="s">
        <v>428</v>
      </c>
      <c r="P14" s="75">
        <f>MAX(tbDailyTotals[Weight])-MIN(tbDailyTotals[Weight])</f>
        <v>13.600000000000023</v>
      </c>
    </row>
    <row r="15" spans="2:16" s="75" customFormat="1" ht="25.15" customHeight="1">
      <c r="B15" s="91">
        <v>44813</v>
      </c>
      <c r="C15" s="82">
        <f>SUMIFS(Log[Cal],Log[Date],tbDailyTotals[[#This Row],[Date]])</f>
        <v>1871.9778634731188</v>
      </c>
      <c r="D15" s="82">
        <f>SUMIFS(Log[Sodium],Log[Date],tbDailyTotals[[#This Row],[Date]])</f>
        <v>3038.4907878722979</v>
      </c>
      <c r="E15" s="71">
        <f>SUMIFS(Log[Net Carbs],Log[Date],tbDailyTotals[[#This Row],[Date]])</f>
        <v>40.061866777167722</v>
      </c>
      <c r="F15" s="71">
        <f>SUMIFS(Log[Protein],Log[Date],tbDailyTotals[[#This Row],[Date]])</f>
        <v>120.66576642693659</v>
      </c>
      <c r="G15" s="83">
        <f>SUMIFS(Log[Chol],Log[Date],tbDailyTotals[[#This Row],[Date]])</f>
        <v>421.91430024825451</v>
      </c>
      <c r="H15" s="92">
        <v>6.6</v>
      </c>
      <c r="I15" s="70" t="str">
        <f>IF(COUNTIFS(Log[Date],tbDailyTotals[[#This Row],[Date]],Log[Item],"Morn meds",Log[Qty],1),"x","")</f>
        <v>x</v>
      </c>
      <c r="J15" s="70" t="str">
        <f>IF(COUNTIFS(Log[Date],tbDailyTotals[[#This Row],[Date]],Log[Item],"Morn insulin",Log[Qty],1),"x","")</f>
        <v>x</v>
      </c>
      <c r="K15" s="70" t="str">
        <f>IF(COUNTIFS(Log[Date],tbDailyTotals[[#This Row],[Date]],Log[Item],"Eve insulin",Log[Qty],1),"x","")</f>
        <v>x</v>
      </c>
      <c r="L15" s="70" t="str">
        <f>IF(COUNTIFS(Log[Date],tbDailyTotals[[#This Row],[Date]],Log[Item],"Eve meds",Log[Qty],1),"x","")</f>
        <v>x</v>
      </c>
      <c r="M15" s="150">
        <v>230</v>
      </c>
      <c r="N15" s="68"/>
    </row>
    <row r="16" spans="2:16" s="75" customFormat="1" ht="25.15" customHeight="1">
      <c r="B16" s="91">
        <v>44814</v>
      </c>
      <c r="C16" s="82">
        <f>SUMIFS(Log[Cal],Log[Date],tbDailyTotals[[#This Row],[Date]])</f>
        <v>2389.9285714285716</v>
      </c>
      <c r="D16" s="82">
        <f>SUMIFS(Log[Sodium],Log[Date],tbDailyTotals[[#This Row],[Date]])</f>
        <v>1568</v>
      </c>
      <c r="E16" s="71">
        <f>SUMIFS(Log[Net Carbs],Log[Date],tbDailyTotals[[#This Row],[Date]])</f>
        <v>73.012941176470591</v>
      </c>
      <c r="F16" s="71">
        <f>SUMIFS(Log[Protein],Log[Date],tbDailyTotals[[#This Row],[Date]])</f>
        <v>63.464285714285708</v>
      </c>
      <c r="G16" s="83">
        <f>SUMIFS(Log[Chol],Log[Date],tbDailyTotals[[#This Row],[Date]])</f>
        <v>55</v>
      </c>
      <c r="H16" s="92">
        <v>6.2</v>
      </c>
      <c r="I16" s="70" t="str">
        <f>IF(COUNTIFS(Log[Date],tbDailyTotals[[#This Row],[Date]],Log[Item],"Morn meds",Log[Qty],1),"x","")</f>
        <v>x</v>
      </c>
      <c r="J16" s="70" t="str">
        <f>IF(COUNTIFS(Log[Date],tbDailyTotals[[#This Row],[Date]],Log[Item],"Morn insulin",Log[Qty],1),"x","")</f>
        <v>x</v>
      </c>
      <c r="K16" s="70" t="str">
        <f>IF(COUNTIFS(Log[Date],tbDailyTotals[[#This Row],[Date]],Log[Item],"Eve insulin",Log[Qty],1),"x","")</f>
        <v>x</v>
      </c>
      <c r="L16" s="70" t="str">
        <f>IF(COUNTIFS(Log[Date],tbDailyTotals[[#This Row],[Date]],Log[Item],"Eve meds",Log[Qty],1),"x","")</f>
        <v>x</v>
      </c>
      <c r="M16" s="150">
        <v>230</v>
      </c>
      <c r="N16" s="72"/>
      <c r="O16" s="108"/>
      <c r="P16" s="109"/>
    </row>
    <row r="17" spans="2:17" s="75" customFormat="1" ht="25.15" customHeight="1">
      <c r="B17" s="91">
        <v>44815</v>
      </c>
      <c r="C17" s="82">
        <f>SUMIFS(Log[Cal],Log[Date],tbDailyTotals[[#This Row],[Date]])</f>
        <v>1237.1911968064519</v>
      </c>
      <c r="D17" s="82">
        <f>SUMIFS(Log[Sodium],Log[Date],tbDailyTotals[[#This Row],[Date]])</f>
        <v>764.26412120563157</v>
      </c>
      <c r="E17" s="71">
        <f>SUMIFS(Log[Net Carbs],Log[Date],tbDailyTotals[[#This Row],[Date]])</f>
        <v>28.814600110501054</v>
      </c>
      <c r="F17" s="71">
        <f>SUMIFS(Log[Protein],Log[Date],tbDailyTotals[[#This Row],[Date]])</f>
        <v>124.59243309360326</v>
      </c>
      <c r="G17" s="83">
        <f>SUMIFS(Log[Chol],Log[Date],tbDailyTotals[[#This Row],[Date]])</f>
        <v>147.91430024825451</v>
      </c>
      <c r="H17" s="92">
        <v>6.5</v>
      </c>
      <c r="I17" s="70" t="str">
        <f>IF(COUNTIFS(Log[Date],tbDailyTotals[[#This Row],[Date]],Log[Item],"Morn meds",Log[Qty],1),"x","")</f>
        <v>x</v>
      </c>
      <c r="J17" s="70" t="str">
        <f>IF(COUNTIFS(Log[Date],tbDailyTotals[[#This Row],[Date]],Log[Item],"Morn insulin",Log[Qty],1),"x","")</f>
        <v>x</v>
      </c>
      <c r="K17" s="70" t="str">
        <f>IF(COUNTIFS(Log[Date],tbDailyTotals[[#This Row],[Date]],Log[Item],"Eve insulin",Log[Qty],1),"x","")</f>
        <v>x</v>
      </c>
      <c r="L17" s="70" t="str">
        <f>IF(COUNTIFS(Log[Date],tbDailyTotals[[#This Row],[Date]],Log[Item],"Eve meds",Log[Qty],1),"x","")</f>
        <v>x</v>
      </c>
      <c r="M17" s="150">
        <v>230</v>
      </c>
      <c r="N17" s="72"/>
    </row>
    <row r="18" spans="2:17" s="75" customFormat="1" ht="25.15" customHeight="1">
      <c r="B18" s="91">
        <v>44816</v>
      </c>
      <c r="C18" s="82">
        <f>SUMIFS(Log[Cal],Log[Date],tbDailyTotals[[#This Row],[Date]])</f>
        <v>1357.2611968064518</v>
      </c>
      <c r="D18" s="82">
        <f>SUMIFS(Log[Sodium],Log[Date],tbDailyTotals[[#This Row],[Date]])</f>
        <v>2186.6914896266844</v>
      </c>
      <c r="E18" s="71">
        <f>SUMIFS(Log[Net Carbs],Log[Date],tbDailyTotals[[#This Row],[Date]])</f>
        <v>28.571200110501053</v>
      </c>
      <c r="F18" s="71">
        <f>SUMIFS(Log[Protein],Log[Date],tbDailyTotals[[#This Row],[Date]])</f>
        <v>128.27338046202431</v>
      </c>
      <c r="G18" s="83">
        <f>SUMIFS(Log[Chol],Log[Date],tbDailyTotals[[#This Row],[Date]])</f>
        <v>503.46693182720185</v>
      </c>
      <c r="H18" s="92">
        <v>5.8</v>
      </c>
      <c r="I18" s="70" t="str">
        <f>IF(COUNTIFS(Log[Date],tbDailyTotals[[#This Row],[Date]],Log[Item],"Morn meds",Log[Qty],1),"x","")</f>
        <v>x</v>
      </c>
      <c r="J18" s="70" t="str">
        <f>IF(COUNTIFS(Log[Date],tbDailyTotals[[#This Row],[Date]],Log[Item],"Morn insulin",Log[Qty],1),"x","")</f>
        <v>x</v>
      </c>
      <c r="K18" s="70" t="str">
        <f>IF(COUNTIFS(Log[Date],tbDailyTotals[[#This Row],[Date]],Log[Item],"Eve insulin",Log[Qty],1),"x","")</f>
        <v>x</v>
      </c>
      <c r="L18" s="70" t="str">
        <f>IF(COUNTIFS(Log[Date],tbDailyTotals[[#This Row],[Date]],Log[Item],"Eve meds",Log[Qty],1),"x","")</f>
        <v>x</v>
      </c>
      <c r="M18" s="150">
        <v>229</v>
      </c>
      <c r="N18" s="72"/>
      <c r="O18" s="108"/>
      <c r="P18" s="109"/>
    </row>
    <row r="19" spans="2:17" s="75" customFormat="1" ht="25.15" customHeight="1">
      <c r="B19" s="91">
        <v>44817</v>
      </c>
      <c r="C19" s="82">
        <f>SUMIFS(Log[Cal],Log[Date],tbDailyTotals[[#This Row],[Date]])</f>
        <v>1793.111196806452</v>
      </c>
      <c r="D19" s="82">
        <f>SUMIFS(Log[Sodium],Log[Date],tbDailyTotals[[#This Row],[Date]])</f>
        <v>3056.8241212056314</v>
      </c>
      <c r="E19" s="71">
        <f>SUMIFS(Log[Net Carbs],Log[Date],tbDailyTotals[[#This Row],[Date]])</f>
        <v>65.745200110501059</v>
      </c>
      <c r="F19" s="71">
        <f>SUMIFS(Log[Protein],Log[Date],tbDailyTotals[[#This Row],[Date]])</f>
        <v>116.08243309360326</v>
      </c>
      <c r="G19" s="83">
        <f>SUMIFS(Log[Chol],Log[Date],tbDailyTotals[[#This Row],[Date]])</f>
        <v>349.41430024825451</v>
      </c>
      <c r="H19" s="92">
        <v>5.7</v>
      </c>
      <c r="I19" s="70" t="str">
        <f>IF(COUNTIFS(Log[Date],tbDailyTotals[[#This Row],[Date]],Log[Item],"Morn meds",Log[Qty],1),"x","")</f>
        <v>x</v>
      </c>
      <c r="J19" s="70" t="str">
        <f>IF(COUNTIFS(Log[Date],tbDailyTotals[[#This Row],[Date]],Log[Item],"Morn insulin",Log[Qty],1),"x","")</f>
        <v>x</v>
      </c>
      <c r="K19" s="70" t="str">
        <f>IF(COUNTIFS(Log[Date],tbDailyTotals[[#This Row],[Date]],Log[Item],"Eve insulin",Log[Qty],1),"x","")</f>
        <v>x</v>
      </c>
      <c r="L19" s="70" t="str">
        <f>IF(COUNTIFS(Log[Date],tbDailyTotals[[#This Row],[Date]],Log[Item],"Eve meds",Log[Qty],1),"x","")</f>
        <v>x</v>
      </c>
      <c r="M19" s="150">
        <v>228.8</v>
      </c>
      <c r="N19" s="72"/>
      <c r="O19" s="108"/>
      <c r="P19" s="109"/>
    </row>
    <row r="20" spans="2:17" s="75" customFormat="1" ht="25.15" customHeight="1">
      <c r="B20" s="91">
        <v>44818</v>
      </c>
      <c r="C20" s="82">
        <f>SUMIFS(Log[Cal],Log[Date],tbDailyTotals[[#This Row],[Date]])</f>
        <v>1614.5766666666668</v>
      </c>
      <c r="D20" s="82">
        <f>SUMIFS(Log[Sodium],Log[Date],tbDailyTotals[[#This Row],[Date]])</f>
        <v>3620.33</v>
      </c>
      <c r="E20" s="71">
        <f>SUMIFS(Log[Net Carbs],Log[Date],tbDailyTotals[[#This Row],[Date]])</f>
        <v>62.238900000000001</v>
      </c>
      <c r="F20" s="71">
        <f>SUMIFS(Log[Protein],Log[Date],tbDailyTotals[[#This Row],[Date]])</f>
        <v>102.86533333333333</v>
      </c>
      <c r="G20" s="83">
        <f>SUMIFS(Log[Chol],Log[Date],tbDailyTotals[[#This Row],[Date]])</f>
        <v>313.33333333333331</v>
      </c>
      <c r="H20" s="92">
        <v>6.2</v>
      </c>
      <c r="I20" s="70" t="str">
        <f>IF(COUNTIFS(Log[Date],tbDailyTotals[[#This Row],[Date]],Log[Item],"Morn meds",Log[Qty],1),"x","")</f>
        <v>x</v>
      </c>
      <c r="J20" s="70" t="str">
        <f>IF(COUNTIFS(Log[Date],tbDailyTotals[[#This Row],[Date]],Log[Item],"Morn insulin",Log[Qty],1),"x","")</f>
        <v>x</v>
      </c>
      <c r="K20" s="70" t="str">
        <f>IF(COUNTIFS(Log[Date],tbDailyTotals[[#This Row],[Date]],Log[Item],"Eve insulin",Log[Qty],1),"x","")</f>
        <v>x</v>
      </c>
      <c r="L20" s="70" t="str">
        <f>IF(COUNTIFS(Log[Date],tbDailyTotals[[#This Row],[Date]],Log[Item],"Eve meds",Log[Qty],1),"x","")</f>
        <v>x</v>
      </c>
      <c r="M20" s="150">
        <v>228</v>
      </c>
      <c r="N20" s="72"/>
      <c r="O20" s="108"/>
      <c r="P20" s="109"/>
    </row>
    <row r="21" spans="2:17" s="75" customFormat="1" ht="25.15" customHeight="1">
      <c r="B21" s="91">
        <v>44819</v>
      </c>
      <c r="C21" s="82">
        <f>SUMIFS(Log[Cal],Log[Date],tbDailyTotals[[#This Row],[Date]])</f>
        <v>1526.8</v>
      </c>
      <c r="D21" s="82">
        <f>SUMIFS(Log[Sodium],Log[Date],tbDailyTotals[[#This Row],[Date]])</f>
        <v>3551.5151999999998</v>
      </c>
      <c r="E21" s="71">
        <f>SUMIFS(Log[Net Carbs],Log[Date],tbDailyTotals[[#This Row],[Date]])</f>
        <v>48.7</v>
      </c>
      <c r="F21" s="71">
        <f>SUMIFS(Log[Protein],Log[Date],tbDailyTotals[[#This Row],[Date]])</f>
        <v>92.3</v>
      </c>
      <c r="G21" s="83">
        <f>SUMIFS(Log[Chol],Log[Date],tbDailyTotals[[#This Row],[Date]])</f>
        <v>873</v>
      </c>
      <c r="H21" s="92">
        <v>5.8</v>
      </c>
      <c r="I21" s="70" t="str">
        <f>IF(COUNTIFS(Log[Date],tbDailyTotals[[#This Row],[Date]],Log[Item],"Morn meds",Log[Qty],1),"x","")</f>
        <v>x</v>
      </c>
      <c r="J21" s="70" t="str">
        <f>IF(COUNTIFS(Log[Date],tbDailyTotals[[#This Row],[Date]],Log[Item],"Morn insulin",Log[Qty],1),"x","")</f>
        <v>x</v>
      </c>
      <c r="K21" s="70" t="str">
        <f>IF(COUNTIFS(Log[Date],tbDailyTotals[[#This Row],[Date]],Log[Item],"Eve insulin",Log[Qty],1),"x","")</f>
        <v>x</v>
      </c>
      <c r="L21" s="70" t="str">
        <f>IF(COUNTIFS(Log[Date],tbDailyTotals[[#This Row],[Date]],Log[Item],"Eve meds",Log[Qty],1),"x","")</f>
        <v>x</v>
      </c>
      <c r="M21" s="150">
        <v>228</v>
      </c>
      <c r="N21" s="72"/>
      <c r="O21" s="108"/>
      <c r="P21" s="109"/>
    </row>
    <row r="22" spans="2:17" s="75" customFormat="1" ht="25.15" customHeight="1">
      <c r="B22" s="93">
        <v>44820</v>
      </c>
      <c r="C22" s="82">
        <f>SUMIFS(Log[Cal],Log[Date],tbDailyTotals[[#This Row],[Date]])</f>
        <v>1187.5</v>
      </c>
      <c r="D22" s="82">
        <f>SUMIFS(Log[Sodium],Log[Date],tbDailyTotals[[#This Row],[Date]])</f>
        <v>1882.5</v>
      </c>
      <c r="E22" s="71">
        <f>SUMIFS(Log[Net Carbs],Log[Date],tbDailyTotals[[#This Row],[Date]])</f>
        <v>64.75</v>
      </c>
      <c r="F22" s="71">
        <f>SUMIFS(Log[Protein],Log[Date],tbDailyTotals[[#This Row],[Date]])</f>
        <v>69.75</v>
      </c>
      <c r="G22" s="83">
        <f>SUMIFS(Log[Chol],Log[Date],tbDailyTotals[[#This Row],[Date]])</f>
        <v>265</v>
      </c>
      <c r="H22" s="92">
        <v>5.5</v>
      </c>
      <c r="I22" s="70" t="str">
        <f>IF(COUNTIFS(Log[Date],tbDailyTotals[[#This Row],[Date]],Log[Item],"Morn meds",Log[Qty],1),"x","")</f>
        <v>x</v>
      </c>
      <c r="J22" s="70" t="str">
        <f>IF(COUNTIFS(Log[Date],tbDailyTotals[[#This Row],[Date]],Log[Item],"Morn insulin",Log[Qty],1),"x","")</f>
        <v>x</v>
      </c>
      <c r="K22" s="70" t="str">
        <f>IF(COUNTIFS(Log[Date],tbDailyTotals[[#This Row],[Date]],Log[Item],"Eve insulin",Log[Qty],1),"x","")</f>
        <v>x</v>
      </c>
      <c r="L22" s="70" t="str">
        <f>IF(COUNTIFS(Log[Date],tbDailyTotals[[#This Row],[Date]],Log[Item],"Eve meds",Log[Qty],1),"x","")</f>
        <v>x</v>
      </c>
      <c r="M22" s="150">
        <v>234</v>
      </c>
      <c r="N22" s="72"/>
      <c r="O22" s="108"/>
      <c r="P22" s="109"/>
    </row>
    <row r="23" spans="2:17" s="75" customFormat="1" ht="25.15" customHeight="1">
      <c r="B23" s="91">
        <v>44821</v>
      </c>
      <c r="C23" s="82">
        <f>SUMIFS(Log[Cal],Log[Date],tbDailyTotals[[#This Row],[Date]])</f>
        <v>2147.636023152877</v>
      </c>
      <c r="D23" s="82">
        <f>SUMIFS(Log[Sodium],Log[Date],tbDailyTotals[[#This Row],[Date]])</f>
        <v>1605.146950085121</v>
      </c>
      <c r="E23" s="71">
        <f>SUMIFS(Log[Net Carbs],Log[Date],tbDailyTotals[[#This Row],[Date]])</f>
        <v>78.503030303030314</v>
      </c>
      <c r="F23" s="71">
        <f>SUMIFS(Log[Protein],Log[Date],tbDailyTotals[[#This Row],[Date]])</f>
        <v>104.91653387810692</v>
      </c>
      <c r="G23" s="83">
        <f>SUMIFS(Log[Chol],Log[Date],tbDailyTotals[[#This Row],[Date]])</f>
        <v>415.82022471910113</v>
      </c>
      <c r="H23" s="92">
        <v>6.3</v>
      </c>
      <c r="I23" s="70" t="str">
        <f>IF(COUNTIFS(Log[Date],tbDailyTotals[[#This Row],[Date]],Log[Item],"Morn meds",Log[Qty],1),"x","")</f>
        <v>x</v>
      </c>
      <c r="J23" s="70" t="str">
        <f>IF(COUNTIFS(Log[Date],tbDailyTotals[[#This Row],[Date]],Log[Item],"Morn insulin",Log[Qty],1),"x","")</f>
        <v>x</v>
      </c>
      <c r="K23" s="70" t="str">
        <f>IF(COUNTIFS(Log[Date],tbDailyTotals[[#This Row],[Date]],Log[Item],"Eve insulin",Log[Qty],1),"x","")</f>
        <v>x</v>
      </c>
      <c r="L23" s="70" t="str">
        <f>IF(COUNTIFS(Log[Date],tbDailyTotals[[#This Row],[Date]],Log[Item],"Eve meds",Log[Qty],1),"x","")</f>
        <v>x</v>
      </c>
      <c r="M23" s="150">
        <v>229.2</v>
      </c>
      <c r="N23" s="72"/>
      <c r="O23" s="108"/>
      <c r="P23" s="109"/>
    </row>
    <row r="24" spans="2:17" s="75" customFormat="1" ht="25.15" customHeight="1">
      <c r="B24" s="91">
        <v>44822</v>
      </c>
      <c r="C24" s="82">
        <f>SUMIFS(Log[Cal],Log[Date],tbDailyTotals[[#This Row],[Date]])</f>
        <v>1660.3930180856817</v>
      </c>
      <c r="D24" s="82">
        <f>SUMIFS(Log[Sodium],Log[Date],tbDailyTotals[[#This Row],[Date]])</f>
        <v>2717.8684431893289</v>
      </c>
      <c r="E24" s="71">
        <f>SUMIFS(Log[Net Carbs],Log[Date],tbDailyTotals[[#This Row],[Date]])</f>
        <v>63.283422459893046</v>
      </c>
      <c r="F24" s="71">
        <f>SUMIFS(Log[Protein],Log[Date],tbDailyTotals[[#This Row],[Date]])</f>
        <v>123.11685994111639</v>
      </c>
      <c r="G24" s="83">
        <f>SUMIFS(Log[Chol],Log[Date],tbDailyTotals[[#This Row],[Date]])</f>
        <v>432.77825512227366</v>
      </c>
      <c r="H24" s="92">
        <v>7.2</v>
      </c>
      <c r="I24" s="70" t="str">
        <f>IF(COUNTIFS(Log[Date],tbDailyTotals[[#This Row],[Date]],Log[Item],"Morn meds",Log[Qty],1),"x","")</f>
        <v>x</v>
      </c>
      <c r="J24" s="70" t="str">
        <f>IF(COUNTIFS(Log[Date],tbDailyTotals[[#This Row],[Date]],Log[Item],"Morn insulin",Log[Qty],1),"x","")</f>
        <v>x</v>
      </c>
      <c r="K24" s="70" t="str">
        <f>IF(COUNTIFS(Log[Date],tbDailyTotals[[#This Row],[Date]],Log[Item],"Eve insulin",Log[Qty],1),"x","")</f>
        <v>x</v>
      </c>
      <c r="L24" s="70" t="str">
        <f>IF(COUNTIFS(Log[Date],tbDailyTotals[[#This Row],[Date]],Log[Item],"Eve meds",Log[Qty],1),"x","")</f>
        <v>x</v>
      </c>
      <c r="M24" s="150">
        <f>228.4-0.8</f>
        <v>227.6</v>
      </c>
      <c r="N24" s="72"/>
      <c r="O24" s="108"/>
      <c r="P24" s="109"/>
    </row>
    <row r="25" spans="2:17" s="75" customFormat="1" ht="25.15" customHeight="1">
      <c r="B25" s="91">
        <v>44823</v>
      </c>
      <c r="C25" s="82">
        <f>SUMIFS(Log[Cal],Log[Date],tbDailyTotals[[#This Row],[Date]])</f>
        <v>1507.2393939393937</v>
      </c>
      <c r="D25" s="82">
        <f>SUMIFS(Log[Sodium],Log[Date],tbDailyTotals[[#This Row],[Date]])</f>
        <v>1406.3954909090908</v>
      </c>
      <c r="E25" s="71">
        <f>SUMIFS(Log[Net Carbs],Log[Date],tbDailyTotals[[#This Row],[Date]])</f>
        <v>50.7530303030303</v>
      </c>
      <c r="F25" s="71">
        <f>SUMIFS(Log[Protein],Log[Date],tbDailyTotals[[#This Row],[Date]])</f>
        <v>57.618181818181824</v>
      </c>
      <c r="G25" s="83">
        <f>SUMIFS(Log[Chol],Log[Date],tbDailyTotals[[#This Row],[Date]])</f>
        <v>763</v>
      </c>
      <c r="H25" s="92">
        <v>7.9</v>
      </c>
      <c r="I25" s="70" t="str">
        <f>IF(COUNTIFS(Log[Date],tbDailyTotals[[#This Row],[Date]],Log[Item],"Morn meds",Log[Qty],1),"x","")</f>
        <v>x</v>
      </c>
      <c r="J25" s="70" t="str">
        <f>IF(COUNTIFS(Log[Date],tbDailyTotals[[#This Row],[Date]],Log[Item],"Morn insulin",Log[Qty],1),"x","")</f>
        <v>x</v>
      </c>
      <c r="K25" s="70" t="str">
        <f>IF(COUNTIFS(Log[Date],tbDailyTotals[[#This Row],[Date]],Log[Item],"Eve insulin",Log[Qty],1),"x","")</f>
        <v>x</v>
      </c>
      <c r="L25" s="70" t="str">
        <f>IF(COUNTIFS(Log[Date],tbDailyTotals[[#This Row],[Date]],Log[Item],"Eve meds",Log[Qty],1),"x","")</f>
        <v>x</v>
      </c>
      <c r="M25" s="150">
        <f>226.4-0.8</f>
        <v>225.6</v>
      </c>
      <c r="N25" s="68"/>
      <c r="O25" s="72"/>
      <c r="P25" s="109"/>
    </row>
    <row r="26" spans="2:17" s="75" customFormat="1" ht="25.15" customHeight="1">
      <c r="B26" s="91">
        <v>44824</v>
      </c>
      <c r="C26" s="82">
        <f>SUMIFS(Log[Cal],Log[Date],tbDailyTotals[[#This Row],[Date]])</f>
        <v>1230.6494382022472</v>
      </c>
      <c r="D26" s="82">
        <f>SUMIFS(Log[Sodium],Log[Date],tbDailyTotals[[#This Row],[Date]])</f>
        <v>1399.8474876404493</v>
      </c>
      <c r="E26" s="71">
        <f>SUMIFS(Log[Net Carbs],Log[Date],tbDailyTotals[[#This Row],[Date]])</f>
        <v>33.257499999999993</v>
      </c>
      <c r="F26" s="71">
        <f>SUMIFS(Log[Protein],Log[Date],tbDailyTotals[[#This Row],[Date]])</f>
        <v>97.595280898876396</v>
      </c>
      <c r="G26" s="83">
        <f>SUMIFS(Log[Chol],Log[Date],tbDailyTotals[[#This Row],[Date]])</f>
        <v>385.30337078651684</v>
      </c>
      <c r="H26" s="92">
        <v>6.9</v>
      </c>
      <c r="I26" s="70" t="str">
        <f>IF(COUNTIFS(Log[Date],tbDailyTotals[[#This Row],[Date]],Log[Item],"Morn meds",Log[Qty],1),"x","")</f>
        <v>x</v>
      </c>
      <c r="J26" s="70" t="str">
        <f>IF(COUNTIFS(Log[Date],tbDailyTotals[[#This Row],[Date]],Log[Item],"Morn insulin",Log[Qty],1),"x","")</f>
        <v>x</v>
      </c>
      <c r="K26" s="70" t="str">
        <f>IF(COUNTIFS(Log[Date],tbDailyTotals[[#This Row],[Date]],Log[Item],"Eve insulin",Log[Qty],1),"x","")</f>
        <v>x</v>
      </c>
      <c r="L26" s="70" t="str">
        <f>IF(COUNTIFS(Log[Date],tbDailyTotals[[#This Row],[Date]],Log[Item],"Eve meds",Log[Qty],1),"x","")</f>
        <v>x</v>
      </c>
      <c r="M26" s="150">
        <v>226.6</v>
      </c>
      <c r="N26" s="68"/>
      <c r="O26" s="72"/>
      <c r="P26" s="108"/>
      <c r="Q26" s="109"/>
    </row>
    <row r="27" spans="2:17" s="75" customFormat="1" ht="25.15" customHeight="1">
      <c r="B27" s="91">
        <v>44825</v>
      </c>
      <c r="C27" s="82">
        <f>SUMIFS(Log[Cal],Log[Date],tbDailyTotals[[#This Row],[Date]])</f>
        <v>1249.9289618609128</v>
      </c>
      <c r="D27" s="82">
        <f>SUMIFS(Log[Sodium],Log[Date],tbDailyTotals[[#This Row],[Date]])</f>
        <v>2171.3373093210557</v>
      </c>
      <c r="E27" s="71">
        <f>SUMIFS(Log[Net Carbs],Log[Date],tbDailyTotals[[#This Row],[Date]])</f>
        <v>32.793999999999997</v>
      </c>
      <c r="F27" s="71">
        <f>SUMIFS(Log[Protein],Log[Date],tbDailyTotals[[#This Row],[Date]])</f>
        <v>83.531138282740187</v>
      </c>
      <c r="G27" s="83">
        <f>SUMIFS(Log[Chol],Log[Date],tbDailyTotals[[#This Row],[Date]])</f>
        <v>330</v>
      </c>
      <c r="H27" s="92">
        <v>6</v>
      </c>
      <c r="I27" s="70" t="str">
        <f>IF(COUNTIFS(Log[Date],tbDailyTotals[[#This Row],[Date]],Log[Item],"Morn meds",Log[Qty],1),"x","")</f>
        <v>x</v>
      </c>
      <c r="J27" s="70" t="str">
        <f>IF(COUNTIFS(Log[Date],tbDailyTotals[[#This Row],[Date]],Log[Item],"Morn insulin",Log[Qty],1),"x","")</f>
        <v>x</v>
      </c>
      <c r="K27" s="70" t="str">
        <f>IF(COUNTIFS(Log[Date],tbDailyTotals[[#This Row],[Date]],Log[Item],"Eve insulin",Log[Qty],1),"x","")</f>
        <v>x</v>
      </c>
      <c r="L27" s="70" t="str">
        <f>IF(COUNTIFS(Log[Date],tbDailyTotals[[#This Row],[Date]],Log[Item],"Eve meds",Log[Qty],1),"x","")</f>
        <v>x</v>
      </c>
      <c r="M27" s="150">
        <v>226.6</v>
      </c>
      <c r="N27" s="68"/>
      <c r="O27" s="72"/>
      <c r="P27" s="108"/>
      <c r="Q27" s="109"/>
    </row>
    <row r="28" spans="2:17" s="75" customFormat="1" ht="25.15" customHeight="1">
      <c r="B28" s="91">
        <v>44826</v>
      </c>
      <c r="C28" s="82">
        <f>SUMIFS(Log[Cal],Log[Date],tbDailyTotals[[#This Row],[Date]])</f>
        <v>1125.7646634061998</v>
      </c>
      <c r="D28" s="82">
        <f>SUMIFS(Log[Sodium],Log[Date],tbDailyTotals[[#This Row],[Date]])</f>
        <v>2242.7668330264632</v>
      </c>
      <c r="E28" s="71">
        <f>SUMIFS(Log[Net Carbs],Log[Date],tbDailyTotals[[#This Row],[Date]])</f>
        <v>69.208506493506491</v>
      </c>
      <c r="F28" s="71">
        <f>SUMIFS(Log[Protein],Log[Date],tbDailyTotals[[#This Row],[Date]])</f>
        <v>103.66393301431549</v>
      </c>
      <c r="G28" s="83">
        <f>SUMIFS(Log[Chol],Log[Date],tbDailyTotals[[#This Row],[Date]])</f>
        <v>368.25</v>
      </c>
      <c r="H28" s="92">
        <v>5.4</v>
      </c>
      <c r="I28" s="70" t="str">
        <f>IF(COUNTIFS(Log[Date],tbDailyTotals[[#This Row],[Date]],Log[Item],"Morn meds",Log[Qty],1),"x","")</f>
        <v>x</v>
      </c>
      <c r="J28" s="70" t="str">
        <f>IF(COUNTIFS(Log[Date],tbDailyTotals[[#This Row],[Date]],Log[Item],"Morn insulin",Log[Qty],1),"x","")</f>
        <v>x</v>
      </c>
      <c r="K28" s="70" t="str">
        <f>IF(COUNTIFS(Log[Date],tbDailyTotals[[#This Row],[Date]],Log[Item],"Eve insulin",Log[Qty],1),"x","")</f>
        <v>x</v>
      </c>
      <c r="L28" s="70" t="str">
        <f>IF(COUNTIFS(Log[Date],tbDailyTotals[[#This Row],[Date]],Log[Item],"Eve meds",Log[Qty],1),"x","")</f>
        <v>x</v>
      </c>
      <c r="M28" s="150">
        <f>225.6-0.8</f>
        <v>224.79999999999998</v>
      </c>
    </row>
    <row r="29" spans="2:17" s="75" customFormat="1" ht="25.15" customHeight="1">
      <c r="B29" s="119">
        <v>44827</v>
      </c>
      <c r="C29" s="82">
        <f>SUMIFS(Log[Cal],Log[Date],tbDailyTotals[[#This Row],[Date]])</f>
        <v>1331.9327272727273</v>
      </c>
      <c r="D29" s="82">
        <f>SUMIFS(Log[Sodium],Log[Date],tbDailyTotals[[#This Row],[Date]])</f>
        <v>4128.0906909090909</v>
      </c>
      <c r="E29" s="71">
        <f>SUMIFS(Log[Net Carbs],Log[Date],tbDailyTotals[[#This Row],[Date]])</f>
        <v>57.576363636363638</v>
      </c>
      <c r="F29" s="71">
        <f>SUMIFS(Log[Protein],Log[Date],tbDailyTotals[[#This Row],[Date]])</f>
        <v>75.778181818181821</v>
      </c>
      <c r="G29" s="83">
        <f>SUMIFS(Log[Chol],Log[Date],tbDailyTotals[[#This Row],[Date]])</f>
        <v>941.75</v>
      </c>
      <c r="H29" s="92">
        <v>5.4</v>
      </c>
      <c r="I29" s="70" t="str">
        <f>IF(COUNTIFS(Log[Date],tbDailyTotals[[#This Row],[Date]],Log[Item],"Morn meds",Log[Qty],1),"x","")</f>
        <v>x</v>
      </c>
      <c r="J29" s="70" t="str">
        <f>IF(COUNTIFS(Log[Date],tbDailyTotals[[#This Row],[Date]],Log[Item],"Morn insulin",Log[Qty],1),"x","")</f>
        <v>x</v>
      </c>
      <c r="K29" s="70" t="str">
        <f>IF(COUNTIFS(Log[Date],tbDailyTotals[[#This Row],[Date]],Log[Item],"Eve insulin",Log[Qty],1),"x","")</f>
        <v>x</v>
      </c>
      <c r="L29" s="70" t="str">
        <f>IF(COUNTIFS(Log[Date],tbDailyTotals[[#This Row],[Date]],Log[Item],"Eve meds",Log[Qty],1),"x","")</f>
        <v>x</v>
      </c>
      <c r="M29" s="150">
        <f>225.4-0.8</f>
        <v>224.6</v>
      </c>
    </row>
    <row r="30" spans="2:17" s="75" customFormat="1" ht="25.15" customHeight="1">
      <c r="B30" s="119">
        <v>44828</v>
      </c>
      <c r="C30" s="82">
        <f>SUMIFS(Log[Cal],Log[Date],tbDailyTotals[[#This Row],[Date]])</f>
        <v>838</v>
      </c>
      <c r="D30" s="82">
        <f>SUMIFS(Log[Sodium],Log[Date],tbDailyTotals[[#This Row],[Date]])</f>
        <v>3300</v>
      </c>
      <c r="E30" s="71">
        <f>SUMIFS(Log[Net Carbs],Log[Date],tbDailyTotals[[#This Row],[Date]])</f>
        <v>67.5</v>
      </c>
      <c r="F30" s="71">
        <f>SUMIFS(Log[Protein],Log[Date],tbDailyTotals[[#This Row],[Date]])</f>
        <v>82.5</v>
      </c>
      <c r="G30" s="83">
        <f>SUMIFS(Log[Chol],Log[Date],tbDailyTotals[[#This Row],[Date]])</f>
        <v>300</v>
      </c>
      <c r="H30" s="92">
        <v>6.1</v>
      </c>
      <c r="I30" s="70" t="str">
        <f>IF(COUNTIFS(Log[Date],tbDailyTotals[[#This Row],[Date]],Log[Item],"Morn meds",Log[Qty],1),"x","")</f>
        <v>x</v>
      </c>
      <c r="J30" s="70" t="str">
        <f>IF(COUNTIFS(Log[Date],tbDailyTotals[[#This Row],[Date]],Log[Item],"Morn insulin",Log[Qty],1),"x","")</f>
        <v>x</v>
      </c>
      <c r="K30" s="70" t="str">
        <f>IF(COUNTIFS(Log[Date],tbDailyTotals[[#This Row],[Date]],Log[Item],"Eve insulin",Log[Qty],1),"x","")</f>
        <v>x</v>
      </c>
      <c r="L30" s="70" t="str">
        <f>IF(COUNTIFS(Log[Date],tbDailyTotals[[#This Row],[Date]],Log[Item],"Eve meds",Log[Qty],1),"x","")</f>
        <v>x</v>
      </c>
      <c r="M30" s="150">
        <v>225</v>
      </c>
    </row>
    <row r="31" spans="2:17" s="75" customFormat="1" ht="25.15" customHeight="1">
      <c r="B31" s="91">
        <v>44829</v>
      </c>
      <c r="C31" s="82">
        <f>SUMIFS(Log[Cal],Log[Date],tbDailyTotals[[#This Row],[Date]])</f>
        <v>1391.1083333333333</v>
      </c>
      <c r="D31" s="82">
        <f>SUMIFS(Log[Sodium],Log[Date],tbDailyTotals[[#This Row],[Date]])</f>
        <v>3311.731866666667</v>
      </c>
      <c r="E31" s="71">
        <f>SUMIFS(Log[Net Carbs],Log[Date],tbDailyTotals[[#This Row],[Date]])</f>
        <v>85.7</v>
      </c>
      <c r="F31" s="71">
        <f>SUMIFS(Log[Protein],Log[Date],tbDailyTotals[[#This Row],[Date]])</f>
        <v>67.543333333333337</v>
      </c>
      <c r="G31" s="83">
        <f>SUMIFS(Log[Chol],Log[Date],tbDailyTotals[[#This Row],[Date]])</f>
        <v>260.5</v>
      </c>
      <c r="H31" s="92">
        <v>5.5</v>
      </c>
      <c r="I31" s="70" t="str">
        <f>IF(COUNTIFS(Log[Date],tbDailyTotals[[#This Row],[Date]],Log[Item],"Morn meds",Log[Qty],1),"x","")</f>
        <v>x</v>
      </c>
      <c r="J31" s="70" t="str">
        <f>IF(COUNTIFS(Log[Date],tbDailyTotals[[#This Row],[Date]],Log[Item],"Morn insulin",Log[Qty],1),"x","")</f>
        <v>x</v>
      </c>
      <c r="K31" s="70" t="str">
        <f>IF(COUNTIFS(Log[Date],tbDailyTotals[[#This Row],[Date]],Log[Item],"Eve insulin",Log[Qty],1),"x","")</f>
        <v>x</v>
      </c>
      <c r="L31" s="70" t="str">
        <f>IF(COUNTIFS(Log[Date],tbDailyTotals[[#This Row],[Date]],Log[Item],"Eve meds",Log[Qty],1),"x","")</f>
        <v>x</v>
      </c>
      <c r="M31" s="150">
        <f>227.2-0.8</f>
        <v>226.39999999999998</v>
      </c>
    </row>
    <row r="32" spans="2:17" s="75" customFormat="1" ht="25.15" customHeight="1">
      <c r="B32" s="91">
        <v>44830</v>
      </c>
      <c r="C32" s="82">
        <f>SUMIFS(Log[Cal],Log[Date],tbDailyTotals[[#This Row],[Date]])</f>
        <v>966.43333333333339</v>
      </c>
      <c r="D32" s="82">
        <f>SUMIFS(Log[Sodium],Log[Date],tbDailyTotals[[#This Row],[Date]])</f>
        <v>3276.2992666666664</v>
      </c>
      <c r="E32" s="71">
        <f>SUMIFS(Log[Net Carbs],Log[Date],tbDailyTotals[[#This Row],[Date]])</f>
        <v>78.666666666666671</v>
      </c>
      <c r="F32" s="71">
        <f>SUMIFS(Log[Protein],Log[Date],tbDailyTotals[[#This Row],[Date]])</f>
        <v>97.551333333333318</v>
      </c>
      <c r="G32" s="83">
        <f>SUMIFS(Log[Chol],Log[Date],tbDailyTotals[[#This Row],[Date]])</f>
        <v>308.60000000000002</v>
      </c>
      <c r="H32" s="92">
        <v>6.5</v>
      </c>
      <c r="I32" s="70" t="str">
        <f>IF(COUNTIFS(Log[Date],tbDailyTotals[[#This Row],[Date]],Log[Item],"Morn meds",Log[Qty],1),"x","")</f>
        <v>x</v>
      </c>
      <c r="J32" s="70" t="str">
        <f>IF(COUNTIFS(Log[Date],tbDailyTotals[[#This Row],[Date]],Log[Item],"Morn insulin",Log[Qty],1),"x","")</f>
        <v/>
      </c>
      <c r="K32" s="70" t="str">
        <f>IF(COUNTIFS(Log[Date],tbDailyTotals[[#This Row],[Date]],Log[Item],"Eve insulin",Log[Qty],1),"x","")</f>
        <v>x</v>
      </c>
      <c r="L32" s="70" t="str">
        <f>IF(COUNTIFS(Log[Date],tbDailyTotals[[#This Row],[Date]],Log[Item],"Eve meds",Log[Qty],1),"x","")</f>
        <v>x</v>
      </c>
      <c r="M32" s="150">
        <f>227-0.8</f>
        <v>226.2</v>
      </c>
    </row>
    <row r="33" spans="2:13" s="75" customFormat="1" ht="25.15" customHeight="1">
      <c r="B33" s="91">
        <v>44831</v>
      </c>
      <c r="C33" s="82">
        <f>SUMIFS(Log[Cal],Log[Date],tbDailyTotals[[#This Row],[Date]])</f>
        <v>2042.6666666666667</v>
      </c>
      <c r="D33" s="82">
        <f>SUMIFS(Log[Sodium],Log[Date],tbDailyTotals[[#This Row],[Date]])</f>
        <v>1784.1697333333332</v>
      </c>
      <c r="E33" s="71">
        <f>SUMIFS(Log[Net Carbs],Log[Date],tbDailyTotals[[#This Row],[Date]])</f>
        <v>72.368333333333325</v>
      </c>
      <c r="F33" s="71">
        <f>SUMIFS(Log[Protein],Log[Date],tbDailyTotals[[#This Row],[Date]])</f>
        <v>95.191666666666677</v>
      </c>
      <c r="G33" s="83">
        <f>SUMIFS(Log[Chol],Log[Date],tbDailyTotals[[#This Row],[Date]])</f>
        <v>300</v>
      </c>
      <c r="H33" s="92">
        <v>6.5</v>
      </c>
      <c r="I33" s="70" t="str">
        <f>IF(COUNTIFS(Log[Date],tbDailyTotals[[#This Row],[Date]],Log[Item],"Morn meds",Log[Qty],1),"x","")</f>
        <v>x</v>
      </c>
      <c r="J33" s="70" t="str">
        <f>IF(COUNTIFS(Log[Date],tbDailyTotals[[#This Row],[Date]],Log[Item],"Morn insulin",Log[Qty],1),"x","")</f>
        <v>x</v>
      </c>
      <c r="K33" s="70" t="str">
        <f>IF(COUNTIFS(Log[Date],tbDailyTotals[[#This Row],[Date]],Log[Item],"Eve insulin",Log[Qty],1),"x","")</f>
        <v>x</v>
      </c>
      <c r="L33" s="70" t="str">
        <f>IF(COUNTIFS(Log[Date],tbDailyTotals[[#This Row],[Date]],Log[Item],"Eve meds",Log[Qty],1),"x","")</f>
        <v>x</v>
      </c>
      <c r="M33" s="150">
        <v>223.2</v>
      </c>
    </row>
    <row r="34" spans="2:13" s="75" customFormat="1" ht="25.15" customHeight="1">
      <c r="B34" s="91">
        <v>44832</v>
      </c>
      <c r="C34" s="82">
        <f>SUMIFS(Log[Cal],Log[Date],tbDailyTotals[[#This Row],[Date]])</f>
        <v>869.74</v>
      </c>
      <c r="D34" s="82">
        <f>SUMIFS(Log[Sodium],Log[Date],tbDailyTotals[[#This Row],[Date]])</f>
        <v>1727.0064</v>
      </c>
      <c r="E34" s="71">
        <f>SUMIFS(Log[Net Carbs],Log[Date],tbDailyTotals[[#This Row],[Date]])</f>
        <v>10.6364</v>
      </c>
      <c r="F34" s="71">
        <f>SUMIFS(Log[Protein],Log[Date],tbDailyTotals[[#This Row],[Date]])</f>
        <v>76.147400000000005</v>
      </c>
      <c r="G34" s="83">
        <f>SUMIFS(Log[Chol],Log[Date],tbDailyTotals[[#This Row],[Date]])</f>
        <v>917.08</v>
      </c>
      <c r="H34" s="92">
        <v>6.1</v>
      </c>
      <c r="I34" s="70" t="str">
        <f>IF(COUNTIFS(Log[Date],tbDailyTotals[[#This Row],[Date]],Log[Item],"Morn meds",Log[Qty],1),"x","")</f>
        <v>x</v>
      </c>
      <c r="J34" s="70" t="str">
        <f>IF(COUNTIFS(Log[Date],tbDailyTotals[[#This Row],[Date]],Log[Item],"Morn insulin",Log[Qty],1),"x","")</f>
        <v>x</v>
      </c>
      <c r="K34" s="70" t="str">
        <f>IF(COUNTIFS(Log[Date],tbDailyTotals[[#This Row],[Date]],Log[Item],"Eve insulin",Log[Qty],1),"x","")</f>
        <v>x</v>
      </c>
      <c r="L34" s="70" t="str">
        <f>IF(COUNTIFS(Log[Date],tbDailyTotals[[#This Row],[Date]],Log[Item],"Eve meds",Log[Qty],1),"x","")</f>
        <v>x</v>
      </c>
      <c r="M34" s="150">
        <v>223</v>
      </c>
    </row>
    <row r="35" spans="2:13" s="75" customFormat="1" ht="25.15" customHeight="1">
      <c r="B35" s="91">
        <v>44833</v>
      </c>
      <c r="C35" s="82">
        <f>SUMIFS(Log[Cal],Log[Date],tbDailyTotals[[#This Row],[Date]])</f>
        <v>1079</v>
      </c>
      <c r="D35" s="82">
        <f>SUMIFS(Log[Sodium],Log[Date],tbDailyTotals[[#This Row],[Date]])</f>
        <v>2777.3152</v>
      </c>
      <c r="E35" s="71">
        <f>SUMIFS(Log[Net Carbs],Log[Date],tbDailyTotals[[#This Row],[Date]])</f>
        <v>46.321999999999996</v>
      </c>
      <c r="F35" s="71">
        <f>SUMIFS(Log[Protein],Log[Date],tbDailyTotals[[#This Row],[Date]])</f>
        <v>70.268000000000001</v>
      </c>
      <c r="G35" s="83">
        <f>SUMIFS(Log[Chol],Log[Date],tbDailyTotals[[#This Row],[Date]])</f>
        <v>846.1</v>
      </c>
      <c r="H35" s="92">
        <v>5.3</v>
      </c>
      <c r="I35" s="70" t="str">
        <f>IF(COUNTIFS(Log[Date],tbDailyTotals[[#This Row],[Date]],Log[Item],"Morn meds",Log[Qty],1),"x","")</f>
        <v>x</v>
      </c>
      <c r="J35" s="70" t="str">
        <f>IF(COUNTIFS(Log[Date],tbDailyTotals[[#This Row],[Date]],Log[Item],"Morn insulin",Log[Qty],1),"x","")</f>
        <v>x</v>
      </c>
      <c r="K35" s="70" t="str">
        <f>IF(COUNTIFS(Log[Date],tbDailyTotals[[#This Row],[Date]],Log[Item],"Eve insulin",Log[Qty],1),"x","")</f>
        <v>x</v>
      </c>
      <c r="L35" s="70" t="str">
        <f>IF(COUNTIFS(Log[Date],tbDailyTotals[[#This Row],[Date]],Log[Item],"Eve meds",Log[Qty],1),"x","")</f>
        <v>x</v>
      </c>
      <c r="M35" s="150">
        <f>223.4-0.8</f>
        <v>222.6</v>
      </c>
    </row>
    <row r="36" spans="2:13" s="75" customFormat="1" ht="25.15" customHeight="1">
      <c r="B36" s="91">
        <v>44834</v>
      </c>
      <c r="C36" s="82">
        <f>SUMIFS(Log[Cal],Log[Date],tbDailyTotals[[#This Row],[Date]])</f>
        <v>752.16666666666663</v>
      </c>
      <c r="D36" s="82">
        <f>SUMIFS(Log[Sodium],Log[Date],tbDailyTotals[[#This Row],[Date]])</f>
        <v>2674.6049333333335</v>
      </c>
      <c r="E36" s="71">
        <f>SUMIFS(Log[Net Carbs],Log[Date],tbDailyTotals[[#This Row],[Date]])</f>
        <v>41.668333333333337</v>
      </c>
      <c r="F36" s="71">
        <f>SUMIFS(Log[Protein],Log[Date],tbDailyTotals[[#This Row],[Date]])</f>
        <v>103.97886666666666</v>
      </c>
      <c r="G36" s="83">
        <f>SUMIFS(Log[Chol],Log[Date],tbDailyTotals[[#This Row],[Date]])</f>
        <v>990.48</v>
      </c>
      <c r="H36" s="92">
        <v>5.8</v>
      </c>
      <c r="I36" s="70" t="str">
        <f>IF(COUNTIFS(Log[Date],tbDailyTotals[[#This Row],[Date]],Log[Item],"Morn meds",Log[Qty],1),"x","")</f>
        <v>x</v>
      </c>
      <c r="J36" s="70" t="str">
        <f>IF(COUNTIFS(Log[Date],tbDailyTotals[[#This Row],[Date]],Log[Item],"Morn insulin",Log[Qty],1),"x","")</f>
        <v>x</v>
      </c>
      <c r="K36" s="70" t="str">
        <f>IF(COUNTIFS(Log[Date],tbDailyTotals[[#This Row],[Date]],Log[Item],"Eve insulin",Log[Qty],1),"x","")</f>
        <v>x</v>
      </c>
      <c r="L36" s="70" t="str">
        <f>IF(COUNTIFS(Log[Date],tbDailyTotals[[#This Row],[Date]],Log[Item],"Eve meds",Log[Qty],1),"x","")</f>
        <v>x</v>
      </c>
      <c r="M36" s="150">
        <f>221.2-0.8</f>
        <v>220.39999999999998</v>
      </c>
    </row>
    <row r="37" spans="2:13" s="75" customFormat="1" ht="25.15" customHeight="1">
      <c r="B37" s="91">
        <v>44835</v>
      </c>
      <c r="C37" s="82">
        <f>SUMIFS(Log[Cal],Log[Date],tbDailyTotals[[#This Row],[Date]])</f>
        <v>150.60000000000002</v>
      </c>
      <c r="D37" s="82">
        <f>SUMIFS(Log[Sodium],Log[Date],tbDailyTotals[[#This Row],[Date]])</f>
        <v>569.4</v>
      </c>
      <c r="E37" s="71">
        <f>SUMIFS(Log[Net Carbs],Log[Date],tbDailyTotals[[#This Row],[Date]])</f>
        <v>8.76</v>
      </c>
      <c r="F37" s="71">
        <f>SUMIFS(Log[Protein],Log[Date],tbDailyTotals[[#This Row],[Date]])</f>
        <v>35.4</v>
      </c>
      <c r="G37" s="83">
        <f>SUMIFS(Log[Chol],Log[Date],tbDailyTotals[[#This Row],[Date]])</f>
        <v>49.4</v>
      </c>
      <c r="H37" s="92">
        <v>5.9</v>
      </c>
      <c r="I37" s="70" t="str">
        <f>IF(COUNTIFS(Log[Date],tbDailyTotals[[#This Row],[Date]],Log[Item],"Morn meds",Log[Qty],1),"x","")</f>
        <v>x</v>
      </c>
      <c r="J37" s="70" t="str">
        <f>IF(COUNTIFS(Log[Date],tbDailyTotals[[#This Row],[Date]],Log[Item],"Morn insulin",Log[Qty],1),"x","")</f>
        <v>x</v>
      </c>
      <c r="K37" s="70" t="str">
        <f>IF(COUNTIFS(Log[Date],tbDailyTotals[[#This Row],[Date]],Log[Item],"Eve insulin",Log[Qty],1),"x","")</f>
        <v/>
      </c>
      <c r="L37" s="70" t="str">
        <f>IF(COUNTIFS(Log[Date],tbDailyTotals[[#This Row],[Date]],Log[Item],"Eve meds",Log[Qty],1),"x","")</f>
        <v/>
      </c>
      <c r="M37" s="150"/>
    </row>
    <row r="38" spans="2:13" s="75" customFormat="1" ht="25.15" customHeight="1">
      <c r="B38" s="91"/>
      <c r="C38" s="82">
        <f>SUMIFS(Log[Cal],Log[Date],tbDailyTotals[[#This Row],[Date]])</f>
        <v>0</v>
      </c>
      <c r="D38" s="82">
        <f>SUMIFS(Log[Sodium],Log[Date],tbDailyTotals[[#This Row],[Date]])</f>
        <v>0</v>
      </c>
      <c r="E38" s="71">
        <f>SUMIFS(Log[Net Carbs],Log[Date],tbDailyTotals[[#This Row],[Date]])</f>
        <v>0</v>
      </c>
      <c r="F38" s="71">
        <f>SUMIFS(Log[Protein],Log[Date],tbDailyTotals[[#This Row],[Date]])</f>
        <v>0</v>
      </c>
      <c r="G38" s="83">
        <f>SUMIFS(Log[Chol],Log[Date],tbDailyTotals[[#This Row],[Date]])</f>
        <v>0</v>
      </c>
      <c r="H38" s="92"/>
      <c r="I38" s="70" t="str">
        <f>IF(COUNTIFS(Log[Date],tbDailyTotals[[#This Row],[Date]],Log[Item],"Morn meds",Log[Qty],1),"x","")</f>
        <v/>
      </c>
      <c r="J38" s="70" t="str">
        <f>IF(COUNTIFS(Log[Date],tbDailyTotals[[#This Row],[Date]],Log[Item],"Morn insulin",Log[Qty],1),"x","")</f>
        <v/>
      </c>
      <c r="K38" s="70" t="str">
        <f>IF(COUNTIFS(Log[Date],tbDailyTotals[[#This Row],[Date]],Log[Item],"Eve insulin",Log[Qty],1),"x","")</f>
        <v/>
      </c>
      <c r="L38" s="70" t="str">
        <f>IF(COUNTIFS(Log[Date],tbDailyTotals[[#This Row],[Date]],Log[Item],"Eve meds",Log[Qty],1),"x","")</f>
        <v/>
      </c>
      <c r="M38" s="150"/>
    </row>
    <row r="39" spans="2:13" s="75" customFormat="1" ht="25.15" customHeight="1">
      <c r="B39" s="91"/>
      <c r="C39" s="82">
        <f>SUMIFS(Log[Cal],Log[Date],tbDailyTotals[[#This Row],[Date]])</f>
        <v>0</v>
      </c>
      <c r="D39" s="82">
        <f>SUMIFS(Log[Sodium],Log[Date],tbDailyTotals[[#This Row],[Date]])</f>
        <v>0</v>
      </c>
      <c r="E39" s="71">
        <f>SUMIFS(Log[Net Carbs],Log[Date],tbDailyTotals[[#This Row],[Date]])</f>
        <v>0</v>
      </c>
      <c r="F39" s="71">
        <f>SUMIFS(Log[Protein],Log[Date],tbDailyTotals[[#This Row],[Date]])</f>
        <v>0</v>
      </c>
      <c r="G39" s="83">
        <f>SUMIFS(Log[Chol],Log[Date],tbDailyTotals[[#This Row],[Date]])</f>
        <v>0</v>
      </c>
      <c r="H39" s="92"/>
      <c r="I39" s="70" t="str">
        <f>IF(COUNTIFS(Log[Date],tbDailyTotals[[#This Row],[Date]],Log[Item],"Morn meds",Log[Qty],1),"x","")</f>
        <v/>
      </c>
      <c r="J39" s="70" t="str">
        <f>IF(COUNTIFS(Log[Date],tbDailyTotals[[#This Row],[Date]],Log[Item],"Morn insulin",Log[Qty],1),"x","")</f>
        <v/>
      </c>
      <c r="K39" s="70" t="str">
        <f>IF(COUNTIFS(Log[Date],tbDailyTotals[[#This Row],[Date]],Log[Item],"Eve insulin",Log[Qty],1),"x","")</f>
        <v/>
      </c>
      <c r="L39" s="70" t="str">
        <f>IF(COUNTIFS(Log[Date],tbDailyTotals[[#This Row],[Date]],Log[Item],"Eve meds",Log[Qty],1),"x","")</f>
        <v/>
      </c>
      <c r="M39" s="150"/>
    </row>
    <row r="40" spans="2:13" s="75" customFormat="1" ht="25.15" customHeight="1">
      <c r="B40" s="91"/>
      <c r="C40" s="82">
        <f>SUMIFS(Log[Cal],Log[Date],tbDailyTotals[[#This Row],[Date]])</f>
        <v>0</v>
      </c>
      <c r="D40" s="82">
        <f>SUMIFS(Log[Sodium],Log[Date],tbDailyTotals[[#This Row],[Date]])</f>
        <v>0</v>
      </c>
      <c r="E40" s="71">
        <f>SUMIFS(Log[Net Carbs],Log[Date],tbDailyTotals[[#This Row],[Date]])</f>
        <v>0</v>
      </c>
      <c r="F40" s="71">
        <f>SUMIFS(Log[Protein],Log[Date],tbDailyTotals[[#This Row],[Date]])</f>
        <v>0</v>
      </c>
      <c r="G40" s="83">
        <f>SUMIFS(Log[Chol],Log[Date],tbDailyTotals[[#This Row],[Date]])</f>
        <v>0</v>
      </c>
      <c r="H40" s="92"/>
      <c r="I40" s="70" t="str">
        <f>IF(COUNTIFS(Log[Date],tbDailyTotals[[#This Row],[Date]],Log[Item],"Morn meds",Log[Qty],1),"x","")</f>
        <v/>
      </c>
      <c r="J40" s="70" t="str">
        <f>IF(COUNTIFS(Log[Date],tbDailyTotals[[#This Row],[Date]],Log[Item],"Morn insulin",Log[Qty],1),"x","")</f>
        <v/>
      </c>
      <c r="K40" s="70" t="str">
        <f>IF(COUNTIFS(Log[Date],tbDailyTotals[[#This Row],[Date]],Log[Item],"Eve insulin",Log[Qty],1),"x","")</f>
        <v/>
      </c>
      <c r="L40" s="70" t="str">
        <f>IF(COUNTIFS(Log[Date],tbDailyTotals[[#This Row],[Date]],Log[Item],"Eve meds",Log[Qty],1),"x","")</f>
        <v/>
      </c>
      <c r="M40" s="150"/>
    </row>
    <row r="41" spans="2:13" s="75" customFormat="1" ht="25.15" customHeight="1">
      <c r="B41" s="91"/>
      <c r="C41" s="82">
        <f>SUMIFS(Log[Cal],Log[Date],tbDailyTotals[[#This Row],[Date]])</f>
        <v>0</v>
      </c>
      <c r="D41" s="82">
        <f>SUMIFS(Log[Sodium],Log[Date],tbDailyTotals[[#This Row],[Date]])</f>
        <v>0</v>
      </c>
      <c r="E41" s="71">
        <f>SUMIFS(Log[Net Carbs],Log[Date],tbDailyTotals[[#This Row],[Date]])</f>
        <v>0</v>
      </c>
      <c r="F41" s="71">
        <f>SUMIFS(Log[Protein],Log[Date],tbDailyTotals[[#This Row],[Date]])</f>
        <v>0</v>
      </c>
      <c r="G41" s="83">
        <f>SUMIFS(Log[Chol],Log[Date],tbDailyTotals[[#This Row],[Date]])</f>
        <v>0</v>
      </c>
      <c r="H41" s="92"/>
      <c r="I41" s="70" t="str">
        <f>IF(COUNTIFS(Log[Date],tbDailyTotals[[#This Row],[Date]],Log[Item],"Morn meds",Log[Qty],1),"x","")</f>
        <v/>
      </c>
      <c r="J41" s="70" t="str">
        <f>IF(COUNTIFS(Log[Date],tbDailyTotals[[#This Row],[Date]],Log[Item],"Morn insulin",Log[Qty],1),"x","")</f>
        <v/>
      </c>
      <c r="K41" s="70" t="str">
        <f>IF(COUNTIFS(Log[Date],tbDailyTotals[[#This Row],[Date]],Log[Item],"Eve insulin",Log[Qty],1),"x","")</f>
        <v/>
      </c>
      <c r="L41" s="70" t="str">
        <f>IF(COUNTIFS(Log[Date],tbDailyTotals[[#This Row],[Date]],Log[Item],"Eve meds",Log[Qty],1),"x","")</f>
        <v/>
      </c>
      <c r="M41" s="150"/>
    </row>
    <row r="42" spans="2:13" s="75" customFormat="1" ht="25.15" customHeight="1">
      <c r="B42" s="91"/>
      <c r="C42" s="82">
        <f>SUMIFS(Log[Cal],Log[Date],tbDailyTotals[[#This Row],[Date]])</f>
        <v>0</v>
      </c>
      <c r="D42" s="82">
        <f>SUMIFS(Log[Sodium],Log[Date],tbDailyTotals[[#This Row],[Date]])</f>
        <v>0</v>
      </c>
      <c r="E42" s="71">
        <f>SUMIFS(Log[Net Carbs],Log[Date],tbDailyTotals[[#This Row],[Date]])</f>
        <v>0</v>
      </c>
      <c r="F42" s="71">
        <f>SUMIFS(Log[Protein],Log[Date],tbDailyTotals[[#This Row],[Date]])</f>
        <v>0</v>
      </c>
      <c r="G42" s="83">
        <f>SUMIFS(Log[Chol],Log[Date],tbDailyTotals[[#This Row],[Date]])</f>
        <v>0</v>
      </c>
      <c r="H42" s="92"/>
      <c r="I42" s="70" t="str">
        <f>IF(COUNTIFS(Log[Date],tbDailyTotals[[#This Row],[Date]],Log[Item],"Morn meds",Log[Qty],1),"x","")</f>
        <v/>
      </c>
      <c r="J42" s="70" t="str">
        <f>IF(COUNTIFS(Log[Date],tbDailyTotals[[#This Row],[Date]],Log[Item],"Morn insulin",Log[Qty],1),"x","")</f>
        <v/>
      </c>
      <c r="K42" s="70" t="str">
        <f>IF(COUNTIFS(Log[Date],tbDailyTotals[[#This Row],[Date]],Log[Item],"Eve insulin",Log[Qty],1),"x","")</f>
        <v/>
      </c>
      <c r="L42" s="70" t="str">
        <f>IF(COUNTIFS(Log[Date],tbDailyTotals[[#This Row],[Date]],Log[Item],"Eve meds",Log[Qty],1),"x","")</f>
        <v/>
      </c>
      <c r="M42" s="150"/>
    </row>
    <row r="43" spans="2:13" s="75" customFormat="1" ht="25.15" customHeight="1">
      <c r="B43" s="91"/>
      <c r="C43" s="82">
        <f>SUMIFS(Log[Cal],Log[Date],tbDailyTotals[[#This Row],[Date]])</f>
        <v>0</v>
      </c>
      <c r="D43" s="82">
        <f>SUMIFS(Log[Sodium],Log[Date],tbDailyTotals[[#This Row],[Date]])</f>
        <v>0</v>
      </c>
      <c r="E43" s="71">
        <f>SUMIFS(Log[Net Carbs],Log[Date],tbDailyTotals[[#This Row],[Date]])</f>
        <v>0</v>
      </c>
      <c r="F43" s="71">
        <f>SUMIFS(Log[Protein],Log[Date],tbDailyTotals[[#This Row],[Date]])</f>
        <v>0</v>
      </c>
      <c r="G43" s="83">
        <f>SUMIFS(Log[Chol],Log[Date],tbDailyTotals[[#This Row],[Date]])</f>
        <v>0</v>
      </c>
      <c r="H43" s="92"/>
      <c r="I43" s="70" t="str">
        <f>IF(COUNTIFS(Log[Date],tbDailyTotals[[#This Row],[Date]],Log[Item],"Morn meds",Log[Qty],1),"x","")</f>
        <v/>
      </c>
      <c r="J43" s="70" t="str">
        <f>IF(COUNTIFS(Log[Date],tbDailyTotals[[#This Row],[Date]],Log[Item],"Morn insulin",Log[Qty],1),"x","")</f>
        <v/>
      </c>
      <c r="K43" s="70" t="str">
        <f>IF(COUNTIFS(Log[Date],tbDailyTotals[[#This Row],[Date]],Log[Item],"Eve insulin",Log[Qty],1),"x","")</f>
        <v/>
      </c>
      <c r="L43" s="70" t="str">
        <f>IF(COUNTIFS(Log[Date],tbDailyTotals[[#This Row],[Date]],Log[Item],"Eve meds",Log[Qty],1),"x","")</f>
        <v/>
      </c>
      <c r="M43" s="150"/>
    </row>
    <row r="44" spans="2:13" s="75" customFormat="1" ht="25.15" customHeight="1">
      <c r="B44" s="91"/>
      <c r="C44" s="82">
        <f>SUMIFS(Log[Cal],Log[Date],tbDailyTotals[[#This Row],[Date]])</f>
        <v>0</v>
      </c>
      <c r="D44" s="82">
        <f>SUMIFS(Log[Sodium],Log[Date],tbDailyTotals[[#This Row],[Date]])</f>
        <v>0</v>
      </c>
      <c r="E44" s="71">
        <f>SUMIFS(Log[Net Carbs],Log[Date],tbDailyTotals[[#This Row],[Date]])</f>
        <v>0</v>
      </c>
      <c r="F44" s="71">
        <f>SUMIFS(Log[Protein],Log[Date],tbDailyTotals[[#This Row],[Date]])</f>
        <v>0</v>
      </c>
      <c r="G44" s="83">
        <f>SUMIFS(Log[Chol],Log[Date],tbDailyTotals[[#This Row],[Date]])</f>
        <v>0</v>
      </c>
      <c r="H44" s="92"/>
      <c r="I44" s="70" t="str">
        <f>IF(COUNTIFS(Log[Date],tbDailyTotals[[#This Row],[Date]],Log[Item],"Morn meds",Log[Qty],1),"x","")</f>
        <v/>
      </c>
      <c r="J44" s="70" t="str">
        <f>IF(COUNTIFS(Log[Date],tbDailyTotals[[#This Row],[Date]],Log[Item],"Morn insulin",Log[Qty],1),"x","")</f>
        <v/>
      </c>
      <c r="K44" s="70" t="str">
        <f>IF(COUNTIFS(Log[Date],tbDailyTotals[[#This Row],[Date]],Log[Item],"Eve insulin",Log[Qty],1),"x","")</f>
        <v/>
      </c>
      <c r="L44" s="70" t="str">
        <f>IF(COUNTIFS(Log[Date],tbDailyTotals[[#This Row],[Date]],Log[Item],"Eve meds",Log[Qty],1),"x","")</f>
        <v/>
      </c>
      <c r="M44" s="150"/>
    </row>
    <row r="45" spans="2:13" s="75" customFormat="1" ht="25.15" customHeight="1">
      <c r="B45" s="91"/>
      <c r="C45" s="82">
        <f>SUMIFS(Log[Cal],Log[Date],tbDailyTotals[[#This Row],[Date]])</f>
        <v>0</v>
      </c>
      <c r="D45" s="82">
        <f>SUMIFS(Log[Sodium],Log[Date],tbDailyTotals[[#This Row],[Date]])</f>
        <v>0</v>
      </c>
      <c r="E45" s="71">
        <f>SUMIFS(Log[Net Carbs],Log[Date],tbDailyTotals[[#This Row],[Date]])</f>
        <v>0</v>
      </c>
      <c r="F45" s="71">
        <f>SUMIFS(Log[Protein],Log[Date],tbDailyTotals[[#This Row],[Date]])</f>
        <v>0</v>
      </c>
      <c r="G45" s="83">
        <f>SUMIFS(Log[Chol],Log[Date],tbDailyTotals[[#This Row],[Date]])</f>
        <v>0</v>
      </c>
      <c r="H45" s="92"/>
      <c r="I45" s="70" t="str">
        <f>IF(COUNTIFS(Log[Date],tbDailyTotals[[#This Row],[Date]],Log[Item],"Morn meds",Log[Qty],1),"x","")</f>
        <v/>
      </c>
      <c r="J45" s="70" t="str">
        <f>IF(COUNTIFS(Log[Date],tbDailyTotals[[#This Row],[Date]],Log[Item],"Morn insulin",Log[Qty],1),"x","")</f>
        <v/>
      </c>
      <c r="K45" s="70" t="str">
        <f>IF(COUNTIFS(Log[Date],tbDailyTotals[[#This Row],[Date]],Log[Item],"Eve insulin",Log[Qty],1),"x","")</f>
        <v/>
      </c>
      <c r="L45" s="70" t="str">
        <f>IF(COUNTIFS(Log[Date],tbDailyTotals[[#This Row],[Date]],Log[Item],"Eve meds",Log[Qty],1),"x","")</f>
        <v/>
      </c>
      <c r="M45" s="150"/>
    </row>
    <row r="46" spans="2:13" s="75" customFormat="1" ht="25.15" customHeight="1">
      <c r="B46" s="91"/>
      <c r="C46" s="82">
        <f>SUMIFS(Log[Cal],Log[Date],tbDailyTotals[[#This Row],[Date]])</f>
        <v>0</v>
      </c>
      <c r="D46" s="82">
        <f>SUMIFS(Log[Sodium],Log[Date],tbDailyTotals[[#This Row],[Date]])</f>
        <v>0</v>
      </c>
      <c r="E46" s="71">
        <f>SUMIFS(Log[Net Carbs],Log[Date],tbDailyTotals[[#This Row],[Date]])</f>
        <v>0</v>
      </c>
      <c r="F46" s="71">
        <f>SUMIFS(Log[Protein],Log[Date],tbDailyTotals[[#This Row],[Date]])</f>
        <v>0</v>
      </c>
      <c r="G46" s="83">
        <f>SUMIFS(Log[Chol],Log[Date],tbDailyTotals[[#This Row],[Date]])</f>
        <v>0</v>
      </c>
      <c r="H46" s="92"/>
      <c r="I46" s="70" t="str">
        <f>IF(COUNTIFS(Log[Date],tbDailyTotals[[#This Row],[Date]],Log[Item],"Morn meds",Log[Qty],1),"x","")</f>
        <v/>
      </c>
      <c r="J46" s="70" t="str">
        <f>IF(COUNTIFS(Log[Date],tbDailyTotals[[#This Row],[Date]],Log[Item],"Morn insulin",Log[Qty],1),"x","")</f>
        <v/>
      </c>
      <c r="K46" s="70" t="str">
        <f>IF(COUNTIFS(Log[Date],tbDailyTotals[[#This Row],[Date]],Log[Item],"Eve insulin",Log[Qty],1),"x","")</f>
        <v/>
      </c>
      <c r="L46" s="70" t="str">
        <f>IF(COUNTIFS(Log[Date],tbDailyTotals[[#This Row],[Date]],Log[Item],"Eve meds",Log[Qty],1),"x","")</f>
        <v/>
      </c>
      <c r="M46" s="150"/>
    </row>
    <row r="47" spans="2:13" s="75" customFormat="1" ht="25.15" customHeight="1">
      <c r="B47" s="91"/>
      <c r="C47" s="82">
        <f>SUMIFS(Log[Cal],Log[Date],tbDailyTotals[[#This Row],[Date]])</f>
        <v>0</v>
      </c>
      <c r="D47" s="82">
        <f>SUMIFS(Log[Sodium],Log[Date],tbDailyTotals[[#This Row],[Date]])</f>
        <v>0</v>
      </c>
      <c r="E47" s="71">
        <f>SUMIFS(Log[Net Carbs],Log[Date],tbDailyTotals[[#This Row],[Date]])</f>
        <v>0</v>
      </c>
      <c r="F47" s="71">
        <f>SUMIFS(Log[Protein],Log[Date],tbDailyTotals[[#This Row],[Date]])</f>
        <v>0</v>
      </c>
      <c r="G47" s="83">
        <f>SUMIFS(Log[Chol],Log[Date],tbDailyTotals[[#This Row],[Date]])</f>
        <v>0</v>
      </c>
      <c r="H47" s="92"/>
      <c r="I47" s="70" t="str">
        <f>IF(COUNTIFS(Log[Date],tbDailyTotals[[#This Row],[Date]],Log[Item],"Morn meds",Log[Qty],1),"x","")</f>
        <v/>
      </c>
      <c r="J47" s="70" t="str">
        <f>IF(COUNTIFS(Log[Date],tbDailyTotals[[#This Row],[Date]],Log[Item],"Morn insulin",Log[Qty],1),"x","")</f>
        <v/>
      </c>
      <c r="K47" s="70" t="str">
        <f>IF(COUNTIFS(Log[Date],tbDailyTotals[[#This Row],[Date]],Log[Item],"Eve insulin",Log[Qty],1),"x","")</f>
        <v/>
      </c>
      <c r="L47" s="70" t="str">
        <f>IF(COUNTIFS(Log[Date],tbDailyTotals[[#This Row],[Date]],Log[Item],"Eve meds",Log[Qty],1),"x","")</f>
        <v/>
      </c>
      <c r="M47" s="150"/>
    </row>
    <row r="48" spans="2:13" s="75" customFormat="1" ht="25.15" customHeight="1">
      <c r="B48" s="91"/>
      <c r="C48" s="82">
        <f>SUMIFS(Log[Cal],Log[Date],tbDailyTotals[[#This Row],[Date]])</f>
        <v>0</v>
      </c>
      <c r="D48" s="82">
        <f>SUMIFS(Log[Sodium],Log[Date],tbDailyTotals[[#This Row],[Date]])</f>
        <v>0</v>
      </c>
      <c r="E48" s="71">
        <f>SUMIFS(Log[Net Carbs],Log[Date],tbDailyTotals[[#This Row],[Date]])</f>
        <v>0</v>
      </c>
      <c r="F48" s="71">
        <f>SUMIFS(Log[Protein],Log[Date],tbDailyTotals[[#This Row],[Date]])</f>
        <v>0</v>
      </c>
      <c r="G48" s="83">
        <f>SUMIFS(Log[Chol],Log[Date],tbDailyTotals[[#This Row],[Date]])</f>
        <v>0</v>
      </c>
      <c r="H48" s="92"/>
      <c r="I48" s="70" t="str">
        <f>IF(COUNTIFS(Log[Date],tbDailyTotals[[#This Row],[Date]],Log[Item],"Morn meds",Log[Qty],1),"x","")</f>
        <v/>
      </c>
      <c r="J48" s="70" t="str">
        <f>IF(COUNTIFS(Log[Date],tbDailyTotals[[#This Row],[Date]],Log[Item],"Morn insulin",Log[Qty],1),"x","")</f>
        <v/>
      </c>
      <c r="K48" s="70" t="str">
        <f>IF(COUNTIFS(Log[Date],tbDailyTotals[[#This Row],[Date]],Log[Item],"Eve insulin",Log[Qty],1),"x","")</f>
        <v/>
      </c>
      <c r="L48" s="70" t="str">
        <f>IF(COUNTIFS(Log[Date],tbDailyTotals[[#This Row],[Date]],Log[Item],"Eve meds",Log[Qty],1),"x","")</f>
        <v/>
      </c>
      <c r="M48" s="150"/>
    </row>
    <row r="49" spans="2:13" s="75" customFormat="1" ht="25.15" customHeight="1">
      <c r="B49" s="91"/>
      <c r="C49" s="82">
        <f>SUMIFS(Log[Cal],Log[Date],tbDailyTotals[[#This Row],[Date]])</f>
        <v>0</v>
      </c>
      <c r="D49" s="82">
        <f>SUMIFS(Log[Sodium],Log[Date],tbDailyTotals[[#This Row],[Date]])</f>
        <v>0</v>
      </c>
      <c r="E49" s="71">
        <f>SUMIFS(Log[Net Carbs],Log[Date],tbDailyTotals[[#This Row],[Date]])</f>
        <v>0</v>
      </c>
      <c r="F49" s="71">
        <f>SUMIFS(Log[Protein],Log[Date],tbDailyTotals[[#This Row],[Date]])</f>
        <v>0</v>
      </c>
      <c r="G49" s="83">
        <f>SUMIFS(Log[Chol],Log[Date],tbDailyTotals[[#This Row],[Date]])</f>
        <v>0</v>
      </c>
      <c r="H49" s="92"/>
      <c r="I49" s="70" t="str">
        <f>IF(COUNTIFS(Log[Date],tbDailyTotals[[#This Row],[Date]],Log[Item],"Morn meds",Log[Qty],1),"x","")</f>
        <v/>
      </c>
      <c r="J49" s="70" t="str">
        <f>IF(COUNTIFS(Log[Date],tbDailyTotals[[#This Row],[Date]],Log[Item],"Morn insulin",Log[Qty],1),"x","")</f>
        <v/>
      </c>
      <c r="K49" s="70" t="str">
        <f>IF(COUNTIFS(Log[Date],tbDailyTotals[[#This Row],[Date]],Log[Item],"Eve insulin",Log[Qty],1),"x","")</f>
        <v/>
      </c>
      <c r="L49" s="70" t="str">
        <f>IF(COUNTIFS(Log[Date],tbDailyTotals[[#This Row],[Date]],Log[Item],"Eve meds",Log[Qty],1),"x","")</f>
        <v/>
      </c>
      <c r="M49" s="150"/>
    </row>
    <row r="50" spans="2:13" s="75" customFormat="1" ht="25.15" customHeight="1">
      <c r="B50" s="91"/>
      <c r="C50" s="82">
        <f>SUMIFS(Log[Cal],Log[Date],tbDailyTotals[[#This Row],[Date]])</f>
        <v>0</v>
      </c>
      <c r="D50" s="82">
        <f>SUMIFS(Log[Sodium],Log[Date],tbDailyTotals[[#This Row],[Date]])</f>
        <v>0</v>
      </c>
      <c r="E50" s="71">
        <f>SUMIFS(Log[Net Carbs],Log[Date],tbDailyTotals[[#This Row],[Date]])</f>
        <v>0</v>
      </c>
      <c r="F50" s="71">
        <f>SUMIFS(Log[Protein],Log[Date],tbDailyTotals[[#This Row],[Date]])</f>
        <v>0</v>
      </c>
      <c r="G50" s="83">
        <f>SUMIFS(Log[Chol],Log[Date],tbDailyTotals[[#This Row],[Date]])</f>
        <v>0</v>
      </c>
      <c r="H50" s="92"/>
      <c r="I50" s="70" t="str">
        <f>IF(COUNTIFS(Log[Date],tbDailyTotals[[#This Row],[Date]],Log[Item],"Morn meds",Log[Qty],1),"x","")</f>
        <v/>
      </c>
      <c r="J50" s="70" t="str">
        <f>IF(COUNTIFS(Log[Date],tbDailyTotals[[#This Row],[Date]],Log[Item],"Morn insulin",Log[Qty],1),"x","")</f>
        <v/>
      </c>
      <c r="K50" s="70" t="str">
        <f>IF(COUNTIFS(Log[Date],tbDailyTotals[[#This Row],[Date]],Log[Item],"Eve insulin",Log[Qty],1),"x","")</f>
        <v/>
      </c>
      <c r="L50" s="70" t="str">
        <f>IF(COUNTIFS(Log[Date],tbDailyTotals[[#This Row],[Date]],Log[Item],"Eve meds",Log[Qty],1),"x","")</f>
        <v/>
      </c>
      <c r="M50" s="150"/>
    </row>
    <row r="51" spans="2:13" s="75" customFormat="1" ht="25.15" customHeight="1">
      <c r="B51" s="91"/>
      <c r="C51" s="82">
        <f>SUMIFS(Log[Cal],Log[Date],tbDailyTotals[[#This Row],[Date]])</f>
        <v>0</v>
      </c>
      <c r="D51" s="82">
        <f>SUMIFS(Log[Sodium],Log[Date],tbDailyTotals[[#This Row],[Date]])</f>
        <v>0</v>
      </c>
      <c r="E51" s="71">
        <f>SUMIFS(Log[Net Carbs],Log[Date],tbDailyTotals[[#This Row],[Date]])</f>
        <v>0</v>
      </c>
      <c r="F51" s="71">
        <f>SUMIFS(Log[Protein],Log[Date],tbDailyTotals[[#This Row],[Date]])</f>
        <v>0</v>
      </c>
      <c r="G51" s="83">
        <f>SUMIFS(Log[Chol],Log[Date],tbDailyTotals[[#This Row],[Date]])</f>
        <v>0</v>
      </c>
      <c r="H51" s="92"/>
      <c r="I51" s="70" t="str">
        <f>IF(COUNTIFS(Log[Date],tbDailyTotals[[#This Row],[Date]],Log[Item],"Morn meds",Log[Qty],1),"x","")</f>
        <v/>
      </c>
      <c r="J51" s="70" t="str">
        <f>IF(COUNTIFS(Log[Date],tbDailyTotals[[#This Row],[Date]],Log[Item],"Morn insulin",Log[Qty],1),"x","")</f>
        <v/>
      </c>
      <c r="K51" s="70" t="str">
        <f>IF(COUNTIFS(Log[Date],tbDailyTotals[[#This Row],[Date]],Log[Item],"Eve insulin",Log[Qty],1),"x","")</f>
        <v/>
      </c>
      <c r="L51" s="70" t="str">
        <f>IF(COUNTIFS(Log[Date],tbDailyTotals[[#This Row],[Date]],Log[Item],"Eve meds",Log[Qty],1),"x","")</f>
        <v/>
      </c>
      <c r="M51" s="150"/>
    </row>
    <row r="52" spans="2:13" s="75" customFormat="1" ht="25.15" customHeight="1">
      <c r="B52" s="91"/>
      <c r="C52" s="82">
        <f>SUMIFS(Log[Cal],Log[Date],tbDailyTotals[[#This Row],[Date]])</f>
        <v>0</v>
      </c>
      <c r="D52" s="82">
        <f>SUMIFS(Log[Sodium],Log[Date],tbDailyTotals[[#This Row],[Date]])</f>
        <v>0</v>
      </c>
      <c r="E52" s="71">
        <f>SUMIFS(Log[Net Carbs],Log[Date],tbDailyTotals[[#This Row],[Date]])</f>
        <v>0</v>
      </c>
      <c r="F52" s="71">
        <f>SUMIFS(Log[Protein],Log[Date],tbDailyTotals[[#This Row],[Date]])</f>
        <v>0</v>
      </c>
      <c r="G52" s="83">
        <f>SUMIFS(Log[Chol],Log[Date],tbDailyTotals[[#This Row],[Date]])</f>
        <v>0</v>
      </c>
      <c r="H52" s="92"/>
      <c r="I52" s="70" t="str">
        <f>IF(COUNTIFS(Log[Date],tbDailyTotals[[#This Row],[Date]],Log[Item],"Morn meds",Log[Qty],1),"x","")</f>
        <v/>
      </c>
      <c r="J52" s="70" t="str">
        <f>IF(COUNTIFS(Log[Date],tbDailyTotals[[#This Row],[Date]],Log[Item],"Morn insulin",Log[Qty],1),"x","")</f>
        <v/>
      </c>
      <c r="K52" s="70" t="str">
        <f>IF(COUNTIFS(Log[Date],tbDailyTotals[[#This Row],[Date]],Log[Item],"Eve insulin",Log[Qty],1),"x","")</f>
        <v/>
      </c>
      <c r="L52" s="70" t="str">
        <f>IF(COUNTIFS(Log[Date],tbDailyTotals[[#This Row],[Date]],Log[Item],"Eve meds",Log[Qty],1),"x","")</f>
        <v/>
      </c>
      <c r="M52" s="150"/>
    </row>
    <row r="53" spans="2:13" s="75" customFormat="1" ht="25.15" customHeight="1">
      <c r="B53" s="91"/>
      <c r="C53" s="82">
        <f>SUMIFS(Log[Cal],Log[Date],tbDailyTotals[[#This Row],[Date]])</f>
        <v>0</v>
      </c>
      <c r="D53" s="82">
        <f>SUMIFS(Log[Sodium],Log[Date],tbDailyTotals[[#This Row],[Date]])</f>
        <v>0</v>
      </c>
      <c r="E53" s="71">
        <f>SUMIFS(Log[Net Carbs],Log[Date],tbDailyTotals[[#This Row],[Date]])</f>
        <v>0</v>
      </c>
      <c r="F53" s="71">
        <f>SUMIFS(Log[Protein],Log[Date],tbDailyTotals[[#This Row],[Date]])</f>
        <v>0</v>
      </c>
      <c r="G53" s="83">
        <f>SUMIFS(Log[Chol],Log[Date],tbDailyTotals[[#This Row],[Date]])</f>
        <v>0</v>
      </c>
      <c r="H53" s="92"/>
      <c r="I53" s="70" t="str">
        <f>IF(COUNTIFS(Log[Date],tbDailyTotals[[#This Row],[Date]],Log[Item],"Morn meds",Log[Qty],1),"x","")</f>
        <v/>
      </c>
      <c r="J53" s="70" t="str">
        <f>IF(COUNTIFS(Log[Date],tbDailyTotals[[#This Row],[Date]],Log[Item],"Morn insulin",Log[Qty],1),"x","")</f>
        <v/>
      </c>
      <c r="K53" s="70" t="str">
        <f>IF(COUNTIFS(Log[Date],tbDailyTotals[[#This Row],[Date]],Log[Item],"Eve insulin",Log[Qty],1),"x","")</f>
        <v/>
      </c>
      <c r="L53" s="70" t="str">
        <f>IF(COUNTIFS(Log[Date],tbDailyTotals[[#This Row],[Date]],Log[Item],"Eve meds",Log[Qty],1),"x","")</f>
        <v/>
      </c>
      <c r="M53" s="150"/>
    </row>
    <row r="54" spans="2:13" s="75" customFormat="1" ht="25.15" customHeight="1">
      <c r="B54" s="91"/>
      <c r="C54" s="82">
        <f>SUMIFS(Log[Cal],Log[Date],tbDailyTotals[[#This Row],[Date]])</f>
        <v>0</v>
      </c>
      <c r="D54" s="82">
        <f>SUMIFS(Log[Sodium],Log[Date],tbDailyTotals[[#This Row],[Date]])</f>
        <v>0</v>
      </c>
      <c r="E54" s="71">
        <f>SUMIFS(Log[Net Carbs],Log[Date],tbDailyTotals[[#This Row],[Date]])</f>
        <v>0</v>
      </c>
      <c r="F54" s="71">
        <f>SUMIFS(Log[Protein],Log[Date],tbDailyTotals[[#This Row],[Date]])</f>
        <v>0</v>
      </c>
      <c r="G54" s="83">
        <f>SUMIFS(Log[Chol],Log[Date],tbDailyTotals[[#This Row],[Date]])</f>
        <v>0</v>
      </c>
      <c r="H54" s="92"/>
      <c r="I54" s="70" t="str">
        <f>IF(COUNTIFS(Log[Date],tbDailyTotals[[#This Row],[Date]],Log[Item],"Morn meds",Log[Qty],1),"x","")</f>
        <v/>
      </c>
      <c r="J54" s="70" t="str">
        <f>IF(COUNTIFS(Log[Date],tbDailyTotals[[#This Row],[Date]],Log[Item],"Morn insulin",Log[Qty],1),"x","")</f>
        <v/>
      </c>
      <c r="K54" s="70" t="str">
        <f>IF(COUNTIFS(Log[Date],tbDailyTotals[[#This Row],[Date]],Log[Item],"Eve insulin",Log[Qty],1),"x","")</f>
        <v/>
      </c>
      <c r="L54" s="70" t="str">
        <f>IF(COUNTIFS(Log[Date],tbDailyTotals[[#This Row],[Date]],Log[Item],"Eve meds",Log[Qty],1),"x","")</f>
        <v/>
      </c>
      <c r="M54" s="150"/>
    </row>
    <row r="55" spans="2:13" s="75" customFormat="1" ht="25.15" customHeight="1">
      <c r="B55" s="91"/>
      <c r="C55" s="82">
        <f>SUMIFS(Log[Cal],Log[Date],tbDailyTotals[[#This Row],[Date]])</f>
        <v>0</v>
      </c>
      <c r="D55" s="82">
        <f>SUMIFS(Log[Sodium],Log[Date],tbDailyTotals[[#This Row],[Date]])</f>
        <v>0</v>
      </c>
      <c r="E55" s="71">
        <f>SUMIFS(Log[Net Carbs],Log[Date],tbDailyTotals[[#This Row],[Date]])</f>
        <v>0</v>
      </c>
      <c r="F55" s="71">
        <f>SUMIFS(Log[Protein],Log[Date],tbDailyTotals[[#This Row],[Date]])</f>
        <v>0</v>
      </c>
      <c r="G55" s="83">
        <f>SUMIFS(Log[Chol],Log[Date],tbDailyTotals[[#This Row],[Date]])</f>
        <v>0</v>
      </c>
      <c r="H55" s="92"/>
      <c r="I55" s="70" t="str">
        <f>IF(COUNTIFS(Log[Date],tbDailyTotals[[#This Row],[Date]],Log[Item],"Morn meds",Log[Qty],1),"x","")</f>
        <v/>
      </c>
      <c r="J55" s="70" t="str">
        <f>IF(COUNTIFS(Log[Date],tbDailyTotals[[#This Row],[Date]],Log[Item],"Morn insulin",Log[Qty],1),"x","")</f>
        <v/>
      </c>
      <c r="K55" s="70" t="str">
        <f>IF(COUNTIFS(Log[Date],tbDailyTotals[[#This Row],[Date]],Log[Item],"Eve insulin",Log[Qty],1),"x","")</f>
        <v/>
      </c>
      <c r="L55" s="70" t="str">
        <f>IF(COUNTIFS(Log[Date],tbDailyTotals[[#This Row],[Date]],Log[Item],"Eve meds",Log[Qty],1),"x","")</f>
        <v/>
      </c>
      <c r="M55" s="150"/>
    </row>
    <row r="56" spans="2:13" s="75" customFormat="1" ht="25.15" customHeight="1">
      <c r="B56" s="91"/>
      <c r="C56" s="82">
        <f>SUMIFS(Log[Cal],Log[Date],tbDailyTotals[[#This Row],[Date]])</f>
        <v>0</v>
      </c>
      <c r="D56" s="82">
        <f>SUMIFS(Log[Sodium],Log[Date],tbDailyTotals[[#This Row],[Date]])</f>
        <v>0</v>
      </c>
      <c r="E56" s="71">
        <f>SUMIFS(Log[Net Carbs],Log[Date],tbDailyTotals[[#This Row],[Date]])</f>
        <v>0</v>
      </c>
      <c r="F56" s="71">
        <f>SUMIFS(Log[Protein],Log[Date],tbDailyTotals[[#This Row],[Date]])</f>
        <v>0</v>
      </c>
      <c r="G56" s="83">
        <f>SUMIFS(Log[Chol],Log[Date],tbDailyTotals[[#This Row],[Date]])</f>
        <v>0</v>
      </c>
      <c r="H56" s="92"/>
      <c r="I56" s="70" t="str">
        <f>IF(COUNTIFS(Log[Date],tbDailyTotals[[#This Row],[Date]],Log[Item],"Morn meds",Log[Qty],1),"x","")</f>
        <v/>
      </c>
      <c r="J56" s="70" t="str">
        <f>IF(COUNTIFS(Log[Date],tbDailyTotals[[#This Row],[Date]],Log[Item],"Morn insulin",Log[Qty],1),"x","")</f>
        <v/>
      </c>
      <c r="K56" s="70" t="str">
        <f>IF(COUNTIFS(Log[Date],tbDailyTotals[[#This Row],[Date]],Log[Item],"Eve insulin",Log[Qty],1),"x","")</f>
        <v/>
      </c>
      <c r="L56" s="70" t="str">
        <f>IF(COUNTIFS(Log[Date],tbDailyTotals[[#This Row],[Date]],Log[Item],"Eve meds",Log[Qty],1),"x","")</f>
        <v/>
      </c>
      <c r="M56" s="150"/>
    </row>
    <row r="57" spans="2:13" s="75" customFormat="1" ht="25.15" customHeight="1">
      <c r="B57" s="91"/>
      <c r="C57" s="82">
        <f>SUMIFS(Log[Cal],Log[Date],tbDailyTotals[[#This Row],[Date]])</f>
        <v>0</v>
      </c>
      <c r="D57" s="82">
        <f>SUMIFS(Log[Sodium],Log[Date],tbDailyTotals[[#This Row],[Date]])</f>
        <v>0</v>
      </c>
      <c r="E57" s="71">
        <f>SUMIFS(Log[Net Carbs],Log[Date],tbDailyTotals[[#This Row],[Date]])</f>
        <v>0</v>
      </c>
      <c r="F57" s="71">
        <f>SUMIFS(Log[Protein],Log[Date],tbDailyTotals[[#This Row],[Date]])</f>
        <v>0</v>
      </c>
      <c r="G57" s="83">
        <f>SUMIFS(Log[Chol],Log[Date],tbDailyTotals[[#This Row],[Date]])</f>
        <v>0</v>
      </c>
      <c r="H57" s="92"/>
      <c r="I57" s="70" t="str">
        <f>IF(COUNTIFS(Log[Date],tbDailyTotals[[#This Row],[Date]],Log[Item],"Morn meds",Log[Qty],1),"x","")</f>
        <v/>
      </c>
      <c r="J57" s="70" t="str">
        <f>IF(COUNTIFS(Log[Date],tbDailyTotals[[#This Row],[Date]],Log[Item],"Morn insulin",Log[Qty],1),"x","")</f>
        <v/>
      </c>
      <c r="K57" s="70" t="str">
        <f>IF(COUNTIFS(Log[Date],tbDailyTotals[[#This Row],[Date]],Log[Item],"Eve insulin",Log[Qty],1),"x","")</f>
        <v/>
      </c>
      <c r="L57" s="70" t="str">
        <f>IF(COUNTIFS(Log[Date],tbDailyTotals[[#This Row],[Date]],Log[Item],"Eve meds",Log[Qty],1),"x","")</f>
        <v/>
      </c>
      <c r="M57" s="150"/>
    </row>
    <row r="58" spans="2:13" s="75" customFormat="1" ht="25.15" customHeight="1">
      <c r="B58" s="91"/>
      <c r="C58" s="82">
        <f>SUMIFS(Log[Cal],Log[Date],tbDailyTotals[[#This Row],[Date]])</f>
        <v>0</v>
      </c>
      <c r="D58" s="82">
        <f>SUMIFS(Log[Sodium],Log[Date],tbDailyTotals[[#This Row],[Date]])</f>
        <v>0</v>
      </c>
      <c r="E58" s="71">
        <f>SUMIFS(Log[Net Carbs],Log[Date],tbDailyTotals[[#This Row],[Date]])</f>
        <v>0</v>
      </c>
      <c r="F58" s="71">
        <f>SUMIFS(Log[Protein],Log[Date],tbDailyTotals[[#This Row],[Date]])</f>
        <v>0</v>
      </c>
      <c r="G58" s="83">
        <f>SUMIFS(Log[Chol],Log[Date],tbDailyTotals[[#This Row],[Date]])</f>
        <v>0</v>
      </c>
      <c r="H58" s="92"/>
      <c r="I58" s="70" t="str">
        <f>IF(COUNTIFS(Log[Date],tbDailyTotals[[#This Row],[Date]],Log[Item],"Morn meds",Log[Qty],1),"x","")</f>
        <v/>
      </c>
      <c r="J58" s="70" t="str">
        <f>IF(COUNTIFS(Log[Date],tbDailyTotals[[#This Row],[Date]],Log[Item],"Morn insulin",Log[Qty],1),"x","")</f>
        <v/>
      </c>
      <c r="K58" s="70" t="str">
        <f>IF(COUNTIFS(Log[Date],tbDailyTotals[[#This Row],[Date]],Log[Item],"Eve insulin",Log[Qty],1),"x","")</f>
        <v/>
      </c>
      <c r="L58" s="70" t="str">
        <f>IF(COUNTIFS(Log[Date],tbDailyTotals[[#This Row],[Date]],Log[Item],"Eve meds",Log[Qty],1),"x","")</f>
        <v/>
      </c>
      <c r="M58" s="150"/>
    </row>
    <row r="59" spans="2:13" s="75" customFormat="1" ht="25.15" customHeight="1">
      <c r="B59" s="91"/>
      <c r="C59" s="82">
        <f>SUMIFS(Log[Cal],Log[Date],tbDailyTotals[[#This Row],[Date]])</f>
        <v>0</v>
      </c>
      <c r="D59" s="82">
        <f>SUMIFS(Log[Sodium],Log[Date],tbDailyTotals[[#This Row],[Date]])</f>
        <v>0</v>
      </c>
      <c r="E59" s="71">
        <f>SUMIFS(Log[Net Carbs],Log[Date],tbDailyTotals[[#This Row],[Date]])</f>
        <v>0</v>
      </c>
      <c r="F59" s="71">
        <f>SUMIFS(Log[Protein],Log[Date],tbDailyTotals[[#This Row],[Date]])</f>
        <v>0</v>
      </c>
      <c r="G59" s="83">
        <f>SUMIFS(Log[Chol],Log[Date],tbDailyTotals[[#This Row],[Date]])</f>
        <v>0</v>
      </c>
      <c r="H59" s="92"/>
      <c r="I59" s="70" t="str">
        <f>IF(COUNTIFS(Log[Date],tbDailyTotals[[#This Row],[Date]],Log[Item],"Morn meds",Log[Qty],1),"x","")</f>
        <v/>
      </c>
      <c r="J59" s="70" t="str">
        <f>IF(COUNTIFS(Log[Date],tbDailyTotals[[#This Row],[Date]],Log[Item],"Morn insulin",Log[Qty],1),"x","")</f>
        <v/>
      </c>
      <c r="K59" s="70" t="str">
        <f>IF(COUNTIFS(Log[Date],tbDailyTotals[[#This Row],[Date]],Log[Item],"Eve insulin",Log[Qty],1),"x","")</f>
        <v/>
      </c>
      <c r="L59" s="70" t="str">
        <f>IF(COUNTIFS(Log[Date],tbDailyTotals[[#This Row],[Date]],Log[Item],"Eve meds",Log[Qty],1),"x","")</f>
        <v/>
      </c>
      <c r="M59" s="150"/>
    </row>
    <row r="60" spans="2:13" s="75" customFormat="1" ht="25.15" customHeight="1">
      <c r="B60" s="91"/>
      <c r="C60" s="82">
        <f>SUMIFS(Log[Cal],Log[Date],tbDailyTotals[[#This Row],[Date]])</f>
        <v>0</v>
      </c>
      <c r="D60" s="82">
        <f>SUMIFS(Log[Sodium],Log[Date],tbDailyTotals[[#This Row],[Date]])</f>
        <v>0</v>
      </c>
      <c r="E60" s="71">
        <f>SUMIFS(Log[Net Carbs],Log[Date],tbDailyTotals[[#This Row],[Date]])</f>
        <v>0</v>
      </c>
      <c r="F60" s="71">
        <f>SUMIFS(Log[Protein],Log[Date],tbDailyTotals[[#This Row],[Date]])</f>
        <v>0</v>
      </c>
      <c r="G60" s="83">
        <f>SUMIFS(Log[Chol],Log[Date],tbDailyTotals[[#This Row],[Date]])</f>
        <v>0</v>
      </c>
      <c r="H60" s="92"/>
      <c r="I60" s="70" t="str">
        <f>IF(COUNTIFS(Log[Date],tbDailyTotals[[#This Row],[Date]],Log[Item],"Morn meds",Log[Qty],1),"x","")</f>
        <v/>
      </c>
      <c r="J60" s="70" t="str">
        <f>IF(COUNTIFS(Log[Date],tbDailyTotals[[#This Row],[Date]],Log[Item],"Morn insulin",Log[Qty],1),"x","")</f>
        <v/>
      </c>
      <c r="K60" s="70" t="str">
        <f>IF(COUNTIFS(Log[Date],tbDailyTotals[[#This Row],[Date]],Log[Item],"Eve insulin",Log[Qty],1),"x","")</f>
        <v/>
      </c>
      <c r="L60" s="70" t="str">
        <f>IF(COUNTIFS(Log[Date],tbDailyTotals[[#This Row],[Date]],Log[Item],"Eve meds",Log[Qty],1),"x","")</f>
        <v/>
      </c>
      <c r="M60" s="150"/>
    </row>
    <row r="61" spans="2:13" s="75" customFormat="1" ht="25.15" customHeight="1">
      <c r="B61" s="91"/>
      <c r="C61" s="82">
        <f>SUMIFS(Log[Cal],Log[Date],tbDailyTotals[[#This Row],[Date]])</f>
        <v>0</v>
      </c>
      <c r="D61" s="82">
        <f>SUMIFS(Log[Sodium],Log[Date],tbDailyTotals[[#This Row],[Date]])</f>
        <v>0</v>
      </c>
      <c r="E61" s="71">
        <f>SUMIFS(Log[Net Carbs],Log[Date],tbDailyTotals[[#This Row],[Date]])</f>
        <v>0</v>
      </c>
      <c r="F61" s="71">
        <f>SUMIFS(Log[Protein],Log[Date],tbDailyTotals[[#This Row],[Date]])</f>
        <v>0</v>
      </c>
      <c r="G61" s="83">
        <f>SUMIFS(Log[Chol],Log[Date],tbDailyTotals[[#This Row],[Date]])</f>
        <v>0</v>
      </c>
      <c r="H61" s="92"/>
      <c r="I61" s="70" t="str">
        <f>IF(COUNTIFS(Log[Date],tbDailyTotals[[#This Row],[Date]],Log[Item],"Morn meds",Log[Qty],1),"x","")</f>
        <v/>
      </c>
      <c r="J61" s="70" t="str">
        <f>IF(COUNTIFS(Log[Date],tbDailyTotals[[#This Row],[Date]],Log[Item],"Morn insulin",Log[Qty],1),"x","")</f>
        <v/>
      </c>
      <c r="K61" s="70" t="str">
        <f>IF(COUNTIFS(Log[Date],tbDailyTotals[[#This Row],[Date]],Log[Item],"Eve insulin",Log[Qty],1),"x","")</f>
        <v/>
      </c>
      <c r="L61" s="70" t="str">
        <f>IF(COUNTIFS(Log[Date],tbDailyTotals[[#This Row],[Date]],Log[Item],"Eve meds",Log[Qty],1),"x","")</f>
        <v/>
      </c>
      <c r="M61" s="150"/>
    </row>
    <row r="62" spans="2:13" s="75" customFormat="1" ht="25.15" customHeight="1">
      <c r="B62" s="91"/>
      <c r="C62" s="82">
        <f>SUMIFS(Log[Cal],Log[Date],tbDailyTotals[[#This Row],[Date]])</f>
        <v>0</v>
      </c>
      <c r="D62" s="82">
        <f>SUMIFS(Log[Sodium],Log[Date],tbDailyTotals[[#This Row],[Date]])</f>
        <v>0</v>
      </c>
      <c r="E62" s="71">
        <f>SUMIFS(Log[Net Carbs],Log[Date],tbDailyTotals[[#This Row],[Date]])</f>
        <v>0</v>
      </c>
      <c r="F62" s="71">
        <f>SUMIFS(Log[Protein],Log[Date],tbDailyTotals[[#This Row],[Date]])</f>
        <v>0</v>
      </c>
      <c r="G62" s="83">
        <f>SUMIFS(Log[Chol],Log[Date],tbDailyTotals[[#This Row],[Date]])</f>
        <v>0</v>
      </c>
      <c r="H62" s="92"/>
      <c r="I62" s="70" t="str">
        <f>IF(COUNTIFS(Log[Date],tbDailyTotals[[#This Row],[Date]],Log[Item],"Morn meds",Log[Qty],1),"x","")</f>
        <v/>
      </c>
      <c r="J62" s="70" t="str">
        <f>IF(COUNTIFS(Log[Date],tbDailyTotals[[#This Row],[Date]],Log[Item],"Morn insulin",Log[Qty],1),"x","")</f>
        <v/>
      </c>
      <c r="K62" s="70" t="str">
        <f>IF(COUNTIFS(Log[Date],tbDailyTotals[[#This Row],[Date]],Log[Item],"Eve insulin",Log[Qty],1),"x","")</f>
        <v/>
      </c>
      <c r="L62" s="70" t="str">
        <f>IF(COUNTIFS(Log[Date],tbDailyTotals[[#This Row],[Date]],Log[Item],"Eve meds",Log[Qty],1),"x","")</f>
        <v/>
      </c>
      <c r="M62" s="150"/>
    </row>
    <row r="63" spans="2:13" s="75" customFormat="1" ht="25.15" customHeight="1">
      <c r="B63" s="91"/>
      <c r="C63" s="82">
        <f>SUMIFS(Log[Cal],Log[Date],tbDailyTotals[[#This Row],[Date]])</f>
        <v>0</v>
      </c>
      <c r="D63" s="82">
        <f>SUMIFS(Log[Sodium],Log[Date],tbDailyTotals[[#This Row],[Date]])</f>
        <v>0</v>
      </c>
      <c r="E63" s="71">
        <f>SUMIFS(Log[Net Carbs],Log[Date],tbDailyTotals[[#This Row],[Date]])</f>
        <v>0</v>
      </c>
      <c r="F63" s="71">
        <f>SUMIFS(Log[Protein],Log[Date],tbDailyTotals[[#This Row],[Date]])</f>
        <v>0</v>
      </c>
      <c r="G63" s="83">
        <f>SUMIFS(Log[Chol],Log[Date],tbDailyTotals[[#This Row],[Date]])</f>
        <v>0</v>
      </c>
      <c r="H63" s="92"/>
      <c r="I63" s="70" t="str">
        <f>IF(COUNTIFS(Log[Date],tbDailyTotals[[#This Row],[Date]],Log[Item],"Morn meds",Log[Qty],1),"x","")</f>
        <v/>
      </c>
      <c r="J63" s="70" t="str">
        <f>IF(COUNTIFS(Log[Date],tbDailyTotals[[#This Row],[Date]],Log[Item],"Morn insulin",Log[Qty],1),"x","")</f>
        <v/>
      </c>
      <c r="K63" s="70" t="str">
        <f>IF(COUNTIFS(Log[Date],tbDailyTotals[[#This Row],[Date]],Log[Item],"Eve insulin",Log[Qty],1),"x","")</f>
        <v/>
      </c>
      <c r="L63" s="70" t="str">
        <f>IF(COUNTIFS(Log[Date],tbDailyTotals[[#This Row],[Date]],Log[Item],"Eve meds",Log[Qty],1),"x","")</f>
        <v/>
      </c>
      <c r="M63" s="150"/>
    </row>
    <row r="64" spans="2:13" s="75" customFormat="1" ht="25.15" customHeight="1">
      <c r="B64" s="91"/>
      <c r="C64" s="82">
        <f>SUMIFS(Log[Cal],Log[Date],tbDailyTotals[[#This Row],[Date]])</f>
        <v>0</v>
      </c>
      <c r="D64" s="82">
        <f>SUMIFS(Log[Sodium],Log[Date],tbDailyTotals[[#This Row],[Date]])</f>
        <v>0</v>
      </c>
      <c r="E64" s="71">
        <f>SUMIFS(Log[Net Carbs],Log[Date],tbDailyTotals[[#This Row],[Date]])</f>
        <v>0</v>
      </c>
      <c r="F64" s="71">
        <f>SUMIFS(Log[Protein],Log[Date],tbDailyTotals[[#This Row],[Date]])</f>
        <v>0</v>
      </c>
      <c r="G64" s="83">
        <f>SUMIFS(Log[Chol],Log[Date],tbDailyTotals[[#This Row],[Date]])</f>
        <v>0</v>
      </c>
      <c r="H64" s="92"/>
      <c r="I64" s="70" t="str">
        <f>IF(COUNTIFS(Log[Date],tbDailyTotals[[#This Row],[Date]],Log[Item],"Morn meds",Log[Qty],1),"x","")</f>
        <v/>
      </c>
      <c r="J64" s="70" t="str">
        <f>IF(COUNTIFS(Log[Date],tbDailyTotals[[#This Row],[Date]],Log[Item],"Morn insulin",Log[Qty],1),"x","")</f>
        <v/>
      </c>
      <c r="K64" s="70" t="str">
        <f>IF(COUNTIFS(Log[Date],tbDailyTotals[[#This Row],[Date]],Log[Item],"Eve insulin",Log[Qty],1),"x","")</f>
        <v/>
      </c>
      <c r="L64" s="70" t="str">
        <f>IF(COUNTIFS(Log[Date],tbDailyTotals[[#This Row],[Date]],Log[Item],"Eve meds",Log[Qty],1),"x","")</f>
        <v/>
      </c>
      <c r="M64" s="150"/>
    </row>
    <row r="65" spans="2:13" s="75" customFormat="1" ht="25.15" customHeight="1">
      <c r="B65" s="91"/>
      <c r="C65" s="82">
        <f>SUMIFS(Log[Cal],Log[Date],tbDailyTotals[[#This Row],[Date]])</f>
        <v>0</v>
      </c>
      <c r="D65" s="82">
        <f>SUMIFS(Log[Sodium],Log[Date],tbDailyTotals[[#This Row],[Date]])</f>
        <v>0</v>
      </c>
      <c r="E65" s="71">
        <f>SUMIFS(Log[Net Carbs],Log[Date],tbDailyTotals[[#This Row],[Date]])</f>
        <v>0</v>
      </c>
      <c r="F65" s="71">
        <f>SUMIFS(Log[Protein],Log[Date],tbDailyTotals[[#This Row],[Date]])</f>
        <v>0</v>
      </c>
      <c r="G65" s="83">
        <f>SUMIFS(Log[Chol],Log[Date],tbDailyTotals[[#This Row],[Date]])</f>
        <v>0</v>
      </c>
      <c r="H65" s="92"/>
      <c r="I65" s="70" t="str">
        <f>IF(COUNTIFS(Log[Date],tbDailyTotals[[#This Row],[Date]],Log[Item],"Morn meds",Log[Qty],1),"x","")</f>
        <v/>
      </c>
      <c r="J65" s="70" t="str">
        <f>IF(COUNTIFS(Log[Date],tbDailyTotals[[#This Row],[Date]],Log[Item],"Morn insulin",Log[Qty],1),"x","")</f>
        <v/>
      </c>
      <c r="K65" s="70" t="str">
        <f>IF(COUNTIFS(Log[Date],tbDailyTotals[[#This Row],[Date]],Log[Item],"Eve insulin",Log[Qty],1),"x","")</f>
        <v/>
      </c>
      <c r="L65" s="70" t="str">
        <f>IF(COUNTIFS(Log[Date],tbDailyTotals[[#This Row],[Date]],Log[Item],"Eve meds",Log[Qty],1),"x","")</f>
        <v/>
      </c>
      <c r="M65" s="150"/>
    </row>
    <row r="66" spans="2:13" s="75" customFormat="1" ht="25.15" customHeight="1">
      <c r="B66" s="91"/>
      <c r="C66" s="82">
        <f>SUMIFS(Log[Cal],Log[Date],tbDailyTotals[[#This Row],[Date]])</f>
        <v>0</v>
      </c>
      <c r="D66" s="82">
        <f>SUMIFS(Log[Sodium],Log[Date],tbDailyTotals[[#This Row],[Date]])</f>
        <v>0</v>
      </c>
      <c r="E66" s="71">
        <f>SUMIFS(Log[Net Carbs],Log[Date],tbDailyTotals[[#This Row],[Date]])</f>
        <v>0</v>
      </c>
      <c r="F66" s="71">
        <f>SUMIFS(Log[Protein],Log[Date],tbDailyTotals[[#This Row],[Date]])</f>
        <v>0</v>
      </c>
      <c r="G66" s="83">
        <f>SUMIFS(Log[Chol],Log[Date],tbDailyTotals[[#This Row],[Date]])</f>
        <v>0</v>
      </c>
      <c r="H66" s="92"/>
      <c r="I66" s="70" t="str">
        <f>IF(COUNTIFS(Log[Date],tbDailyTotals[[#This Row],[Date]],Log[Item],"Morn meds",Log[Qty],1),"x","")</f>
        <v/>
      </c>
      <c r="J66" s="70" t="str">
        <f>IF(COUNTIFS(Log[Date],tbDailyTotals[[#This Row],[Date]],Log[Item],"Morn insulin",Log[Qty],1),"x","")</f>
        <v/>
      </c>
      <c r="K66" s="70" t="str">
        <f>IF(COUNTIFS(Log[Date],tbDailyTotals[[#This Row],[Date]],Log[Item],"Eve insulin",Log[Qty],1),"x","")</f>
        <v/>
      </c>
      <c r="L66" s="70" t="str">
        <f>IF(COUNTIFS(Log[Date],tbDailyTotals[[#This Row],[Date]],Log[Item],"Eve meds",Log[Qty],1),"x","")</f>
        <v/>
      </c>
      <c r="M66" s="150"/>
    </row>
    <row r="67" spans="2:13" s="75" customFormat="1" ht="25.15" customHeight="1">
      <c r="B67" s="91"/>
      <c r="C67" s="82">
        <f>SUMIFS(Log[Cal],Log[Date],tbDailyTotals[[#This Row],[Date]])</f>
        <v>0</v>
      </c>
      <c r="D67" s="82">
        <f>SUMIFS(Log[Sodium],Log[Date],tbDailyTotals[[#This Row],[Date]])</f>
        <v>0</v>
      </c>
      <c r="E67" s="71">
        <f>SUMIFS(Log[Net Carbs],Log[Date],tbDailyTotals[[#This Row],[Date]])</f>
        <v>0</v>
      </c>
      <c r="F67" s="71">
        <f>SUMIFS(Log[Protein],Log[Date],tbDailyTotals[[#This Row],[Date]])</f>
        <v>0</v>
      </c>
      <c r="G67" s="83">
        <f>SUMIFS(Log[Chol],Log[Date],tbDailyTotals[[#This Row],[Date]])</f>
        <v>0</v>
      </c>
      <c r="H67" s="92"/>
      <c r="I67" s="70" t="str">
        <f>IF(COUNTIFS(Log[Date],tbDailyTotals[[#This Row],[Date]],Log[Item],"Morn meds",Log[Qty],1),"x","")</f>
        <v/>
      </c>
      <c r="J67" s="70" t="str">
        <f>IF(COUNTIFS(Log[Date],tbDailyTotals[[#This Row],[Date]],Log[Item],"Morn insulin",Log[Qty],1),"x","")</f>
        <v/>
      </c>
      <c r="K67" s="70" t="str">
        <f>IF(COUNTIFS(Log[Date],tbDailyTotals[[#This Row],[Date]],Log[Item],"Eve insulin",Log[Qty],1),"x","")</f>
        <v/>
      </c>
      <c r="L67" s="70" t="str">
        <f>IF(COUNTIFS(Log[Date],tbDailyTotals[[#This Row],[Date]],Log[Item],"Eve meds",Log[Qty],1),"x","")</f>
        <v/>
      </c>
      <c r="M67" s="150"/>
    </row>
    <row r="68" spans="2:13" s="75" customFormat="1" ht="25.15" customHeight="1">
      <c r="B68" s="91"/>
      <c r="C68" s="82">
        <f>SUMIFS(Log[Cal],Log[Date],tbDailyTotals[[#This Row],[Date]])</f>
        <v>0</v>
      </c>
      <c r="D68" s="82">
        <f>SUMIFS(Log[Sodium],Log[Date],tbDailyTotals[[#This Row],[Date]])</f>
        <v>0</v>
      </c>
      <c r="E68" s="71">
        <f>SUMIFS(Log[Net Carbs],Log[Date],tbDailyTotals[[#This Row],[Date]])</f>
        <v>0</v>
      </c>
      <c r="F68" s="71">
        <f>SUMIFS(Log[Protein],Log[Date],tbDailyTotals[[#This Row],[Date]])</f>
        <v>0</v>
      </c>
      <c r="G68" s="83">
        <f>SUMIFS(Log[Chol],Log[Date],tbDailyTotals[[#This Row],[Date]])</f>
        <v>0</v>
      </c>
      <c r="H68" s="92"/>
      <c r="I68" s="70" t="str">
        <f>IF(COUNTIFS(Log[Date],tbDailyTotals[[#This Row],[Date]],Log[Item],"Morn meds",Log[Qty],1),"x","")</f>
        <v/>
      </c>
      <c r="J68" s="70" t="str">
        <f>IF(COUNTIFS(Log[Date],tbDailyTotals[[#This Row],[Date]],Log[Item],"Morn insulin",Log[Qty],1),"x","")</f>
        <v/>
      </c>
      <c r="K68" s="70" t="str">
        <f>IF(COUNTIFS(Log[Date],tbDailyTotals[[#This Row],[Date]],Log[Item],"Eve insulin",Log[Qty],1),"x","")</f>
        <v/>
      </c>
      <c r="L68" s="70" t="str">
        <f>IF(COUNTIFS(Log[Date],tbDailyTotals[[#This Row],[Date]],Log[Item],"Eve meds",Log[Qty],1),"x","")</f>
        <v/>
      </c>
      <c r="M68" s="150"/>
    </row>
    <row r="69" spans="2:13" s="75" customFormat="1" ht="25.15" customHeight="1">
      <c r="B69" s="91"/>
      <c r="C69" s="82">
        <f>SUMIFS(Log[Cal],Log[Date],tbDailyTotals[[#This Row],[Date]])</f>
        <v>0</v>
      </c>
      <c r="D69" s="82">
        <f>SUMIFS(Log[Sodium],Log[Date],tbDailyTotals[[#This Row],[Date]])</f>
        <v>0</v>
      </c>
      <c r="E69" s="71">
        <f>SUMIFS(Log[Net Carbs],Log[Date],tbDailyTotals[[#This Row],[Date]])</f>
        <v>0</v>
      </c>
      <c r="F69" s="71">
        <f>SUMIFS(Log[Protein],Log[Date],tbDailyTotals[[#This Row],[Date]])</f>
        <v>0</v>
      </c>
      <c r="G69" s="83">
        <f>SUMIFS(Log[Chol],Log[Date],tbDailyTotals[[#This Row],[Date]])</f>
        <v>0</v>
      </c>
      <c r="H69" s="92"/>
      <c r="I69" s="70" t="str">
        <f>IF(COUNTIFS(Log[Date],tbDailyTotals[[#This Row],[Date]],Log[Item],"Morn meds",Log[Qty],1),"x","")</f>
        <v/>
      </c>
      <c r="J69" s="70" t="str">
        <f>IF(COUNTIFS(Log[Date],tbDailyTotals[[#This Row],[Date]],Log[Item],"Morn insulin",Log[Qty],1),"x","")</f>
        <v/>
      </c>
      <c r="K69" s="70" t="str">
        <f>IF(COUNTIFS(Log[Date],tbDailyTotals[[#This Row],[Date]],Log[Item],"Eve insulin",Log[Qty],1),"x","")</f>
        <v/>
      </c>
      <c r="L69" s="70" t="str">
        <f>IF(COUNTIFS(Log[Date],tbDailyTotals[[#This Row],[Date]],Log[Item],"Eve meds",Log[Qty],1),"x","")</f>
        <v/>
      </c>
      <c r="M69" s="150"/>
    </row>
    <row r="70" spans="2:13" s="75" customFormat="1" ht="25.15" customHeight="1">
      <c r="B70" s="91"/>
      <c r="C70" s="82">
        <f>SUMIFS(Log[Cal],Log[Date],tbDailyTotals[[#This Row],[Date]])</f>
        <v>0</v>
      </c>
      <c r="D70" s="82">
        <f>SUMIFS(Log[Sodium],Log[Date],tbDailyTotals[[#This Row],[Date]])</f>
        <v>0</v>
      </c>
      <c r="E70" s="71">
        <f>SUMIFS(Log[Net Carbs],Log[Date],tbDailyTotals[[#This Row],[Date]])</f>
        <v>0</v>
      </c>
      <c r="F70" s="71">
        <f>SUMIFS(Log[Protein],Log[Date],tbDailyTotals[[#This Row],[Date]])</f>
        <v>0</v>
      </c>
      <c r="G70" s="83">
        <f>SUMIFS(Log[Chol],Log[Date],tbDailyTotals[[#This Row],[Date]])</f>
        <v>0</v>
      </c>
      <c r="H70" s="92"/>
      <c r="I70" s="70" t="str">
        <f>IF(COUNTIFS(Log[Date],tbDailyTotals[[#This Row],[Date]],Log[Item],"Morn meds",Log[Qty],1),"x","")</f>
        <v/>
      </c>
      <c r="J70" s="70" t="str">
        <f>IF(COUNTIFS(Log[Date],tbDailyTotals[[#This Row],[Date]],Log[Item],"Morn insulin",Log[Qty],1),"x","")</f>
        <v/>
      </c>
      <c r="K70" s="70" t="str">
        <f>IF(COUNTIFS(Log[Date],tbDailyTotals[[#This Row],[Date]],Log[Item],"Eve insulin",Log[Qty],1),"x","")</f>
        <v/>
      </c>
      <c r="L70" s="70" t="str">
        <f>IF(COUNTIFS(Log[Date],tbDailyTotals[[#This Row],[Date]],Log[Item],"Eve meds",Log[Qty],1),"x","")</f>
        <v/>
      </c>
      <c r="M70" s="150"/>
    </row>
    <row r="71" spans="2:13" s="75" customFormat="1" ht="25.15" customHeight="1">
      <c r="B71" s="91"/>
      <c r="C71" s="82">
        <f>SUMIFS(Log[Cal],Log[Date],tbDailyTotals[[#This Row],[Date]])</f>
        <v>0</v>
      </c>
      <c r="D71" s="82">
        <f>SUMIFS(Log[Sodium],Log[Date],tbDailyTotals[[#This Row],[Date]])</f>
        <v>0</v>
      </c>
      <c r="E71" s="71">
        <f>SUMIFS(Log[Net Carbs],Log[Date],tbDailyTotals[[#This Row],[Date]])</f>
        <v>0</v>
      </c>
      <c r="F71" s="71">
        <f>SUMIFS(Log[Protein],Log[Date],tbDailyTotals[[#This Row],[Date]])</f>
        <v>0</v>
      </c>
      <c r="G71" s="83">
        <f>SUMIFS(Log[Chol],Log[Date],tbDailyTotals[[#This Row],[Date]])</f>
        <v>0</v>
      </c>
      <c r="H71" s="92"/>
      <c r="I71" s="70" t="str">
        <f>IF(COUNTIFS(Log[Date],tbDailyTotals[[#This Row],[Date]],Log[Item],"Morn meds",Log[Qty],1),"x","")</f>
        <v/>
      </c>
      <c r="J71" s="70" t="str">
        <f>IF(COUNTIFS(Log[Date],tbDailyTotals[[#This Row],[Date]],Log[Item],"Morn insulin",Log[Qty],1),"x","")</f>
        <v/>
      </c>
      <c r="K71" s="70" t="str">
        <f>IF(COUNTIFS(Log[Date],tbDailyTotals[[#This Row],[Date]],Log[Item],"Eve insulin",Log[Qty],1),"x","")</f>
        <v/>
      </c>
      <c r="L71" s="70" t="str">
        <f>IF(COUNTIFS(Log[Date],tbDailyTotals[[#This Row],[Date]],Log[Item],"Eve meds",Log[Qty],1),"x","")</f>
        <v/>
      </c>
      <c r="M71" s="150"/>
    </row>
    <row r="72" spans="2:13" s="75" customFormat="1" ht="25.15" customHeight="1">
      <c r="B72" s="91"/>
      <c r="C72" s="82">
        <f>SUMIFS(Log[Cal],Log[Date],tbDailyTotals[[#This Row],[Date]])</f>
        <v>0</v>
      </c>
      <c r="D72" s="82">
        <f>SUMIFS(Log[Sodium],Log[Date],tbDailyTotals[[#This Row],[Date]])</f>
        <v>0</v>
      </c>
      <c r="E72" s="71">
        <f>SUMIFS(Log[Net Carbs],Log[Date],tbDailyTotals[[#This Row],[Date]])</f>
        <v>0</v>
      </c>
      <c r="F72" s="71">
        <f>SUMIFS(Log[Protein],Log[Date],tbDailyTotals[[#This Row],[Date]])</f>
        <v>0</v>
      </c>
      <c r="G72" s="83">
        <f>SUMIFS(Log[Chol],Log[Date],tbDailyTotals[[#This Row],[Date]])</f>
        <v>0</v>
      </c>
      <c r="H72" s="92"/>
      <c r="I72" s="70" t="str">
        <f>IF(COUNTIFS(Log[Date],tbDailyTotals[[#This Row],[Date]],Log[Item],"Morn meds",Log[Qty],1),"x","")</f>
        <v/>
      </c>
      <c r="J72" s="70" t="str">
        <f>IF(COUNTIFS(Log[Date],tbDailyTotals[[#This Row],[Date]],Log[Item],"Morn insulin",Log[Qty],1),"x","")</f>
        <v/>
      </c>
      <c r="K72" s="70" t="str">
        <f>IF(COUNTIFS(Log[Date],tbDailyTotals[[#This Row],[Date]],Log[Item],"Eve insulin",Log[Qty],1),"x","")</f>
        <v/>
      </c>
      <c r="L72" s="70" t="str">
        <f>IF(COUNTIFS(Log[Date],tbDailyTotals[[#This Row],[Date]],Log[Item],"Eve meds",Log[Qty],1),"x","")</f>
        <v/>
      </c>
      <c r="M72" s="150"/>
    </row>
    <row r="73" spans="2:13" s="75" customFormat="1" ht="25.15" customHeight="1">
      <c r="B73" s="91"/>
      <c r="C73" s="82">
        <f>SUMIFS(Log[Cal],Log[Date],tbDailyTotals[[#This Row],[Date]])</f>
        <v>0</v>
      </c>
      <c r="D73" s="82">
        <f>SUMIFS(Log[Sodium],Log[Date],tbDailyTotals[[#This Row],[Date]])</f>
        <v>0</v>
      </c>
      <c r="E73" s="71">
        <f>SUMIFS(Log[Net Carbs],Log[Date],tbDailyTotals[[#This Row],[Date]])</f>
        <v>0</v>
      </c>
      <c r="F73" s="71">
        <f>SUMIFS(Log[Protein],Log[Date],tbDailyTotals[[#This Row],[Date]])</f>
        <v>0</v>
      </c>
      <c r="G73" s="83">
        <f>SUMIFS(Log[Chol],Log[Date],tbDailyTotals[[#This Row],[Date]])</f>
        <v>0</v>
      </c>
      <c r="H73" s="92"/>
      <c r="I73" s="70" t="str">
        <f>IF(COUNTIFS(Log[Date],tbDailyTotals[[#This Row],[Date]],Log[Item],"Morn meds",Log[Qty],1),"x","")</f>
        <v/>
      </c>
      <c r="J73" s="70" t="str">
        <f>IF(COUNTIFS(Log[Date],tbDailyTotals[[#This Row],[Date]],Log[Item],"Morn insulin",Log[Qty],1),"x","")</f>
        <v/>
      </c>
      <c r="K73" s="70" t="str">
        <f>IF(COUNTIFS(Log[Date],tbDailyTotals[[#This Row],[Date]],Log[Item],"Eve insulin",Log[Qty],1),"x","")</f>
        <v/>
      </c>
      <c r="L73" s="70" t="str">
        <f>IF(COUNTIFS(Log[Date],tbDailyTotals[[#This Row],[Date]],Log[Item],"Eve meds",Log[Qty],1),"x","")</f>
        <v/>
      </c>
      <c r="M73" s="150"/>
    </row>
    <row r="74" spans="2:13" s="75" customFormat="1" ht="25.15" customHeight="1">
      <c r="B74" s="91"/>
      <c r="C74" s="82">
        <f>SUMIFS(Log[Cal],Log[Date],tbDailyTotals[[#This Row],[Date]])</f>
        <v>0</v>
      </c>
      <c r="D74" s="82">
        <f>SUMIFS(Log[Sodium],Log[Date],tbDailyTotals[[#This Row],[Date]])</f>
        <v>0</v>
      </c>
      <c r="E74" s="71">
        <f>SUMIFS(Log[Net Carbs],Log[Date],tbDailyTotals[[#This Row],[Date]])</f>
        <v>0</v>
      </c>
      <c r="F74" s="71">
        <f>SUMIFS(Log[Protein],Log[Date],tbDailyTotals[[#This Row],[Date]])</f>
        <v>0</v>
      </c>
      <c r="G74" s="83">
        <f>SUMIFS(Log[Chol],Log[Date],tbDailyTotals[[#This Row],[Date]])</f>
        <v>0</v>
      </c>
      <c r="H74" s="92"/>
      <c r="I74" s="70" t="str">
        <f>IF(COUNTIFS(Log[Date],tbDailyTotals[[#This Row],[Date]],Log[Item],"Morn meds",Log[Qty],1),"x","")</f>
        <v/>
      </c>
      <c r="J74" s="70" t="str">
        <f>IF(COUNTIFS(Log[Date],tbDailyTotals[[#This Row],[Date]],Log[Item],"Morn insulin",Log[Qty],1),"x","")</f>
        <v/>
      </c>
      <c r="K74" s="70" t="str">
        <f>IF(COUNTIFS(Log[Date],tbDailyTotals[[#This Row],[Date]],Log[Item],"Eve insulin",Log[Qty],1),"x","")</f>
        <v/>
      </c>
      <c r="L74" s="70" t="str">
        <f>IF(COUNTIFS(Log[Date],tbDailyTotals[[#This Row],[Date]],Log[Item],"Eve meds",Log[Qty],1),"x","")</f>
        <v/>
      </c>
      <c r="M74" s="150"/>
    </row>
    <row r="75" spans="2:13" s="75" customFormat="1" ht="25.15" customHeight="1">
      <c r="B75" s="91"/>
      <c r="C75" s="82">
        <f>SUMIFS(Log[Cal],Log[Date],tbDailyTotals[[#This Row],[Date]])</f>
        <v>0</v>
      </c>
      <c r="D75" s="82">
        <f>SUMIFS(Log[Sodium],Log[Date],tbDailyTotals[[#This Row],[Date]])</f>
        <v>0</v>
      </c>
      <c r="E75" s="71">
        <f>SUMIFS(Log[Net Carbs],Log[Date],tbDailyTotals[[#This Row],[Date]])</f>
        <v>0</v>
      </c>
      <c r="F75" s="71">
        <f>SUMIFS(Log[Protein],Log[Date],tbDailyTotals[[#This Row],[Date]])</f>
        <v>0</v>
      </c>
      <c r="G75" s="83">
        <f>SUMIFS(Log[Chol],Log[Date],tbDailyTotals[[#This Row],[Date]])</f>
        <v>0</v>
      </c>
      <c r="H75" s="92"/>
      <c r="I75" s="70" t="str">
        <f>IF(COUNTIFS(Log[Date],tbDailyTotals[[#This Row],[Date]],Log[Item],"Morn meds",Log[Qty],1),"x","")</f>
        <v/>
      </c>
      <c r="J75" s="70" t="str">
        <f>IF(COUNTIFS(Log[Date],tbDailyTotals[[#This Row],[Date]],Log[Item],"Morn insulin",Log[Qty],1),"x","")</f>
        <v/>
      </c>
      <c r="K75" s="70" t="str">
        <f>IF(COUNTIFS(Log[Date],tbDailyTotals[[#This Row],[Date]],Log[Item],"Eve insulin",Log[Qty],1),"x","")</f>
        <v/>
      </c>
      <c r="L75" s="70" t="str">
        <f>IF(COUNTIFS(Log[Date],tbDailyTotals[[#This Row],[Date]],Log[Item],"Eve meds",Log[Qty],1),"x","")</f>
        <v/>
      </c>
      <c r="M75" s="150"/>
    </row>
    <row r="76" spans="2:13" s="75" customFormat="1" ht="25.15" customHeight="1">
      <c r="B76" s="91"/>
      <c r="C76" s="82">
        <f>SUMIFS(Log[Cal],Log[Date],tbDailyTotals[[#This Row],[Date]])</f>
        <v>0</v>
      </c>
      <c r="D76" s="82">
        <f>SUMIFS(Log[Sodium],Log[Date],tbDailyTotals[[#This Row],[Date]])</f>
        <v>0</v>
      </c>
      <c r="E76" s="71">
        <f>SUMIFS(Log[Net Carbs],Log[Date],tbDailyTotals[[#This Row],[Date]])</f>
        <v>0</v>
      </c>
      <c r="F76" s="71">
        <f>SUMIFS(Log[Protein],Log[Date],tbDailyTotals[[#This Row],[Date]])</f>
        <v>0</v>
      </c>
      <c r="G76" s="83">
        <f>SUMIFS(Log[Chol],Log[Date],tbDailyTotals[[#This Row],[Date]])</f>
        <v>0</v>
      </c>
      <c r="H76" s="92"/>
      <c r="I76" s="70" t="str">
        <f>IF(COUNTIFS(Log[Date],tbDailyTotals[[#This Row],[Date]],Log[Item],"Morn meds",Log[Qty],1),"x","")</f>
        <v/>
      </c>
      <c r="J76" s="70" t="str">
        <f>IF(COUNTIFS(Log[Date],tbDailyTotals[[#This Row],[Date]],Log[Item],"Morn insulin",Log[Qty],1),"x","")</f>
        <v/>
      </c>
      <c r="K76" s="70" t="str">
        <f>IF(COUNTIFS(Log[Date],tbDailyTotals[[#This Row],[Date]],Log[Item],"Eve insulin",Log[Qty],1),"x","")</f>
        <v/>
      </c>
      <c r="L76" s="70" t="str">
        <f>IF(COUNTIFS(Log[Date],tbDailyTotals[[#This Row],[Date]],Log[Item],"Eve meds",Log[Qty],1),"x","")</f>
        <v/>
      </c>
      <c r="M76" s="150"/>
    </row>
    <row r="77" spans="2:13" s="75" customFormat="1" ht="25.15" customHeight="1">
      <c r="B77" s="91"/>
      <c r="C77" s="82">
        <f>SUMIFS(Log[Cal],Log[Date],tbDailyTotals[[#This Row],[Date]])</f>
        <v>0</v>
      </c>
      <c r="D77" s="82">
        <f>SUMIFS(Log[Sodium],Log[Date],tbDailyTotals[[#This Row],[Date]])</f>
        <v>0</v>
      </c>
      <c r="E77" s="71">
        <f>SUMIFS(Log[Net Carbs],Log[Date],tbDailyTotals[[#This Row],[Date]])</f>
        <v>0</v>
      </c>
      <c r="F77" s="71">
        <f>SUMIFS(Log[Protein],Log[Date],tbDailyTotals[[#This Row],[Date]])</f>
        <v>0</v>
      </c>
      <c r="G77" s="83">
        <f>SUMIFS(Log[Chol],Log[Date],tbDailyTotals[[#This Row],[Date]])</f>
        <v>0</v>
      </c>
      <c r="H77" s="92"/>
      <c r="I77" s="70" t="str">
        <f>IF(COUNTIFS(Log[Date],tbDailyTotals[[#This Row],[Date]],Log[Item],"Morn meds",Log[Qty],1),"x","")</f>
        <v/>
      </c>
      <c r="J77" s="70" t="str">
        <f>IF(COUNTIFS(Log[Date],tbDailyTotals[[#This Row],[Date]],Log[Item],"Morn insulin",Log[Qty],1),"x","")</f>
        <v/>
      </c>
      <c r="K77" s="70" t="str">
        <f>IF(COUNTIFS(Log[Date],tbDailyTotals[[#This Row],[Date]],Log[Item],"Eve insulin",Log[Qty],1),"x","")</f>
        <v/>
      </c>
      <c r="L77" s="70" t="str">
        <f>IF(COUNTIFS(Log[Date],tbDailyTotals[[#This Row],[Date]],Log[Item],"Eve meds",Log[Qty],1),"x","")</f>
        <v/>
      </c>
      <c r="M77" s="150"/>
    </row>
    <row r="78" spans="2:13" s="75" customFormat="1" ht="25.15" customHeight="1">
      <c r="B78" s="91"/>
      <c r="C78" s="82">
        <f>SUMIFS(Log[Cal],Log[Date],tbDailyTotals[[#This Row],[Date]])</f>
        <v>0</v>
      </c>
      <c r="D78" s="82">
        <f>SUMIFS(Log[Sodium],Log[Date],tbDailyTotals[[#This Row],[Date]])</f>
        <v>0</v>
      </c>
      <c r="E78" s="71">
        <f>SUMIFS(Log[Net Carbs],Log[Date],tbDailyTotals[[#This Row],[Date]])</f>
        <v>0</v>
      </c>
      <c r="F78" s="71">
        <f>SUMIFS(Log[Protein],Log[Date],tbDailyTotals[[#This Row],[Date]])</f>
        <v>0</v>
      </c>
      <c r="G78" s="83">
        <f>SUMIFS(Log[Chol],Log[Date],tbDailyTotals[[#This Row],[Date]])</f>
        <v>0</v>
      </c>
      <c r="H78" s="92"/>
      <c r="I78" s="70" t="str">
        <f>IF(COUNTIFS(Log[Date],tbDailyTotals[[#This Row],[Date]],Log[Item],"Morn meds",Log[Qty],1),"x","")</f>
        <v/>
      </c>
      <c r="J78" s="70" t="str">
        <f>IF(COUNTIFS(Log[Date],tbDailyTotals[[#This Row],[Date]],Log[Item],"Morn insulin",Log[Qty],1),"x","")</f>
        <v/>
      </c>
      <c r="K78" s="70" t="str">
        <f>IF(COUNTIFS(Log[Date],tbDailyTotals[[#This Row],[Date]],Log[Item],"Eve insulin",Log[Qty],1),"x","")</f>
        <v/>
      </c>
      <c r="L78" s="70" t="str">
        <f>IF(COUNTIFS(Log[Date],tbDailyTotals[[#This Row],[Date]],Log[Item],"Eve meds",Log[Qty],1),"x","")</f>
        <v/>
      </c>
      <c r="M78" s="150"/>
    </row>
    <row r="79" spans="2:13" s="75" customFormat="1" ht="25.15" customHeight="1">
      <c r="B79" s="91"/>
      <c r="C79" s="82">
        <f>SUMIFS(Log[Cal],Log[Date],tbDailyTotals[[#This Row],[Date]])</f>
        <v>0</v>
      </c>
      <c r="D79" s="82">
        <f>SUMIFS(Log[Sodium],Log[Date],tbDailyTotals[[#This Row],[Date]])</f>
        <v>0</v>
      </c>
      <c r="E79" s="71">
        <f>SUMIFS(Log[Net Carbs],Log[Date],tbDailyTotals[[#This Row],[Date]])</f>
        <v>0</v>
      </c>
      <c r="F79" s="71">
        <f>SUMIFS(Log[Protein],Log[Date],tbDailyTotals[[#This Row],[Date]])</f>
        <v>0</v>
      </c>
      <c r="G79" s="83">
        <f>SUMIFS(Log[Chol],Log[Date],tbDailyTotals[[#This Row],[Date]])</f>
        <v>0</v>
      </c>
      <c r="H79" s="92"/>
      <c r="I79" s="70" t="str">
        <f>IF(COUNTIFS(Log[Date],tbDailyTotals[[#This Row],[Date]],Log[Item],"Morn meds",Log[Qty],1),"x","")</f>
        <v/>
      </c>
      <c r="J79" s="70" t="str">
        <f>IF(COUNTIFS(Log[Date],tbDailyTotals[[#This Row],[Date]],Log[Item],"Morn insulin",Log[Qty],1),"x","")</f>
        <v/>
      </c>
      <c r="K79" s="70" t="str">
        <f>IF(COUNTIFS(Log[Date],tbDailyTotals[[#This Row],[Date]],Log[Item],"Eve insulin",Log[Qty],1),"x","")</f>
        <v/>
      </c>
      <c r="L79" s="70" t="str">
        <f>IF(COUNTIFS(Log[Date],tbDailyTotals[[#This Row],[Date]],Log[Item],"Eve meds",Log[Qty],1),"x","")</f>
        <v/>
      </c>
      <c r="M79" s="150"/>
    </row>
    <row r="80" spans="2:13" s="75" customFormat="1" ht="25.15" customHeight="1">
      <c r="B80" s="91"/>
      <c r="C80" s="82">
        <f>SUMIFS(Log[Cal],Log[Date],tbDailyTotals[[#This Row],[Date]])</f>
        <v>0</v>
      </c>
      <c r="D80" s="82">
        <f>SUMIFS(Log[Sodium],Log[Date],tbDailyTotals[[#This Row],[Date]])</f>
        <v>0</v>
      </c>
      <c r="E80" s="71">
        <f>SUMIFS(Log[Net Carbs],Log[Date],tbDailyTotals[[#This Row],[Date]])</f>
        <v>0</v>
      </c>
      <c r="F80" s="71">
        <f>SUMIFS(Log[Protein],Log[Date],tbDailyTotals[[#This Row],[Date]])</f>
        <v>0</v>
      </c>
      <c r="G80" s="83">
        <f>SUMIFS(Log[Chol],Log[Date],tbDailyTotals[[#This Row],[Date]])</f>
        <v>0</v>
      </c>
      <c r="H80" s="92"/>
      <c r="I80" s="70" t="str">
        <f>IF(COUNTIFS(Log[Date],tbDailyTotals[[#This Row],[Date]],Log[Item],"Morn meds",Log[Qty],1),"x","")</f>
        <v/>
      </c>
      <c r="J80" s="70" t="str">
        <f>IF(COUNTIFS(Log[Date],tbDailyTotals[[#This Row],[Date]],Log[Item],"Morn insulin",Log[Qty],1),"x","")</f>
        <v/>
      </c>
      <c r="K80" s="70" t="str">
        <f>IF(COUNTIFS(Log[Date],tbDailyTotals[[#This Row],[Date]],Log[Item],"Eve insulin",Log[Qty],1),"x","")</f>
        <v/>
      </c>
      <c r="L80" s="70" t="str">
        <f>IF(COUNTIFS(Log[Date],tbDailyTotals[[#This Row],[Date]],Log[Item],"Eve meds",Log[Qty],1),"x","")</f>
        <v/>
      </c>
      <c r="M80" s="150"/>
    </row>
    <row r="81" spans="2:13" s="75" customFormat="1" ht="25.15" customHeight="1">
      <c r="B81" s="91"/>
      <c r="C81" s="82">
        <f>SUMIFS(Log[Cal],Log[Date],tbDailyTotals[[#This Row],[Date]])</f>
        <v>0</v>
      </c>
      <c r="D81" s="82">
        <f>SUMIFS(Log[Sodium],Log[Date],tbDailyTotals[[#This Row],[Date]])</f>
        <v>0</v>
      </c>
      <c r="E81" s="71">
        <f>SUMIFS(Log[Net Carbs],Log[Date],tbDailyTotals[[#This Row],[Date]])</f>
        <v>0</v>
      </c>
      <c r="F81" s="71">
        <f>SUMIFS(Log[Protein],Log[Date],tbDailyTotals[[#This Row],[Date]])</f>
        <v>0</v>
      </c>
      <c r="G81" s="83">
        <f>SUMIFS(Log[Chol],Log[Date],tbDailyTotals[[#This Row],[Date]])</f>
        <v>0</v>
      </c>
      <c r="H81" s="92"/>
      <c r="I81" s="70" t="str">
        <f>IF(COUNTIFS(Log[Date],tbDailyTotals[[#This Row],[Date]],Log[Item],"Morn meds",Log[Qty],1),"x","")</f>
        <v/>
      </c>
      <c r="J81" s="70" t="str">
        <f>IF(COUNTIFS(Log[Date],tbDailyTotals[[#This Row],[Date]],Log[Item],"Morn insulin",Log[Qty],1),"x","")</f>
        <v/>
      </c>
      <c r="K81" s="70" t="str">
        <f>IF(COUNTIFS(Log[Date],tbDailyTotals[[#This Row],[Date]],Log[Item],"Eve insulin",Log[Qty],1),"x","")</f>
        <v/>
      </c>
      <c r="L81" s="70" t="str">
        <f>IF(COUNTIFS(Log[Date],tbDailyTotals[[#This Row],[Date]],Log[Item],"Eve meds",Log[Qty],1),"x","")</f>
        <v/>
      </c>
      <c r="M81" s="150"/>
    </row>
    <row r="82" spans="2:13" s="75" customFormat="1" ht="25.15" customHeight="1">
      <c r="B82" s="91"/>
      <c r="C82" s="82">
        <f>SUMIFS(Log[Cal],Log[Date],tbDailyTotals[[#This Row],[Date]])</f>
        <v>0</v>
      </c>
      <c r="D82" s="82">
        <f>SUMIFS(Log[Sodium],Log[Date],tbDailyTotals[[#This Row],[Date]])</f>
        <v>0</v>
      </c>
      <c r="E82" s="71">
        <f>SUMIFS(Log[Net Carbs],Log[Date],tbDailyTotals[[#This Row],[Date]])</f>
        <v>0</v>
      </c>
      <c r="F82" s="71">
        <f>SUMIFS(Log[Protein],Log[Date],tbDailyTotals[[#This Row],[Date]])</f>
        <v>0</v>
      </c>
      <c r="G82" s="83">
        <f>SUMIFS(Log[Chol],Log[Date],tbDailyTotals[[#This Row],[Date]])</f>
        <v>0</v>
      </c>
      <c r="H82" s="92"/>
      <c r="I82" s="70" t="str">
        <f>IF(COUNTIFS(Log[Date],tbDailyTotals[[#This Row],[Date]],Log[Item],"Morn meds",Log[Qty],1),"x","")</f>
        <v/>
      </c>
      <c r="J82" s="70" t="str">
        <f>IF(COUNTIFS(Log[Date],tbDailyTotals[[#This Row],[Date]],Log[Item],"Morn insulin",Log[Qty],1),"x","")</f>
        <v/>
      </c>
      <c r="K82" s="70" t="str">
        <f>IF(COUNTIFS(Log[Date],tbDailyTotals[[#This Row],[Date]],Log[Item],"Eve insulin",Log[Qty],1),"x","")</f>
        <v/>
      </c>
      <c r="L82" s="70" t="str">
        <f>IF(COUNTIFS(Log[Date],tbDailyTotals[[#This Row],[Date]],Log[Item],"Eve meds",Log[Qty],1),"x","")</f>
        <v/>
      </c>
      <c r="M82" s="150"/>
    </row>
    <row r="83" spans="2:13" s="75" customFormat="1" ht="25.15" customHeight="1">
      <c r="B83" s="91"/>
      <c r="C83" s="82">
        <f>SUMIFS(Log[Cal],Log[Date],tbDailyTotals[[#This Row],[Date]])</f>
        <v>0</v>
      </c>
      <c r="D83" s="82">
        <f>SUMIFS(Log[Sodium],Log[Date],tbDailyTotals[[#This Row],[Date]])</f>
        <v>0</v>
      </c>
      <c r="E83" s="71">
        <f>SUMIFS(Log[Net Carbs],Log[Date],tbDailyTotals[[#This Row],[Date]])</f>
        <v>0</v>
      </c>
      <c r="F83" s="71">
        <f>SUMIFS(Log[Protein],Log[Date],tbDailyTotals[[#This Row],[Date]])</f>
        <v>0</v>
      </c>
      <c r="G83" s="83">
        <f>SUMIFS(Log[Chol],Log[Date],tbDailyTotals[[#This Row],[Date]])</f>
        <v>0</v>
      </c>
      <c r="H83" s="92"/>
      <c r="I83" s="70" t="str">
        <f>IF(COUNTIFS(Log[Date],tbDailyTotals[[#This Row],[Date]],Log[Item],"Morn meds",Log[Qty],1),"x","")</f>
        <v/>
      </c>
      <c r="J83" s="70" t="str">
        <f>IF(COUNTIFS(Log[Date],tbDailyTotals[[#This Row],[Date]],Log[Item],"Morn insulin",Log[Qty],1),"x","")</f>
        <v/>
      </c>
      <c r="K83" s="70" t="str">
        <f>IF(COUNTIFS(Log[Date],tbDailyTotals[[#This Row],[Date]],Log[Item],"Eve insulin",Log[Qty],1),"x","")</f>
        <v/>
      </c>
      <c r="L83" s="70" t="str">
        <f>IF(COUNTIFS(Log[Date],tbDailyTotals[[#This Row],[Date]],Log[Item],"Eve meds",Log[Qty],1),"x","")</f>
        <v/>
      </c>
      <c r="M83" s="150"/>
    </row>
    <row r="84" spans="2:13" s="75" customFormat="1" ht="25.15" customHeight="1">
      <c r="B84" s="91"/>
      <c r="C84" s="82">
        <f>SUMIFS(Log[Cal],Log[Date],tbDailyTotals[[#This Row],[Date]])</f>
        <v>0</v>
      </c>
      <c r="D84" s="82">
        <f>SUMIFS(Log[Sodium],Log[Date],tbDailyTotals[[#This Row],[Date]])</f>
        <v>0</v>
      </c>
      <c r="E84" s="71">
        <f>SUMIFS(Log[Net Carbs],Log[Date],tbDailyTotals[[#This Row],[Date]])</f>
        <v>0</v>
      </c>
      <c r="F84" s="71">
        <f>SUMIFS(Log[Protein],Log[Date],tbDailyTotals[[#This Row],[Date]])</f>
        <v>0</v>
      </c>
      <c r="G84" s="83">
        <f>SUMIFS(Log[Chol],Log[Date],tbDailyTotals[[#This Row],[Date]])</f>
        <v>0</v>
      </c>
      <c r="H84" s="92"/>
      <c r="I84" s="70" t="str">
        <f>IF(COUNTIFS(Log[Date],tbDailyTotals[[#This Row],[Date]],Log[Item],"Morn meds",Log[Qty],1),"x","")</f>
        <v/>
      </c>
      <c r="J84" s="70" t="str">
        <f>IF(COUNTIFS(Log[Date],tbDailyTotals[[#This Row],[Date]],Log[Item],"Morn insulin",Log[Qty],1),"x","")</f>
        <v/>
      </c>
      <c r="K84" s="70" t="str">
        <f>IF(COUNTIFS(Log[Date],tbDailyTotals[[#This Row],[Date]],Log[Item],"Eve insulin",Log[Qty],1),"x","")</f>
        <v/>
      </c>
      <c r="L84" s="70" t="str">
        <f>IF(COUNTIFS(Log[Date],tbDailyTotals[[#This Row],[Date]],Log[Item],"Eve meds",Log[Qty],1),"x","")</f>
        <v/>
      </c>
      <c r="M84" s="150"/>
    </row>
    <row r="85" spans="2:13" s="75" customFormat="1" ht="25.15" customHeight="1">
      <c r="B85" s="91"/>
      <c r="C85" s="82">
        <f>SUMIFS(Log[Cal],Log[Date],tbDailyTotals[[#This Row],[Date]])</f>
        <v>0</v>
      </c>
      <c r="D85" s="82">
        <f>SUMIFS(Log[Sodium],Log[Date],tbDailyTotals[[#This Row],[Date]])</f>
        <v>0</v>
      </c>
      <c r="E85" s="71">
        <f>SUMIFS(Log[Net Carbs],Log[Date],tbDailyTotals[[#This Row],[Date]])</f>
        <v>0</v>
      </c>
      <c r="F85" s="71">
        <f>SUMIFS(Log[Protein],Log[Date],tbDailyTotals[[#This Row],[Date]])</f>
        <v>0</v>
      </c>
      <c r="G85" s="83">
        <f>SUMIFS(Log[Chol],Log[Date],tbDailyTotals[[#This Row],[Date]])</f>
        <v>0</v>
      </c>
      <c r="H85" s="92"/>
      <c r="I85" s="70" t="str">
        <f>IF(COUNTIFS(Log[Date],tbDailyTotals[[#This Row],[Date]],Log[Item],"Morn meds",Log[Qty],1),"x","")</f>
        <v/>
      </c>
      <c r="J85" s="70" t="str">
        <f>IF(COUNTIFS(Log[Date],tbDailyTotals[[#This Row],[Date]],Log[Item],"Morn insulin",Log[Qty],1),"x","")</f>
        <v/>
      </c>
      <c r="K85" s="70" t="str">
        <f>IF(COUNTIFS(Log[Date],tbDailyTotals[[#This Row],[Date]],Log[Item],"Eve insulin",Log[Qty],1),"x","")</f>
        <v/>
      </c>
      <c r="L85" s="70" t="str">
        <f>IF(COUNTIFS(Log[Date],tbDailyTotals[[#This Row],[Date]],Log[Item],"Eve meds",Log[Qty],1),"x","")</f>
        <v/>
      </c>
      <c r="M85" s="150"/>
    </row>
    <row r="86" spans="2:13" s="75" customFormat="1" ht="25.15" customHeight="1">
      <c r="B86" s="91"/>
      <c r="C86" s="82">
        <f>SUMIFS(Log[Cal],Log[Date],tbDailyTotals[[#This Row],[Date]])</f>
        <v>0</v>
      </c>
      <c r="D86" s="82">
        <f>SUMIFS(Log[Sodium],Log[Date],tbDailyTotals[[#This Row],[Date]])</f>
        <v>0</v>
      </c>
      <c r="E86" s="71">
        <f>SUMIFS(Log[Net Carbs],Log[Date],tbDailyTotals[[#This Row],[Date]])</f>
        <v>0</v>
      </c>
      <c r="F86" s="71">
        <f>SUMIFS(Log[Protein],Log[Date],tbDailyTotals[[#This Row],[Date]])</f>
        <v>0</v>
      </c>
      <c r="G86" s="83">
        <f>SUMIFS(Log[Chol],Log[Date],tbDailyTotals[[#This Row],[Date]])</f>
        <v>0</v>
      </c>
      <c r="H86" s="92"/>
      <c r="I86" s="70" t="str">
        <f>IF(COUNTIFS(Log[Date],tbDailyTotals[[#This Row],[Date]],Log[Item],"Morn meds",Log[Qty],1),"x","")</f>
        <v/>
      </c>
      <c r="J86" s="70" t="str">
        <f>IF(COUNTIFS(Log[Date],tbDailyTotals[[#This Row],[Date]],Log[Item],"Morn insulin",Log[Qty],1),"x","")</f>
        <v/>
      </c>
      <c r="K86" s="70" t="str">
        <f>IF(COUNTIFS(Log[Date],tbDailyTotals[[#This Row],[Date]],Log[Item],"Eve insulin",Log[Qty],1),"x","")</f>
        <v/>
      </c>
      <c r="L86" s="70" t="str">
        <f>IF(COUNTIFS(Log[Date],tbDailyTotals[[#This Row],[Date]],Log[Item],"Eve meds",Log[Qty],1),"x","")</f>
        <v/>
      </c>
      <c r="M86" s="150"/>
    </row>
    <row r="87" spans="2:13" s="75" customFormat="1" ht="25.15" customHeight="1">
      <c r="B87" s="91"/>
      <c r="C87" s="82">
        <f>SUMIFS(Log[Cal],Log[Date],tbDailyTotals[[#This Row],[Date]])</f>
        <v>0</v>
      </c>
      <c r="D87" s="82">
        <f>SUMIFS(Log[Sodium],Log[Date],tbDailyTotals[[#This Row],[Date]])</f>
        <v>0</v>
      </c>
      <c r="E87" s="71">
        <f>SUMIFS(Log[Net Carbs],Log[Date],tbDailyTotals[[#This Row],[Date]])</f>
        <v>0</v>
      </c>
      <c r="F87" s="71">
        <f>SUMIFS(Log[Protein],Log[Date],tbDailyTotals[[#This Row],[Date]])</f>
        <v>0</v>
      </c>
      <c r="G87" s="83">
        <f>SUMIFS(Log[Chol],Log[Date],tbDailyTotals[[#This Row],[Date]])</f>
        <v>0</v>
      </c>
      <c r="H87" s="92"/>
      <c r="I87" s="70" t="str">
        <f>IF(COUNTIFS(Log[Date],tbDailyTotals[[#This Row],[Date]],Log[Item],"Morn meds",Log[Qty],1),"x","")</f>
        <v/>
      </c>
      <c r="J87" s="70" t="str">
        <f>IF(COUNTIFS(Log[Date],tbDailyTotals[[#This Row],[Date]],Log[Item],"Morn insulin",Log[Qty],1),"x","")</f>
        <v/>
      </c>
      <c r="K87" s="70" t="str">
        <f>IF(COUNTIFS(Log[Date],tbDailyTotals[[#This Row],[Date]],Log[Item],"Eve insulin",Log[Qty],1),"x","")</f>
        <v/>
      </c>
      <c r="L87" s="70" t="str">
        <f>IF(COUNTIFS(Log[Date],tbDailyTotals[[#This Row],[Date]],Log[Item],"Eve meds",Log[Qty],1),"x","")</f>
        <v/>
      </c>
      <c r="M87" s="150"/>
    </row>
    <row r="88" spans="2:13" s="75" customFormat="1" ht="25.15" customHeight="1">
      <c r="B88" s="91"/>
      <c r="C88" s="82">
        <f>SUMIFS(Log[Cal],Log[Date],tbDailyTotals[[#This Row],[Date]])</f>
        <v>0</v>
      </c>
      <c r="D88" s="82">
        <f>SUMIFS(Log[Sodium],Log[Date],tbDailyTotals[[#This Row],[Date]])</f>
        <v>0</v>
      </c>
      <c r="E88" s="71">
        <f>SUMIFS(Log[Net Carbs],Log[Date],tbDailyTotals[[#This Row],[Date]])</f>
        <v>0</v>
      </c>
      <c r="F88" s="71">
        <f>SUMIFS(Log[Protein],Log[Date],tbDailyTotals[[#This Row],[Date]])</f>
        <v>0</v>
      </c>
      <c r="G88" s="83">
        <f>SUMIFS(Log[Chol],Log[Date],tbDailyTotals[[#This Row],[Date]])</f>
        <v>0</v>
      </c>
      <c r="H88" s="92"/>
      <c r="I88" s="70" t="str">
        <f>IF(COUNTIFS(Log[Date],tbDailyTotals[[#This Row],[Date]],Log[Item],"Morn meds",Log[Qty],1),"x","")</f>
        <v/>
      </c>
      <c r="J88" s="70" t="str">
        <f>IF(COUNTIFS(Log[Date],tbDailyTotals[[#This Row],[Date]],Log[Item],"Morn insulin",Log[Qty],1),"x","")</f>
        <v/>
      </c>
      <c r="K88" s="70" t="str">
        <f>IF(COUNTIFS(Log[Date],tbDailyTotals[[#This Row],[Date]],Log[Item],"Eve insulin",Log[Qty],1),"x","")</f>
        <v/>
      </c>
      <c r="L88" s="70" t="str">
        <f>IF(COUNTIFS(Log[Date],tbDailyTotals[[#This Row],[Date]],Log[Item],"Eve meds",Log[Qty],1),"x","")</f>
        <v/>
      </c>
      <c r="M88" s="150"/>
    </row>
    <row r="89" spans="2:13" s="75" customFormat="1" ht="25.15" customHeight="1">
      <c r="B89" s="91"/>
      <c r="C89" s="82">
        <f>SUMIFS(Log[Cal],Log[Date],tbDailyTotals[[#This Row],[Date]])</f>
        <v>0</v>
      </c>
      <c r="D89" s="82">
        <f>SUMIFS(Log[Sodium],Log[Date],tbDailyTotals[[#This Row],[Date]])</f>
        <v>0</v>
      </c>
      <c r="E89" s="71">
        <f>SUMIFS(Log[Net Carbs],Log[Date],tbDailyTotals[[#This Row],[Date]])</f>
        <v>0</v>
      </c>
      <c r="F89" s="71">
        <f>SUMIFS(Log[Protein],Log[Date],tbDailyTotals[[#This Row],[Date]])</f>
        <v>0</v>
      </c>
      <c r="G89" s="83">
        <f>SUMIFS(Log[Chol],Log[Date],tbDailyTotals[[#This Row],[Date]])</f>
        <v>0</v>
      </c>
      <c r="H89" s="92"/>
      <c r="I89" s="70" t="str">
        <f>IF(COUNTIFS(Log[Date],tbDailyTotals[[#This Row],[Date]],Log[Item],"Morn meds",Log[Qty],1),"x","")</f>
        <v/>
      </c>
      <c r="J89" s="70" t="str">
        <f>IF(COUNTIFS(Log[Date],tbDailyTotals[[#This Row],[Date]],Log[Item],"Morn insulin",Log[Qty],1),"x","")</f>
        <v/>
      </c>
      <c r="K89" s="70" t="str">
        <f>IF(COUNTIFS(Log[Date],tbDailyTotals[[#This Row],[Date]],Log[Item],"Eve insulin",Log[Qty],1),"x","")</f>
        <v/>
      </c>
      <c r="L89" s="70" t="str">
        <f>IF(COUNTIFS(Log[Date],tbDailyTotals[[#This Row],[Date]],Log[Item],"Eve meds",Log[Qty],1),"x","")</f>
        <v/>
      </c>
      <c r="M89" s="150"/>
    </row>
    <row r="90" spans="2:13" s="75" customFormat="1" ht="25.15" customHeight="1">
      <c r="B90" s="91"/>
      <c r="C90" s="82">
        <f>SUMIFS(Log[Cal],Log[Date],tbDailyTotals[[#This Row],[Date]])</f>
        <v>0</v>
      </c>
      <c r="D90" s="82">
        <f>SUMIFS(Log[Sodium],Log[Date],tbDailyTotals[[#This Row],[Date]])</f>
        <v>0</v>
      </c>
      <c r="E90" s="71">
        <f>SUMIFS(Log[Net Carbs],Log[Date],tbDailyTotals[[#This Row],[Date]])</f>
        <v>0</v>
      </c>
      <c r="F90" s="71">
        <f>SUMIFS(Log[Protein],Log[Date],tbDailyTotals[[#This Row],[Date]])</f>
        <v>0</v>
      </c>
      <c r="G90" s="83">
        <f>SUMIFS(Log[Chol],Log[Date],tbDailyTotals[[#This Row],[Date]])</f>
        <v>0</v>
      </c>
      <c r="H90" s="92"/>
      <c r="I90" s="70" t="str">
        <f>IF(COUNTIFS(Log[Date],tbDailyTotals[[#This Row],[Date]],Log[Item],"Morn meds",Log[Qty],1),"x","")</f>
        <v/>
      </c>
      <c r="J90" s="70" t="str">
        <f>IF(COUNTIFS(Log[Date],tbDailyTotals[[#This Row],[Date]],Log[Item],"Morn insulin",Log[Qty],1),"x","")</f>
        <v/>
      </c>
      <c r="K90" s="70" t="str">
        <f>IF(COUNTIFS(Log[Date],tbDailyTotals[[#This Row],[Date]],Log[Item],"Eve insulin",Log[Qty],1),"x","")</f>
        <v/>
      </c>
      <c r="L90" s="70" t="str">
        <f>IF(COUNTIFS(Log[Date],tbDailyTotals[[#This Row],[Date]],Log[Item],"Eve meds",Log[Qty],1),"x","")</f>
        <v/>
      </c>
      <c r="M90" s="150"/>
    </row>
    <row r="91" spans="2:13" s="75" customFormat="1" ht="25.15" customHeight="1">
      <c r="B91" s="91"/>
      <c r="C91" s="82">
        <f>SUMIFS(Log[Cal],Log[Date],tbDailyTotals[[#This Row],[Date]])</f>
        <v>0</v>
      </c>
      <c r="D91" s="82">
        <f>SUMIFS(Log[Sodium],Log[Date],tbDailyTotals[[#This Row],[Date]])</f>
        <v>0</v>
      </c>
      <c r="E91" s="71">
        <f>SUMIFS(Log[Net Carbs],Log[Date],tbDailyTotals[[#This Row],[Date]])</f>
        <v>0</v>
      </c>
      <c r="F91" s="71">
        <f>SUMIFS(Log[Protein],Log[Date],tbDailyTotals[[#This Row],[Date]])</f>
        <v>0</v>
      </c>
      <c r="G91" s="83">
        <f>SUMIFS(Log[Chol],Log[Date],tbDailyTotals[[#This Row],[Date]])</f>
        <v>0</v>
      </c>
      <c r="H91" s="92"/>
      <c r="I91" s="70" t="str">
        <f>IF(COUNTIFS(Log[Date],tbDailyTotals[[#This Row],[Date]],Log[Item],"Morn meds",Log[Qty],1),"x","")</f>
        <v/>
      </c>
      <c r="J91" s="70" t="str">
        <f>IF(COUNTIFS(Log[Date],tbDailyTotals[[#This Row],[Date]],Log[Item],"Morn insulin",Log[Qty],1),"x","")</f>
        <v/>
      </c>
      <c r="K91" s="70" t="str">
        <f>IF(COUNTIFS(Log[Date],tbDailyTotals[[#This Row],[Date]],Log[Item],"Eve insulin",Log[Qty],1),"x","")</f>
        <v/>
      </c>
      <c r="L91" s="70" t="str">
        <f>IF(COUNTIFS(Log[Date],tbDailyTotals[[#This Row],[Date]],Log[Item],"Eve meds",Log[Qty],1),"x","")</f>
        <v/>
      </c>
      <c r="M91" s="150"/>
    </row>
    <row r="92" spans="2:13" s="75" customFormat="1" ht="25.15" customHeight="1">
      <c r="B92" s="91"/>
      <c r="C92" s="82">
        <f>SUMIFS(Log[Cal],Log[Date],tbDailyTotals[[#This Row],[Date]])</f>
        <v>0</v>
      </c>
      <c r="D92" s="82">
        <f>SUMIFS(Log[Sodium],Log[Date],tbDailyTotals[[#This Row],[Date]])</f>
        <v>0</v>
      </c>
      <c r="E92" s="71">
        <f>SUMIFS(Log[Net Carbs],Log[Date],tbDailyTotals[[#This Row],[Date]])</f>
        <v>0</v>
      </c>
      <c r="F92" s="71">
        <f>SUMIFS(Log[Protein],Log[Date],tbDailyTotals[[#This Row],[Date]])</f>
        <v>0</v>
      </c>
      <c r="G92" s="83">
        <f>SUMIFS(Log[Chol],Log[Date],tbDailyTotals[[#This Row],[Date]])</f>
        <v>0</v>
      </c>
      <c r="H92" s="92"/>
      <c r="I92" s="70" t="str">
        <f>IF(COUNTIFS(Log[Date],tbDailyTotals[[#This Row],[Date]],Log[Item],"Morn meds",Log[Qty],1),"x","")</f>
        <v/>
      </c>
      <c r="J92" s="70" t="str">
        <f>IF(COUNTIFS(Log[Date],tbDailyTotals[[#This Row],[Date]],Log[Item],"Morn insulin",Log[Qty],1),"x","")</f>
        <v/>
      </c>
      <c r="K92" s="70" t="str">
        <f>IF(COUNTIFS(Log[Date],tbDailyTotals[[#This Row],[Date]],Log[Item],"Eve insulin",Log[Qty],1),"x","")</f>
        <v/>
      </c>
      <c r="L92" s="70" t="str">
        <f>IF(COUNTIFS(Log[Date],tbDailyTotals[[#This Row],[Date]],Log[Item],"Eve meds",Log[Qty],1),"x","")</f>
        <v/>
      </c>
      <c r="M92" s="150"/>
    </row>
    <row r="93" spans="2:13" s="75" customFormat="1" ht="25.15" customHeight="1">
      <c r="B93" s="91"/>
      <c r="C93" s="82">
        <f>SUMIFS(Log[Cal],Log[Date],tbDailyTotals[[#This Row],[Date]])</f>
        <v>0</v>
      </c>
      <c r="D93" s="82">
        <f>SUMIFS(Log[Sodium],Log[Date],tbDailyTotals[[#This Row],[Date]])</f>
        <v>0</v>
      </c>
      <c r="E93" s="71">
        <f>SUMIFS(Log[Net Carbs],Log[Date],tbDailyTotals[[#This Row],[Date]])</f>
        <v>0</v>
      </c>
      <c r="F93" s="71">
        <f>SUMIFS(Log[Protein],Log[Date],tbDailyTotals[[#This Row],[Date]])</f>
        <v>0</v>
      </c>
      <c r="G93" s="83">
        <f>SUMIFS(Log[Chol],Log[Date],tbDailyTotals[[#This Row],[Date]])</f>
        <v>0</v>
      </c>
      <c r="H93" s="92"/>
      <c r="I93" s="70" t="str">
        <f>IF(COUNTIFS(Log[Date],tbDailyTotals[[#This Row],[Date]],Log[Item],"Morn meds",Log[Qty],1),"x","")</f>
        <v/>
      </c>
      <c r="J93" s="70" t="str">
        <f>IF(COUNTIFS(Log[Date],tbDailyTotals[[#This Row],[Date]],Log[Item],"Morn insulin",Log[Qty],1),"x","")</f>
        <v/>
      </c>
      <c r="K93" s="70" t="str">
        <f>IF(COUNTIFS(Log[Date],tbDailyTotals[[#This Row],[Date]],Log[Item],"Eve insulin",Log[Qty],1),"x","")</f>
        <v/>
      </c>
      <c r="L93" s="70" t="str">
        <f>IF(COUNTIFS(Log[Date],tbDailyTotals[[#This Row],[Date]],Log[Item],"Eve meds",Log[Qty],1),"x","")</f>
        <v/>
      </c>
      <c r="M93" s="150"/>
    </row>
    <row r="94" spans="2:13" s="75" customFormat="1" ht="25.15" customHeight="1">
      <c r="B94" s="91"/>
      <c r="C94" s="82">
        <f>SUMIFS(Log[Cal],Log[Date],tbDailyTotals[[#This Row],[Date]])</f>
        <v>0</v>
      </c>
      <c r="D94" s="82">
        <f>SUMIFS(Log[Sodium],Log[Date],tbDailyTotals[[#This Row],[Date]])</f>
        <v>0</v>
      </c>
      <c r="E94" s="71">
        <f>SUMIFS(Log[Net Carbs],Log[Date],tbDailyTotals[[#This Row],[Date]])</f>
        <v>0</v>
      </c>
      <c r="F94" s="71">
        <f>SUMIFS(Log[Protein],Log[Date],tbDailyTotals[[#This Row],[Date]])</f>
        <v>0</v>
      </c>
      <c r="G94" s="83">
        <f>SUMIFS(Log[Chol],Log[Date],tbDailyTotals[[#This Row],[Date]])</f>
        <v>0</v>
      </c>
      <c r="H94" s="92"/>
      <c r="I94" s="70" t="str">
        <f>IF(COUNTIFS(Log[Date],tbDailyTotals[[#This Row],[Date]],Log[Item],"Morn meds",Log[Qty],1),"x","")</f>
        <v/>
      </c>
      <c r="J94" s="70" t="str">
        <f>IF(COUNTIFS(Log[Date],tbDailyTotals[[#This Row],[Date]],Log[Item],"Morn insulin",Log[Qty],1),"x","")</f>
        <v/>
      </c>
      <c r="K94" s="70" t="str">
        <f>IF(COUNTIFS(Log[Date],tbDailyTotals[[#This Row],[Date]],Log[Item],"Eve insulin",Log[Qty],1),"x","")</f>
        <v/>
      </c>
      <c r="L94" s="70" t="str">
        <f>IF(COUNTIFS(Log[Date],tbDailyTotals[[#This Row],[Date]],Log[Item],"Eve meds",Log[Qty],1),"x","")</f>
        <v/>
      </c>
      <c r="M94" s="150"/>
    </row>
    <row r="95" spans="2:13" s="75" customFormat="1" ht="25.15" customHeight="1">
      <c r="B95" s="91"/>
      <c r="C95" s="82">
        <f>SUMIFS(Log[Cal],Log[Date],tbDailyTotals[[#This Row],[Date]])</f>
        <v>0</v>
      </c>
      <c r="D95" s="82">
        <f>SUMIFS(Log[Sodium],Log[Date],tbDailyTotals[[#This Row],[Date]])</f>
        <v>0</v>
      </c>
      <c r="E95" s="71">
        <f>SUMIFS(Log[Net Carbs],Log[Date],tbDailyTotals[[#This Row],[Date]])</f>
        <v>0</v>
      </c>
      <c r="F95" s="71">
        <f>SUMIFS(Log[Protein],Log[Date],tbDailyTotals[[#This Row],[Date]])</f>
        <v>0</v>
      </c>
      <c r="G95" s="83">
        <f>SUMIFS(Log[Chol],Log[Date],tbDailyTotals[[#This Row],[Date]])</f>
        <v>0</v>
      </c>
      <c r="H95" s="92"/>
      <c r="I95" s="70" t="str">
        <f>IF(COUNTIFS(Log[Date],tbDailyTotals[[#This Row],[Date]],Log[Item],"Morn meds",Log[Qty],1),"x","")</f>
        <v/>
      </c>
      <c r="J95" s="70" t="str">
        <f>IF(COUNTIFS(Log[Date],tbDailyTotals[[#This Row],[Date]],Log[Item],"Morn insulin",Log[Qty],1),"x","")</f>
        <v/>
      </c>
      <c r="K95" s="70" t="str">
        <f>IF(COUNTIFS(Log[Date],tbDailyTotals[[#This Row],[Date]],Log[Item],"Eve insulin",Log[Qty],1),"x","")</f>
        <v/>
      </c>
      <c r="L95" s="70" t="str">
        <f>IF(COUNTIFS(Log[Date],tbDailyTotals[[#This Row],[Date]],Log[Item],"Eve meds",Log[Qty],1),"x","")</f>
        <v/>
      </c>
      <c r="M95" s="150"/>
    </row>
    <row r="96" spans="2:13" s="75" customFormat="1" ht="25.15" customHeight="1">
      <c r="B96" s="91"/>
      <c r="C96" s="82">
        <f>SUMIFS(Log[Cal],Log[Date],tbDailyTotals[[#This Row],[Date]])</f>
        <v>0</v>
      </c>
      <c r="D96" s="82">
        <f>SUMIFS(Log[Sodium],Log[Date],tbDailyTotals[[#This Row],[Date]])</f>
        <v>0</v>
      </c>
      <c r="E96" s="71">
        <f>SUMIFS(Log[Net Carbs],Log[Date],tbDailyTotals[[#This Row],[Date]])</f>
        <v>0</v>
      </c>
      <c r="F96" s="71">
        <f>SUMIFS(Log[Protein],Log[Date],tbDailyTotals[[#This Row],[Date]])</f>
        <v>0</v>
      </c>
      <c r="G96" s="83">
        <f>SUMIFS(Log[Chol],Log[Date],tbDailyTotals[[#This Row],[Date]])</f>
        <v>0</v>
      </c>
      <c r="H96" s="92"/>
      <c r="I96" s="70" t="str">
        <f>IF(COUNTIFS(Log[Date],tbDailyTotals[[#This Row],[Date]],Log[Item],"Morn meds",Log[Qty],1),"x","")</f>
        <v/>
      </c>
      <c r="J96" s="70" t="str">
        <f>IF(COUNTIFS(Log[Date],tbDailyTotals[[#This Row],[Date]],Log[Item],"Morn insulin",Log[Qty],1),"x","")</f>
        <v/>
      </c>
      <c r="K96" s="70" t="str">
        <f>IF(COUNTIFS(Log[Date],tbDailyTotals[[#This Row],[Date]],Log[Item],"Eve insulin",Log[Qty],1),"x","")</f>
        <v/>
      </c>
      <c r="L96" s="70" t="str">
        <f>IF(COUNTIFS(Log[Date],tbDailyTotals[[#This Row],[Date]],Log[Item],"Eve meds",Log[Qty],1),"x","")</f>
        <v/>
      </c>
      <c r="M96" s="150"/>
    </row>
    <row r="97" spans="2:13" s="75" customFormat="1" ht="25.15" customHeight="1">
      <c r="B97" s="91"/>
      <c r="C97" s="82">
        <f>SUMIFS(Log[Cal],Log[Date],tbDailyTotals[[#This Row],[Date]])</f>
        <v>0</v>
      </c>
      <c r="D97" s="82">
        <f>SUMIFS(Log[Sodium],Log[Date],tbDailyTotals[[#This Row],[Date]])</f>
        <v>0</v>
      </c>
      <c r="E97" s="71">
        <f>SUMIFS(Log[Net Carbs],Log[Date],tbDailyTotals[[#This Row],[Date]])</f>
        <v>0</v>
      </c>
      <c r="F97" s="71">
        <f>SUMIFS(Log[Protein],Log[Date],tbDailyTotals[[#This Row],[Date]])</f>
        <v>0</v>
      </c>
      <c r="G97" s="83">
        <f>SUMIFS(Log[Chol],Log[Date],tbDailyTotals[[#This Row],[Date]])</f>
        <v>0</v>
      </c>
      <c r="H97" s="92"/>
      <c r="I97" s="70" t="str">
        <f>IF(COUNTIFS(Log[Date],tbDailyTotals[[#This Row],[Date]],Log[Item],"Morn meds",Log[Qty],1),"x","")</f>
        <v/>
      </c>
      <c r="J97" s="70" t="str">
        <f>IF(COUNTIFS(Log[Date],tbDailyTotals[[#This Row],[Date]],Log[Item],"Morn insulin",Log[Qty],1),"x","")</f>
        <v/>
      </c>
      <c r="K97" s="70" t="str">
        <f>IF(COUNTIFS(Log[Date],tbDailyTotals[[#This Row],[Date]],Log[Item],"Eve insulin",Log[Qty],1),"x","")</f>
        <v/>
      </c>
      <c r="L97" s="70" t="str">
        <f>IF(COUNTIFS(Log[Date],tbDailyTotals[[#This Row],[Date]],Log[Item],"Eve meds",Log[Qty],1),"x","")</f>
        <v/>
      </c>
      <c r="M97" s="150"/>
    </row>
    <row r="98" spans="2:13" s="75" customFormat="1" ht="25.15" customHeight="1">
      <c r="B98" s="91"/>
      <c r="C98" s="82">
        <f>SUMIFS(Log[Cal],Log[Date],tbDailyTotals[[#This Row],[Date]])</f>
        <v>0</v>
      </c>
      <c r="D98" s="82">
        <f>SUMIFS(Log[Sodium],Log[Date],tbDailyTotals[[#This Row],[Date]])</f>
        <v>0</v>
      </c>
      <c r="E98" s="71">
        <f>SUMIFS(Log[Net Carbs],Log[Date],tbDailyTotals[[#This Row],[Date]])</f>
        <v>0</v>
      </c>
      <c r="F98" s="71">
        <f>SUMIFS(Log[Protein],Log[Date],tbDailyTotals[[#This Row],[Date]])</f>
        <v>0</v>
      </c>
      <c r="G98" s="83">
        <f>SUMIFS(Log[Chol],Log[Date],tbDailyTotals[[#This Row],[Date]])</f>
        <v>0</v>
      </c>
      <c r="H98" s="92"/>
      <c r="I98" s="70" t="str">
        <f>IF(COUNTIFS(Log[Date],tbDailyTotals[[#This Row],[Date]],Log[Item],"Morn meds",Log[Qty],1),"x","")</f>
        <v/>
      </c>
      <c r="J98" s="70" t="str">
        <f>IF(COUNTIFS(Log[Date],tbDailyTotals[[#This Row],[Date]],Log[Item],"Morn insulin",Log[Qty],1),"x","")</f>
        <v/>
      </c>
      <c r="K98" s="70" t="str">
        <f>IF(COUNTIFS(Log[Date],tbDailyTotals[[#This Row],[Date]],Log[Item],"Eve insulin",Log[Qty],1),"x","")</f>
        <v/>
      </c>
      <c r="L98" s="70" t="str">
        <f>IF(COUNTIFS(Log[Date],tbDailyTotals[[#This Row],[Date]],Log[Item],"Eve meds",Log[Qty],1),"x","")</f>
        <v/>
      </c>
      <c r="M98" s="150"/>
    </row>
    <row r="99" spans="2:13" s="75" customFormat="1" ht="25.15" customHeight="1">
      <c r="B99" s="91"/>
      <c r="C99" s="82">
        <f>SUMIFS(Log[Cal],Log[Date],tbDailyTotals[[#This Row],[Date]])</f>
        <v>0</v>
      </c>
      <c r="D99" s="82">
        <f>SUMIFS(Log[Sodium],Log[Date],tbDailyTotals[[#This Row],[Date]])</f>
        <v>0</v>
      </c>
      <c r="E99" s="71">
        <f>SUMIFS(Log[Net Carbs],Log[Date],tbDailyTotals[[#This Row],[Date]])</f>
        <v>0</v>
      </c>
      <c r="F99" s="71">
        <f>SUMIFS(Log[Protein],Log[Date],tbDailyTotals[[#This Row],[Date]])</f>
        <v>0</v>
      </c>
      <c r="G99" s="83">
        <f>SUMIFS(Log[Chol],Log[Date],tbDailyTotals[[#This Row],[Date]])</f>
        <v>0</v>
      </c>
      <c r="H99" s="92"/>
      <c r="I99" s="70" t="str">
        <f>IF(COUNTIFS(Log[Date],tbDailyTotals[[#This Row],[Date]],Log[Item],"Morn meds",Log[Qty],1),"x","")</f>
        <v/>
      </c>
      <c r="J99" s="70" t="str">
        <f>IF(COUNTIFS(Log[Date],tbDailyTotals[[#This Row],[Date]],Log[Item],"Morn insulin",Log[Qty],1),"x","")</f>
        <v/>
      </c>
      <c r="K99" s="70" t="str">
        <f>IF(COUNTIFS(Log[Date],tbDailyTotals[[#This Row],[Date]],Log[Item],"Eve insulin",Log[Qty],1),"x","")</f>
        <v/>
      </c>
      <c r="L99" s="70" t="str">
        <f>IF(COUNTIFS(Log[Date],tbDailyTotals[[#This Row],[Date]],Log[Item],"Eve meds",Log[Qty],1),"x","")</f>
        <v/>
      </c>
      <c r="M99" s="150"/>
    </row>
    <row r="100" spans="2:13" s="75" customFormat="1" ht="25.15" customHeight="1">
      <c r="B100" s="91"/>
      <c r="C100" s="82">
        <f>SUMIFS(Log[Cal],Log[Date],tbDailyTotals[[#This Row],[Date]])</f>
        <v>0</v>
      </c>
      <c r="D100" s="82">
        <f>SUMIFS(Log[Sodium],Log[Date],tbDailyTotals[[#This Row],[Date]])</f>
        <v>0</v>
      </c>
      <c r="E100" s="71">
        <f>SUMIFS(Log[Net Carbs],Log[Date],tbDailyTotals[[#This Row],[Date]])</f>
        <v>0</v>
      </c>
      <c r="F100" s="71">
        <f>SUMIFS(Log[Protein],Log[Date],tbDailyTotals[[#This Row],[Date]])</f>
        <v>0</v>
      </c>
      <c r="G100" s="83">
        <f>SUMIFS(Log[Chol],Log[Date],tbDailyTotals[[#This Row],[Date]])</f>
        <v>0</v>
      </c>
      <c r="H100" s="92"/>
      <c r="I100" s="70" t="str">
        <f>IF(COUNTIFS(Log[Date],tbDailyTotals[[#This Row],[Date]],Log[Item],"Morn meds",Log[Qty],1),"x","")</f>
        <v/>
      </c>
      <c r="J100" s="70" t="str">
        <f>IF(COUNTIFS(Log[Date],tbDailyTotals[[#This Row],[Date]],Log[Item],"Morn insulin",Log[Qty],1),"x","")</f>
        <v/>
      </c>
      <c r="K100" s="70" t="str">
        <f>IF(COUNTIFS(Log[Date],tbDailyTotals[[#This Row],[Date]],Log[Item],"Eve insulin",Log[Qty],1),"x","")</f>
        <v/>
      </c>
      <c r="L100" s="70" t="str">
        <f>IF(COUNTIFS(Log[Date],tbDailyTotals[[#This Row],[Date]],Log[Item],"Eve meds",Log[Qty],1),"x","")</f>
        <v/>
      </c>
      <c r="M100" s="150"/>
    </row>
    <row r="101" spans="2:13" s="75" customFormat="1" ht="25.15" customHeight="1">
      <c r="B101" s="91"/>
      <c r="C101" s="82">
        <f>SUMIFS(Log[Cal],Log[Date],tbDailyTotals[[#This Row],[Date]])</f>
        <v>0</v>
      </c>
      <c r="D101" s="82">
        <f>SUMIFS(Log[Sodium],Log[Date],tbDailyTotals[[#This Row],[Date]])</f>
        <v>0</v>
      </c>
      <c r="E101" s="71">
        <f>SUMIFS(Log[Net Carbs],Log[Date],tbDailyTotals[[#This Row],[Date]])</f>
        <v>0</v>
      </c>
      <c r="F101" s="71">
        <f>SUMIFS(Log[Protein],Log[Date],tbDailyTotals[[#This Row],[Date]])</f>
        <v>0</v>
      </c>
      <c r="G101" s="83">
        <f>SUMIFS(Log[Chol],Log[Date],tbDailyTotals[[#This Row],[Date]])</f>
        <v>0</v>
      </c>
      <c r="H101" s="92"/>
      <c r="I101" s="70" t="str">
        <f>IF(COUNTIFS(Log[Date],tbDailyTotals[[#This Row],[Date]],Log[Item],"Morn meds",Log[Qty],1),"x","")</f>
        <v/>
      </c>
      <c r="J101" s="70" t="str">
        <f>IF(COUNTIFS(Log[Date],tbDailyTotals[[#This Row],[Date]],Log[Item],"Morn insulin",Log[Qty],1),"x","")</f>
        <v/>
      </c>
      <c r="K101" s="70" t="str">
        <f>IF(COUNTIFS(Log[Date],tbDailyTotals[[#This Row],[Date]],Log[Item],"Eve insulin",Log[Qty],1),"x","")</f>
        <v/>
      </c>
      <c r="L101" s="70" t="str">
        <f>IF(COUNTIFS(Log[Date],tbDailyTotals[[#This Row],[Date]],Log[Item],"Eve meds",Log[Qty],1),"x","")</f>
        <v/>
      </c>
      <c r="M101" s="150"/>
    </row>
    <row r="102" spans="2:13" s="75" customFormat="1" ht="25.15" customHeight="1">
      <c r="B102" s="91"/>
      <c r="C102" s="82">
        <f>SUMIFS(Log[Cal],Log[Date],tbDailyTotals[[#This Row],[Date]])</f>
        <v>0</v>
      </c>
      <c r="D102" s="82">
        <f>SUMIFS(Log[Sodium],Log[Date],tbDailyTotals[[#This Row],[Date]])</f>
        <v>0</v>
      </c>
      <c r="E102" s="71">
        <f>SUMIFS(Log[Net Carbs],Log[Date],tbDailyTotals[[#This Row],[Date]])</f>
        <v>0</v>
      </c>
      <c r="F102" s="71">
        <f>SUMIFS(Log[Protein],Log[Date],tbDailyTotals[[#This Row],[Date]])</f>
        <v>0</v>
      </c>
      <c r="G102" s="83">
        <f>SUMIFS(Log[Chol],Log[Date],tbDailyTotals[[#This Row],[Date]])</f>
        <v>0</v>
      </c>
      <c r="H102" s="92"/>
      <c r="I102" s="70" t="str">
        <f>IF(COUNTIFS(Log[Date],tbDailyTotals[[#This Row],[Date]],Log[Item],"Morn meds",Log[Qty],1),"x","")</f>
        <v/>
      </c>
      <c r="J102" s="70" t="str">
        <f>IF(COUNTIFS(Log[Date],tbDailyTotals[[#This Row],[Date]],Log[Item],"Morn insulin",Log[Qty],1),"x","")</f>
        <v/>
      </c>
      <c r="K102" s="70" t="str">
        <f>IF(COUNTIFS(Log[Date],tbDailyTotals[[#This Row],[Date]],Log[Item],"Eve insulin",Log[Qty],1),"x","")</f>
        <v/>
      </c>
      <c r="L102" s="70" t="str">
        <f>IF(COUNTIFS(Log[Date],tbDailyTotals[[#This Row],[Date]],Log[Item],"Eve meds",Log[Qty],1),"x","")</f>
        <v/>
      </c>
      <c r="M102" s="150"/>
    </row>
    <row r="103" spans="2:13" s="75" customFormat="1" ht="25.15" customHeight="1">
      <c r="B103" s="91"/>
      <c r="C103" s="82">
        <f>SUMIFS(Log[Cal],Log[Date],tbDailyTotals[[#This Row],[Date]])</f>
        <v>0</v>
      </c>
      <c r="D103" s="82">
        <f>SUMIFS(Log[Sodium],Log[Date],tbDailyTotals[[#This Row],[Date]])</f>
        <v>0</v>
      </c>
      <c r="E103" s="71">
        <f>SUMIFS(Log[Net Carbs],Log[Date],tbDailyTotals[[#This Row],[Date]])</f>
        <v>0</v>
      </c>
      <c r="F103" s="71">
        <f>SUMIFS(Log[Protein],Log[Date],tbDailyTotals[[#This Row],[Date]])</f>
        <v>0</v>
      </c>
      <c r="G103" s="83">
        <f>SUMIFS(Log[Chol],Log[Date],tbDailyTotals[[#This Row],[Date]])</f>
        <v>0</v>
      </c>
      <c r="H103" s="92"/>
      <c r="I103" s="70" t="str">
        <f>IF(COUNTIFS(Log[Date],tbDailyTotals[[#This Row],[Date]],Log[Item],"Morn meds",Log[Qty],1),"x","")</f>
        <v/>
      </c>
      <c r="J103" s="70" t="str">
        <f>IF(COUNTIFS(Log[Date],tbDailyTotals[[#This Row],[Date]],Log[Item],"Morn insulin",Log[Qty],1),"x","")</f>
        <v/>
      </c>
      <c r="K103" s="70" t="str">
        <f>IF(COUNTIFS(Log[Date],tbDailyTotals[[#This Row],[Date]],Log[Item],"Eve insulin",Log[Qty],1),"x","")</f>
        <v/>
      </c>
      <c r="L103" s="70" t="str">
        <f>IF(COUNTIFS(Log[Date],tbDailyTotals[[#This Row],[Date]],Log[Item],"Eve meds",Log[Qty],1),"x","")</f>
        <v/>
      </c>
      <c r="M103" s="150"/>
    </row>
    <row r="104" spans="2:13" s="75" customFormat="1" ht="25.15" customHeight="1">
      <c r="B104" s="91"/>
      <c r="C104" s="82">
        <f>SUMIFS(Log[Cal],Log[Date],tbDailyTotals[[#This Row],[Date]])</f>
        <v>0</v>
      </c>
      <c r="D104" s="82">
        <f>SUMIFS(Log[Sodium],Log[Date],tbDailyTotals[[#This Row],[Date]])</f>
        <v>0</v>
      </c>
      <c r="E104" s="71">
        <f>SUMIFS(Log[Net Carbs],Log[Date],tbDailyTotals[[#This Row],[Date]])</f>
        <v>0</v>
      </c>
      <c r="F104" s="71">
        <f>SUMIFS(Log[Protein],Log[Date],tbDailyTotals[[#This Row],[Date]])</f>
        <v>0</v>
      </c>
      <c r="G104" s="83">
        <f>SUMIFS(Log[Chol],Log[Date],tbDailyTotals[[#This Row],[Date]])</f>
        <v>0</v>
      </c>
      <c r="H104" s="92"/>
      <c r="I104" s="70" t="str">
        <f>IF(COUNTIFS(Log[Date],tbDailyTotals[[#This Row],[Date]],Log[Item],"Morn meds",Log[Qty],1),"x","")</f>
        <v/>
      </c>
      <c r="J104" s="70" t="str">
        <f>IF(COUNTIFS(Log[Date],tbDailyTotals[[#This Row],[Date]],Log[Item],"Morn insulin",Log[Qty],1),"x","")</f>
        <v/>
      </c>
      <c r="K104" s="70" t="str">
        <f>IF(COUNTIFS(Log[Date],tbDailyTotals[[#This Row],[Date]],Log[Item],"Eve insulin",Log[Qty],1),"x","")</f>
        <v/>
      </c>
      <c r="L104" s="70" t="str">
        <f>IF(COUNTIFS(Log[Date],tbDailyTotals[[#This Row],[Date]],Log[Item],"Eve meds",Log[Qty],1),"x","")</f>
        <v/>
      </c>
      <c r="M104" s="150"/>
    </row>
    <row r="105" spans="2:13" s="75" customFormat="1" ht="25.15" customHeight="1">
      <c r="B105" s="91"/>
      <c r="C105" s="82">
        <f>SUMIFS(Log[Cal],Log[Date],tbDailyTotals[[#This Row],[Date]])</f>
        <v>0</v>
      </c>
      <c r="D105" s="82">
        <f>SUMIFS(Log[Sodium],Log[Date],tbDailyTotals[[#This Row],[Date]])</f>
        <v>0</v>
      </c>
      <c r="E105" s="71">
        <f>SUMIFS(Log[Net Carbs],Log[Date],tbDailyTotals[[#This Row],[Date]])</f>
        <v>0</v>
      </c>
      <c r="F105" s="71">
        <f>SUMIFS(Log[Protein],Log[Date],tbDailyTotals[[#This Row],[Date]])</f>
        <v>0</v>
      </c>
      <c r="G105" s="83">
        <f>SUMIFS(Log[Chol],Log[Date],tbDailyTotals[[#This Row],[Date]])</f>
        <v>0</v>
      </c>
      <c r="H105" s="92"/>
      <c r="I105" s="70" t="str">
        <f>IF(COUNTIFS(Log[Date],tbDailyTotals[[#This Row],[Date]],Log[Item],"Morn meds",Log[Qty],1),"x","")</f>
        <v/>
      </c>
      <c r="J105" s="70" t="str">
        <f>IF(COUNTIFS(Log[Date],tbDailyTotals[[#This Row],[Date]],Log[Item],"Morn insulin",Log[Qty],1),"x","")</f>
        <v/>
      </c>
      <c r="K105" s="70" t="str">
        <f>IF(COUNTIFS(Log[Date],tbDailyTotals[[#This Row],[Date]],Log[Item],"Eve insulin",Log[Qty],1),"x","")</f>
        <v/>
      </c>
      <c r="L105" s="70" t="str">
        <f>IF(COUNTIFS(Log[Date],tbDailyTotals[[#This Row],[Date]],Log[Item],"Eve meds",Log[Qty],1),"x","")</f>
        <v/>
      </c>
      <c r="M105" s="150"/>
    </row>
    <row r="106" spans="2:13" s="75" customFormat="1" ht="25.15" customHeight="1">
      <c r="B106" s="91"/>
      <c r="C106" s="82">
        <f>SUMIFS(Log[Cal],Log[Date],tbDailyTotals[[#This Row],[Date]])</f>
        <v>0</v>
      </c>
      <c r="D106" s="82">
        <f>SUMIFS(Log[Sodium],Log[Date],tbDailyTotals[[#This Row],[Date]])</f>
        <v>0</v>
      </c>
      <c r="E106" s="71">
        <f>SUMIFS(Log[Net Carbs],Log[Date],tbDailyTotals[[#This Row],[Date]])</f>
        <v>0</v>
      </c>
      <c r="F106" s="71">
        <f>SUMIFS(Log[Protein],Log[Date],tbDailyTotals[[#This Row],[Date]])</f>
        <v>0</v>
      </c>
      <c r="G106" s="83">
        <f>SUMIFS(Log[Chol],Log[Date],tbDailyTotals[[#This Row],[Date]])</f>
        <v>0</v>
      </c>
      <c r="H106" s="92"/>
      <c r="I106" s="70" t="str">
        <f>IF(COUNTIFS(Log[Date],tbDailyTotals[[#This Row],[Date]],Log[Item],"Morn meds",Log[Qty],1),"x","")</f>
        <v/>
      </c>
      <c r="J106" s="70" t="str">
        <f>IF(COUNTIFS(Log[Date],tbDailyTotals[[#This Row],[Date]],Log[Item],"Morn insulin",Log[Qty],1),"x","")</f>
        <v/>
      </c>
      <c r="K106" s="70" t="str">
        <f>IF(COUNTIFS(Log[Date],tbDailyTotals[[#This Row],[Date]],Log[Item],"Eve insulin",Log[Qty],1),"x","")</f>
        <v/>
      </c>
      <c r="L106" s="70" t="str">
        <f>IF(COUNTIFS(Log[Date],tbDailyTotals[[#This Row],[Date]],Log[Item],"Eve meds",Log[Qty],1),"x","")</f>
        <v/>
      </c>
      <c r="M106" s="150"/>
    </row>
    <row r="107" spans="2:13" s="75" customFormat="1" ht="25.15" customHeight="1">
      <c r="B107" s="91"/>
      <c r="C107" s="82">
        <f>SUMIFS(Log[Cal],Log[Date],tbDailyTotals[[#This Row],[Date]])</f>
        <v>0</v>
      </c>
      <c r="D107" s="82">
        <f>SUMIFS(Log[Sodium],Log[Date],tbDailyTotals[[#This Row],[Date]])</f>
        <v>0</v>
      </c>
      <c r="E107" s="71">
        <f>SUMIFS(Log[Net Carbs],Log[Date],tbDailyTotals[[#This Row],[Date]])</f>
        <v>0</v>
      </c>
      <c r="F107" s="71">
        <f>SUMIFS(Log[Protein],Log[Date],tbDailyTotals[[#This Row],[Date]])</f>
        <v>0</v>
      </c>
      <c r="G107" s="83">
        <f>SUMIFS(Log[Chol],Log[Date],tbDailyTotals[[#This Row],[Date]])</f>
        <v>0</v>
      </c>
      <c r="H107" s="92"/>
      <c r="I107" s="70" t="str">
        <f>IF(COUNTIFS(Log[Date],tbDailyTotals[[#This Row],[Date]],Log[Item],"Morn meds",Log[Qty],1),"x","")</f>
        <v/>
      </c>
      <c r="J107" s="70" t="str">
        <f>IF(COUNTIFS(Log[Date],tbDailyTotals[[#This Row],[Date]],Log[Item],"Morn insulin",Log[Qty],1),"x","")</f>
        <v/>
      </c>
      <c r="K107" s="70" t="str">
        <f>IF(COUNTIFS(Log[Date],tbDailyTotals[[#This Row],[Date]],Log[Item],"Eve insulin",Log[Qty],1),"x","")</f>
        <v/>
      </c>
      <c r="L107" s="70" t="str">
        <f>IF(COUNTIFS(Log[Date],tbDailyTotals[[#This Row],[Date]],Log[Item],"Eve meds",Log[Qty],1),"x","")</f>
        <v/>
      </c>
      <c r="M107" s="150"/>
    </row>
    <row r="108" spans="2:13" s="75" customFormat="1" ht="25.15" customHeight="1">
      <c r="B108" s="91"/>
      <c r="C108" s="82">
        <f>SUMIFS(Log[Cal],Log[Date],tbDailyTotals[[#This Row],[Date]])</f>
        <v>0</v>
      </c>
      <c r="D108" s="82">
        <f>SUMIFS(Log[Sodium],Log[Date],tbDailyTotals[[#This Row],[Date]])</f>
        <v>0</v>
      </c>
      <c r="E108" s="71">
        <f>SUMIFS(Log[Net Carbs],Log[Date],tbDailyTotals[[#This Row],[Date]])</f>
        <v>0</v>
      </c>
      <c r="F108" s="71">
        <f>SUMIFS(Log[Protein],Log[Date],tbDailyTotals[[#This Row],[Date]])</f>
        <v>0</v>
      </c>
      <c r="G108" s="83">
        <f>SUMIFS(Log[Chol],Log[Date],tbDailyTotals[[#This Row],[Date]])</f>
        <v>0</v>
      </c>
      <c r="H108" s="92"/>
      <c r="I108" s="70" t="str">
        <f>IF(COUNTIFS(Log[Date],tbDailyTotals[[#This Row],[Date]],Log[Item],"Morn meds",Log[Qty],1),"x","")</f>
        <v/>
      </c>
      <c r="J108" s="70" t="str">
        <f>IF(COUNTIFS(Log[Date],tbDailyTotals[[#This Row],[Date]],Log[Item],"Morn insulin",Log[Qty],1),"x","")</f>
        <v/>
      </c>
      <c r="K108" s="70" t="str">
        <f>IF(COUNTIFS(Log[Date],tbDailyTotals[[#This Row],[Date]],Log[Item],"Eve insulin",Log[Qty],1),"x","")</f>
        <v/>
      </c>
      <c r="L108" s="70" t="str">
        <f>IF(COUNTIFS(Log[Date],tbDailyTotals[[#This Row],[Date]],Log[Item],"Eve meds",Log[Qty],1),"x","")</f>
        <v/>
      </c>
      <c r="M108" s="150"/>
    </row>
    <row r="109" spans="2:13" s="75" customFormat="1" ht="25.15" customHeight="1">
      <c r="B109" s="91"/>
      <c r="C109" s="82">
        <f>SUMIFS(Log[Cal],Log[Date],tbDailyTotals[[#This Row],[Date]])</f>
        <v>0</v>
      </c>
      <c r="D109" s="82">
        <f>SUMIFS(Log[Sodium],Log[Date],tbDailyTotals[[#This Row],[Date]])</f>
        <v>0</v>
      </c>
      <c r="E109" s="71">
        <f>SUMIFS(Log[Net Carbs],Log[Date],tbDailyTotals[[#This Row],[Date]])</f>
        <v>0</v>
      </c>
      <c r="F109" s="71">
        <f>SUMIFS(Log[Protein],Log[Date],tbDailyTotals[[#This Row],[Date]])</f>
        <v>0</v>
      </c>
      <c r="G109" s="83">
        <f>SUMIFS(Log[Chol],Log[Date],tbDailyTotals[[#This Row],[Date]])</f>
        <v>0</v>
      </c>
      <c r="H109" s="92"/>
      <c r="I109" s="70" t="str">
        <f>IF(COUNTIFS(Log[Date],tbDailyTotals[[#This Row],[Date]],Log[Item],"Morn meds",Log[Qty],1),"x","")</f>
        <v/>
      </c>
      <c r="J109" s="70" t="str">
        <f>IF(COUNTIFS(Log[Date],tbDailyTotals[[#This Row],[Date]],Log[Item],"Morn insulin",Log[Qty],1),"x","")</f>
        <v/>
      </c>
      <c r="K109" s="70" t="str">
        <f>IF(COUNTIFS(Log[Date],tbDailyTotals[[#This Row],[Date]],Log[Item],"Eve insulin",Log[Qty],1),"x","")</f>
        <v/>
      </c>
      <c r="L109" s="70" t="str">
        <f>IF(COUNTIFS(Log[Date],tbDailyTotals[[#This Row],[Date]],Log[Item],"Eve meds",Log[Qty],1),"x","")</f>
        <v/>
      </c>
      <c r="M109" s="150"/>
    </row>
    <row r="110" spans="2:13" s="75" customFormat="1" ht="25.15" customHeight="1">
      <c r="B110" s="91"/>
      <c r="C110" s="82">
        <f>SUMIFS(Log[Cal],Log[Date],tbDailyTotals[[#This Row],[Date]])</f>
        <v>0</v>
      </c>
      <c r="D110" s="82">
        <f>SUMIFS(Log[Sodium],Log[Date],tbDailyTotals[[#This Row],[Date]])</f>
        <v>0</v>
      </c>
      <c r="E110" s="71">
        <f>SUMIFS(Log[Net Carbs],Log[Date],tbDailyTotals[[#This Row],[Date]])</f>
        <v>0</v>
      </c>
      <c r="F110" s="71">
        <f>SUMIFS(Log[Protein],Log[Date],tbDailyTotals[[#This Row],[Date]])</f>
        <v>0</v>
      </c>
      <c r="G110" s="83">
        <f>SUMIFS(Log[Chol],Log[Date],tbDailyTotals[[#This Row],[Date]])</f>
        <v>0</v>
      </c>
      <c r="H110" s="92"/>
      <c r="I110" s="70" t="str">
        <f>IF(COUNTIFS(Log[Date],tbDailyTotals[[#This Row],[Date]],Log[Item],"Morn meds",Log[Qty],1),"x","")</f>
        <v/>
      </c>
      <c r="J110" s="70" t="str">
        <f>IF(COUNTIFS(Log[Date],tbDailyTotals[[#This Row],[Date]],Log[Item],"Morn insulin",Log[Qty],1),"x","")</f>
        <v/>
      </c>
      <c r="K110" s="70" t="str">
        <f>IF(COUNTIFS(Log[Date],tbDailyTotals[[#This Row],[Date]],Log[Item],"Eve insulin",Log[Qty],1),"x","")</f>
        <v/>
      </c>
      <c r="L110" s="70" t="str">
        <f>IF(COUNTIFS(Log[Date],tbDailyTotals[[#This Row],[Date]],Log[Item],"Eve meds",Log[Qty],1),"x","")</f>
        <v/>
      </c>
      <c r="M110" s="150"/>
    </row>
    <row r="111" spans="2:13" s="75" customFormat="1" ht="25.15" customHeight="1">
      <c r="B111" s="91"/>
      <c r="C111" s="82">
        <f>SUMIFS(Log[Cal],Log[Date],tbDailyTotals[[#This Row],[Date]])</f>
        <v>0</v>
      </c>
      <c r="D111" s="82">
        <f>SUMIFS(Log[Sodium],Log[Date],tbDailyTotals[[#This Row],[Date]])</f>
        <v>0</v>
      </c>
      <c r="E111" s="71">
        <f>SUMIFS(Log[Net Carbs],Log[Date],tbDailyTotals[[#This Row],[Date]])</f>
        <v>0</v>
      </c>
      <c r="F111" s="71">
        <f>SUMIFS(Log[Protein],Log[Date],tbDailyTotals[[#This Row],[Date]])</f>
        <v>0</v>
      </c>
      <c r="G111" s="83">
        <f>SUMIFS(Log[Chol],Log[Date],tbDailyTotals[[#This Row],[Date]])</f>
        <v>0</v>
      </c>
      <c r="H111" s="92"/>
      <c r="I111" s="70" t="str">
        <f>IF(COUNTIFS(Log[Date],tbDailyTotals[[#This Row],[Date]],Log[Item],"Morn meds",Log[Qty],1),"x","")</f>
        <v/>
      </c>
      <c r="J111" s="70" t="str">
        <f>IF(COUNTIFS(Log[Date],tbDailyTotals[[#This Row],[Date]],Log[Item],"Morn insulin",Log[Qty],1),"x","")</f>
        <v/>
      </c>
      <c r="K111" s="70" t="str">
        <f>IF(COUNTIFS(Log[Date],tbDailyTotals[[#This Row],[Date]],Log[Item],"Eve insulin",Log[Qty],1),"x","")</f>
        <v/>
      </c>
      <c r="L111" s="70" t="str">
        <f>IF(COUNTIFS(Log[Date],tbDailyTotals[[#This Row],[Date]],Log[Item],"Eve meds",Log[Qty],1),"x","")</f>
        <v/>
      </c>
      <c r="M111" s="150"/>
    </row>
    <row r="112" spans="2:13" s="75" customFormat="1" ht="25.15" customHeight="1">
      <c r="B112" s="91"/>
      <c r="C112" s="82">
        <f>SUMIFS(Log[Cal],Log[Date],tbDailyTotals[[#This Row],[Date]])</f>
        <v>0</v>
      </c>
      <c r="D112" s="82">
        <f>SUMIFS(Log[Sodium],Log[Date],tbDailyTotals[[#This Row],[Date]])</f>
        <v>0</v>
      </c>
      <c r="E112" s="71">
        <f>SUMIFS(Log[Net Carbs],Log[Date],tbDailyTotals[[#This Row],[Date]])</f>
        <v>0</v>
      </c>
      <c r="F112" s="71">
        <f>SUMIFS(Log[Protein],Log[Date],tbDailyTotals[[#This Row],[Date]])</f>
        <v>0</v>
      </c>
      <c r="G112" s="83">
        <f>SUMIFS(Log[Chol],Log[Date],tbDailyTotals[[#This Row],[Date]])</f>
        <v>0</v>
      </c>
      <c r="H112" s="92"/>
      <c r="I112" s="70" t="str">
        <f>IF(COUNTIFS(Log[Date],tbDailyTotals[[#This Row],[Date]],Log[Item],"Morn meds",Log[Qty],1),"x","")</f>
        <v/>
      </c>
      <c r="J112" s="70" t="str">
        <f>IF(COUNTIFS(Log[Date],tbDailyTotals[[#This Row],[Date]],Log[Item],"Morn insulin",Log[Qty],1),"x","")</f>
        <v/>
      </c>
      <c r="K112" s="70" t="str">
        <f>IF(COUNTIFS(Log[Date],tbDailyTotals[[#This Row],[Date]],Log[Item],"Eve insulin",Log[Qty],1),"x","")</f>
        <v/>
      </c>
      <c r="L112" s="70" t="str">
        <f>IF(COUNTIFS(Log[Date],tbDailyTotals[[#This Row],[Date]],Log[Item],"Eve meds",Log[Qty],1),"x","")</f>
        <v/>
      </c>
      <c r="M112" s="150"/>
    </row>
    <row r="113" spans="2:13" s="75" customFormat="1" ht="25.15" customHeight="1">
      <c r="B113" s="91"/>
      <c r="C113" s="82">
        <f>SUMIFS(Log[Cal],Log[Date],tbDailyTotals[[#This Row],[Date]])</f>
        <v>0</v>
      </c>
      <c r="D113" s="82">
        <f>SUMIFS(Log[Sodium],Log[Date],tbDailyTotals[[#This Row],[Date]])</f>
        <v>0</v>
      </c>
      <c r="E113" s="71">
        <f>SUMIFS(Log[Net Carbs],Log[Date],tbDailyTotals[[#This Row],[Date]])</f>
        <v>0</v>
      </c>
      <c r="F113" s="71">
        <f>SUMIFS(Log[Protein],Log[Date],tbDailyTotals[[#This Row],[Date]])</f>
        <v>0</v>
      </c>
      <c r="G113" s="83">
        <f>SUMIFS(Log[Chol],Log[Date],tbDailyTotals[[#This Row],[Date]])</f>
        <v>0</v>
      </c>
      <c r="H113" s="92"/>
      <c r="I113" s="70" t="str">
        <f>IF(COUNTIFS(Log[Date],tbDailyTotals[[#This Row],[Date]],Log[Item],"Morn meds",Log[Qty],1),"x","")</f>
        <v/>
      </c>
      <c r="J113" s="70" t="str">
        <f>IF(COUNTIFS(Log[Date],tbDailyTotals[[#This Row],[Date]],Log[Item],"Morn insulin",Log[Qty],1),"x","")</f>
        <v/>
      </c>
      <c r="K113" s="70" t="str">
        <f>IF(COUNTIFS(Log[Date],tbDailyTotals[[#This Row],[Date]],Log[Item],"Eve insulin",Log[Qty],1),"x","")</f>
        <v/>
      </c>
      <c r="L113" s="70" t="str">
        <f>IF(COUNTIFS(Log[Date],tbDailyTotals[[#This Row],[Date]],Log[Item],"Eve meds",Log[Qty],1),"x","")</f>
        <v/>
      </c>
      <c r="M113" s="150"/>
    </row>
    <row r="114" spans="2:13" s="75" customFormat="1" ht="25.15" customHeight="1">
      <c r="B114" s="91"/>
      <c r="C114" s="82">
        <f>SUMIFS(Log[Cal],Log[Date],tbDailyTotals[[#This Row],[Date]])</f>
        <v>0</v>
      </c>
      <c r="D114" s="82">
        <f>SUMIFS(Log[Sodium],Log[Date],tbDailyTotals[[#This Row],[Date]])</f>
        <v>0</v>
      </c>
      <c r="E114" s="71">
        <f>SUMIFS(Log[Net Carbs],Log[Date],tbDailyTotals[[#This Row],[Date]])</f>
        <v>0</v>
      </c>
      <c r="F114" s="71">
        <f>SUMIFS(Log[Protein],Log[Date],tbDailyTotals[[#This Row],[Date]])</f>
        <v>0</v>
      </c>
      <c r="G114" s="83">
        <f>SUMIFS(Log[Chol],Log[Date],tbDailyTotals[[#This Row],[Date]])</f>
        <v>0</v>
      </c>
      <c r="H114" s="92"/>
      <c r="I114" s="70" t="str">
        <f>IF(COUNTIFS(Log[Date],tbDailyTotals[[#This Row],[Date]],Log[Item],"Morn meds",Log[Qty],1),"x","")</f>
        <v/>
      </c>
      <c r="J114" s="70" t="str">
        <f>IF(COUNTIFS(Log[Date],tbDailyTotals[[#This Row],[Date]],Log[Item],"Morn insulin",Log[Qty],1),"x","")</f>
        <v/>
      </c>
      <c r="K114" s="70" t="str">
        <f>IF(COUNTIFS(Log[Date],tbDailyTotals[[#This Row],[Date]],Log[Item],"Eve insulin",Log[Qty],1),"x","")</f>
        <v/>
      </c>
      <c r="L114" s="70" t="str">
        <f>IF(COUNTIFS(Log[Date],tbDailyTotals[[#This Row],[Date]],Log[Item],"Eve meds",Log[Qty],1),"x","")</f>
        <v/>
      </c>
      <c r="M114" s="150"/>
    </row>
    <row r="115" spans="2:13" s="75" customFormat="1" ht="25.15" customHeight="1">
      <c r="B115" s="91"/>
      <c r="C115" s="82">
        <f>SUMIFS(Log[Cal],Log[Date],tbDailyTotals[[#This Row],[Date]])</f>
        <v>0</v>
      </c>
      <c r="D115" s="82">
        <f>SUMIFS(Log[Sodium],Log[Date],tbDailyTotals[[#This Row],[Date]])</f>
        <v>0</v>
      </c>
      <c r="E115" s="71">
        <f>SUMIFS(Log[Net Carbs],Log[Date],tbDailyTotals[[#This Row],[Date]])</f>
        <v>0</v>
      </c>
      <c r="F115" s="71">
        <f>SUMIFS(Log[Protein],Log[Date],tbDailyTotals[[#This Row],[Date]])</f>
        <v>0</v>
      </c>
      <c r="G115" s="83">
        <f>SUMIFS(Log[Chol],Log[Date],tbDailyTotals[[#This Row],[Date]])</f>
        <v>0</v>
      </c>
      <c r="H115" s="92"/>
      <c r="I115" s="70" t="str">
        <f>IF(COUNTIFS(Log[Date],tbDailyTotals[[#This Row],[Date]],Log[Item],"Morn meds",Log[Qty],1),"x","")</f>
        <v/>
      </c>
      <c r="J115" s="70" t="str">
        <f>IF(COUNTIFS(Log[Date],tbDailyTotals[[#This Row],[Date]],Log[Item],"Morn insulin",Log[Qty],1),"x","")</f>
        <v/>
      </c>
      <c r="K115" s="70" t="str">
        <f>IF(COUNTIFS(Log[Date],tbDailyTotals[[#This Row],[Date]],Log[Item],"Eve insulin",Log[Qty],1),"x","")</f>
        <v/>
      </c>
      <c r="L115" s="70" t="str">
        <f>IF(COUNTIFS(Log[Date],tbDailyTotals[[#This Row],[Date]],Log[Item],"Eve meds",Log[Qty],1),"x","")</f>
        <v/>
      </c>
      <c r="M115" s="150"/>
    </row>
    <row r="116" spans="2:13" s="75" customFormat="1" ht="25.15" customHeight="1">
      <c r="B116" s="91"/>
      <c r="C116" s="82">
        <f>SUMIFS(Log[Cal],Log[Date],tbDailyTotals[[#This Row],[Date]])</f>
        <v>0</v>
      </c>
      <c r="D116" s="82">
        <f>SUMIFS(Log[Sodium],Log[Date],tbDailyTotals[[#This Row],[Date]])</f>
        <v>0</v>
      </c>
      <c r="E116" s="71">
        <f>SUMIFS(Log[Net Carbs],Log[Date],tbDailyTotals[[#This Row],[Date]])</f>
        <v>0</v>
      </c>
      <c r="F116" s="71">
        <f>SUMIFS(Log[Protein],Log[Date],tbDailyTotals[[#This Row],[Date]])</f>
        <v>0</v>
      </c>
      <c r="G116" s="83">
        <f>SUMIFS(Log[Chol],Log[Date],tbDailyTotals[[#This Row],[Date]])</f>
        <v>0</v>
      </c>
      <c r="H116" s="92"/>
      <c r="I116" s="70" t="str">
        <f>IF(COUNTIFS(Log[Date],tbDailyTotals[[#This Row],[Date]],Log[Item],"Morn meds",Log[Qty],1),"x","")</f>
        <v/>
      </c>
      <c r="J116" s="70" t="str">
        <f>IF(COUNTIFS(Log[Date],tbDailyTotals[[#This Row],[Date]],Log[Item],"Morn insulin",Log[Qty],1),"x","")</f>
        <v/>
      </c>
      <c r="K116" s="70" t="str">
        <f>IF(COUNTIFS(Log[Date],tbDailyTotals[[#This Row],[Date]],Log[Item],"Eve insulin",Log[Qty],1),"x","")</f>
        <v/>
      </c>
      <c r="L116" s="70" t="str">
        <f>IF(COUNTIFS(Log[Date],tbDailyTotals[[#This Row],[Date]],Log[Item],"Eve meds",Log[Qty],1),"x","")</f>
        <v/>
      </c>
      <c r="M116" s="150"/>
    </row>
    <row r="117" spans="2:13" s="75" customFormat="1" ht="25.15" customHeight="1">
      <c r="B117" s="91"/>
      <c r="C117" s="82">
        <f>SUMIFS(Log[Cal],Log[Date],tbDailyTotals[[#This Row],[Date]])</f>
        <v>0</v>
      </c>
      <c r="D117" s="82">
        <f>SUMIFS(Log[Sodium],Log[Date],tbDailyTotals[[#This Row],[Date]])</f>
        <v>0</v>
      </c>
      <c r="E117" s="71">
        <f>SUMIFS(Log[Net Carbs],Log[Date],tbDailyTotals[[#This Row],[Date]])</f>
        <v>0</v>
      </c>
      <c r="F117" s="71">
        <f>SUMIFS(Log[Protein],Log[Date],tbDailyTotals[[#This Row],[Date]])</f>
        <v>0</v>
      </c>
      <c r="G117" s="83">
        <f>SUMIFS(Log[Chol],Log[Date],tbDailyTotals[[#This Row],[Date]])</f>
        <v>0</v>
      </c>
      <c r="H117" s="92"/>
      <c r="I117" s="70" t="str">
        <f>IF(COUNTIFS(Log[Date],tbDailyTotals[[#This Row],[Date]],Log[Item],"Morn meds",Log[Qty],1),"x","")</f>
        <v/>
      </c>
      <c r="J117" s="70" t="str">
        <f>IF(COUNTIFS(Log[Date],tbDailyTotals[[#This Row],[Date]],Log[Item],"Morn insulin",Log[Qty],1),"x","")</f>
        <v/>
      </c>
      <c r="K117" s="70" t="str">
        <f>IF(COUNTIFS(Log[Date],tbDailyTotals[[#This Row],[Date]],Log[Item],"Eve insulin",Log[Qty],1),"x","")</f>
        <v/>
      </c>
      <c r="L117" s="70" t="str">
        <f>IF(COUNTIFS(Log[Date],tbDailyTotals[[#This Row],[Date]],Log[Item],"Eve meds",Log[Qty],1),"x","")</f>
        <v/>
      </c>
      <c r="M117" s="150"/>
    </row>
    <row r="118" spans="2:13" s="75" customFormat="1" ht="25.15" customHeight="1">
      <c r="B118" s="91"/>
      <c r="C118" s="82">
        <f>SUMIFS(Log[Cal],Log[Date],tbDailyTotals[[#This Row],[Date]])</f>
        <v>0</v>
      </c>
      <c r="D118" s="82">
        <f>SUMIFS(Log[Sodium],Log[Date],tbDailyTotals[[#This Row],[Date]])</f>
        <v>0</v>
      </c>
      <c r="E118" s="71">
        <f>SUMIFS(Log[Net Carbs],Log[Date],tbDailyTotals[[#This Row],[Date]])</f>
        <v>0</v>
      </c>
      <c r="F118" s="71">
        <f>SUMIFS(Log[Protein],Log[Date],tbDailyTotals[[#This Row],[Date]])</f>
        <v>0</v>
      </c>
      <c r="G118" s="83">
        <f>SUMIFS(Log[Chol],Log[Date],tbDailyTotals[[#This Row],[Date]])</f>
        <v>0</v>
      </c>
      <c r="H118" s="92"/>
      <c r="I118" s="70" t="str">
        <f>IF(COUNTIFS(Log[Date],tbDailyTotals[[#This Row],[Date]],Log[Item],"Morn meds",Log[Qty],1),"x","")</f>
        <v/>
      </c>
      <c r="J118" s="70" t="str">
        <f>IF(COUNTIFS(Log[Date],tbDailyTotals[[#This Row],[Date]],Log[Item],"Morn insulin",Log[Qty],1),"x","")</f>
        <v/>
      </c>
      <c r="K118" s="70" t="str">
        <f>IF(COUNTIFS(Log[Date],tbDailyTotals[[#This Row],[Date]],Log[Item],"Eve insulin",Log[Qty],1),"x","")</f>
        <v/>
      </c>
      <c r="L118" s="70" t="str">
        <f>IF(COUNTIFS(Log[Date],tbDailyTotals[[#This Row],[Date]],Log[Item],"Eve meds",Log[Qty],1),"x","")</f>
        <v/>
      </c>
      <c r="M118" s="150"/>
    </row>
    <row r="119" spans="2:13" s="75" customFormat="1" ht="25.15" customHeight="1">
      <c r="B119" s="91"/>
      <c r="C119" s="82">
        <f>SUMIFS(Log[Cal],Log[Date],tbDailyTotals[[#This Row],[Date]])</f>
        <v>0</v>
      </c>
      <c r="D119" s="82">
        <f>SUMIFS(Log[Sodium],Log[Date],tbDailyTotals[[#This Row],[Date]])</f>
        <v>0</v>
      </c>
      <c r="E119" s="71">
        <f>SUMIFS(Log[Net Carbs],Log[Date],tbDailyTotals[[#This Row],[Date]])</f>
        <v>0</v>
      </c>
      <c r="F119" s="71">
        <f>SUMIFS(Log[Protein],Log[Date],tbDailyTotals[[#This Row],[Date]])</f>
        <v>0</v>
      </c>
      <c r="G119" s="83">
        <f>SUMIFS(Log[Chol],Log[Date],tbDailyTotals[[#This Row],[Date]])</f>
        <v>0</v>
      </c>
      <c r="H119" s="92"/>
      <c r="I119" s="70" t="str">
        <f>IF(COUNTIFS(Log[Date],tbDailyTotals[[#This Row],[Date]],Log[Item],"Morn meds",Log[Qty],1),"x","")</f>
        <v/>
      </c>
      <c r="J119" s="70" t="str">
        <f>IF(COUNTIFS(Log[Date],tbDailyTotals[[#This Row],[Date]],Log[Item],"Morn insulin",Log[Qty],1),"x","")</f>
        <v/>
      </c>
      <c r="K119" s="70" t="str">
        <f>IF(COUNTIFS(Log[Date],tbDailyTotals[[#This Row],[Date]],Log[Item],"Eve insulin",Log[Qty],1),"x","")</f>
        <v/>
      </c>
      <c r="L119" s="70" t="str">
        <f>IF(COUNTIFS(Log[Date],tbDailyTotals[[#This Row],[Date]],Log[Item],"Eve meds",Log[Qty],1),"x","")</f>
        <v/>
      </c>
      <c r="M119" s="150"/>
    </row>
    <row r="120" spans="2:13" s="75" customFormat="1" ht="25.15" customHeight="1">
      <c r="B120" s="91"/>
      <c r="C120" s="82">
        <f>SUMIFS(Log[Cal],Log[Date],tbDailyTotals[[#This Row],[Date]])</f>
        <v>0</v>
      </c>
      <c r="D120" s="82">
        <f>SUMIFS(Log[Sodium],Log[Date],tbDailyTotals[[#This Row],[Date]])</f>
        <v>0</v>
      </c>
      <c r="E120" s="71">
        <f>SUMIFS(Log[Net Carbs],Log[Date],tbDailyTotals[[#This Row],[Date]])</f>
        <v>0</v>
      </c>
      <c r="F120" s="71">
        <f>SUMIFS(Log[Protein],Log[Date],tbDailyTotals[[#This Row],[Date]])</f>
        <v>0</v>
      </c>
      <c r="G120" s="83">
        <f>SUMIFS(Log[Chol],Log[Date],tbDailyTotals[[#This Row],[Date]])</f>
        <v>0</v>
      </c>
      <c r="H120" s="92"/>
      <c r="I120" s="70" t="str">
        <f>IF(COUNTIFS(Log[Date],tbDailyTotals[[#This Row],[Date]],Log[Item],"Morn meds",Log[Qty],1),"x","")</f>
        <v/>
      </c>
      <c r="J120" s="70" t="str">
        <f>IF(COUNTIFS(Log[Date],tbDailyTotals[[#This Row],[Date]],Log[Item],"Morn insulin",Log[Qty],1),"x","")</f>
        <v/>
      </c>
      <c r="K120" s="70" t="str">
        <f>IF(COUNTIFS(Log[Date],tbDailyTotals[[#This Row],[Date]],Log[Item],"Eve insulin",Log[Qty],1),"x","")</f>
        <v/>
      </c>
      <c r="L120" s="70" t="str">
        <f>IF(COUNTIFS(Log[Date],tbDailyTotals[[#This Row],[Date]],Log[Item],"Eve meds",Log[Qty],1),"x","")</f>
        <v/>
      </c>
      <c r="M120" s="150"/>
    </row>
    <row r="121" spans="2:13" s="75" customFormat="1" ht="25.15" customHeight="1">
      <c r="B121" s="91"/>
      <c r="C121" s="82">
        <f>SUMIFS(Log[Cal],Log[Date],tbDailyTotals[[#This Row],[Date]])</f>
        <v>0</v>
      </c>
      <c r="D121" s="82">
        <f>SUMIFS(Log[Sodium],Log[Date],tbDailyTotals[[#This Row],[Date]])</f>
        <v>0</v>
      </c>
      <c r="E121" s="71">
        <f>SUMIFS(Log[Net Carbs],Log[Date],tbDailyTotals[[#This Row],[Date]])</f>
        <v>0</v>
      </c>
      <c r="F121" s="71">
        <f>SUMIFS(Log[Protein],Log[Date],tbDailyTotals[[#This Row],[Date]])</f>
        <v>0</v>
      </c>
      <c r="G121" s="83">
        <f>SUMIFS(Log[Chol],Log[Date],tbDailyTotals[[#This Row],[Date]])</f>
        <v>0</v>
      </c>
      <c r="H121" s="92"/>
      <c r="I121" s="70" t="str">
        <f>IF(COUNTIFS(Log[Date],tbDailyTotals[[#This Row],[Date]],Log[Item],"Morn meds",Log[Qty],1),"x","")</f>
        <v/>
      </c>
      <c r="J121" s="70" t="str">
        <f>IF(COUNTIFS(Log[Date],tbDailyTotals[[#This Row],[Date]],Log[Item],"Morn insulin",Log[Qty],1),"x","")</f>
        <v/>
      </c>
      <c r="K121" s="70" t="str">
        <f>IF(COUNTIFS(Log[Date],tbDailyTotals[[#This Row],[Date]],Log[Item],"Eve insulin",Log[Qty],1),"x","")</f>
        <v/>
      </c>
      <c r="L121" s="70" t="str">
        <f>IF(COUNTIFS(Log[Date],tbDailyTotals[[#This Row],[Date]],Log[Item],"Eve meds",Log[Qty],1),"x","")</f>
        <v/>
      </c>
      <c r="M121" s="150"/>
    </row>
    <row r="122" spans="2:13" s="75" customFormat="1" ht="25.15" customHeight="1">
      <c r="B122" s="91"/>
      <c r="C122" s="82">
        <f>SUMIFS(Log[Cal],Log[Date],tbDailyTotals[[#This Row],[Date]])</f>
        <v>0</v>
      </c>
      <c r="D122" s="82">
        <f>SUMIFS(Log[Sodium],Log[Date],tbDailyTotals[[#This Row],[Date]])</f>
        <v>0</v>
      </c>
      <c r="E122" s="71">
        <f>SUMIFS(Log[Net Carbs],Log[Date],tbDailyTotals[[#This Row],[Date]])</f>
        <v>0</v>
      </c>
      <c r="F122" s="71">
        <f>SUMIFS(Log[Protein],Log[Date],tbDailyTotals[[#This Row],[Date]])</f>
        <v>0</v>
      </c>
      <c r="G122" s="83">
        <f>SUMIFS(Log[Chol],Log[Date],tbDailyTotals[[#This Row],[Date]])</f>
        <v>0</v>
      </c>
      <c r="H122" s="92"/>
      <c r="I122" s="70" t="str">
        <f>IF(COUNTIFS(Log[Date],tbDailyTotals[[#This Row],[Date]],Log[Item],"Morn meds",Log[Qty],1),"x","")</f>
        <v/>
      </c>
      <c r="J122" s="70" t="str">
        <f>IF(COUNTIFS(Log[Date],tbDailyTotals[[#This Row],[Date]],Log[Item],"Morn insulin",Log[Qty],1),"x","")</f>
        <v/>
      </c>
      <c r="K122" s="70" t="str">
        <f>IF(COUNTIFS(Log[Date],tbDailyTotals[[#This Row],[Date]],Log[Item],"Eve insulin",Log[Qty],1),"x","")</f>
        <v/>
      </c>
      <c r="L122" s="70" t="str">
        <f>IF(COUNTIFS(Log[Date],tbDailyTotals[[#This Row],[Date]],Log[Item],"Eve meds",Log[Qty],1),"x","")</f>
        <v/>
      </c>
      <c r="M122" s="150"/>
    </row>
    <row r="123" spans="2:13" s="75" customFormat="1" ht="25.15" customHeight="1">
      <c r="B123" s="91"/>
      <c r="C123" s="82">
        <f>SUMIFS(Log[Cal],Log[Date],tbDailyTotals[[#This Row],[Date]])</f>
        <v>0</v>
      </c>
      <c r="D123" s="82">
        <f>SUMIFS(Log[Sodium],Log[Date],tbDailyTotals[[#This Row],[Date]])</f>
        <v>0</v>
      </c>
      <c r="E123" s="71">
        <f>SUMIFS(Log[Net Carbs],Log[Date],tbDailyTotals[[#This Row],[Date]])</f>
        <v>0</v>
      </c>
      <c r="F123" s="71">
        <f>SUMIFS(Log[Protein],Log[Date],tbDailyTotals[[#This Row],[Date]])</f>
        <v>0</v>
      </c>
      <c r="G123" s="83">
        <f>SUMIFS(Log[Chol],Log[Date],tbDailyTotals[[#This Row],[Date]])</f>
        <v>0</v>
      </c>
      <c r="H123" s="92"/>
      <c r="I123" s="70" t="str">
        <f>IF(COUNTIFS(Log[Date],tbDailyTotals[[#This Row],[Date]],Log[Item],"Morn meds",Log[Qty],1),"x","")</f>
        <v/>
      </c>
      <c r="J123" s="70" t="str">
        <f>IF(COUNTIFS(Log[Date],tbDailyTotals[[#This Row],[Date]],Log[Item],"Morn insulin",Log[Qty],1),"x","")</f>
        <v/>
      </c>
      <c r="K123" s="70" t="str">
        <f>IF(COUNTIFS(Log[Date],tbDailyTotals[[#This Row],[Date]],Log[Item],"Eve insulin",Log[Qty],1),"x","")</f>
        <v/>
      </c>
      <c r="L123" s="70" t="str">
        <f>IF(COUNTIFS(Log[Date],tbDailyTotals[[#This Row],[Date]],Log[Item],"Eve meds",Log[Qty],1),"x","")</f>
        <v/>
      </c>
      <c r="M123" s="150"/>
    </row>
    <row r="124" spans="2:13" s="75" customFormat="1" ht="25.15" customHeight="1">
      <c r="B124" s="91"/>
      <c r="C124" s="82">
        <f>SUMIFS(Log[Cal],Log[Date],tbDailyTotals[[#This Row],[Date]])</f>
        <v>0</v>
      </c>
      <c r="D124" s="82">
        <f>SUMIFS(Log[Sodium],Log[Date],tbDailyTotals[[#This Row],[Date]])</f>
        <v>0</v>
      </c>
      <c r="E124" s="71">
        <f>SUMIFS(Log[Net Carbs],Log[Date],tbDailyTotals[[#This Row],[Date]])</f>
        <v>0</v>
      </c>
      <c r="F124" s="71">
        <f>SUMIFS(Log[Protein],Log[Date],tbDailyTotals[[#This Row],[Date]])</f>
        <v>0</v>
      </c>
      <c r="G124" s="83">
        <f>SUMIFS(Log[Chol],Log[Date],tbDailyTotals[[#This Row],[Date]])</f>
        <v>0</v>
      </c>
      <c r="H124" s="92"/>
      <c r="I124" s="70" t="str">
        <f>IF(COUNTIFS(Log[Date],tbDailyTotals[[#This Row],[Date]],Log[Item],"Morn meds",Log[Qty],1),"x","")</f>
        <v/>
      </c>
      <c r="J124" s="70" t="str">
        <f>IF(COUNTIFS(Log[Date],tbDailyTotals[[#This Row],[Date]],Log[Item],"Morn insulin",Log[Qty],1),"x","")</f>
        <v/>
      </c>
      <c r="K124" s="70" t="str">
        <f>IF(COUNTIFS(Log[Date],tbDailyTotals[[#This Row],[Date]],Log[Item],"Eve insulin",Log[Qty],1),"x","")</f>
        <v/>
      </c>
      <c r="L124" s="70" t="str">
        <f>IF(COUNTIFS(Log[Date],tbDailyTotals[[#This Row],[Date]],Log[Item],"Eve meds",Log[Qty],1),"x","")</f>
        <v/>
      </c>
      <c r="M124" s="150"/>
    </row>
    <row r="125" spans="2:13" s="75" customFormat="1" ht="25.15" customHeight="1">
      <c r="B125" s="91"/>
      <c r="C125" s="82">
        <f>SUMIFS(Log[Cal],Log[Date],tbDailyTotals[[#This Row],[Date]])</f>
        <v>0</v>
      </c>
      <c r="D125" s="82">
        <f>SUMIFS(Log[Sodium],Log[Date],tbDailyTotals[[#This Row],[Date]])</f>
        <v>0</v>
      </c>
      <c r="E125" s="71">
        <f>SUMIFS(Log[Net Carbs],Log[Date],tbDailyTotals[[#This Row],[Date]])</f>
        <v>0</v>
      </c>
      <c r="F125" s="71">
        <f>SUMIFS(Log[Protein],Log[Date],tbDailyTotals[[#This Row],[Date]])</f>
        <v>0</v>
      </c>
      <c r="G125" s="83">
        <f>SUMIFS(Log[Chol],Log[Date],tbDailyTotals[[#This Row],[Date]])</f>
        <v>0</v>
      </c>
      <c r="H125" s="92"/>
      <c r="I125" s="70" t="str">
        <f>IF(COUNTIFS(Log[Date],tbDailyTotals[[#This Row],[Date]],Log[Item],"Morn meds",Log[Qty],1),"x","")</f>
        <v/>
      </c>
      <c r="J125" s="70" t="str">
        <f>IF(COUNTIFS(Log[Date],tbDailyTotals[[#This Row],[Date]],Log[Item],"Morn insulin",Log[Qty],1),"x","")</f>
        <v/>
      </c>
      <c r="K125" s="70" t="str">
        <f>IF(COUNTIFS(Log[Date],tbDailyTotals[[#This Row],[Date]],Log[Item],"Eve insulin",Log[Qty],1),"x","")</f>
        <v/>
      </c>
      <c r="L125" s="70" t="str">
        <f>IF(COUNTIFS(Log[Date],tbDailyTotals[[#This Row],[Date]],Log[Item],"Eve meds",Log[Qty],1),"x","")</f>
        <v/>
      </c>
      <c r="M125" s="150"/>
    </row>
    <row r="126" spans="2:13" s="75" customFormat="1" ht="25.15" customHeight="1">
      <c r="B126" s="91"/>
      <c r="C126" s="82">
        <f>SUMIFS(Log[Cal],Log[Date],tbDailyTotals[[#This Row],[Date]])</f>
        <v>0</v>
      </c>
      <c r="D126" s="82">
        <f>SUMIFS(Log[Sodium],Log[Date],tbDailyTotals[[#This Row],[Date]])</f>
        <v>0</v>
      </c>
      <c r="E126" s="71">
        <f>SUMIFS(Log[Net Carbs],Log[Date],tbDailyTotals[[#This Row],[Date]])</f>
        <v>0</v>
      </c>
      <c r="F126" s="71">
        <f>SUMIFS(Log[Protein],Log[Date],tbDailyTotals[[#This Row],[Date]])</f>
        <v>0</v>
      </c>
      <c r="G126" s="83">
        <f>SUMIFS(Log[Chol],Log[Date],tbDailyTotals[[#This Row],[Date]])</f>
        <v>0</v>
      </c>
      <c r="H126" s="92"/>
      <c r="I126" s="70" t="str">
        <f>IF(COUNTIFS(Log[Date],tbDailyTotals[[#This Row],[Date]],Log[Item],"Morn meds",Log[Qty],1),"x","")</f>
        <v/>
      </c>
      <c r="J126" s="70" t="str">
        <f>IF(COUNTIFS(Log[Date],tbDailyTotals[[#This Row],[Date]],Log[Item],"Morn insulin",Log[Qty],1),"x","")</f>
        <v/>
      </c>
      <c r="K126" s="70" t="str">
        <f>IF(COUNTIFS(Log[Date],tbDailyTotals[[#This Row],[Date]],Log[Item],"Eve insulin",Log[Qty],1),"x","")</f>
        <v/>
      </c>
      <c r="L126" s="70" t="str">
        <f>IF(COUNTIFS(Log[Date],tbDailyTotals[[#This Row],[Date]],Log[Item],"Eve meds",Log[Qty],1),"x","")</f>
        <v/>
      </c>
      <c r="M126" s="150"/>
    </row>
    <row r="127" spans="2:13" s="75" customFormat="1" ht="25.15" customHeight="1">
      <c r="B127" s="91"/>
      <c r="C127" s="82">
        <f>SUMIFS(Log[Cal],Log[Date],tbDailyTotals[[#This Row],[Date]])</f>
        <v>0</v>
      </c>
      <c r="D127" s="82">
        <f>SUMIFS(Log[Sodium],Log[Date],tbDailyTotals[[#This Row],[Date]])</f>
        <v>0</v>
      </c>
      <c r="E127" s="71">
        <f>SUMIFS(Log[Net Carbs],Log[Date],tbDailyTotals[[#This Row],[Date]])</f>
        <v>0</v>
      </c>
      <c r="F127" s="71">
        <f>SUMIFS(Log[Protein],Log[Date],tbDailyTotals[[#This Row],[Date]])</f>
        <v>0</v>
      </c>
      <c r="G127" s="83">
        <f>SUMIFS(Log[Chol],Log[Date],tbDailyTotals[[#This Row],[Date]])</f>
        <v>0</v>
      </c>
      <c r="H127" s="92"/>
      <c r="I127" s="70" t="str">
        <f>IF(COUNTIFS(Log[Date],tbDailyTotals[[#This Row],[Date]],Log[Item],"Morn meds",Log[Qty],1),"x","")</f>
        <v/>
      </c>
      <c r="J127" s="70" t="str">
        <f>IF(COUNTIFS(Log[Date],tbDailyTotals[[#This Row],[Date]],Log[Item],"Morn insulin",Log[Qty],1),"x","")</f>
        <v/>
      </c>
      <c r="K127" s="70" t="str">
        <f>IF(COUNTIFS(Log[Date],tbDailyTotals[[#This Row],[Date]],Log[Item],"Eve insulin",Log[Qty],1),"x","")</f>
        <v/>
      </c>
      <c r="L127" s="70" t="str">
        <f>IF(COUNTIFS(Log[Date],tbDailyTotals[[#This Row],[Date]],Log[Item],"Eve meds",Log[Qty],1),"x","")</f>
        <v/>
      </c>
      <c r="M127" s="150"/>
    </row>
    <row r="128" spans="2:13" s="75" customFormat="1" ht="25.15" customHeight="1">
      <c r="B128" s="91"/>
      <c r="C128" s="82">
        <f>SUMIFS(Log[Cal],Log[Date],tbDailyTotals[[#This Row],[Date]])</f>
        <v>0</v>
      </c>
      <c r="D128" s="82">
        <f>SUMIFS(Log[Sodium],Log[Date],tbDailyTotals[[#This Row],[Date]])</f>
        <v>0</v>
      </c>
      <c r="E128" s="71">
        <f>SUMIFS(Log[Net Carbs],Log[Date],tbDailyTotals[[#This Row],[Date]])</f>
        <v>0</v>
      </c>
      <c r="F128" s="71">
        <f>SUMIFS(Log[Protein],Log[Date],tbDailyTotals[[#This Row],[Date]])</f>
        <v>0</v>
      </c>
      <c r="G128" s="83">
        <f>SUMIFS(Log[Chol],Log[Date],tbDailyTotals[[#This Row],[Date]])</f>
        <v>0</v>
      </c>
      <c r="H128" s="92"/>
      <c r="I128" s="70" t="str">
        <f>IF(COUNTIFS(Log[Date],tbDailyTotals[[#This Row],[Date]],Log[Item],"Morn meds",Log[Qty],1),"x","")</f>
        <v/>
      </c>
      <c r="J128" s="70" t="str">
        <f>IF(COUNTIFS(Log[Date],tbDailyTotals[[#This Row],[Date]],Log[Item],"Morn insulin",Log[Qty],1),"x","")</f>
        <v/>
      </c>
      <c r="K128" s="70" t="str">
        <f>IF(COUNTIFS(Log[Date],tbDailyTotals[[#This Row],[Date]],Log[Item],"Eve insulin",Log[Qty],1),"x","")</f>
        <v/>
      </c>
      <c r="L128" s="70" t="str">
        <f>IF(COUNTIFS(Log[Date],tbDailyTotals[[#This Row],[Date]],Log[Item],"Eve meds",Log[Qty],1),"x","")</f>
        <v/>
      </c>
      <c r="M128" s="150"/>
    </row>
    <row r="129" spans="2:13" s="75" customFormat="1" ht="25.15" customHeight="1">
      <c r="B129" s="91"/>
      <c r="C129" s="82">
        <f>SUMIFS(Log[Cal],Log[Date],tbDailyTotals[[#This Row],[Date]])</f>
        <v>0</v>
      </c>
      <c r="D129" s="82">
        <f>SUMIFS(Log[Sodium],Log[Date],tbDailyTotals[[#This Row],[Date]])</f>
        <v>0</v>
      </c>
      <c r="E129" s="71">
        <f>SUMIFS(Log[Net Carbs],Log[Date],tbDailyTotals[[#This Row],[Date]])</f>
        <v>0</v>
      </c>
      <c r="F129" s="71">
        <f>SUMIFS(Log[Protein],Log[Date],tbDailyTotals[[#This Row],[Date]])</f>
        <v>0</v>
      </c>
      <c r="G129" s="83">
        <f>SUMIFS(Log[Chol],Log[Date],tbDailyTotals[[#This Row],[Date]])</f>
        <v>0</v>
      </c>
      <c r="H129" s="92"/>
      <c r="I129" s="70" t="str">
        <f>IF(COUNTIFS(Log[Date],tbDailyTotals[[#This Row],[Date]],Log[Item],"Morn meds",Log[Qty],1),"x","")</f>
        <v/>
      </c>
      <c r="J129" s="70" t="str">
        <f>IF(COUNTIFS(Log[Date],tbDailyTotals[[#This Row],[Date]],Log[Item],"Morn insulin",Log[Qty],1),"x","")</f>
        <v/>
      </c>
      <c r="K129" s="70" t="str">
        <f>IF(COUNTIFS(Log[Date],tbDailyTotals[[#This Row],[Date]],Log[Item],"Eve insulin",Log[Qty],1),"x","")</f>
        <v/>
      </c>
      <c r="L129" s="70" t="str">
        <f>IF(COUNTIFS(Log[Date],tbDailyTotals[[#This Row],[Date]],Log[Item],"Eve meds",Log[Qty],1),"x","")</f>
        <v/>
      </c>
      <c r="M129" s="150"/>
    </row>
    <row r="130" spans="2:13" s="75" customFormat="1" ht="25.15" customHeight="1">
      <c r="B130" s="91"/>
      <c r="C130" s="82">
        <f>SUMIFS(Log[Cal],Log[Date],tbDailyTotals[[#This Row],[Date]])</f>
        <v>0</v>
      </c>
      <c r="D130" s="82">
        <f>SUMIFS(Log[Sodium],Log[Date],tbDailyTotals[[#This Row],[Date]])</f>
        <v>0</v>
      </c>
      <c r="E130" s="71">
        <f>SUMIFS(Log[Net Carbs],Log[Date],tbDailyTotals[[#This Row],[Date]])</f>
        <v>0</v>
      </c>
      <c r="F130" s="71">
        <f>SUMIFS(Log[Protein],Log[Date],tbDailyTotals[[#This Row],[Date]])</f>
        <v>0</v>
      </c>
      <c r="G130" s="83">
        <f>SUMIFS(Log[Chol],Log[Date],tbDailyTotals[[#This Row],[Date]])</f>
        <v>0</v>
      </c>
      <c r="H130" s="92"/>
      <c r="I130" s="70" t="str">
        <f>IF(COUNTIFS(Log[Date],tbDailyTotals[[#This Row],[Date]],Log[Item],"Morn meds",Log[Qty],1),"x","")</f>
        <v/>
      </c>
      <c r="J130" s="70" t="str">
        <f>IF(COUNTIFS(Log[Date],tbDailyTotals[[#This Row],[Date]],Log[Item],"Morn insulin",Log[Qty],1),"x","")</f>
        <v/>
      </c>
      <c r="K130" s="70" t="str">
        <f>IF(COUNTIFS(Log[Date],tbDailyTotals[[#This Row],[Date]],Log[Item],"Eve insulin",Log[Qty],1),"x","")</f>
        <v/>
      </c>
      <c r="L130" s="70" t="str">
        <f>IF(COUNTIFS(Log[Date],tbDailyTotals[[#This Row],[Date]],Log[Item],"Eve meds",Log[Qty],1),"x","")</f>
        <v/>
      </c>
      <c r="M130" s="150"/>
    </row>
    <row r="131" spans="2:13" s="75" customFormat="1" ht="25.15" customHeight="1">
      <c r="B131" s="91"/>
      <c r="C131" s="82">
        <f>SUMIFS(Log[Cal],Log[Date],tbDailyTotals[[#This Row],[Date]])</f>
        <v>0</v>
      </c>
      <c r="D131" s="82">
        <f>SUMIFS(Log[Sodium],Log[Date],tbDailyTotals[[#This Row],[Date]])</f>
        <v>0</v>
      </c>
      <c r="E131" s="71">
        <f>SUMIFS(Log[Net Carbs],Log[Date],tbDailyTotals[[#This Row],[Date]])</f>
        <v>0</v>
      </c>
      <c r="F131" s="71">
        <f>SUMIFS(Log[Protein],Log[Date],tbDailyTotals[[#This Row],[Date]])</f>
        <v>0</v>
      </c>
      <c r="G131" s="83">
        <f>SUMIFS(Log[Chol],Log[Date],tbDailyTotals[[#This Row],[Date]])</f>
        <v>0</v>
      </c>
      <c r="H131" s="92"/>
      <c r="I131" s="70" t="str">
        <f>IF(COUNTIFS(Log[Date],tbDailyTotals[[#This Row],[Date]],Log[Item],"Morn meds",Log[Qty],1),"x","")</f>
        <v/>
      </c>
      <c r="J131" s="70" t="str">
        <f>IF(COUNTIFS(Log[Date],tbDailyTotals[[#This Row],[Date]],Log[Item],"Morn insulin",Log[Qty],1),"x","")</f>
        <v/>
      </c>
      <c r="K131" s="70" t="str">
        <f>IF(COUNTIFS(Log[Date],tbDailyTotals[[#This Row],[Date]],Log[Item],"Eve insulin",Log[Qty],1),"x","")</f>
        <v/>
      </c>
      <c r="L131" s="70" t="str">
        <f>IF(COUNTIFS(Log[Date],tbDailyTotals[[#This Row],[Date]],Log[Item],"Eve meds",Log[Qty],1),"x","")</f>
        <v/>
      </c>
      <c r="M131" s="150"/>
    </row>
    <row r="132" spans="2:13" s="75" customFormat="1" ht="25.15" customHeight="1">
      <c r="B132" s="91"/>
      <c r="C132" s="82">
        <f>SUMIFS(Log[Cal],Log[Date],tbDailyTotals[[#This Row],[Date]])</f>
        <v>0</v>
      </c>
      <c r="D132" s="82">
        <f>SUMIFS(Log[Sodium],Log[Date],tbDailyTotals[[#This Row],[Date]])</f>
        <v>0</v>
      </c>
      <c r="E132" s="71">
        <f>SUMIFS(Log[Net Carbs],Log[Date],tbDailyTotals[[#This Row],[Date]])</f>
        <v>0</v>
      </c>
      <c r="F132" s="71">
        <f>SUMIFS(Log[Protein],Log[Date],tbDailyTotals[[#This Row],[Date]])</f>
        <v>0</v>
      </c>
      <c r="G132" s="83">
        <f>SUMIFS(Log[Chol],Log[Date],tbDailyTotals[[#This Row],[Date]])</f>
        <v>0</v>
      </c>
      <c r="H132" s="92"/>
      <c r="I132" s="70" t="str">
        <f>IF(COUNTIFS(Log[Date],tbDailyTotals[[#This Row],[Date]],Log[Item],"Morn meds",Log[Qty],1),"x","")</f>
        <v/>
      </c>
      <c r="J132" s="70" t="str">
        <f>IF(COUNTIFS(Log[Date],tbDailyTotals[[#This Row],[Date]],Log[Item],"Morn insulin",Log[Qty],1),"x","")</f>
        <v/>
      </c>
      <c r="K132" s="70" t="str">
        <f>IF(COUNTIFS(Log[Date],tbDailyTotals[[#This Row],[Date]],Log[Item],"Eve insulin",Log[Qty],1),"x","")</f>
        <v/>
      </c>
      <c r="L132" s="70" t="str">
        <f>IF(COUNTIFS(Log[Date],tbDailyTotals[[#This Row],[Date]],Log[Item],"Eve meds",Log[Qty],1),"x","")</f>
        <v/>
      </c>
      <c r="M132" s="150"/>
    </row>
    <row r="133" spans="2:13" s="75" customFormat="1" ht="25.15" customHeight="1">
      <c r="B133" s="91"/>
      <c r="C133" s="82">
        <f>SUMIFS(Log[Cal],Log[Date],tbDailyTotals[[#This Row],[Date]])</f>
        <v>0</v>
      </c>
      <c r="D133" s="82">
        <f>SUMIFS(Log[Sodium],Log[Date],tbDailyTotals[[#This Row],[Date]])</f>
        <v>0</v>
      </c>
      <c r="E133" s="71">
        <f>SUMIFS(Log[Net Carbs],Log[Date],tbDailyTotals[[#This Row],[Date]])</f>
        <v>0</v>
      </c>
      <c r="F133" s="71">
        <f>SUMIFS(Log[Protein],Log[Date],tbDailyTotals[[#This Row],[Date]])</f>
        <v>0</v>
      </c>
      <c r="G133" s="83">
        <f>SUMIFS(Log[Chol],Log[Date],tbDailyTotals[[#This Row],[Date]])</f>
        <v>0</v>
      </c>
      <c r="H133" s="92"/>
      <c r="I133" s="70" t="str">
        <f>IF(COUNTIFS(Log[Date],tbDailyTotals[[#This Row],[Date]],Log[Item],"Morn meds",Log[Qty],1),"x","")</f>
        <v/>
      </c>
      <c r="J133" s="70" t="str">
        <f>IF(COUNTIFS(Log[Date],tbDailyTotals[[#This Row],[Date]],Log[Item],"Morn insulin",Log[Qty],1),"x","")</f>
        <v/>
      </c>
      <c r="K133" s="70" t="str">
        <f>IF(COUNTIFS(Log[Date],tbDailyTotals[[#This Row],[Date]],Log[Item],"Eve insulin",Log[Qty],1),"x","")</f>
        <v/>
      </c>
      <c r="L133" s="70" t="str">
        <f>IF(COUNTIFS(Log[Date],tbDailyTotals[[#This Row],[Date]],Log[Item],"Eve meds",Log[Qty],1),"x","")</f>
        <v/>
      </c>
      <c r="M133" s="150"/>
    </row>
    <row r="134" spans="2:13" s="75" customFormat="1" ht="25.15" customHeight="1">
      <c r="B134" s="91"/>
      <c r="C134" s="82">
        <f>SUMIFS(Log[Cal],Log[Date],tbDailyTotals[[#This Row],[Date]])</f>
        <v>0</v>
      </c>
      <c r="D134" s="82">
        <f>SUMIFS(Log[Sodium],Log[Date],tbDailyTotals[[#This Row],[Date]])</f>
        <v>0</v>
      </c>
      <c r="E134" s="71">
        <f>SUMIFS(Log[Net Carbs],Log[Date],tbDailyTotals[[#This Row],[Date]])</f>
        <v>0</v>
      </c>
      <c r="F134" s="71">
        <f>SUMIFS(Log[Protein],Log[Date],tbDailyTotals[[#This Row],[Date]])</f>
        <v>0</v>
      </c>
      <c r="G134" s="83">
        <f>SUMIFS(Log[Chol],Log[Date],tbDailyTotals[[#This Row],[Date]])</f>
        <v>0</v>
      </c>
      <c r="H134" s="92"/>
      <c r="I134" s="70" t="str">
        <f>IF(COUNTIFS(Log[Date],tbDailyTotals[[#This Row],[Date]],Log[Item],"Morn meds",Log[Qty],1),"x","")</f>
        <v/>
      </c>
      <c r="J134" s="70" t="str">
        <f>IF(COUNTIFS(Log[Date],tbDailyTotals[[#This Row],[Date]],Log[Item],"Morn insulin",Log[Qty],1),"x","")</f>
        <v/>
      </c>
      <c r="K134" s="70" t="str">
        <f>IF(COUNTIFS(Log[Date],tbDailyTotals[[#This Row],[Date]],Log[Item],"Eve insulin",Log[Qty],1),"x","")</f>
        <v/>
      </c>
      <c r="L134" s="70" t="str">
        <f>IF(COUNTIFS(Log[Date],tbDailyTotals[[#This Row],[Date]],Log[Item],"Eve meds",Log[Qty],1),"x","")</f>
        <v/>
      </c>
      <c r="M134" s="150"/>
    </row>
    <row r="135" spans="2:13" s="75" customFormat="1" ht="25.15" customHeight="1">
      <c r="B135" s="91"/>
      <c r="C135" s="82">
        <f>SUMIFS(Log[Cal],Log[Date],tbDailyTotals[[#This Row],[Date]])</f>
        <v>0</v>
      </c>
      <c r="D135" s="82">
        <f>SUMIFS(Log[Sodium],Log[Date],tbDailyTotals[[#This Row],[Date]])</f>
        <v>0</v>
      </c>
      <c r="E135" s="71">
        <f>SUMIFS(Log[Net Carbs],Log[Date],tbDailyTotals[[#This Row],[Date]])</f>
        <v>0</v>
      </c>
      <c r="F135" s="71">
        <f>SUMIFS(Log[Protein],Log[Date],tbDailyTotals[[#This Row],[Date]])</f>
        <v>0</v>
      </c>
      <c r="G135" s="83">
        <f>SUMIFS(Log[Chol],Log[Date],tbDailyTotals[[#This Row],[Date]])</f>
        <v>0</v>
      </c>
      <c r="H135" s="92"/>
      <c r="I135" s="70" t="str">
        <f>IF(COUNTIFS(Log[Date],tbDailyTotals[[#This Row],[Date]],Log[Item],"Morn meds",Log[Qty],1),"x","")</f>
        <v/>
      </c>
      <c r="J135" s="70" t="str">
        <f>IF(COUNTIFS(Log[Date],tbDailyTotals[[#This Row],[Date]],Log[Item],"Morn insulin",Log[Qty],1),"x","")</f>
        <v/>
      </c>
      <c r="K135" s="70" t="str">
        <f>IF(COUNTIFS(Log[Date],tbDailyTotals[[#This Row],[Date]],Log[Item],"Eve insulin",Log[Qty],1),"x","")</f>
        <v/>
      </c>
      <c r="L135" s="70" t="str">
        <f>IF(COUNTIFS(Log[Date],tbDailyTotals[[#This Row],[Date]],Log[Item],"Eve meds",Log[Qty],1),"x","")</f>
        <v/>
      </c>
      <c r="M135" s="150"/>
    </row>
    <row r="136" spans="2:13" s="75" customFormat="1" ht="25.15" customHeight="1">
      <c r="B136" s="91"/>
      <c r="C136" s="82">
        <f>SUMIFS(Log[Cal],Log[Date],tbDailyTotals[[#This Row],[Date]])</f>
        <v>0</v>
      </c>
      <c r="D136" s="82">
        <f>SUMIFS(Log[Sodium],Log[Date],tbDailyTotals[[#This Row],[Date]])</f>
        <v>0</v>
      </c>
      <c r="E136" s="71">
        <f>SUMIFS(Log[Net Carbs],Log[Date],tbDailyTotals[[#This Row],[Date]])</f>
        <v>0</v>
      </c>
      <c r="F136" s="71">
        <f>SUMIFS(Log[Protein],Log[Date],tbDailyTotals[[#This Row],[Date]])</f>
        <v>0</v>
      </c>
      <c r="G136" s="83">
        <f>SUMIFS(Log[Chol],Log[Date],tbDailyTotals[[#This Row],[Date]])</f>
        <v>0</v>
      </c>
      <c r="H136" s="92"/>
      <c r="I136" s="70" t="str">
        <f>IF(COUNTIFS(Log[Date],tbDailyTotals[[#This Row],[Date]],Log[Item],"Morn meds",Log[Qty],1),"x","")</f>
        <v/>
      </c>
      <c r="J136" s="70" t="str">
        <f>IF(COUNTIFS(Log[Date],tbDailyTotals[[#This Row],[Date]],Log[Item],"Morn insulin",Log[Qty],1),"x","")</f>
        <v/>
      </c>
      <c r="K136" s="70" t="str">
        <f>IF(COUNTIFS(Log[Date],tbDailyTotals[[#This Row],[Date]],Log[Item],"Eve insulin",Log[Qty],1),"x","")</f>
        <v/>
      </c>
      <c r="L136" s="70" t="str">
        <f>IF(COUNTIFS(Log[Date],tbDailyTotals[[#This Row],[Date]],Log[Item],"Eve meds",Log[Qty],1),"x","")</f>
        <v/>
      </c>
      <c r="M136" s="150"/>
    </row>
    <row r="137" spans="2:13" s="75" customFormat="1" ht="25.15" customHeight="1">
      <c r="B137" s="91"/>
      <c r="C137" s="82">
        <f>SUMIFS(Log[Cal],Log[Date],tbDailyTotals[[#This Row],[Date]])</f>
        <v>0</v>
      </c>
      <c r="D137" s="82">
        <f>SUMIFS(Log[Sodium],Log[Date],tbDailyTotals[[#This Row],[Date]])</f>
        <v>0</v>
      </c>
      <c r="E137" s="71">
        <f>SUMIFS(Log[Net Carbs],Log[Date],tbDailyTotals[[#This Row],[Date]])</f>
        <v>0</v>
      </c>
      <c r="F137" s="71">
        <f>SUMIFS(Log[Protein],Log[Date],tbDailyTotals[[#This Row],[Date]])</f>
        <v>0</v>
      </c>
      <c r="G137" s="83">
        <f>SUMIFS(Log[Chol],Log[Date],tbDailyTotals[[#This Row],[Date]])</f>
        <v>0</v>
      </c>
      <c r="H137" s="92"/>
      <c r="I137" s="70" t="str">
        <f>IF(COUNTIFS(Log[Date],tbDailyTotals[[#This Row],[Date]],Log[Item],"Morn meds",Log[Qty],1),"x","")</f>
        <v/>
      </c>
      <c r="J137" s="70" t="str">
        <f>IF(COUNTIFS(Log[Date],tbDailyTotals[[#This Row],[Date]],Log[Item],"Morn insulin",Log[Qty],1),"x","")</f>
        <v/>
      </c>
      <c r="K137" s="70" t="str">
        <f>IF(COUNTIFS(Log[Date],tbDailyTotals[[#This Row],[Date]],Log[Item],"Eve insulin",Log[Qty],1),"x","")</f>
        <v/>
      </c>
      <c r="L137" s="70" t="str">
        <f>IF(COUNTIFS(Log[Date],tbDailyTotals[[#This Row],[Date]],Log[Item],"Eve meds",Log[Qty],1),"x","")</f>
        <v/>
      </c>
      <c r="M137" s="150"/>
    </row>
    <row r="138" spans="2:13" s="75" customFormat="1" ht="25.15" customHeight="1">
      <c r="B138" s="91"/>
      <c r="C138" s="82">
        <f>SUMIFS(Log[Cal],Log[Date],tbDailyTotals[[#This Row],[Date]])</f>
        <v>0</v>
      </c>
      <c r="D138" s="82">
        <f>SUMIFS(Log[Sodium],Log[Date],tbDailyTotals[[#This Row],[Date]])</f>
        <v>0</v>
      </c>
      <c r="E138" s="71">
        <f>SUMIFS(Log[Net Carbs],Log[Date],tbDailyTotals[[#This Row],[Date]])</f>
        <v>0</v>
      </c>
      <c r="F138" s="71">
        <f>SUMIFS(Log[Protein],Log[Date],tbDailyTotals[[#This Row],[Date]])</f>
        <v>0</v>
      </c>
      <c r="G138" s="83">
        <f>SUMIFS(Log[Chol],Log[Date],tbDailyTotals[[#This Row],[Date]])</f>
        <v>0</v>
      </c>
      <c r="H138" s="92"/>
      <c r="I138" s="70" t="str">
        <f>IF(COUNTIFS(Log[Date],tbDailyTotals[[#This Row],[Date]],Log[Item],"Morn meds",Log[Qty],1),"x","")</f>
        <v/>
      </c>
      <c r="J138" s="70" t="str">
        <f>IF(COUNTIFS(Log[Date],tbDailyTotals[[#This Row],[Date]],Log[Item],"Morn insulin",Log[Qty],1),"x","")</f>
        <v/>
      </c>
      <c r="K138" s="70" t="str">
        <f>IF(COUNTIFS(Log[Date],tbDailyTotals[[#This Row],[Date]],Log[Item],"Eve insulin",Log[Qty],1),"x","")</f>
        <v/>
      </c>
      <c r="L138" s="70" t="str">
        <f>IF(COUNTIFS(Log[Date],tbDailyTotals[[#This Row],[Date]],Log[Item],"Eve meds",Log[Qty],1),"x","")</f>
        <v/>
      </c>
      <c r="M138" s="150"/>
    </row>
    <row r="139" spans="2:13" s="75" customFormat="1" ht="25.15" customHeight="1">
      <c r="B139" s="91"/>
      <c r="C139" s="82">
        <f>SUMIFS(Log[Cal],Log[Date],tbDailyTotals[[#This Row],[Date]])</f>
        <v>0</v>
      </c>
      <c r="D139" s="82">
        <f>SUMIFS(Log[Sodium],Log[Date],tbDailyTotals[[#This Row],[Date]])</f>
        <v>0</v>
      </c>
      <c r="E139" s="71">
        <f>SUMIFS(Log[Net Carbs],Log[Date],tbDailyTotals[[#This Row],[Date]])</f>
        <v>0</v>
      </c>
      <c r="F139" s="71">
        <f>SUMIFS(Log[Protein],Log[Date],tbDailyTotals[[#This Row],[Date]])</f>
        <v>0</v>
      </c>
      <c r="G139" s="83">
        <f>SUMIFS(Log[Chol],Log[Date],tbDailyTotals[[#This Row],[Date]])</f>
        <v>0</v>
      </c>
      <c r="H139" s="92"/>
      <c r="I139" s="70" t="str">
        <f>IF(COUNTIFS(Log[Date],tbDailyTotals[[#This Row],[Date]],Log[Item],"Morn meds",Log[Qty],1),"x","")</f>
        <v/>
      </c>
      <c r="J139" s="70" t="str">
        <f>IF(COUNTIFS(Log[Date],tbDailyTotals[[#This Row],[Date]],Log[Item],"Morn insulin",Log[Qty],1),"x","")</f>
        <v/>
      </c>
      <c r="K139" s="70" t="str">
        <f>IF(COUNTIFS(Log[Date],tbDailyTotals[[#This Row],[Date]],Log[Item],"Eve insulin",Log[Qty],1),"x","")</f>
        <v/>
      </c>
      <c r="L139" s="70" t="str">
        <f>IF(COUNTIFS(Log[Date],tbDailyTotals[[#This Row],[Date]],Log[Item],"Eve meds",Log[Qty],1),"x","")</f>
        <v/>
      </c>
      <c r="M139" s="150"/>
    </row>
    <row r="140" spans="2:13" s="75" customFormat="1" ht="25.15" customHeight="1">
      <c r="B140" s="91"/>
      <c r="C140" s="82">
        <f>SUMIFS(Log[Cal],Log[Date],tbDailyTotals[[#This Row],[Date]])</f>
        <v>0</v>
      </c>
      <c r="D140" s="82">
        <f>SUMIFS(Log[Sodium],Log[Date],tbDailyTotals[[#This Row],[Date]])</f>
        <v>0</v>
      </c>
      <c r="E140" s="71">
        <f>SUMIFS(Log[Net Carbs],Log[Date],tbDailyTotals[[#This Row],[Date]])</f>
        <v>0</v>
      </c>
      <c r="F140" s="71">
        <f>SUMIFS(Log[Protein],Log[Date],tbDailyTotals[[#This Row],[Date]])</f>
        <v>0</v>
      </c>
      <c r="G140" s="83">
        <f>SUMIFS(Log[Chol],Log[Date],tbDailyTotals[[#This Row],[Date]])</f>
        <v>0</v>
      </c>
      <c r="H140" s="92"/>
      <c r="I140" s="70" t="str">
        <f>IF(COUNTIFS(Log[Date],tbDailyTotals[[#This Row],[Date]],Log[Item],"Morn meds",Log[Qty],1),"x","")</f>
        <v/>
      </c>
      <c r="J140" s="70" t="str">
        <f>IF(COUNTIFS(Log[Date],tbDailyTotals[[#This Row],[Date]],Log[Item],"Morn insulin",Log[Qty],1),"x","")</f>
        <v/>
      </c>
      <c r="K140" s="70" t="str">
        <f>IF(COUNTIFS(Log[Date],tbDailyTotals[[#This Row],[Date]],Log[Item],"Eve insulin",Log[Qty],1),"x","")</f>
        <v/>
      </c>
      <c r="L140" s="70" t="str">
        <f>IF(COUNTIFS(Log[Date],tbDailyTotals[[#This Row],[Date]],Log[Item],"Eve meds",Log[Qty],1),"x","")</f>
        <v/>
      </c>
      <c r="M140" s="150"/>
    </row>
    <row r="141" spans="2:13" s="75" customFormat="1" ht="25.15" customHeight="1">
      <c r="B141" s="91"/>
      <c r="C141" s="82">
        <f>SUMIFS(Log[Cal],Log[Date],tbDailyTotals[[#This Row],[Date]])</f>
        <v>0</v>
      </c>
      <c r="D141" s="82">
        <f>SUMIFS(Log[Sodium],Log[Date],tbDailyTotals[[#This Row],[Date]])</f>
        <v>0</v>
      </c>
      <c r="E141" s="71">
        <f>SUMIFS(Log[Net Carbs],Log[Date],tbDailyTotals[[#This Row],[Date]])</f>
        <v>0</v>
      </c>
      <c r="F141" s="71">
        <f>SUMIFS(Log[Protein],Log[Date],tbDailyTotals[[#This Row],[Date]])</f>
        <v>0</v>
      </c>
      <c r="G141" s="83">
        <f>SUMIFS(Log[Chol],Log[Date],tbDailyTotals[[#This Row],[Date]])</f>
        <v>0</v>
      </c>
      <c r="H141" s="92"/>
      <c r="I141" s="70" t="str">
        <f>IF(COUNTIFS(Log[Date],tbDailyTotals[[#This Row],[Date]],Log[Item],"Morn meds",Log[Qty],1),"x","")</f>
        <v/>
      </c>
      <c r="J141" s="70" t="str">
        <f>IF(COUNTIFS(Log[Date],tbDailyTotals[[#This Row],[Date]],Log[Item],"Morn insulin",Log[Qty],1),"x","")</f>
        <v/>
      </c>
      <c r="K141" s="70" t="str">
        <f>IF(COUNTIFS(Log[Date],tbDailyTotals[[#This Row],[Date]],Log[Item],"Eve insulin",Log[Qty],1),"x","")</f>
        <v/>
      </c>
      <c r="L141" s="70" t="str">
        <f>IF(COUNTIFS(Log[Date],tbDailyTotals[[#This Row],[Date]],Log[Item],"Eve meds",Log[Qty],1),"x","")</f>
        <v/>
      </c>
      <c r="M141" s="150"/>
    </row>
    <row r="142" spans="2:13" s="75" customFormat="1" ht="25.15" customHeight="1">
      <c r="B142" s="91"/>
      <c r="C142" s="82">
        <f>SUMIFS(Log[Cal],Log[Date],tbDailyTotals[[#This Row],[Date]])</f>
        <v>0</v>
      </c>
      <c r="D142" s="82">
        <f>SUMIFS(Log[Sodium],Log[Date],tbDailyTotals[[#This Row],[Date]])</f>
        <v>0</v>
      </c>
      <c r="E142" s="71">
        <f>SUMIFS(Log[Net Carbs],Log[Date],tbDailyTotals[[#This Row],[Date]])</f>
        <v>0</v>
      </c>
      <c r="F142" s="71">
        <f>SUMIFS(Log[Protein],Log[Date],tbDailyTotals[[#This Row],[Date]])</f>
        <v>0</v>
      </c>
      <c r="G142" s="83">
        <f>SUMIFS(Log[Chol],Log[Date],tbDailyTotals[[#This Row],[Date]])</f>
        <v>0</v>
      </c>
      <c r="H142" s="92"/>
      <c r="I142" s="70" t="str">
        <f>IF(COUNTIFS(Log[Date],tbDailyTotals[[#This Row],[Date]],Log[Item],"Morn meds",Log[Qty],1),"x","")</f>
        <v/>
      </c>
      <c r="J142" s="70" t="str">
        <f>IF(COUNTIFS(Log[Date],tbDailyTotals[[#This Row],[Date]],Log[Item],"Morn insulin",Log[Qty],1),"x","")</f>
        <v/>
      </c>
      <c r="K142" s="70" t="str">
        <f>IF(COUNTIFS(Log[Date],tbDailyTotals[[#This Row],[Date]],Log[Item],"Eve insulin",Log[Qty],1),"x","")</f>
        <v/>
      </c>
      <c r="L142" s="70" t="str">
        <f>IF(COUNTIFS(Log[Date],tbDailyTotals[[#This Row],[Date]],Log[Item],"Eve meds",Log[Qty],1),"x","")</f>
        <v/>
      </c>
      <c r="M142" s="150"/>
    </row>
    <row r="143" spans="2:13" s="75" customFormat="1" ht="25.15" customHeight="1">
      <c r="B143" s="91"/>
      <c r="C143" s="82">
        <f>SUMIFS(Log[Cal],Log[Date],tbDailyTotals[[#This Row],[Date]])</f>
        <v>0</v>
      </c>
      <c r="D143" s="82">
        <f>SUMIFS(Log[Sodium],Log[Date],tbDailyTotals[[#This Row],[Date]])</f>
        <v>0</v>
      </c>
      <c r="E143" s="71">
        <f>SUMIFS(Log[Net Carbs],Log[Date],tbDailyTotals[[#This Row],[Date]])</f>
        <v>0</v>
      </c>
      <c r="F143" s="71">
        <f>SUMIFS(Log[Protein],Log[Date],tbDailyTotals[[#This Row],[Date]])</f>
        <v>0</v>
      </c>
      <c r="G143" s="83">
        <f>SUMIFS(Log[Chol],Log[Date],tbDailyTotals[[#This Row],[Date]])</f>
        <v>0</v>
      </c>
      <c r="H143" s="92"/>
      <c r="I143" s="70" t="str">
        <f>IF(COUNTIFS(Log[Date],tbDailyTotals[[#This Row],[Date]],Log[Item],"Morn meds",Log[Qty],1),"x","")</f>
        <v/>
      </c>
      <c r="J143" s="70" t="str">
        <f>IF(COUNTIFS(Log[Date],tbDailyTotals[[#This Row],[Date]],Log[Item],"Morn insulin",Log[Qty],1),"x","")</f>
        <v/>
      </c>
      <c r="K143" s="70" t="str">
        <f>IF(COUNTIFS(Log[Date],tbDailyTotals[[#This Row],[Date]],Log[Item],"Eve insulin",Log[Qty],1),"x","")</f>
        <v/>
      </c>
      <c r="L143" s="70" t="str">
        <f>IF(COUNTIFS(Log[Date],tbDailyTotals[[#This Row],[Date]],Log[Item],"Eve meds",Log[Qty],1),"x","")</f>
        <v/>
      </c>
      <c r="M143" s="150"/>
    </row>
    <row r="144" spans="2:13" s="75" customFormat="1" ht="25.15" customHeight="1">
      <c r="B144" s="91"/>
      <c r="C144" s="82">
        <f>SUMIFS(Log[Cal],Log[Date],tbDailyTotals[[#This Row],[Date]])</f>
        <v>0</v>
      </c>
      <c r="D144" s="82">
        <f>SUMIFS(Log[Sodium],Log[Date],tbDailyTotals[[#This Row],[Date]])</f>
        <v>0</v>
      </c>
      <c r="E144" s="71">
        <f>SUMIFS(Log[Net Carbs],Log[Date],tbDailyTotals[[#This Row],[Date]])</f>
        <v>0</v>
      </c>
      <c r="F144" s="71">
        <f>SUMIFS(Log[Protein],Log[Date],tbDailyTotals[[#This Row],[Date]])</f>
        <v>0</v>
      </c>
      <c r="G144" s="83">
        <f>SUMIFS(Log[Chol],Log[Date],tbDailyTotals[[#This Row],[Date]])</f>
        <v>0</v>
      </c>
      <c r="H144" s="92"/>
      <c r="I144" s="70" t="str">
        <f>IF(COUNTIFS(Log[Date],tbDailyTotals[[#This Row],[Date]],Log[Item],"Morn meds",Log[Qty],1),"x","")</f>
        <v/>
      </c>
      <c r="J144" s="70" t="str">
        <f>IF(COUNTIFS(Log[Date],tbDailyTotals[[#This Row],[Date]],Log[Item],"Morn insulin",Log[Qty],1),"x","")</f>
        <v/>
      </c>
      <c r="K144" s="70" t="str">
        <f>IF(COUNTIFS(Log[Date],tbDailyTotals[[#This Row],[Date]],Log[Item],"Eve insulin",Log[Qty],1),"x","")</f>
        <v/>
      </c>
      <c r="L144" s="70" t="str">
        <f>IF(COUNTIFS(Log[Date],tbDailyTotals[[#This Row],[Date]],Log[Item],"Eve meds",Log[Qty],1),"x","")</f>
        <v/>
      </c>
      <c r="M144" s="150"/>
    </row>
    <row r="145" spans="2:13" s="75" customFormat="1" ht="25.15" customHeight="1">
      <c r="B145" s="91"/>
      <c r="C145" s="82">
        <f>SUMIFS(Log[Cal],Log[Date],tbDailyTotals[[#This Row],[Date]])</f>
        <v>0</v>
      </c>
      <c r="D145" s="82">
        <f>SUMIFS(Log[Sodium],Log[Date],tbDailyTotals[[#This Row],[Date]])</f>
        <v>0</v>
      </c>
      <c r="E145" s="71">
        <f>SUMIFS(Log[Net Carbs],Log[Date],tbDailyTotals[[#This Row],[Date]])</f>
        <v>0</v>
      </c>
      <c r="F145" s="71">
        <f>SUMIFS(Log[Protein],Log[Date],tbDailyTotals[[#This Row],[Date]])</f>
        <v>0</v>
      </c>
      <c r="G145" s="83">
        <f>SUMIFS(Log[Chol],Log[Date],tbDailyTotals[[#This Row],[Date]])</f>
        <v>0</v>
      </c>
      <c r="H145" s="92"/>
      <c r="I145" s="70" t="str">
        <f>IF(COUNTIFS(Log[Date],tbDailyTotals[[#This Row],[Date]],Log[Item],"Morn meds",Log[Qty],1),"x","")</f>
        <v/>
      </c>
      <c r="J145" s="70" t="str">
        <f>IF(COUNTIFS(Log[Date],tbDailyTotals[[#This Row],[Date]],Log[Item],"Morn insulin",Log[Qty],1),"x","")</f>
        <v/>
      </c>
      <c r="K145" s="70" t="str">
        <f>IF(COUNTIFS(Log[Date],tbDailyTotals[[#This Row],[Date]],Log[Item],"Eve insulin",Log[Qty],1),"x","")</f>
        <v/>
      </c>
      <c r="L145" s="70" t="str">
        <f>IF(COUNTIFS(Log[Date],tbDailyTotals[[#This Row],[Date]],Log[Item],"Eve meds",Log[Qty],1),"x","")</f>
        <v/>
      </c>
      <c r="M145" s="150"/>
    </row>
    <row r="146" spans="2:13" s="75" customFormat="1" ht="25.15" customHeight="1">
      <c r="B146" s="91"/>
      <c r="C146" s="82">
        <f>SUMIFS(Log[Cal],Log[Date],tbDailyTotals[[#This Row],[Date]])</f>
        <v>0</v>
      </c>
      <c r="D146" s="82">
        <f>SUMIFS(Log[Sodium],Log[Date],tbDailyTotals[[#This Row],[Date]])</f>
        <v>0</v>
      </c>
      <c r="E146" s="71">
        <f>SUMIFS(Log[Net Carbs],Log[Date],tbDailyTotals[[#This Row],[Date]])</f>
        <v>0</v>
      </c>
      <c r="F146" s="71">
        <f>SUMIFS(Log[Protein],Log[Date],tbDailyTotals[[#This Row],[Date]])</f>
        <v>0</v>
      </c>
      <c r="G146" s="83">
        <f>SUMIFS(Log[Chol],Log[Date],tbDailyTotals[[#This Row],[Date]])</f>
        <v>0</v>
      </c>
      <c r="H146" s="92"/>
      <c r="I146" s="70" t="str">
        <f>IF(COUNTIFS(Log[Date],tbDailyTotals[[#This Row],[Date]],Log[Item],"Morn meds",Log[Qty],1),"x","")</f>
        <v/>
      </c>
      <c r="J146" s="70" t="str">
        <f>IF(COUNTIFS(Log[Date],tbDailyTotals[[#This Row],[Date]],Log[Item],"Morn insulin",Log[Qty],1),"x","")</f>
        <v/>
      </c>
      <c r="K146" s="70" t="str">
        <f>IF(COUNTIFS(Log[Date],tbDailyTotals[[#This Row],[Date]],Log[Item],"Eve insulin",Log[Qty],1),"x","")</f>
        <v/>
      </c>
      <c r="L146" s="70" t="str">
        <f>IF(COUNTIFS(Log[Date],tbDailyTotals[[#This Row],[Date]],Log[Item],"Eve meds",Log[Qty],1),"x","")</f>
        <v/>
      </c>
      <c r="M146" s="150"/>
    </row>
    <row r="147" spans="2:13" s="75" customFormat="1" ht="25.15" customHeight="1">
      <c r="B147" s="91"/>
      <c r="C147" s="82">
        <f>SUMIFS(Log[Cal],Log[Date],tbDailyTotals[[#This Row],[Date]])</f>
        <v>0</v>
      </c>
      <c r="D147" s="82">
        <f>SUMIFS(Log[Sodium],Log[Date],tbDailyTotals[[#This Row],[Date]])</f>
        <v>0</v>
      </c>
      <c r="E147" s="71">
        <f>SUMIFS(Log[Net Carbs],Log[Date],tbDailyTotals[[#This Row],[Date]])</f>
        <v>0</v>
      </c>
      <c r="F147" s="71">
        <f>SUMIFS(Log[Protein],Log[Date],tbDailyTotals[[#This Row],[Date]])</f>
        <v>0</v>
      </c>
      <c r="G147" s="83">
        <f>SUMIFS(Log[Chol],Log[Date],tbDailyTotals[[#This Row],[Date]])</f>
        <v>0</v>
      </c>
      <c r="H147" s="92"/>
      <c r="I147" s="70" t="str">
        <f>IF(COUNTIFS(Log[Date],tbDailyTotals[[#This Row],[Date]],Log[Item],"Morn meds",Log[Qty],1),"x","")</f>
        <v/>
      </c>
      <c r="J147" s="70" t="str">
        <f>IF(COUNTIFS(Log[Date],tbDailyTotals[[#This Row],[Date]],Log[Item],"Morn insulin",Log[Qty],1),"x","")</f>
        <v/>
      </c>
      <c r="K147" s="70" t="str">
        <f>IF(COUNTIFS(Log[Date],tbDailyTotals[[#This Row],[Date]],Log[Item],"Eve insulin",Log[Qty],1),"x","")</f>
        <v/>
      </c>
      <c r="L147" s="70" t="str">
        <f>IF(COUNTIFS(Log[Date],tbDailyTotals[[#This Row],[Date]],Log[Item],"Eve meds",Log[Qty],1),"x","")</f>
        <v/>
      </c>
      <c r="M147" s="150"/>
    </row>
    <row r="148" spans="2:13" s="75" customFormat="1" ht="25.15" customHeight="1">
      <c r="B148" s="91"/>
      <c r="C148" s="82">
        <f>SUMIFS(Log[Cal],Log[Date],tbDailyTotals[[#This Row],[Date]])</f>
        <v>0</v>
      </c>
      <c r="D148" s="82">
        <f>SUMIFS(Log[Sodium],Log[Date],tbDailyTotals[[#This Row],[Date]])</f>
        <v>0</v>
      </c>
      <c r="E148" s="71">
        <f>SUMIFS(Log[Net Carbs],Log[Date],tbDailyTotals[[#This Row],[Date]])</f>
        <v>0</v>
      </c>
      <c r="F148" s="71">
        <f>SUMIFS(Log[Protein],Log[Date],tbDailyTotals[[#This Row],[Date]])</f>
        <v>0</v>
      </c>
      <c r="G148" s="83">
        <f>SUMIFS(Log[Chol],Log[Date],tbDailyTotals[[#This Row],[Date]])</f>
        <v>0</v>
      </c>
      <c r="H148" s="92"/>
      <c r="I148" s="70" t="str">
        <f>IF(COUNTIFS(Log[Date],tbDailyTotals[[#This Row],[Date]],Log[Item],"Morn meds",Log[Qty],1),"x","")</f>
        <v/>
      </c>
      <c r="J148" s="70" t="str">
        <f>IF(COUNTIFS(Log[Date],tbDailyTotals[[#This Row],[Date]],Log[Item],"Morn insulin",Log[Qty],1),"x","")</f>
        <v/>
      </c>
      <c r="K148" s="70" t="str">
        <f>IF(COUNTIFS(Log[Date],tbDailyTotals[[#This Row],[Date]],Log[Item],"Eve insulin",Log[Qty],1),"x","")</f>
        <v/>
      </c>
      <c r="L148" s="70" t="str">
        <f>IF(COUNTIFS(Log[Date],tbDailyTotals[[#This Row],[Date]],Log[Item],"Eve meds",Log[Qty],1),"x","")</f>
        <v/>
      </c>
      <c r="M148" s="150"/>
    </row>
    <row r="149" spans="2:13" s="75" customFormat="1" ht="25.15" customHeight="1">
      <c r="B149" s="91"/>
      <c r="C149" s="82">
        <f>SUMIFS(Log[Cal],Log[Date],tbDailyTotals[[#This Row],[Date]])</f>
        <v>0</v>
      </c>
      <c r="D149" s="82">
        <f>SUMIFS(Log[Sodium],Log[Date],tbDailyTotals[[#This Row],[Date]])</f>
        <v>0</v>
      </c>
      <c r="E149" s="71">
        <f>SUMIFS(Log[Net Carbs],Log[Date],tbDailyTotals[[#This Row],[Date]])</f>
        <v>0</v>
      </c>
      <c r="F149" s="71">
        <f>SUMIFS(Log[Protein],Log[Date],tbDailyTotals[[#This Row],[Date]])</f>
        <v>0</v>
      </c>
      <c r="G149" s="83">
        <f>SUMIFS(Log[Chol],Log[Date],tbDailyTotals[[#This Row],[Date]])</f>
        <v>0</v>
      </c>
      <c r="H149" s="92"/>
      <c r="I149" s="70" t="str">
        <f>IF(COUNTIFS(Log[Date],tbDailyTotals[[#This Row],[Date]],Log[Item],"Morn meds",Log[Qty],1),"x","")</f>
        <v/>
      </c>
      <c r="J149" s="70" t="str">
        <f>IF(COUNTIFS(Log[Date],tbDailyTotals[[#This Row],[Date]],Log[Item],"Morn insulin",Log[Qty],1),"x","")</f>
        <v/>
      </c>
      <c r="K149" s="70" t="str">
        <f>IF(COUNTIFS(Log[Date],tbDailyTotals[[#This Row],[Date]],Log[Item],"Eve insulin",Log[Qty],1),"x","")</f>
        <v/>
      </c>
      <c r="L149" s="70" t="str">
        <f>IF(COUNTIFS(Log[Date],tbDailyTotals[[#This Row],[Date]],Log[Item],"Eve meds",Log[Qty],1),"x","")</f>
        <v/>
      </c>
      <c r="M149" s="150"/>
    </row>
    <row r="150" spans="2:13" s="75" customFormat="1" ht="25.15" customHeight="1">
      <c r="B150" s="91"/>
      <c r="C150" s="82">
        <f>SUMIFS(Log[Cal],Log[Date],tbDailyTotals[[#This Row],[Date]])</f>
        <v>0</v>
      </c>
      <c r="D150" s="82">
        <f>SUMIFS(Log[Sodium],Log[Date],tbDailyTotals[[#This Row],[Date]])</f>
        <v>0</v>
      </c>
      <c r="E150" s="71">
        <f>SUMIFS(Log[Net Carbs],Log[Date],tbDailyTotals[[#This Row],[Date]])</f>
        <v>0</v>
      </c>
      <c r="F150" s="71">
        <f>SUMIFS(Log[Protein],Log[Date],tbDailyTotals[[#This Row],[Date]])</f>
        <v>0</v>
      </c>
      <c r="G150" s="83">
        <f>SUMIFS(Log[Chol],Log[Date],tbDailyTotals[[#This Row],[Date]])</f>
        <v>0</v>
      </c>
      <c r="H150" s="92"/>
      <c r="I150" s="70" t="str">
        <f>IF(COUNTIFS(Log[Date],tbDailyTotals[[#This Row],[Date]],Log[Item],"Morn meds",Log[Qty],1),"x","")</f>
        <v/>
      </c>
      <c r="J150" s="70" t="str">
        <f>IF(COUNTIFS(Log[Date],tbDailyTotals[[#This Row],[Date]],Log[Item],"Morn insulin",Log[Qty],1),"x","")</f>
        <v/>
      </c>
      <c r="K150" s="70" t="str">
        <f>IF(COUNTIFS(Log[Date],tbDailyTotals[[#This Row],[Date]],Log[Item],"Eve insulin",Log[Qty],1),"x","")</f>
        <v/>
      </c>
      <c r="L150" s="70" t="str">
        <f>IF(COUNTIFS(Log[Date],tbDailyTotals[[#This Row],[Date]],Log[Item],"Eve meds",Log[Qty],1),"x","")</f>
        <v/>
      </c>
      <c r="M150" s="150"/>
    </row>
    <row r="151" spans="2:13" s="75" customFormat="1" ht="25.15" customHeight="1">
      <c r="B151" s="91"/>
      <c r="C151" s="82">
        <f>SUMIFS(Log[Cal],Log[Date],tbDailyTotals[[#This Row],[Date]])</f>
        <v>0</v>
      </c>
      <c r="D151" s="82">
        <f>SUMIFS(Log[Sodium],Log[Date],tbDailyTotals[[#This Row],[Date]])</f>
        <v>0</v>
      </c>
      <c r="E151" s="71">
        <f>SUMIFS(Log[Net Carbs],Log[Date],tbDailyTotals[[#This Row],[Date]])</f>
        <v>0</v>
      </c>
      <c r="F151" s="71">
        <f>SUMIFS(Log[Protein],Log[Date],tbDailyTotals[[#This Row],[Date]])</f>
        <v>0</v>
      </c>
      <c r="G151" s="83">
        <f>SUMIFS(Log[Chol],Log[Date],tbDailyTotals[[#This Row],[Date]])</f>
        <v>0</v>
      </c>
      <c r="H151" s="92"/>
      <c r="I151" s="70" t="str">
        <f>IF(COUNTIFS(Log[Date],tbDailyTotals[[#This Row],[Date]],Log[Item],"Morn meds",Log[Qty],1),"x","")</f>
        <v/>
      </c>
      <c r="J151" s="70" t="str">
        <f>IF(COUNTIFS(Log[Date],tbDailyTotals[[#This Row],[Date]],Log[Item],"Morn insulin",Log[Qty],1),"x","")</f>
        <v/>
      </c>
      <c r="K151" s="70" t="str">
        <f>IF(COUNTIFS(Log[Date],tbDailyTotals[[#This Row],[Date]],Log[Item],"Eve insulin",Log[Qty],1),"x","")</f>
        <v/>
      </c>
      <c r="L151" s="70" t="str">
        <f>IF(COUNTIFS(Log[Date],tbDailyTotals[[#This Row],[Date]],Log[Item],"Eve meds",Log[Qty],1),"x","")</f>
        <v/>
      </c>
      <c r="M151" s="150"/>
    </row>
    <row r="152" spans="2:13" s="75" customFormat="1" ht="25.15" customHeight="1">
      <c r="B152" s="91"/>
      <c r="C152" s="82">
        <f>SUMIFS(Log[Cal],Log[Date],tbDailyTotals[[#This Row],[Date]])</f>
        <v>0</v>
      </c>
      <c r="D152" s="82">
        <f>SUMIFS(Log[Sodium],Log[Date],tbDailyTotals[[#This Row],[Date]])</f>
        <v>0</v>
      </c>
      <c r="E152" s="71">
        <f>SUMIFS(Log[Net Carbs],Log[Date],tbDailyTotals[[#This Row],[Date]])</f>
        <v>0</v>
      </c>
      <c r="F152" s="71">
        <f>SUMIFS(Log[Protein],Log[Date],tbDailyTotals[[#This Row],[Date]])</f>
        <v>0</v>
      </c>
      <c r="G152" s="83">
        <f>SUMIFS(Log[Chol],Log[Date],tbDailyTotals[[#This Row],[Date]])</f>
        <v>0</v>
      </c>
      <c r="H152" s="92"/>
      <c r="I152" s="70" t="str">
        <f>IF(COUNTIFS(Log[Date],tbDailyTotals[[#This Row],[Date]],Log[Item],"Morn meds",Log[Qty],1),"x","")</f>
        <v/>
      </c>
      <c r="J152" s="70" t="str">
        <f>IF(COUNTIFS(Log[Date],tbDailyTotals[[#This Row],[Date]],Log[Item],"Morn insulin",Log[Qty],1),"x","")</f>
        <v/>
      </c>
      <c r="K152" s="70" t="str">
        <f>IF(COUNTIFS(Log[Date],tbDailyTotals[[#This Row],[Date]],Log[Item],"Eve insulin",Log[Qty],1),"x","")</f>
        <v/>
      </c>
      <c r="L152" s="70" t="str">
        <f>IF(COUNTIFS(Log[Date],tbDailyTotals[[#This Row],[Date]],Log[Item],"Eve meds",Log[Qty],1),"x","")</f>
        <v/>
      </c>
      <c r="M152" s="150"/>
    </row>
    <row r="153" spans="2:13" s="75" customFormat="1" ht="25.15" customHeight="1">
      <c r="B153" s="91"/>
      <c r="C153" s="82">
        <f>SUMIFS(Log[Cal],Log[Date],tbDailyTotals[[#This Row],[Date]])</f>
        <v>0</v>
      </c>
      <c r="D153" s="82">
        <f>SUMIFS(Log[Sodium],Log[Date],tbDailyTotals[[#This Row],[Date]])</f>
        <v>0</v>
      </c>
      <c r="E153" s="71">
        <f>SUMIFS(Log[Net Carbs],Log[Date],tbDailyTotals[[#This Row],[Date]])</f>
        <v>0</v>
      </c>
      <c r="F153" s="71">
        <f>SUMIFS(Log[Protein],Log[Date],tbDailyTotals[[#This Row],[Date]])</f>
        <v>0</v>
      </c>
      <c r="G153" s="83">
        <f>SUMIFS(Log[Chol],Log[Date],tbDailyTotals[[#This Row],[Date]])</f>
        <v>0</v>
      </c>
      <c r="H153" s="92"/>
      <c r="I153" s="70" t="str">
        <f>IF(COUNTIFS(Log[Date],tbDailyTotals[[#This Row],[Date]],Log[Item],"Morn meds",Log[Qty],1),"x","")</f>
        <v/>
      </c>
      <c r="J153" s="70" t="str">
        <f>IF(COUNTIFS(Log[Date],tbDailyTotals[[#This Row],[Date]],Log[Item],"Morn insulin",Log[Qty],1),"x","")</f>
        <v/>
      </c>
      <c r="K153" s="70" t="str">
        <f>IF(COUNTIFS(Log[Date],tbDailyTotals[[#This Row],[Date]],Log[Item],"Eve insulin",Log[Qty],1),"x","")</f>
        <v/>
      </c>
      <c r="L153" s="70" t="str">
        <f>IF(COUNTIFS(Log[Date],tbDailyTotals[[#This Row],[Date]],Log[Item],"Eve meds",Log[Qty],1),"x","")</f>
        <v/>
      </c>
      <c r="M153" s="150"/>
    </row>
    <row r="154" spans="2:13" s="75" customFormat="1" ht="25.15" customHeight="1">
      <c r="B154" s="91"/>
      <c r="C154" s="82">
        <f>SUMIFS(Log[Cal],Log[Date],tbDailyTotals[[#This Row],[Date]])</f>
        <v>0</v>
      </c>
      <c r="D154" s="82">
        <f>SUMIFS(Log[Sodium],Log[Date],tbDailyTotals[[#This Row],[Date]])</f>
        <v>0</v>
      </c>
      <c r="E154" s="71">
        <f>SUMIFS(Log[Net Carbs],Log[Date],tbDailyTotals[[#This Row],[Date]])</f>
        <v>0</v>
      </c>
      <c r="F154" s="71">
        <f>SUMIFS(Log[Protein],Log[Date],tbDailyTotals[[#This Row],[Date]])</f>
        <v>0</v>
      </c>
      <c r="G154" s="83">
        <f>SUMIFS(Log[Chol],Log[Date],tbDailyTotals[[#This Row],[Date]])</f>
        <v>0</v>
      </c>
      <c r="H154" s="92"/>
      <c r="I154" s="70" t="str">
        <f>IF(COUNTIFS(Log[Date],tbDailyTotals[[#This Row],[Date]],Log[Item],"Morn meds",Log[Qty],1),"x","")</f>
        <v/>
      </c>
      <c r="J154" s="70" t="str">
        <f>IF(COUNTIFS(Log[Date],tbDailyTotals[[#This Row],[Date]],Log[Item],"Morn insulin",Log[Qty],1),"x","")</f>
        <v/>
      </c>
      <c r="K154" s="70" t="str">
        <f>IF(COUNTIFS(Log[Date],tbDailyTotals[[#This Row],[Date]],Log[Item],"Eve insulin",Log[Qty],1),"x","")</f>
        <v/>
      </c>
      <c r="L154" s="70" t="str">
        <f>IF(COUNTIFS(Log[Date],tbDailyTotals[[#This Row],[Date]],Log[Item],"Eve meds",Log[Qty],1),"x","")</f>
        <v/>
      </c>
      <c r="M154" s="150"/>
    </row>
    <row r="155" spans="2:13" s="75" customFormat="1" ht="25.15" customHeight="1">
      <c r="B155" s="91"/>
      <c r="C155" s="82">
        <f>SUMIFS(Log[Cal],Log[Date],tbDailyTotals[[#This Row],[Date]])</f>
        <v>0</v>
      </c>
      <c r="D155" s="82">
        <f>SUMIFS(Log[Sodium],Log[Date],tbDailyTotals[[#This Row],[Date]])</f>
        <v>0</v>
      </c>
      <c r="E155" s="71">
        <f>SUMIFS(Log[Net Carbs],Log[Date],tbDailyTotals[[#This Row],[Date]])</f>
        <v>0</v>
      </c>
      <c r="F155" s="71">
        <f>SUMIFS(Log[Protein],Log[Date],tbDailyTotals[[#This Row],[Date]])</f>
        <v>0</v>
      </c>
      <c r="G155" s="83">
        <f>SUMIFS(Log[Chol],Log[Date],tbDailyTotals[[#This Row],[Date]])</f>
        <v>0</v>
      </c>
      <c r="H155" s="92"/>
      <c r="I155" s="70" t="str">
        <f>IF(COUNTIFS(Log[Date],tbDailyTotals[[#This Row],[Date]],Log[Item],"Morn meds",Log[Qty],1),"x","")</f>
        <v/>
      </c>
      <c r="J155" s="70" t="str">
        <f>IF(COUNTIFS(Log[Date],tbDailyTotals[[#This Row],[Date]],Log[Item],"Morn insulin",Log[Qty],1),"x","")</f>
        <v/>
      </c>
      <c r="K155" s="70" t="str">
        <f>IF(COUNTIFS(Log[Date],tbDailyTotals[[#This Row],[Date]],Log[Item],"Eve insulin",Log[Qty],1),"x","")</f>
        <v/>
      </c>
      <c r="L155" s="70" t="str">
        <f>IF(COUNTIFS(Log[Date],tbDailyTotals[[#This Row],[Date]],Log[Item],"Eve meds",Log[Qty],1),"x","")</f>
        <v/>
      </c>
      <c r="M155" s="150"/>
    </row>
    <row r="156" spans="2:13" s="75" customFormat="1" ht="25.15" customHeight="1">
      <c r="B156" s="91"/>
      <c r="C156" s="82">
        <f>SUMIFS(Log[Cal],Log[Date],tbDailyTotals[[#This Row],[Date]])</f>
        <v>0</v>
      </c>
      <c r="D156" s="82">
        <f>SUMIFS(Log[Sodium],Log[Date],tbDailyTotals[[#This Row],[Date]])</f>
        <v>0</v>
      </c>
      <c r="E156" s="71">
        <f>SUMIFS(Log[Net Carbs],Log[Date],tbDailyTotals[[#This Row],[Date]])</f>
        <v>0</v>
      </c>
      <c r="F156" s="71">
        <f>SUMIFS(Log[Protein],Log[Date],tbDailyTotals[[#This Row],[Date]])</f>
        <v>0</v>
      </c>
      <c r="G156" s="83">
        <f>SUMIFS(Log[Chol],Log[Date],tbDailyTotals[[#This Row],[Date]])</f>
        <v>0</v>
      </c>
      <c r="H156" s="92"/>
      <c r="I156" s="70" t="str">
        <f>IF(COUNTIFS(Log[Date],tbDailyTotals[[#This Row],[Date]],Log[Item],"Morn meds",Log[Qty],1),"x","")</f>
        <v/>
      </c>
      <c r="J156" s="70" t="str">
        <f>IF(COUNTIFS(Log[Date],tbDailyTotals[[#This Row],[Date]],Log[Item],"Morn insulin",Log[Qty],1),"x","")</f>
        <v/>
      </c>
      <c r="K156" s="70" t="str">
        <f>IF(COUNTIFS(Log[Date],tbDailyTotals[[#This Row],[Date]],Log[Item],"Eve insulin",Log[Qty],1),"x","")</f>
        <v/>
      </c>
      <c r="L156" s="70" t="str">
        <f>IF(COUNTIFS(Log[Date],tbDailyTotals[[#This Row],[Date]],Log[Item],"Eve meds",Log[Qty],1),"x","")</f>
        <v/>
      </c>
      <c r="M156" s="150"/>
    </row>
    <row r="157" spans="2:13" s="75" customFormat="1" ht="25.15" customHeight="1">
      <c r="B157" s="91"/>
      <c r="C157" s="82">
        <f>SUMIFS(Log[Cal],Log[Date],tbDailyTotals[[#This Row],[Date]])</f>
        <v>0</v>
      </c>
      <c r="D157" s="82">
        <f>SUMIFS(Log[Sodium],Log[Date],tbDailyTotals[[#This Row],[Date]])</f>
        <v>0</v>
      </c>
      <c r="E157" s="71">
        <f>SUMIFS(Log[Net Carbs],Log[Date],tbDailyTotals[[#This Row],[Date]])</f>
        <v>0</v>
      </c>
      <c r="F157" s="71">
        <f>SUMIFS(Log[Protein],Log[Date],tbDailyTotals[[#This Row],[Date]])</f>
        <v>0</v>
      </c>
      <c r="G157" s="83">
        <f>SUMIFS(Log[Chol],Log[Date],tbDailyTotals[[#This Row],[Date]])</f>
        <v>0</v>
      </c>
      <c r="H157" s="92"/>
      <c r="I157" s="70" t="str">
        <f>IF(COUNTIFS(Log[Date],tbDailyTotals[[#This Row],[Date]],Log[Item],"Morn meds",Log[Qty],1),"x","")</f>
        <v/>
      </c>
      <c r="J157" s="70" t="str">
        <f>IF(COUNTIFS(Log[Date],tbDailyTotals[[#This Row],[Date]],Log[Item],"Morn insulin",Log[Qty],1),"x","")</f>
        <v/>
      </c>
      <c r="K157" s="70" t="str">
        <f>IF(COUNTIFS(Log[Date],tbDailyTotals[[#This Row],[Date]],Log[Item],"Eve insulin",Log[Qty],1),"x","")</f>
        <v/>
      </c>
      <c r="L157" s="70" t="str">
        <f>IF(COUNTIFS(Log[Date],tbDailyTotals[[#This Row],[Date]],Log[Item],"Eve meds",Log[Qty],1),"x","")</f>
        <v/>
      </c>
      <c r="M157" s="150"/>
    </row>
    <row r="158" spans="2:13" s="75" customFormat="1" ht="25.15" customHeight="1">
      <c r="B158" s="91"/>
      <c r="C158" s="82">
        <f>SUMIFS(Log[Cal],Log[Date],tbDailyTotals[[#This Row],[Date]])</f>
        <v>0</v>
      </c>
      <c r="D158" s="82">
        <f>SUMIFS(Log[Sodium],Log[Date],tbDailyTotals[[#This Row],[Date]])</f>
        <v>0</v>
      </c>
      <c r="E158" s="71">
        <f>SUMIFS(Log[Net Carbs],Log[Date],tbDailyTotals[[#This Row],[Date]])</f>
        <v>0</v>
      </c>
      <c r="F158" s="71">
        <f>SUMIFS(Log[Protein],Log[Date],tbDailyTotals[[#This Row],[Date]])</f>
        <v>0</v>
      </c>
      <c r="G158" s="83">
        <f>SUMIFS(Log[Chol],Log[Date],tbDailyTotals[[#This Row],[Date]])</f>
        <v>0</v>
      </c>
      <c r="H158" s="92"/>
      <c r="I158" s="70" t="str">
        <f>IF(COUNTIFS(Log[Date],tbDailyTotals[[#This Row],[Date]],Log[Item],"Morn meds",Log[Qty],1),"x","")</f>
        <v/>
      </c>
      <c r="J158" s="70" t="str">
        <f>IF(COUNTIFS(Log[Date],tbDailyTotals[[#This Row],[Date]],Log[Item],"Morn insulin",Log[Qty],1),"x","")</f>
        <v/>
      </c>
      <c r="K158" s="70" t="str">
        <f>IF(COUNTIFS(Log[Date],tbDailyTotals[[#This Row],[Date]],Log[Item],"Eve insulin",Log[Qty],1),"x","")</f>
        <v/>
      </c>
      <c r="L158" s="70" t="str">
        <f>IF(COUNTIFS(Log[Date],tbDailyTotals[[#This Row],[Date]],Log[Item],"Eve meds",Log[Qty],1),"x","")</f>
        <v/>
      </c>
      <c r="M158" s="150"/>
    </row>
    <row r="159" spans="2:13" s="75" customFormat="1" ht="25.15" customHeight="1">
      <c r="B159" s="91"/>
      <c r="C159" s="82">
        <f>SUMIFS(Log[Cal],Log[Date],tbDailyTotals[[#This Row],[Date]])</f>
        <v>0</v>
      </c>
      <c r="D159" s="82">
        <f>SUMIFS(Log[Sodium],Log[Date],tbDailyTotals[[#This Row],[Date]])</f>
        <v>0</v>
      </c>
      <c r="E159" s="71">
        <f>SUMIFS(Log[Net Carbs],Log[Date],tbDailyTotals[[#This Row],[Date]])</f>
        <v>0</v>
      </c>
      <c r="F159" s="71">
        <f>SUMIFS(Log[Protein],Log[Date],tbDailyTotals[[#This Row],[Date]])</f>
        <v>0</v>
      </c>
      <c r="G159" s="83">
        <f>SUMIFS(Log[Chol],Log[Date],tbDailyTotals[[#This Row],[Date]])</f>
        <v>0</v>
      </c>
      <c r="H159" s="92"/>
      <c r="I159" s="70" t="str">
        <f>IF(COUNTIFS(Log[Date],tbDailyTotals[[#This Row],[Date]],Log[Item],"Morn meds",Log[Qty],1),"x","")</f>
        <v/>
      </c>
      <c r="J159" s="70" t="str">
        <f>IF(COUNTIFS(Log[Date],tbDailyTotals[[#This Row],[Date]],Log[Item],"Morn insulin",Log[Qty],1),"x","")</f>
        <v/>
      </c>
      <c r="K159" s="70" t="str">
        <f>IF(COUNTIFS(Log[Date],tbDailyTotals[[#This Row],[Date]],Log[Item],"Eve insulin",Log[Qty],1),"x","")</f>
        <v/>
      </c>
      <c r="L159" s="70" t="str">
        <f>IF(COUNTIFS(Log[Date],tbDailyTotals[[#This Row],[Date]],Log[Item],"Eve meds",Log[Qty],1),"x","")</f>
        <v/>
      </c>
      <c r="M159" s="150"/>
    </row>
    <row r="160" spans="2:13" s="75" customFormat="1" ht="25.15" customHeight="1">
      <c r="B160" s="91"/>
      <c r="C160" s="82">
        <f>SUMIFS(Log[Cal],Log[Date],tbDailyTotals[[#This Row],[Date]])</f>
        <v>0</v>
      </c>
      <c r="D160" s="82">
        <f>SUMIFS(Log[Sodium],Log[Date],tbDailyTotals[[#This Row],[Date]])</f>
        <v>0</v>
      </c>
      <c r="E160" s="71">
        <f>SUMIFS(Log[Net Carbs],Log[Date],tbDailyTotals[[#This Row],[Date]])</f>
        <v>0</v>
      </c>
      <c r="F160" s="71">
        <f>SUMIFS(Log[Protein],Log[Date],tbDailyTotals[[#This Row],[Date]])</f>
        <v>0</v>
      </c>
      <c r="G160" s="83">
        <f>SUMIFS(Log[Chol],Log[Date],tbDailyTotals[[#This Row],[Date]])</f>
        <v>0</v>
      </c>
      <c r="H160" s="92"/>
      <c r="I160" s="70" t="str">
        <f>IF(COUNTIFS(Log[Date],tbDailyTotals[[#This Row],[Date]],Log[Item],"Morn meds",Log[Qty],1),"x","")</f>
        <v/>
      </c>
      <c r="J160" s="70" t="str">
        <f>IF(COUNTIFS(Log[Date],tbDailyTotals[[#This Row],[Date]],Log[Item],"Morn insulin",Log[Qty],1),"x","")</f>
        <v/>
      </c>
      <c r="K160" s="70" t="str">
        <f>IF(COUNTIFS(Log[Date],tbDailyTotals[[#This Row],[Date]],Log[Item],"Eve insulin",Log[Qty],1),"x","")</f>
        <v/>
      </c>
      <c r="L160" s="70" t="str">
        <f>IF(COUNTIFS(Log[Date],tbDailyTotals[[#This Row],[Date]],Log[Item],"Eve meds",Log[Qty],1),"x","")</f>
        <v/>
      </c>
      <c r="M160" s="150"/>
    </row>
    <row r="161" spans="2:13" s="75" customFormat="1" ht="25.15" customHeight="1">
      <c r="B161" s="91"/>
      <c r="C161" s="82">
        <f>SUMIFS(Log[Cal],Log[Date],tbDailyTotals[[#This Row],[Date]])</f>
        <v>0</v>
      </c>
      <c r="D161" s="82">
        <f>SUMIFS(Log[Sodium],Log[Date],tbDailyTotals[[#This Row],[Date]])</f>
        <v>0</v>
      </c>
      <c r="E161" s="71">
        <f>SUMIFS(Log[Net Carbs],Log[Date],tbDailyTotals[[#This Row],[Date]])</f>
        <v>0</v>
      </c>
      <c r="F161" s="71">
        <f>SUMIFS(Log[Protein],Log[Date],tbDailyTotals[[#This Row],[Date]])</f>
        <v>0</v>
      </c>
      <c r="G161" s="83">
        <f>SUMIFS(Log[Chol],Log[Date],tbDailyTotals[[#This Row],[Date]])</f>
        <v>0</v>
      </c>
      <c r="H161" s="92"/>
      <c r="I161" s="70" t="str">
        <f>IF(COUNTIFS(Log[Date],tbDailyTotals[[#This Row],[Date]],Log[Item],"Morn meds",Log[Qty],1),"x","")</f>
        <v/>
      </c>
      <c r="J161" s="70" t="str">
        <f>IF(COUNTIFS(Log[Date],tbDailyTotals[[#This Row],[Date]],Log[Item],"Morn insulin",Log[Qty],1),"x","")</f>
        <v/>
      </c>
      <c r="K161" s="70" t="str">
        <f>IF(COUNTIFS(Log[Date],tbDailyTotals[[#This Row],[Date]],Log[Item],"Eve insulin",Log[Qty],1),"x","")</f>
        <v/>
      </c>
      <c r="L161" s="70" t="str">
        <f>IF(COUNTIFS(Log[Date],tbDailyTotals[[#This Row],[Date]],Log[Item],"Eve meds",Log[Qty],1),"x","")</f>
        <v/>
      </c>
      <c r="M161" s="150"/>
    </row>
    <row r="162" spans="2:13" s="75" customFormat="1" ht="25.15" customHeight="1">
      <c r="B162" s="91"/>
      <c r="C162" s="82">
        <f>SUMIFS(Log[Cal],Log[Date],tbDailyTotals[[#This Row],[Date]])</f>
        <v>0</v>
      </c>
      <c r="D162" s="82">
        <f>SUMIFS(Log[Sodium],Log[Date],tbDailyTotals[[#This Row],[Date]])</f>
        <v>0</v>
      </c>
      <c r="E162" s="71">
        <f>SUMIFS(Log[Net Carbs],Log[Date],tbDailyTotals[[#This Row],[Date]])</f>
        <v>0</v>
      </c>
      <c r="F162" s="71">
        <f>SUMIFS(Log[Protein],Log[Date],tbDailyTotals[[#This Row],[Date]])</f>
        <v>0</v>
      </c>
      <c r="G162" s="83">
        <f>SUMIFS(Log[Chol],Log[Date],tbDailyTotals[[#This Row],[Date]])</f>
        <v>0</v>
      </c>
      <c r="H162" s="92"/>
      <c r="I162" s="70" t="str">
        <f>IF(COUNTIFS(Log[Date],tbDailyTotals[[#This Row],[Date]],Log[Item],"Morn meds",Log[Qty],1),"x","")</f>
        <v/>
      </c>
      <c r="J162" s="70" t="str">
        <f>IF(COUNTIFS(Log[Date],tbDailyTotals[[#This Row],[Date]],Log[Item],"Morn insulin",Log[Qty],1),"x","")</f>
        <v/>
      </c>
      <c r="K162" s="70" t="str">
        <f>IF(COUNTIFS(Log[Date],tbDailyTotals[[#This Row],[Date]],Log[Item],"Eve insulin",Log[Qty],1),"x","")</f>
        <v/>
      </c>
      <c r="L162" s="70" t="str">
        <f>IF(COUNTIFS(Log[Date],tbDailyTotals[[#This Row],[Date]],Log[Item],"Eve meds",Log[Qty],1),"x","")</f>
        <v/>
      </c>
      <c r="M162" s="150"/>
    </row>
    <row r="163" spans="2:13" s="75" customFormat="1" ht="25.15" customHeight="1">
      <c r="B163" s="91"/>
      <c r="C163" s="82">
        <f>SUMIFS(Log[Cal],Log[Date],tbDailyTotals[[#This Row],[Date]])</f>
        <v>0</v>
      </c>
      <c r="D163" s="82">
        <f>SUMIFS(Log[Sodium],Log[Date],tbDailyTotals[[#This Row],[Date]])</f>
        <v>0</v>
      </c>
      <c r="E163" s="71">
        <f>SUMIFS(Log[Net Carbs],Log[Date],tbDailyTotals[[#This Row],[Date]])</f>
        <v>0</v>
      </c>
      <c r="F163" s="71">
        <f>SUMIFS(Log[Protein],Log[Date],tbDailyTotals[[#This Row],[Date]])</f>
        <v>0</v>
      </c>
      <c r="G163" s="83">
        <f>SUMIFS(Log[Chol],Log[Date],tbDailyTotals[[#This Row],[Date]])</f>
        <v>0</v>
      </c>
      <c r="H163" s="92"/>
      <c r="I163" s="70" t="str">
        <f>IF(COUNTIFS(Log[Date],tbDailyTotals[[#This Row],[Date]],Log[Item],"Morn meds",Log[Qty],1),"x","")</f>
        <v/>
      </c>
      <c r="J163" s="70" t="str">
        <f>IF(COUNTIFS(Log[Date],tbDailyTotals[[#This Row],[Date]],Log[Item],"Morn insulin",Log[Qty],1),"x","")</f>
        <v/>
      </c>
      <c r="K163" s="70" t="str">
        <f>IF(COUNTIFS(Log[Date],tbDailyTotals[[#This Row],[Date]],Log[Item],"Eve insulin",Log[Qty],1),"x","")</f>
        <v/>
      </c>
      <c r="L163" s="70" t="str">
        <f>IF(COUNTIFS(Log[Date],tbDailyTotals[[#This Row],[Date]],Log[Item],"Eve meds",Log[Qty],1),"x","")</f>
        <v/>
      </c>
      <c r="M163" s="150"/>
    </row>
    <row r="164" spans="2:13" s="75" customFormat="1" ht="25.15" customHeight="1">
      <c r="B164" s="91"/>
      <c r="C164" s="82">
        <f>SUMIFS(Log[Cal],Log[Date],tbDailyTotals[[#This Row],[Date]])</f>
        <v>0</v>
      </c>
      <c r="D164" s="82">
        <f>SUMIFS(Log[Sodium],Log[Date],tbDailyTotals[[#This Row],[Date]])</f>
        <v>0</v>
      </c>
      <c r="E164" s="71">
        <f>SUMIFS(Log[Net Carbs],Log[Date],tbDailyTotals[[#This Row],[Date]])</f>
        <v>0</v>
      </c>
      <c r="F164" s="71">
        <f>SUMIFS(Log[Protein],Log[Date],tbDailyTotals[[#This Row],[Date]])</f>
        <v>0</v>
      </c>
      <c r="G164" s="83">
        <f>SUMIFS(Log[Chol],Log[Date],tbDailyTotals[[#This Row],[Date]])</f>
        <v>0</v>
      </c>
      <c r="H164" s="92"/>
      <c r="I164" s="70" t="str">
        <f>IF(COUNTIFS(Log[Date],tbDailyTotals[[#This Row],[Date]],Log[Item],"Morn meds",Log[Qty],1),"x","")</f>
        <v/>
      </c>
      <c r="J164" s="70" t="str">
        <f>IF(COUNTIFS(Log[Date],tbDailyTotals[[#This Row],[Date]],Log[Item],"Morn insulin",Log[Qty],1),"x","")</f>
        <v/>
      </c>
      <c r="K164" s="70" t="str">
        <f>IF(COUNTIFS(Log[Date],tbDailyTotals[[#This Row],[Date]],Log[Item],"Eve insulin",Log[Qty],1),"x","")</f>
        <v/>
      </c>
      <c r="L164" s="70" t="str">
        <f>IF(COUNTIFS(Log[Date],tbDailyTotals[[#This Row],[Date]],Log[Item],"Eve meds",Log[Qty],1),"x","")</f>
        <v/>
      </c>
      <c r="M164" s="150"/>
    </row>
    <row r="165" spans="2:13" s="75" customFormat="1" ht="25.15" customHeight="1">
      <c r="B165" s="91"/>
      <c r="C165" s="82">
        <f>SUMIFS(Log[Cal],Log[Date],tbDailyTotals[[#This Row],[Date]])</f>
        <v>0</v>
      </c>
      <c r="D165" s="82">
        <f>SUMIFS(Log[Sodium],Log[Date],tbDailyTotals[[#This Row],[Date]])</f>
        <v>0</v>
      </c>
      <c r="E165" s="71">
        <f>SUMIFS(Log[Net Carbs],Log[Date],tbDailyTotals[[#This Row],[Date]])</f>
        <v>0</v>
      </c>
      <c r="F165" s="71">
        <f>SUMIFS(Log[Protein],Log[Date],tbDailyTotals[[#This Row],[Date]])</f>
        <v>0</v>
      </c>
      <c r="G165" s="83">
        <f>SUMIFS(Log[Chol],Log[Date],tbDailyTotals[[#This Row],[Date]])</f>
        <v>0</v>
      </c>
      <c r="H165" s="92"/>
      <c r="I165" s="70" t="str">
        <f>IF(COUNTIFS(Log[Date],tbDailyTotals[[#This Row],[Date]],Log[Item],"Morn meds",Log[Qty],1),"x","")</f>
        <v/>
      </c>
      <c r="J165" s="70" t="str">
        <f>IF(COUNTIFS(Log[Date],tbDailyTotals[[#This Row],[Date]],Log[Item],"Morn insulin",Log[Qty],1),"x","")</f>
        <v/>
      </c>
      <c r="K165" s="70" t="str">
        <f>IF(COUNTIFS(Log[Date],tbDailyTotals[[#This Row],[Date]],Log[Item],"Eve insulin",Log[Qty],1),"x","")</f>
        <v/>
      </c>
      <c r="L165" s="70" t="str">
        <f>IF(COUNTIFS(Log[Date],tbDailyTotals[[#This Row],[Date]],Log[Item],"Eve meds",Log[Qty],1),"x","")</f>
        <v/>
      </c>
      <c r="M165" s="150"/>
    </row>
    <row r="166" spans="2:13" s="75" customFormat="1" ht="25.15" customHeight="1">
      <c r="B166" s="91"/>
      <c r="C166" s="82">
        <f>SUMIFS(Log[Cal],Log[Date],tbDailyTotals[[#This Row],[Date]])</f>
        <v>0</v>
      </c>
      <c r="D166" s="82">
        <f>SUMIFS(Log[Sodium],Log[Date],tbDailyTotals[[#This Row],[Date]])</f>
        <v>0</v>
      </c>
      <c r="E166" s="71">
        <f>SUMIFS(Log[Net Carbs],Log[Date],tbDailyTotals[[#This Row],[Date]])</f>
        <v>0</v>
      </c>
      <c r="F166" s="71">
        <f>SUMIFS(Log[Protein],Log[Date],tbDailyTotals[[#This Row],[Date]])</f>
        <v>0</v>
      </c>
      <c r="G166" s="83">
        <f>SUMIFS(Log[Chol],Log[Date],tbDailyTotals[[#This Row],[Date]])</f>
        <v>0</v>
      </c>
      <c r="H166" s="92"/>
      <c r="I166" s="70" t="str">
        <f>IF(COUNTIFS(Log[Date],tbDailyTotals[[#This Row],[Date]],Log[Item],"Morn meds",Log[Qty],1),"x","")</f>
        <v/>
      </c>
      <c r="J166" s="70" t="str">
        <f>IF(COUNTIFS(Log[Date],tbDailyTotals[[#This Row],[Date]],Log[Item],"Morn insulin",Log[Qty],1),"x","")</f>
        <v/>
      </c>
      <c r="K166" s="70" t="str">
        <f>IF(COUNTIFS(Log[Date],tbDailyTotals[[#This Row],[Date]],Log[Item],"Eve insulin",Log[Qty],1),"x","")</f>
        <v/>
      </c>
      <c r="L166" s="70" t="str">
        <f>IF(COUNTIFS(Log[Date],tbDailyTotals[[#This Row],[Date]],Log[Item],"Eve meds",Log[Qty],1),"x","")</f>
        <v/>
      </c>
      <c r="M166" s="150"/>
    </row>
    <row r="167" spans="2:13" s="75" customFormat="1" ht="25.15" customHeight="1">
      <c r="B167" s="91"/>
      <c r="C167" s="82">
        <f>SUMIFS(Log[Cal],Log[Date],tbDailyTotals[[#This Row],[Date]])</f>
        <v>0</v>
      </c>
      <c r="D167" s="82">
        <f>SUMIFS(Log[Sodium],Log[Date],tbDailyTotals[[#This Row],[Date]])</f>
        <v>0</v>
      </c>
      <c r="E167" s="71">
        <f>SUMIFS(Log[Net Carbs],Log[Date],tbDailyTotals[[#This Row],[Date]])</f>
        <v>0</v>
      </c>
      <c r="F167" s="71">
        <f>SUMIFS(Log[Protein],Log[Date],tbDailyTotals[[#This Row],[Date]])</f>
        <v>0</v>
      </c>
      <c r="G167" s="83">
        <f>SUMIFS(Log[Chol],Log[Date],tbDailyTotals[[#This Row],[Date]])</f>
        <v>0</v>
      </c>
      <c r="H167" s="92"/>
      <c r="I167" s="70" t="str">
        <f>IF(COUNTIFS(Log[Date],tbDailyTotals[[#This Row],[Date]],Log[Item],"Morn meds",Log[Qty],1),"x","")</f>
        <v/>
      </c>
      <c r="J167" s="70" t="str">
        <f>IF(COUNTIFS(Log[Date],tbDailyTotals[[#This Row],[Date]],Log[Item],"Morn insulin",Log[Qty],1),"x","")</f>
        <v/>
      </c>
      <c r="K167" s="70" t="str">
        <f>IF(COUNTIFS(Log[Date],tbDailyTotals[[#This Row],[Date]],Log[Item],"Eve insulin",Log[Qty],1),"x","")</f>
        <v/>
      </c>
      <c r="L167" s="70" t="str">
        <f>IF(COUNTIFS(Log[Date],tbDailyTotals[[#This Row],[Date]],Log[Item],"Eve meds",Log[Qty],1),"x","")</f>
        <v/>
      </c>
      <c r="M167" s="150"/>
    </row>
    <row r="168" spans="2:13" s="75" customFormat="1" ht="25.15" customHeight="1">
      <c r="B168" s="91"/>
      <c r="C168" s="82">
        <f>SUMIFS(Log[Cal],Log[Date],tbDailyTotals[[#This Row],[Date]])</f>
        <v>0</v>
      </c>
      <c r="D168" s="82">
        <f>SUMIFS(Log[Sodium],Log[Date],tbDailyTotals[[#This Row],[Date]])</f>
        <v>0</v>
      </c>
      <c r="E168" s="71">
        <f>SUMIFS(Log[Net Carbs],Log[Date],tbDailyTotals[[#This Row],[Date]])</f>
        <v>0</v>
      </c>
      <c r="F168" s="71">
        <f>SUMIFS(Log[Protein],Log[Date],tbDailyTotals[[#This Row],[Date]])</f>
        <v>0</v>
      </c>
      <c r="G168" s="83">
        <f>SUMIFS(Log[Chol],Log[Date],tbDailyTotals[[#This Row],[Date]])</f>
        <v>0</v>
      </c>
      <c r="H168" s="92"/>
      <c r="I168" s="70" t="str">
        <f>IF(COUNTIFS(Log[Date],tbDailyTotals[[#This Row],[Date]],Log[Item],"Morn meds",Log[Qty],1),"x","")</f>
        <v/>
      </c>
      <c r="J168" s="70" t="str">
        <f>IF(COUNTIFS(Log[Date],tbDailyTotals[[#This Row],[Date]],Log[Item],"Morn insulin",Log[Qty],1),"x","")</f>
        <v/>
      </c>
      <c r="K168" s="70" t="str">
        <f>IF(COUNTIFS(Log[Date],tbDailyTotals[[#This Row],[Date]],Log[Item],"Eve insulin",Log[Qty],1),"x","")</f>
        <v/>
      </c>
      <c r="L168" s="70" t="str">
        <f>IF(COUNTIFS(Log[Date],tbDailyTotals[[#This Row],[Date]],Log[Item],"Eve meds",Log[Qty],1),"x","")</f>
        <v/>
      </c>
      <c r="M168" s="150"/>
    </row>
    <row r="169" spans="2:13" s="75" customFormat="1" ht="25.15" customHeight="1">
      <c r="B169" s="91"/>
      <c r="C169" s="82">
        <f>SUMIFS(Log[Cal],Log[Date],tbDailyTotals[[#This Row],[Date]])</f>
        <v>0</v>
      </c>
      <c r="D169" s="82">
        <f>SUMIFS(Log[Sodium],Log[Date],tbDailyTotals[[#This Row],[Date]])</f>
        <v>0</v>
      </c>
      <c r="E169" s="71">
        <f>SUMIFS(Log[Net Carbs],Log[Date],tbDailyTotals[[#This Row],[Date]])</f>
        <v>0</v>
      </c>
      <c r="F169" s="71">
        <f>SUMIFS(Log[Protein],Log[Date],tbDailyTotals[[#This Row],[Date]])</f>
        <v>0</v>
      </c>
      <c r="G169" s="83">
        <f>SUMIFS(Log[Chol],Log[Date],tbDailyTotals[[#This Row],[Date]])</f>
        <v>0</v>
      </c>
      <c r="H169" s="92"/>
      <c r="I169" s="70" t="str">
        <f>IF(COUNTIFS(Log[Date],tbDailyTotals[[#This Row],[Date]],Log[Item],"Morn meds",Log[Qty],1),"x","")</f>
        <v/>
      </c>
      <c r="J169" s="70" t="str">
        <f>IF(COUNTIFS(Log[Date],tbDailyTotals[[#This Row],[Date]],Log[Item],"Morn insulin",Log[Qty],1),"x","")</f>
        <v/>
      </c>
      <c r="K169" s="70" t="str">
        <f>IF(COUNTIFS(Log[Date],tbDailyTotals[[#This Row],[Date]],Log[Item],"Eve insulin",Log[Qty],1),"x","")</f>
        <v/>
      </c>
      <c r="L169" s="70" t="str">
        <f>IF(COUNTIFS(Log[Date],tbDailyTotals[[#This Row],[Date]],Log[Item],"Eve meds",Log[Qty],1),"x","")</f>
        <v/>
      </c>
      <c r="M169" s="150"/>
    </row>
    <row r="170" spans="2:13" s="75" customFormat="1" ht="25.15" customHeight="1">
      <c r="B170" s="91"/>
      <c r="C170" s="82">
        <f>SUMIFS(Log[Cal],Log[Date],tbDailyTotals[[#This Row],[Date]])</f>
        <v>0</v>
      </c>
      <c r="D170" s="82">
        <f>SUMIFS(Log[Sodium],Log[Date],tbDailyTotals[[#This Row],[Date]])</f>
        <v>0</v>
      </c>
      <c r="E170" s="71">
        <f>SUMIFS(Log[Net Carbs],Log[Date],tbDailyTotals[[#This Row],[Date]])</f>
        <v>0</v>
      </c>
      <c r="F170" s="71">
        <f>SUMIFS(Log[Protein],Log[Date],tbDailyTotals[[#This Row],[Date]])</f>
        <v>0</v>
      </c>
      <c r="G170" s="83">
        <f>SUMIFS(Log[Chol],Log[Date],tbDailyTotals[[#This Row],[Date]])</f>
        <v>0</v>
      </c>
      <c r="H170" s="92"/>
      <c r="I170" s="70" t="str">
        <f>IF(COUNTIFS(Log[Date],tbDailyTotals[[#This Row],[Date]],Log[Item],"Morn meds",Log[Qty],1),"x","")</f>
        <v/>
      </c>
      <c r="J170" s="70" t="str">
        <f>IF(COUNTIFS(Log[Date],tbDailyTotals[[#This Row],[Date]],Log[Item],"Morn insulin",Log[Qty],1),"x","")</f>
        <v/>
      </c>
      <c r="K170" s="70" t="str">
        <f>IF(COUNTIFS(Log[Date],tbDailyTotals[[#This Row],[Date]],Log[Item],"Eve insulin",Log[Qty],1),"x","")</f>
        <v/>
      </c>
      <c r="L170" s="70" t="str">
        <f>IF(COUNTIFS(Log[Date],tbDailyTotals[[#This Row],[Date]],Log[Item],"Eve meds",Log[Qty],1),"x","")</f>
        <v/>
      </c>
      <c r="M170" s="150"/>
    </row>
    <row r="171" spans="2:13" s="75" customFormat="1" ht="25.15" customHeight="1">
      <c r="B171" s="91"/>
      <c r="C171" s="82">
        <f>SUMIFS(Log[Cal],Log[Date],tbDailyTotals[[#This Row],[Date]])</f>
        <v>0</v>
      </c>
      <c r="D171" s="82">
        <f>SUMIFS(Log[Sodium],Log[Date],tbDailyTotals[[#This Row],[Date]])</f>
        <v>0</v>
      </c>
      <c r="E171" s="71">
        <f>SUMIFS(Log[Net Carbs],Log[Date],tbDailyTotals[[#This Row],[Date]])</f>
        <v>0</v>
      </c>
      <c r="F171" s="71">
        <f>SUMIFS(Log[Protein],Log[Date],tbDailyTotals[[#This Row],[Date]])</f>
        <v>0</v>
      </c>
      <c r="G171" s="83">
        <f>SUMIFS(Log[Chol],Log[Date],tbDailyTotals[[#This Row],[Date]])</f>
        <v>0</v>
      </c>
      <c r="H171" s="92"/>
      <c r="I171" s="70" t="str">
        <f>IF(COUNTIFS(Log[Date],tbDailyTotals[[#This Row],[Date]],Log[Item],"Morn meds",Log[Qty],1),"x","")</f>
        <v/>
      </c>
      <c r="J171" s="70" t="str">
        <f>IF(COUNTIFS(Log[Date],tbDailyTotals[[#This Row],[Date]],Log[Item],"Morn insulin",Log[Qty],1),"x","")</f>
        <v/>
      </c>
      <c r="K171" s="70" t="str">
        <f>IF(COUNTIFS(Log[Date],tbDailyTotals[[#This Row],[Date]],Log[Item],"Eve insulin",Log[Qty],1),"x","")</f>
        <v/>
      </c>
      <c r="L171" s="70" t="str">
        <f>IF(COUNTIFS(Log[Date],tbDailyTotals[[#This Row],[Date]],Log[Item],"Eve meds",Log[Qty],1),"x","")</f>
        <v/>
      </c>
      <c r="M171" s="150"/>
    </row>
    <row r="172" spans="2:13" s="75" customFormat="1" ht="25.15" customHeight="1">
      <c r="B172" s="91"/>
      <c r="C172" s="82">
        <f>SUMIFS(Log[Cal],Log[Date],tbDailyTotals[[#This Row],[Date]])</f>
        <v>0</v>
      </c>
      <c r="D172" s="82">
        <f>SUMIFS(Log[Sodium],Log[Date],tbDailyTotals[[#This Row],[Date]])</f>
        <v>0</v>
      </c>
      <c r="E172" s="71">
        <f>SUMIFS(Log[Net Carbs],Log[Date],tbDailyTotals[[#This Row],[Date]])</f>
        <v>0</v>
      </c>
      <c r="F172" s="71">
        <f>SUMIFS(Log[Protein],Log[Date],tbDailyTotals[[#This Row],[Date]])</f>
        <v>0</v>
      </c>
      <c r="G172" s="83">
        <f>SUMIFS(Log[Chol],Log[Date],tbDailyTotals[[#This Row],[Date]])</f>
        <v>0</v>
      </c>
      <c r="H172" s="92"/>
      <c r="I172" s="70" t="str">
        <f>IF(COUNTIFS(Log[Date],tbDailyTotals[[#This Row],[Date]],Log[Item],"Morn meds",Log[Qty],1),"x","")</f>
        <v/>
      </c>
      <c r="J172" s="70" t="str">
        <f>IF(COUNTIFS(Log[Date],tbDailyTotals[[#This Row],[Date]],Log[Item],"Morn insulin",Log[Qty],1),"x","")</f>
        <v/>
      </c>
      <c r="K172" s="70" t="str">
        <f>IF(COUNTIFS(Log[Date],tbDailyTotals[[#This Row],[Date]],Log[Item],"Eve insulin",Log[Qty],1),"x","")</f>
        <v/>
      </c>
      <c r="L172" s="70" t="str">
        <f>IF(COUNTIFS(Log[Date],tbDailyTotals[[#This Row],[Date]],Log[Item],"Eve meds",Log[Qty],1),"x","")</f>
        <v/>
      </c>
      <c r="M172" s="150"/>
    </row>
    <row r="173" spans="2:13" s="75" customFormat="1" ht="25.15" customHeight="1">
      <c r="B173" s="91"/>
      <c r="C173" s="82">
        <f>SUMIFS(Log[Cal],Log[Date],tbDailyTotals[[#This Row],[Date]])</f>
        <v>0</v>
      </c>
      <c r="D173" s="82">
        <f>SUMIFS(Log[Sodium],Log[Date],tbDailyTotals[[#This Row],[Date]])</f>
        <v>0</v>
      </c>
      <c r="E173" s="71">
        <f>SUMIFS(Log[Net Carbs],Log[Date],tbDailyTotals[[#This Row],[Date]])</f>
        <v>0</v>
      </c>
      <c r="F173" s="71">
        <f>SUMIFS(Log[Protein],Log[Date],tbDailyTotals[[#This Row],[Date]])</f>
        <v>0</v>
      </c>
      <c r="G173" s="83">
        <f>SUMIFS(Log[Chol],Log[Date],tbDailyTotals[[#This Row],[Date]])</f>
        <v>0</v>
      </c>
      <c r="H173" s="92"/>
      <c r="I173" s="70" t="str">
        <f>IF(COUNTIFS(Log[Date],tbDailyTotals[[#This Row],[Date]],Log[Item],"Morn meds",Log[Qty],1),"x","")</f>
        <v/>
      </c>
      <c r="J173" s="70" t="str">
        <f>IF(COUNTIFS(Log[Date],tbDailyTotals[[#This Row],[Date]],Log[Item],"Morn insulin",Log[Qty],1),"x","")</f>
        <v/>
      </c>
      <c r="K173" s="70" t="str">
        <f>IF(COUNTIFS(Log[Date],tbDailyTotals[[#This Row],[Date]],Log[Item],"Eve insulin",Log[Qty],1),"x","")</f>
        <v/>
      </c>
      <c r="L173" s="70" t="str">
        <f>IF(COUNTIFS(Log[Date],tbDailyTotals[[#This Row],[Date]],Log[Item],"Eve meds",Log[Qty],1),"x","")</f>
        <v/>
      </c>
      <c r="M173" s="150"/>
    </row>
    <row r="174" spans="2:13" s="75" customFormat="1" ht="25.15" customHeight="1">
      <c r="B174" s="91"/>
      <c r="C174" s="82">
        <f>SUMIFS(Log[Cal],Log[Date],tbDailyTotals[[#This Row],[Date]])</f>
        <v>0</v>
      </c>
      <c r="D174" s="82">
        <f>SUMIFS(Log[Sodium],Log[Date],tbDailyTotals[[#This Row],[Date]])</f>
        <v>0</v>
      </c>
      <c r="E174" s="71">
        <f>SUMIFS(Log[Net Carbs],Log[Date],tbDailyTotals[[#This Row],[Date]])</f>
        <v>0</v>
      </c>
      <c r="F174" s="71">
        <f>SUMIFS(Log[Protein],Log[Date],tbDailyTotals[[#This Row],[Date]])</f>
        <v>0</v>
      </c>
      <c r="G174" s="83">
        <f>SUMIFS(Log[Chol],Log[Date],tbDailyTotals[[#This Row],[Date]])</f>
        <v>0</v>
      </c>
      <c r="H174" s="92"/>
      <c r="I174" s="70" t="str">
        <f>IF(COUNTIFS(Log[Date],tbDailyTotals[[#This Row],[Date]],Log[Item],"Morn meds",Log[Qty],1),"x","")</f>
        <v/>
      </c>
      <c r="J174" s="70" t="str">
        <f>IF(COUNTIFS(Log[Date],tbDailyTotals[[#This Row],[Date]],Log[Item],"Morn insulin",Log[Qty],1),"x","")</f>
        <v/>
      </c>
      <c r="K174" s="70" t="str">
        <f>IF(COUNTIFS(Log[Date],tbDailyTotals[[#This Row],[Date]],Log[Item],"Eve insulin",Log[Qty],1),"x","")</f>
        <v/>
      </c>
      <c r="L174" s="70" t="str">
        <f>IF(COUNTIFS(Log[Date],tbDailyTotals[[#This Row],[Date]],Log[Item],"Eve meds",Log[Qty],1),"x","")</f>
        <v/>
      </c>
      <c r="M174" s="150"/>
    </row>
    <row r="175" spans="2:13" s="75" customFormat="1" ht="25.15" customHeight="1">
      <c r="B175" s="91"/>
      <c r="C175" s="82">
        <f>SUMIFS(Log[Cal],Log[Date],tbDailyTotals[[#This Row],[Date]])</f>
        <v>0</v>
      </c>
      <c r="D175" s="82">
        <f>SUMIFS(Log[Sodium],Log[Date],tbDailyTotals[[#This Row],[Date]])</f>
        <v>0</v>
      </c>
      <c r="E175" s="71">
        <f>SUMIFS(Log[Net Carbs],Log[Date],tbDailyTotals[[#This Row],[Date]])</f>
        <v>0</v>
      </c>
      <c r="F175" s="71">
        <f>SUMIFS(Log[Protein],Log[Date],tbDailyTotals[[#This Row],[Date]])</f>
        <v>0</v>
      </c>
      <c r="G175" s="83">
        <f>SUMIFS(Log[Chol],Log[Date],tbDailyTotals[[#This Row],[Date]])</f>
        <v>0</v>
      </c>
      <c r="H175" s="92"/>
      <c r="I175" s="70" t="str">
        <f>IF(COUNTIFS(Log[Date],tbDailyTotals[[#This Row],[Date]],Log[Item],"Morn meds",Log[Qty],1),"x","")</f>
        <v/>
      </c>
      <c r="J175" s="70" t="str">
        <f>IF(COUNTIFS(Log[Date],tbDailyTotals[[#This Row],[Date]],Log[Item],"Morn insulin",Log[Qty],1),"x","")</f>
        <v/>
      </c>
      <c r="K175" s="70" t="str">
        <f>IF(COUNTIFS(Log[Date],tbDailyTotals[[#This Row],[Date]],Log[Item],"Eve insulin",Log[Qty],1),"x","")</f>
        <v/>
      </c>
      <c r="L175" s="70" t="str">
        <f>IF(COUNTIFS(Log[Date],tbDailyTotals[[#This Row],[Date]],Log[Item],"Eve meds",Log[Qty],1),"x","")</f>
        <v/>
      </c>
      <c r="M175" s="150"/>
    </row>
    <row r="176" spans="2:13" s="75" customFormat="1" ht="25.15" customHeight="1">
      <c r="B176" s="91"/>
      <c r="C176" s="82">
        <f>SUMIFS(Log[Cal],Log[Date],tbDailyTotals[[#This Row],[Date]])</f>
        <v>0</v>
      </c>
      <c r="D176" s="82">
        <f>SUMIFS(Log[Sodium],Log[Date],tbDailyTotals[[#This Row],[Date]])</f>
        <v>0</v>
      </c>
      <c r="E176" s="71">
        <f>SUMIFS(Log[Net Carbs],Log[Date],tbDailyTotals[[#This Row],[Date]])</f>
        <v>0</v>
      </c>
      <c r="F176" s="71">
        <f>SUMIFS(Log[Protein],Log[Date],tbDailyTotals[[#This Row],[Date]])</f>
        <v>0</v>
      </c>
      <c r="G176" s="83">
        <f>SUMIFS(Log[Chol],Log[Date],tbDailyTotals[[#This Row],[Date]])</f>
        <v>0</v>
      </c>
      <c r="H176" s="92"/>
      <c r="I176" s="70" t="str">
        <f>IF(COUNTIFS(Log[Date],tbDailyTotals[[#This Row],[Date]],Log[Item],"Morn meds",Log[Qty],1),"x","")</f>
        <v/>
      </c>
      <c r="J176" s="70" t="str">
        <f>IF(COUNTIFS(Log[Date],tbDailyTotals[[#This Row],[Date]],Log[Item],"Morn insulin",Log[Qty],1),"x","")</f>
        <v/>
      </c>
      <c r="K176" s="70" t="str">
        <f>IF(COUNTIFS(Log[Date],tbDailyTotals[[#This Row],[Date]],Log[Item],"Eve insulin",Log[Qty],1),"x","")</f>
        <v/>
      </c>
      <c r="L176" s="70" t="str">
        <f>IF(COUNTIFS(Log[Date],tbDailyTotals[[#This Row],[Date]],Log[Item],"Eve meds",Log[Qty],1),"x","")</f>
        <v/>
      </c>
      <c r="M176" s="150"/>
    </row>
    <row r="177" spans="2:13" s="75" customFormat="1" ht="25.15" customHeight="1">
      <c r="B177" s="91"/>
      <c r="C177" s="82">
        <f>SUMIFS(Log[Cal],Log[Date],tbDailyTotals[[#This Row],[Date]])</f>
        <v>0</v>
      </c>
      <c r="D177" s="82">
        <f>SUMIFS(Log[Sodium],Log[Date],tbDailyTotals[[#This Row],[Date]])</f>
        <v>0</v>
      </c>
      <c r="E177" s="71">
        <f>SUMIFS(Log[Net Carbs],Log[Date],tbDailyTotals[[#This Row],[Date]])</f>
        <v>0</v>
      </c>
      <c r="F177" s="71">
        <f>SUMIFS(Log[Protein],Log[Date],tbDailyTotals[[#This Row],[Date]])</f>
        <v>0</v>
      </c>
      <c r="G177" s="83">
        <f>SUMIFS(Log[Chol],Log[Date],tbDailyTotals[[#This Row],[Date]])</f>
        <v>0</v>
      </c>
      <c r="H177" s="92"/>
      <c r="I177" s="70" t="str">
        <f>IF(COUNTIFS(Log[Date],tbDailyTotals[[#This Row],[Date]],Log[Item],"Morn meds",Log[Qty],1),"x","")</f>
        <v/>
      </c>
      <c r="J177" s="70" t="str">
        <f>IF(COUNTIFS(Log[Date],tbDailyTotals[[#This Row],[Date]],Log[Item],"Morn insulin",Log[Qty],1),"x","")</f>
        <v/>
      </c>
      <c r="K177" s="70" t="str">
        <f>IF(COUNTIFS(Log[Date],tbDailyTotals[[#This Row],[Date]],Log[Item],"Eve insulin",Log[Qty],1),"x","")</f>
        <v/>
      </c>
      <c r="L177" s="70" t="str">
        <f>IF(COUNTIFS(Log[Date],tbDailyTotals[[#This Row],[Date]],Log[Item],"Eve meds",Log[Qty],1),"x","")</f>
        <v/>
      </c>
      <c r="M177" s="150"/>
    </row>
    <row r="178" spans="2:13" s="75" customFormat="1" ht="25.15" customHeight="1">
      <c r="B178" s="91"/>
      <c r="C178" s="82">
        <f>SUMIFS(Log[Cal],Log[Date],tbDailyTotals[[#This Row],[Date]])</f>
        <v>0</v>
      </c>
      <c r="D178" s="82">
        <f>SUMIFS(Log[Sodium],Log[Date],tbDailyTotals[[#This Row],[Date]])</f>
        <v>0</v>
      </c>
      <c r="E178" s="71">
        <f>SUMIFS(Log[Net Carbs],Log[Date],tbDailyTotals[[#This Row],[Date]])</f>
        <v>0</v>
      </c>
      <c r="F178" s="71">
        <f>SUMIFS(Log[Protein],Log[Date],tbDailyTotals[[#This Row],[Date]])</f>
        <v>0</v>
      </c>
      <c r="G178" s="83">
        <f>SUMIFS(Log[Chol],Log[Date],tbDailyTotals[[#This Row],[Date]])</f>
        <v>0</v>
      </c>
      <c r="H178" s="92"/>
      <c r="I178" s="70" t="str">
        <f>IF(COUNTIFS(Log[Date],tbDailyTotals[[#This Row],[Date]],Log[Item],"Morn meds",Log[Qty],1),"x","")</f>
        <v/>
      </c>
      <c r="J178" s="70" t="str">
        <f>IF(COUNTIFS(Log[Date],tbDailyTotals[[#This Row],[Date]],Log[Item],"Morn insulin",Log[Qty],1),"x","")</f>
        <v/>
      </c>
      <c r="K178" s="70" t="str">
        <f>IF(COUNTIFS(Log[Date],tbDailyTotals[[#This Row],[Date]],Log[Item],"Eve insulin",Log[Qty],1),"x","")</f>
        <v/>
      </c>
      <c r="L178" s="70" t="str">
        <f>IF(COUNTIFS(Log[Date],tbDailyTotals[[#This Row],[Date]],Log[Item],"Eve meds",Log[Qty],1),"x","")</f>
        <v/>
      </c>
      <c r="M178" s="150"/>
    </row>
    <row r="179" spans="2:13" s="75" customFormat="1" ht="25.15" customHeight="1">
      <c r="B179" s="91"/>
      <c r="C179" s="82">
        <f>SUMIFS(Log[Cal],Log[Date],tbDailyTotals[[#This Row],[Date]])</f>
        <v>0</v>
      </c>
      <c r="D179" s="82">
        <f>SUMIFS(Log[Sodium],Log[Date],tbDailyTotals[[#This Row],[Date]])</f>
        <v>0</v>
      </c>
      <c r="E179" s="71">
        <f>SUMIFS(Log[Net Carbs],Log[Date],tbDailyTotals[[#This Row],[Date]])</f>
        <v>0</v>
      </c>
      <c r="F179" s="71">
        <f>SUMIFS(Log[Protein],Log[Date],tbDailyTotals[[#This Row],[Date]])</f>
        <v>0</v>
      </c>
      <c r="G179" s="83">
        <f>SUMIFS(Log[Chol],Log[Date],tbDailyTotals[[#This Row],[Date]])</f>
        <v>0</v>
      </c>
      <c r="H179" s="92"/>
      <c r="I179" s="70" t="str">
        <f>IF(COUNTIFS(Log[Date],tbDailyTotals[[#This Row],[Date]],Log[Item],"Morn meds",Log[Qty],1),"x","")</f>
        <v/>
      </c>
      <c r="J179" s="70" t="str">
        <f>IF(COUNTIFS(Log[Date],tbDailyTotals[[#This Row],[Date]],Log[Item],"Morn insulin",Log[Qty],1),"x","")</f>
        <v/>
      </c>
      <c r="K179" s="70" t="str">
        <f>IF(COUNTIFS(Log[Date],tbDailyTotals[[#This Row],[Date]],Log[Item],"Eve insulin",Log[Qty],1),"x","")</f>
        <v/>
      </c>
      <c r="L179" s="70" t="str">
        <f>IF(COUNTIFS(Log[Date],tbDailyTotals[[#This Row],[Date]],Log[Item],"Eve meds",Log[Qty],1),"x","")</f>
        <v/>
      </c>
      <c r="M179" s="150"/>
    </row>
    <row r="180" spans="2:13" s="75" customFormat="1" ht="25.15" customHeight="1">
      <c r="B180" s="91"/>
      <c r="C180" s="82">
        <f>SUMIFS(Log[Cal],Log[Date],tbDailyTotals[[#This Row],[Date]])</f>
        <v>0</v>
      </c>
      <c r="D180" s="82">
        <f>SUMIFS(Log[Sodium],Log[Date],tbDailyTotals[[#This Row],[Date]])</f>
        <v>0</v>
      </c>
      <c r="E180" s="71">
        <f>SUMIFS(Log[Net Carbs],Log[Date],tbDailyTotals[[#This Row],[Date]])</f>
        <v>0</v>
      </c>
      <c r="F180" s="71">
        <f>SUMIFS(Log[Protein],Log[Date],tbDailyTotals[[#This Row],[Date]])</f>
        <v>0</v>
      </c>
      <c r="G180" s="83">
        <f>SUMIFS(Log[Chol],Log[Date],tbDailyTotals[[#This Row],[Date]])</f>
        <v>0</v>
      </c>
      <c r="H180" s="92"/>
      <c r="I180" s="70" t="str">
        <f>IF(COUNTIFS(Log[Date],tbDailyTotals[[#This Row],[Date]],Log[Item],"Morn meds",Log[Qty],1),"x","")</f>
        <v/>
      </c>
      <c r="J180" s="70" t="str">
        <f>IF(COUNTIFS(Log[Date],tbDailyTotals[[#This Row],[Date]],Log[Item],"Morn insulin",Log[Qty],1),"x","")</f>
        <v/>
      </c>
      <c r="K180" s="70" t="str">
        <f>IF(COUNTIFS(Log[Date],tbDailyTotals[[#This Row],[Date]],Log[Item],"Eve insulin",Log[Qty],1),"x","")</f>
        <v/>
      </c>
      <c r="L180" s="70" t="str">
        <f>IF(COUNTIFS(Log[Date],tbDailyTotals[[#This Row],[Date]],Log[Item],"Eve meds",Log[Qty],1),"x","")</f>
        <v/>
      </c>
      <c r="M180" s="150"/>
    </row>
    <row r="181" spans="2:13" s="75" customFormat="1" ht="25.15" customHeight="1">
      <c r="B181" s="91"/>
      <c r="C181" s="82">
        <f>SUMIFS(Log[Cal],Log[Date],tbDailyTotals[[#This Row],[Date]])</f>
        <v>0</v>
      </c>
      <c r="D181" s="82">
        <f>SUMIFS(Log[Sodium],Log[Date],tbDailyTotals[[#This Row],[Date]])</f>
        <v>0</v>
      </c>
      <c r="E181" s="71">
        <f>SUMIFS(Log[Net Carbs],Log[Date],tbDailyTotals[[#This Row],[Date]])</f>
        <v>0</v>
      </c>
      <c r="F181" s="71">
        <f>SUMIFS(Log[Protein],Log[Date],tbDailyTotals[[#This Row],[Date]])</f>
        <v>0</v>
      </c>
      <c r="G181" s="83">
        <f>SUMIFS(Log[Chol],Log[Date],tbDailyTotals[[#This Row],[Date]])</f>
        <v>0</v>
      </c>
      <c r="H181" s="92"/>
      <c r="I181" s="70" t="str">
        <f>IF(COUNTIFS(Log[Date],tbDailyTotals[[#This Row],[Date]],Log[Item],"Morn meds",Log[Qty],1),"x","")</f>
        <v/>
      </c>
      <c r="J181" s="70" t="str">
        <f>IF(COUNTIFS(Log[Date],tbDailyTotals[[#This Row],[Date]],Log[Item],"Morn insulin",Log[Qty],1),"x","")</f>
        <v/>
      </c>
      <c r="K181" s="70" t="str">
        <f>IF(COUNTIFS(Log[Date],tbDailyTotals[[#This Row],[Date]],Log[Item],"Eve insulin",Log[Qty],1),"x","")</f>
        <v/>
      </c>
      <c r="L181" s="70" t="str">
        <f>IF(COUNTIFS(Log[Date],tbDailyTotals[[#This Row],[Date]],Log[Item],"Eve meds",Log[Qty],1),"x","")</f>
        <v/>
      </c>
      <c r="M181" s="150"/>
    </row>
    <row r="182" spans="2:13" s="75" customFormat="1" ht="25.15" customHeight="1">
      <c r="B182" s="91"/>
      <c r="C182" s="82">
        <f>SUMIFS(Log[Cal],Log[Date],tbDailyTotals[[#This Row],[Date]])</f>
        <v>0</v>
      </c>
      <c r="D182" s="82">
        <f>SUMIFS(Log[Sodium],Log[Date],tbDailyTotals[[#This Row],[Date]])</f>
        <v>0</v>
      </c>
      <c r="E182" s="71">
        <f>SUMIFS(Log[Net Carbs],Log[Date],tbDailyTotals[[#This Row],[Date]])</f>
        <v>0</v>
      </c>
      <c r="F182" s="71">
        <f>SUMIFS(Log[Protein],Log[Date],tbDailyTotals[[#This Row],[Date]])</f>
        <v>0</v>
      </c>
      <c r="G182" s="83">
        <f>SUMIFS(Log[Chol],Log[Date],tbDailyTotals[[#This Row],[Date]])</f>
        <v>0</v>
      </c>
      <c r="H182" s="92"/>
      <c r="I182" s="70" t="str">
        <f>IF(COUNTIFS(Log[Date],tbDailyTotals[[#This Row],[Date]],Log[Item],"Morn meds",Log[Qty],1),"x","")</f>
        <v/>
      </c>
      <c r="J182" s="70" t="str">
        <f>IF(COUNTIFS(Log[Date],tbDailyTotals[[#This Row],[Date]],Log[Item],"Morn insulin",Log[Qty],1),"x","")</f>
        <v/>
      </c>
      <c r="K182" s="70" t="str">
        <f>IF(COUNTIFS(Log[Date],tbDailyTotals[[#This Row],[Date]],Log[Item],"Eve insulin",Log[Qty],1),"x","")</f>
        <v/>
      </c>
      <c r="L182" s="70" t="str">
        <f>IF(COUNTIFS(Log[Date],tbDailyTotals[[#This Row],[Date]],Log[Item],"Eve meds",Log[Qty],1),"x","")</f>
        <v/>
      </c>
      <c r="M182" s="150"/>
    </row>
    <row r="183" spans="2:13" s="75" customFormat="1" ht="25.15" customHeight="1">
      <c r="B183" s="91"/>
      <c r="C183" s="82">
        <f>SUMIFS(Log[Cal],Log[Date],tbDailyTotals[[#This Row],[Date]])</f>
        <v>0</v>
      </c>
      <c r="D183" s="82">
        <f>SUMIFS(Log[Sodium],Log[Date],tbDailyTotals[[#This Row],[Date]])</f>
        <v>0</v>
      </c>
      <c r="E183" s="71">
        <f>SUMIFS(Log[Net Carbs],Log[Date],tbDailyTotals[[#This Row],[Date]])</f>
        <v>0</v>
      </c>
      <c r="F183" s="71">
        <f>SUMIFS(Log[Protein],Log[Date],tbDailyTotals[[#This Row],[Date]])</f>
        <v>0</v>
      </c>
      <c r="G183" s="83">
        <f>SUMIFS(Log[Chol],Log[Date],tbDailyTotals[[#This Row],[Date]])</f>
        <v>0</v>
      </c>
      <c r="H183" s="92"/>
      <c r="I183" s="70" t="str">
        <f>IF(COUNTIFS(Log[Date],tbDailyTotals[[#This Row],[Date]],Log[Item],"Morn meds",Log[Qty],1),"x","")</f>
        <v/>
      </c>
      <c r="J183" s="70" t="str">
        <f>IF(COUNTIFS(Log[Date],tbDailyTotals[[#This Row],[Date]],Log[Item],"Morn insulin",Log[Qty],1),"x","")</f>
        <v/>
      </c>
      <c r="K183" s="70" t="str">
        <f>IF(COUNTIFS(Log[Date],tbDailyTotals[[#This Row],[Date]],Log[Item],"Eve insulin",Log[Qty],1),"x","")</f>
        <v/>
      </c>
      <c r="L183" s="70" t="str">
        <f>IF(COUNTIFS(Log[Date],tbDailyTotals[[#This Row],[Date]],Log[Item],"Eve meds",Log[Qty],1),"x","")</f>
        <v/>
      </c>
      <c r="M183" s="150"/>
    </row>
    <row r="184" spans="2:13" s="75" customFormat="1" ht="25.15" customHeight="1">
      <c r="B184" s="91"/>
      <c r="C184" s="82">
        <f>SUMIFS(Log[Cal],Log[Date],tbDailyTotals[[#This Row],[Date]])</f>
        <v>0</v>
      </c>
      <c r="D184" s="82">
        <f>SUMIFS(Log[Sodium],Log[Date],tbDailyTotals[[#This Row],[Date]])</f>
        <v>0</v>
      </c>
      <c r="E184" s="71">
        <f>SUMIFS(Log[Net Carbs],Log[Date],tbDailyTotals[[#This Row],[Date]])</f>
        <v>0</v>
      </c>
      <c r="F184" s="71">
        <f>SUMIFS(Log[Protein],Log[Date],tbDailyTotals[[#This Row],[Date]])</f>
        <v>0</v>
      </c>
      <c r="G184" s="83">
        <f>SUMIFS(Log[Chol],Log[Date],tbDailyTotals[[#This Row],[Date]])</f>
        <v>0</v>
      </c>
      <c r="H184" s="92"/>
      <c r="I184" s="70" t="str">
        <f>IF(COUNTIFS(Log[Date],tbDailyTotals[[#This Row],[Date]],Log[Item],"Morn meds",Log[Qty],1),"x","")</f>
        <v/>
      </c>
      <c r="J184" s="70" t="str">
        <f>IF(COUNTIFS(Log[Date],tbDailyTotals[[#This Row],[Date]],Log[Item],"Morn insulin",Log[Qty],1),"x","")</f>
        <v/>
      </c>
      <c r="K184" s="70" t="str">
        <f>IF(COUNTIFS(Log[Date],tbDailyTotals[[#This Row],[Date]],Log[Item],"Eve insulin",Log[Qty],1),"x","")</f>
        <v/>
      </c>
      <c r="L184" s="70" t="str">
        <f>IF(COUNTIFS(Log[Date],tbDailyTotals[[#This Row],[Date]],Log[Item],"Eve meds",Log[Qty],1),"x","")</f>
        <v/>
      </c>
      <c r="M184" s="150"/>
    </row>
    <row r="185" spans="2:13" s="75" customFormat="1" ht="25.15" customHeight="1">
      <c r="B185" s="91"/>
      <c r="C185" s="82">
        <f>SUMIFS(Log[Cal],Log[Date],tbDailyTotals[[#This Row],[Date]])</f>
        <v>0</v>
      </c>
      <c r="D185" s="82">
        <f>SUMIFS(Log[Sodium],Log[Date],tbDailyTotals[[#This Row],[Date]])</f>
        <v>0</v>
      </c>
      <c r="E185" s="71">
        <f>SUMIFS(Log[Net Carbs],Log[Date],tbDailyTotals[[#This Row],[Date]])</f>
        <v>0</v>
      </c>
      <c r="F185" s="71">
        <f>SUMIFS(Log[Protein],Log[Date],tbDailyTotals[[#This Row],[Date]])</f>
        <v>0</v>
      </c>
      <c r="G185" s="83">
        <f>SUMIFS(Log[Chol],Log[Date],tbDailyTotals[[#This Row],[Date]])</f>
        <v>0</v>
      </c>
      <c r="H185" s="92"/>
      <c r="I185" s="70" t="str">
        <f>IF(COUNTIFS(Log[Date],tbDailyTotals[[#This Row],[Date]],Log[Item],"Morn meds",Log[Qty],1),"x","")</f>
        <v/>
      </c>
      <c r="J185" s="70" t="str">
        <f>IF(COUNTIFS(Log[Date],tbDailyTotals[[#This Row],[Date]],Log[Item],"Morn insulin",Log[Qty],1),"x","")</f>
        <v/>
      </c>
      <c r="K185" s="70" t="str">
        <f>IF(COUNTIFS(Log[Date],tbDailyTotals[[#This Row],[Date]],Log[Item],"Eve insulin",Log[Qty],1),"x","")</f>
        <v/>
      </c>
      <c r="L185" s="70" t="str">
        <f>IF(COUNTIFS(Log[Date],tbDailyTotals[[#This Row],[Date]],Log[Item],"Eve meds",Log[Qty],1),"x","")</f>
        <v/>
      </c>
      <c r="M185" s="150"/>
    </row>
    <row r="186" spans="2:13" s="75" customFormat="1" ht="25.15" customHeight="1">
      <c r="B186" s="91"/>
      <c r="C186" s="82">
        <f>SUMIFS(Log[Cal],Log[Date],tbDailyTotals[[#This Row],[Date]])</f>
        <v>0</v>
      </c>
      <c r="D186" s="82">
        <f>SUMIFS(Log[Sodium],Log[Date],tbDailyTotals[[#This Row],[Date]])</f>
        <v>0</v>
      </c>
      <c r="E186" s="71">
        <f>SUMIFS(Log[Net Carbs],Log[Date],tbDailyTotals[[#This Row],[Date]])</f>
        <v>0</v>
      </c>
      <c r="F186" s="71">
        <f>SUMIFS(Log[Protein],Log[Date],tbDailyTotals[[#This Row],[Date]])</f>
        <v>0</v>
      </c>
      <c r="G186" s="83">
        <f>SUMIFS(Log[Chol],Log[Date],tbDailyTotals[[#This Row],[Date]])</f>
        <v>0</v>
      </c>
      <c r="H186" s="92"/>
      <c r="I186" s="70" t="str">
        <f>IF(COUNTIFS(Log[Date],tbDailyTotals[[#This Row],[Date]],Log[Item],"Morn meds",Log[Qty],1),"x","")</f>
        <v/>
      </c>
      <c r="J186" s="70" t="str">
        <f>IF(COUNTIFS(Log[Date],tbDailyTotals[[#This Row],[Date]],Log[Item],"Morn insulin",Log[Qty],1),"x","")</f>
        <v/>
      </c>
      <c r="K186" s="70" t="str">
        <f>IF(COUNTIFS(Log[Date],tbDailyTotals[[#This Row],[Date]],Log[Item],"Eve insulin",Log[Qty],1),"x","")</f>
        <v/>
      </c>
      <c r="L186" s="70" t="str">
        <f>IF(COUNTIFS(Log[Date],tbDailyTotals[[#This Row],[Date]],Log[Item],"Eve meds",Log[Qty],1),"x","")</f>
        <v/>
      </c>
      <c r="M186" s="150"/>
    </row>
    <row r="187" spans="2:13" s="75" customFormat="1" ht="25.15" customHeight="1">
      <c r="B187" s="91"/>
      <c r="C187" s="82">
        <f>SUMIFS(Log[Cal],Log[Date],tbDailyTotals[[#This Row],[Date]])</f>
        <v>0</v>
      </c>
      <c r="D187" s="82">
        <f>SUMIFS(Log[Sodium],Log[Date],tbDailyTotals[[#This Row],[Date]])</f>
        <v>0</v>
      </c>
      <c r="E187" s="71">
        <f>SUMIFS(Log[Net Carbs],Log[Date],tbDailyTotals[[#This Row],[Date]])</f>
        <v>0</v>
      </c>
      <c r="F187" s="71">
        <f>SUMIFS(Log[Protein],Log[Date],tbDailyTotals[[#This Row],[Date]])</f>
        <v>0</v>
      </c>
      <c r="G187" s="83">
        <f>SUMIFS(Log[Chol],Log[Date],tbDailyTotals[[#This Row],[Date]])</f>
        <v>0</v>
      </c>
      <c r="H187" s="92"/>
      <c r="I187" s="70" t="str">
        <f>IF(COUNTIFS(Log[Date],tbDailyTotals[[#This Row],[Date]],Log[Item],"Morn meds",Log[Qty],1),"x","")</f>
        <v/>
      </c>
      <c r="J187" s="70" t="str">
        <f>IF(COUNTIFS(Log[Date],tbDailyTotals[[#This Row],[Date]],Log[Item],"Morn insulin",Log[Qty],1),"x","")</f>
        <v/>
      </c>
      <c r="K187" s="70" t="str">
        <f>IF(COUNTIFS(Log[Date],tbDailyTotals[[#This Row],[Date]],Log[Item],"Eve insulin",Log[Qty],1),"x","")</f>
        <v/>
      </c>
      <c r="L187" s="70" t="str">
        <f>IF(COUNTIFS(Log[Date],tbDailyTotals[[#This Row],[Date]],Log[Item],"Eve meds",Log[Qty],1),"x","")</f>
        <v/>
      </c>
      <c r="M187" s="150"/>
    </row>
    <row r="188" spans="2:13" s="75" customFormat="1" ht="25.15" customHeight="1">
      <c r="B188" s="91"/>
      <c r="C188" s="82">
        <f>SUMIFS(Log[Cal],Log[Date],tbDailyTotals[[#This Row],[Date]])</f>
        <v>0</v>
      </c>
      <c r="D188" s="82">
        <f>SUMIFS(Log[Sodium],Log[Date],tbDailyTotals[[#This Row],[Date]])</f>
        <v>0</v>
      </c>
      <c r="E188" s="71">
        <f>SUMIFS(Log[Net Carbs],Log[Date],tbDailyTotals[[#This Row],[Date]])</f>
        <v>0</v>
      </c>
      <c r="F188" s="71">
        <f>SUMIFS(Log[Protein],Log[Date],tbDailyTotals[[#This Row],[Date]])</f>
        <v>0</v>
      </c>
      <c r="G188" s="83">
        <f>SUMIFS(Log[Chol],Log[Date],tbDailyTotals[[#This Row],[Date]])</f>
        <v>0</v>
      </c>
      <c r="H188" s="92"/>
      <c r="I188" s="70" t="str">
        <f>IF(COUNTIFS(Log[Date],tbDailyTotals[[#This Row],[Date]],Log[Item],"Morn meds",Log[Qty],1),"x","")</f>
        <v/>
      </c>
      <c r="J188" s="70" t="str">
        <f>IF(COUNTIFS(Log[Date],tbDailyTotals[[#This Row],[Date]],Log[Item],"Morn insulin",Log[Qty],1),"x","")</f>
        <v/>
      </c>
      <c r="K188" s="70" t="str">
        <f>IF(COUNTIFS(Log[Date],tbDailyTotals[[#This Row],[Date]],Log[Item],"Eve insulin",Log[Qty],1),"x","")</f>
        <v/>
      </c>
      <c r="L188" s="70" t="str">
        <f>IF(COUNTIFS(Log[Date],tbDailyTotals[[#This Row],[Date]],Log[Item],"Eve meds",Log[Qty],1),"x","")</f>
        <v/>
      </c>
      <c r="M188" s="150"/>
    </row>
    <row r="189" spans="2:13" s="75" customFormat="1" ht="25.15" customHeight="1">
      <c r="B189" s="91"/>
      <c r="C189" s="82">
        <f>SUMIFS(Log[Cal],Log[Date],tbDailyTotals[[#This Row],[Date]])</f>
        <v>0</v>
      </c>
      <c r="D189" s="82">
        <f>SUMIFS(Log[Sodium],Log[Date],tbDailyTotals[[#This Row],[Date]])</f>
        <v>0</v>
      </c>
      <c r="E189" s="71">
        <f>SUMIFS(Log[Net Carbs],Log[Date],tbDailyTotals[[#This Row],[Date]])</f>
        <v>0</v>
      </c>
      <c r="F189" s="71">
        <f>SUMIFS(Log[Protein],Log[Date],tbDailyTotals[[#This Row],[Date]])</f>
        <v>0</v>
      </c>
      <c r="G189" s="83">
        <f>SUMIFS(Log[Chol],Log[Date],tbDailyTotals[[#This Row],[Date]])</f>
        <v>0</v>
      </c>
      <c r="H189" s="92"/>
      <c r="I189" s="70" t="str">
        <f>IF(COUNTIFS(Log[Date],tbDailyTotals[[#This Row],[Date]],Log[Item],"Morn meds",Log[Qty],1),"x","")</f>
        <v/>
      </c>
      <c r="J189" s="70" t="str">
        <f>IF(COUNTIFS(Log[Date],tbDailyTotals[[#This Row],[Date]],Log[Item],"Morn insulin",Log[Qty],1),"x","")</f>
        <v/>
      </c>
      <c r="K189" s="70" t="str">
        <f>IF(COUNTIFS(Log[Date],tbDailyTotals[[#This Row],[Date]],Log[Item],"Eve insulin",Log[Qty],1),"x","")</f>
        <v/>
      </c>
      <c r="L189" s="70" t="str">
        <f>IF(COUNTIFS(Log[Date],tbDailyTotals[[#This Row],[Date]],Log[Item],"Eve meds",Log[Qty],1),"x","")</f>
        <v/>
      </c>
      <c r="M189" s="150"/>
    </row>
    <row r="190" spans="2:13" s="75" customFormat="1" ht="25.15" customHeight="1">
      <c r="B190" s="91"/>
      <c r="C190" s="82">
        <f>SUMIFS(Log[Cal],Log[Date],tbDailyTotals[[#This Row],[Date]])</f>
        <v>0</v>
      </c>
      <c r="D190" s="82">
        <f>SUMIFS(Log[Sodium],Log[Date],tbDailyTotals[[#This Row],[Date]])</f>
        <v>0</v>
      </c>
      <c r="E190" s="71">
        <f>SUMIFS(Log[Net Carbs],Log[Date],tbDailyTotals[[#This Row],[Date]])</f>
        <v>0</v>
      </c>
      <c r="F190" s="71">
        <f>SUMIFS(Log[Protein],Log[Date],tbDailyTotals[[#This Row],[Date]])</f>
        <v>0</v>
      </c>
      <c r="G190" s="83">
        <f>SUMIFS(Log[Chol],Log[Date],tbDailyTotals[[#This Row],[Date]])</f>
        <v>0</v>
      </c>
      <c r="H190" s="92"/>
      <c r="I190" s="70" t="str">
        <f>IF(COUNTIFS(Log[Date],tbDailyTotals[[#This Row],[Date]],Log[Item],"Morn meds",Log[Qty],1),"x","")</f>
        <v/>
      </c>
      <c r="J190" s="70" t="str">
        <f>IF(COUNTIFS(Log[Date],tbDailyTotals[[#This Row],[Date]],Log[Item],"Morn insulin",Log[Qty],1),"x","")</f>
        <v/>
      </c>
      <c r="K190" s="70" t="str">
        <f>IF(COUNTIFS(Log[Date],tbDailyTotals[[#This Row],[Date]],Log[Item],"Eve insulin",Log[Qty],1),"x","")</f>
        <v/>
      </c>
      <c r="L190" s="70" t="str">
        <f>IF(COUNTIFS(Log[Date],tbDailyTotals[[#This Row],[Date]],Log[Item],"Eve meds",Log[Qty],1),"x","")</f>
        <v/>
      </c>
      <c r="M190" s="150"/>
    </row>
    <row r="191" spans="2:13" s="75" customFormat="1" ht="25.15" customHeight="1">
      <c r="B191" s="91"/>
      <c r="C191" s="82">
        <f>SUMIFS(Log[Cal],Log[Date],tbDailyTotals[[#This Row],[Date]])</f>
        <v>0</v>
      </c>
      <c r="D191" s="82">
        <f>SUMIFS(Log[Sodium],Log[Date],tbDailyTotals[[#This Row],[Date]])</f>
        <v>0</v>
      </c>
      <c r="E191" s="71">
        <f>SUMIFS(Log[Net Carbs],Log[Date],tbDailyTotals[[#This Row],[Date]])</f>
        <v>0</v>
      </c>
      <c r="F191" s="71">
        <f>SUMIFS(Log[Protein],Log[Date],tbDailyTotals[[#This Row],[Date]])</f>
        <v>0</v>
      </c>
      <c r="G191" s="83">
        <f>SUMIFS(Log[Chol],Log[Date],tbDailyTotals[[#This Row],[Date]])</f>
        <v>0</v>
      </c>
      <c r="H191" s="92"/>
      <c r="I191" s="70" t="str">
        <f>IF(COUNTIFS(Log[Date],tbDailyTotals[[#This Row],[Date]],Log[Item],"Morn meds",Log[Qty],1),"x","")</f>
        <v/>
      </c>
      <c r="J191" s="70" t="str">
        <f>IF(COUNTIFS(Log[Date],tbDailyTotals[[#This Row],[Date]],Log[Item],"Morn insulin",Log[Qty],1),"x","")</f>
        <v/>
      </c>
      <c r="K191" s="70" t="str">
        <f>IF(COUNTIFS(Log[Date],tbDailyTotals[[#This Row],[Date]],Log[Item],"Eve insulin",Log[Qty],1),"x","")</f>
        <v/>
      </c>
      <c r="L191" s="70" t="str">
        <f>IF(COUNTIFS(Log[Date],tbDailyTotals[[#This Row],[Date]],Log[Item],"Eve meds",Log[Qty],1),"x","")</f>
        <v/>
      </c>
      <c r="M191" s="150"/>
    </row>
    <row r="192" spans="2:13" s="75" customFormat="1" ht="25.15" customHeight="1">
      <c r="B192" s="91"/>
      <c r="C192" s="82">
        <f>SUMIFS(Log[Cal],Log[Date],tbDailyTotals[[#This Row],[Date]])</f>
        <v>0</v>
      </c>
      <c r="D192" s="82">
        <f>SUMIFS(Log[Sodium],Log[Date],tbDailyTotals[[#This Row],[Date]])</f>
        <v>0</v>
      </c>
      <c r="E192" s="71">
        <f>SUMIFS(Log[Net Carbs],Log[Date],tbDailyTotals[[#This Row],[Date]])</f>
        <v>0</v>
      </c>
      <c r="F192" s="71">
        <f>SUMIFS(Log[Protein],Log[Date],tbDailyTotals[[#This Row],[Date]])</f>
        <v>0</v>
      </c>
      <c r="G192" s="83">
        <f>SUMIFS(Log[Chol],Log[Date],tbDailyTotals[[#This Row],[Date]])</f>
        <v>0</v>
      </c>
      <c r="H192" s="92"/>
      <c r="I192" s="70" t="str">
        <f>IF(COUNTIFS(Log[Date],tbDailyTotals[[#This Row],[Date]],Log[Item],"Morn meds",Log[Qty],1),"x","")</f>
        <v/>
      </c>
      <c r="J192" s="70" t="str">
        <f>IF(COUNTIFS(Log[Date],tbDailyTotals[[#This Row],[Date]],Log[Item],"Morn insulin",Log[Qty],1),"x","")</f>
        <v/>
      </c>
      <c r="K192" s="70" t="str">
        <f>IF(COUNTIFS(Log[Date],tbDailyTotals[[#This Row],[Date]],Log[Item],"Eve insulin",Log[Qty],1),"x","")</f>
        <v/>
      </c>
      <c r="L192" s="70" t="str">
        <f>IF(COUNTIFS(Log[Date],tbDailyTotals[[#This Row],[Date]],Log[Item],"Eve meds",Log[Qty],1),"x","")</f>
        <v/>
      </c>
      <c r="M192" s="150"/>
    </row>
    <row r="193" spans="2:13" s="75" customFormat="1" ht="25.15" customHeight="1">
      <c r="B193" s="91"/>
      <c r="C193" s="82">
        <f>SUMIFS(Log[Cal],Log[Date],tbDailyTotals[[#This Row],[Date]])</f>
        <v>0</v>
      </c>
      <c r="D193" s="82">
        <f>SUMIFS(Log[Sodium],Log[Date],tbDailyTotals[[#This Row],[Date]])</f>
        <v>0</v>
      </c>
      <c r="E193" s="71">
        <f>SUMIFS(Log[Net Carbs],Log[Date],tbDailyTotals[[#This Row],[Date]])</f>
        <v>0</v>
      </c>
      <c r="F193" s="71">
        <f>SUMIFS(Log[Protein],Log[Date],tbDailyTotals[[#This Row],[Date]])</f>
        <v>0</v>
      </c>
      <c r="G193" s="83">
        <f>SUMIFS(Log[Chol],Log[Date],tbDailyTotals[[#This Row],[Date]])</f>
        <v>0</v>
      </c>
      <c r="H193" s="92"/>
      <c r="I193" s="70" t="str">
        <f>IF(COUNTIFS(Log[Date],tbDailyTotals[[#This Row],[Date]],Log[Item],"Morn meds",Log[Qty],1),"x","")</f>
        <v/>
      </c>
      <c r="J193" s="70" t="str">
        <f>IF(COUNTIFS(Log[Date],tbDailyTotals[[#This Row],[Date]],Log[Item],"Morn insulin",Log[Qty],1),"x","")</f>
        <v/>
      </c>
      <c r="K193" s="70" t="str">
        <f>IF(COUNTIFS(Log[Date],tbDailyTotals[[#This Row],[Date]],Log[Item],"Eve insulin",Log[Qty],1),"x","")</f>
        <v/>
      </c>
      <c r="L193" s="70" t="str">
        <f>IF(COUNTIFS(Log[Date],tbDailyTotals[[#This Row],[Date]],Log[Item],"Eve meds",Log[Qty],1),"x","")</f>
        <v/>
      </c>
      <c r="M193" s="150"/>
    </row>
    <row r="194" spans="2:13" s="75" customFormat="1" ht="25.15" customHeight="1">
      <c r="B194" s="91"/>
      <c r="C194" s="82">
        <f>SUMIFS(Log[Cal],Log[Date],tbDailyTotals[[#This Row],[Date]])</f>
        <v>0</v>
      </c>
      <c r="D194" s="82">
        <f>SUMIFS(Log[Sodium],Log[Date],tbDailyTotals[[#This Row],[Date]])</f>
        <v>0</v>
      </c>
      <c r="E194" s="71">
        <f>SUMIFS(Log[Net Carbs],Log[Date],tbDailyTotals[[#This Row],[Date]])</f>
        <v>0</v>
      </c>
      <c r="F194" s="71">
        <f>SUMIFS(Log[Protein],Log[Date],tbDailyTotals[[#This Row],[Date]])</f>
        <v>0</v>
      </c>
      <c r="G194" s="83">
        <f>SUMIFS(Log[Chol],Log[Date],tbDailyTotals[[#This Row],[Date]])</f>
        <v>0</v>
      </c>
      <c r="H194" s="92"/>
      <c r="I194" s="70" t="str">
        <f>IF(COUNTIFS(Log[Date],tbDailyTotals[[#This Row],[Date]],Log[Item],"Morn meds",Log[Qty],1),"x","")</f>
        <v/>
      </c>
      <c r="J194" s="70" t="str">
        <f>IF(COUNTIFS(Log[Date],tbDailyTotals[[#This Row],[Date]],Log[Item],"Morn insulin",Log[Qty],1),"x","")</f>
        <v/>
      </c>
      <c r="K194" s="70" t="str">
        <f>IF(COUNTIFS(Log[Date],tbDailyTotals[[#This Row],[Date]],Log[Item],"Eve insulin",Log[Qty],1),"x","")</f>
        <v/>
      </c>
      <c r="L194" s="70" t="str">
        <f>IF(COUNTIFS(Log[Date],tbDailyTotals[[#This Row],[Date]],Log[Item],"Eve meds",Log[Qty],1),"x","")</f>
        <v/>
      </c>
      <c r="M194" s="150"/>
    </row>
    <row r="195" spans="2:13" s="75" customFormat="1" ht="25.15" customHeight="1">
      <c r="B195" s="91"/>
      <c r="C195" s="82">
        <f>SUMIFS(Log[Cal],Log[Date],tbDailyTotals[[#This Row],[Date]])</f>
        <v>0</v>
      </c>
      <c r="D195" s="82">
        <f>SUMIFS(Log[Sodium],Log[Date],tbDailyTotals[[#This Row],[Date]])</f>
        <v>0</v>
      </c>
      <c r="E195" s="71">
        <f>SUMIFS(Log[Net Carbs],Log[Date],tbDailyTotals[[#This Row],[Date]])</f>
        <v>0</v>
      </c>
      <c r="F195" s="71">
        <f>SUMIFS(Log[Protein],Log[Date],tbDailyTotals[[#This Row],[Date]])</f>
        <v>0</v>
      </c>
      <c r="G195" s="83">
        <f>SUMIFS(Log[Chol],Log[Date],tbDailyTotals[[#This Row],[Date]])</f>
        <v>0</v>
      </c>
      <c r="H195" s="92"/>
      <c r="I195" s="70" t="str">
        <f>IF(COUNTIFS(Log[Date],tbDailyTotals[[#This Row],[Date]],Log[Item],"Morn meds",Log[Qty],1),"x","")</f>
        <v/>
      </c>
      <c r="J195" s="70" t="str">
        <f>IF(COUNTIFS(Log[Date],tbDailyTotals[[#This Row],[Date]],Log[Item],"Morn insulin",Log[Qty],1),"x","")</f>
        <v/>
      </c>
      <c r="K195" s="70" t="str">
        <f>IF(COUNTIFS(Log[Date],tbDailyTotals[[#This Row],[Date]],Log[Item],"Eve insulin",Log[Qty],1),"x","")</f>
        <v/>
      </c>
      <c r="L195" s="70" t="str">
        <f>IF(COUNTIFS(Log[Date],tbDailyTotals[[#This Row],[Date]],Log[Item],"Eve meds",Log[Qty],1),"x","")</f>
        <v/>
      </c>
      <c r="M195" s="150"/>
    </row>
    <row r="196" spans="2:13" s="75" customFormat="1" ht="25.15" customHeight="1">
      <c r="B196" s="91"/>
      <c r="C196" s="82">
        <f>SUMIFS(Log[Cal],Log[Date],tbDailyTotals[[#This Row],[Date]])</f>
        <v>0</v>
      </c>
      <c r="D196" s="82">
        <f>SUMIFS(Log[Sodium],Log[Date],tbDailyTotals[[#This Row],[Date]])</f>
        <v>0</v>
      </c>
      <c r="E196" s="71">
        <f>SUMIFS(Log[Net Carbs],Log[Date],tbDailyTotals[[#This Row],[Date]])</f>
        <v>0</v>
      </c>
      <c r="F196" s="71">
        <f>SUMIFS(Log[Protein],Log[Date],tbDailyTotals[[#This Row],[Date]])</f>
        <v>0</v>
      </c>
      <c r="G196" s="83">
        <f>SUMIFS(Log[Chol],Log[Date],tbDailyTotals[[#This Row],[Date]])</f>
        <v>0</v>
      </c>
      <c r="H196" s="92"/>
      <c r="I196" s="70" t="str">
        <f>IF(COUNTIFS(Log[Date],tbDailyTotals[[#This Row],[Date]],Log[Item],"Morn meds",Log[Qty],1),"x","")</f>
        <v/>
      </c>
      <c r="J196" s="70" t="str">
        <f>IF(COUNTIFS(Log[Date],tbDailyTotals[[#This Row],[Date]],Log[Item],"Morn insulin",Log[Qty],1),"x","")</f>
        <v/>
      </c>
      <c r="K196" s="70" t="str">
        <f>IF(COUNTIFS(Log[Date],tbDailyTotals[[#This Row],[Date]],Log[Item],"Eve insulin",Log[Qty],1),"x","")</f>
        <v/>
      </c>
      <c r="L196" s="70" t="str">
        <f>IF(COUNTIFS(Log[Date],tbDailyTotals[[#This Row],[Date]],Log[Item],"Eve meds",Log[Qty],1),"x","")</f>
        <v/>
      </c>
      <c r="M196" s="150"/>
    </row>
    <row r="197" spans="2:13" s="75" customFormat="1" ht="25.15" customHeight="1">
      <c r="B197" s="91"/>
      <c r="C197" s="82">
        <f>SUMIFS(Log[Cal],Log[Date],tbDailyTotals[[#This Row],[Date]])</f>
        <v>0</v>
      </c>
      <c r="D197" s="82">
        <f>SUMIFS(Log[Sodium],Log[Date],tbDailyTotals[[#This Row],[Date]])</f>
        <v>0</v>
      </c>
      <c r="E197" s="71">
        <f>SUMIFS(Log[Net Carbs],Log[Date],tbDailyTotals[[#This Row],[Date]])</f>
        <v>0</v>
      </c>
      <c r="F197" s="71">
        <f>SUMIFS(Log[Protein],Log[Date],tbDailyTotals[[#This Row],[Date]])</f>
        <v>0</v>
      </c>
      <c r="G197" s="83">
        <f>SUMIFS(Log[Chol],Log[Date],tbDailyTotals[[#This Row],[Date]])</f>
        <v>0</v>
      </c>
      <c r="H197" s="92"/>
      <c r="I197" s="70" t="str">
        <f>IF(COUNTIFS(Log[Date],tbDailyTotals[[#This Row],[Date]],Log[Item],"Morn meds",Log[Qty],1),"x","")</f>
        <v/>
      </c>
      <c r="J197" s="70" t="str">
        <f>IF(COUNTIFS(Log[Date],tbDailyTotals[[#This Row],[Date]],Log[Item],"Morn insulin",Log[Qty],1),"x","")</f>
        <v/>
      </c>
      <c r="K197" s="70" t="str">
        <f>IF(COUNTIFS(Log[Date],tbDailyTotals[[#This Row],[Date]],Log[Item],"Eve insulin",Log[Qty],1),"x","")</f>
        <v/>
      </c>
      <c r="L197" s="70" t="str">
        <f>IF(COUNTIFS(Log[Date],tbDailyTotals[[#This Row],[Date]],Log[Item],"Eve meds",Log[Qty],1),"x","")</f>
        <v/>
      </c>
      <c r="M197" s="150"/>
    </row>
    <row r="198" spans="2:13" s="75" customFormat="1" ht="25.15" customHeight="1">
      <c r="B198" s="91"/>
      <c r="C198" s="82">
        <f>SUMIFS(Log[Cal],Log[Date],tbDailyTotals[[#This Row],[Date]])</f>
        <v>0</v>
      </c>
      <c r="D198" s="82">
        <f>SUMIFS(Log[Sodium],Log[Date],tbDailyTotals[[#This Row],[Date]])</f>
        <v>0</v>
      </c>
      <c r="E198" s="71">
        <f>SUMIFS(Log[Net Carbs],Log[Date],tbDailyTotals[[#This Row],[Date]])</f>
        <v>0</v>
      </c>
      <c r="F198" s="71">
        <f>SUMIFS(Log[Protein],Log[Date],tbDailyTotals[[#This Row],[Date]])</f>
        <v>0</v>
      </c>
      <c r="G198" s="83">
        <f>SUMIFS(Log[Chol],Log[Date],tbDailyTotals[[#This Row],[Date]])</f>
        <v>0</v>
      </c>
      <c r="H198" s="92"/>
      <c r="I198" s="70" t="str">
        <f>IF(COUNTIFS(Log[Date],tbDailyTotals[[#This Row],[Date]],Log[Item],"Morn meds",Log[Qty],1),"x","")</f>
        <v/>
      </c>
      <c r="J198" s="70" t="str">
        <f>IF(COUNTIFS(Log[Date],tbDailyTotals[[#This Row],[Date]],Log[Item],"Morn insulin",Log[Qty],1),"x","")</f>
        <v/>
      </c>
      <c r="K198" s="70" t="str">
        <f>IF(COUNTIFS(Log[Date],tbDailyTotals[[#This Row],[Date]],Log[Item],"Eve insulin",Log[Qty],1),"x","")</f>
        <v/>
      </c>
      <c r="L198" s="70" t="str">
        <f>IF(COUNTIFS(Log[Date],tbDailyTotals[[#This Row],[Date]],Log[Item],"Eve meds",Log[Qty],1),"x","")</f>
        <v/>
      </c>
      <c r="M198" s="150"/>
    </row>
    <row r="199" spans="2:13" s="75" customFormat="1" ht="25.15" customHeight="1">
      <c r="B199" s="91"/>
      <c r="C199" s="82">
        <f>SUMIFS(Log[Cal],Log[Date],tbDailyTotals[[#This Row],[Date]])</f>
        <v>0</v>
      </c>
      <c r="D199" s="82">
        <f>SUMIFS(Log[Sodium],Log[Date],tbDailyTotals[[#This Row],[Date]])</f>
        <v>0</v>
      </c>
      <c r="E199" s="71">
        <f>SUMIFS(Log[Net Carbs],Log[Date],tbDailyTotals[[#This Row],[Date]])</f>
        <v>0</v>
      </c>
      <c r="F199" s="71">
        <f>SUMIFS(Log[Protein],Log[Date],tbDailyTotals[[#This Row],[Date]])</f>
        <v>0</v>
      </c>
      <c r="G199" s="83">
        <f>SUMIFS(Log[Chol],Log[Date],tbDailyTotals[[#This Row],[Date]])</f>
        <v>0</v>
      </c>
      <c r="H199" s="92"/>
      <c r="I199" s="70" t="str">
        <f>IF(COUNTIFS(Log[Date],tbDailyTotals[[#This Row],[Date]],Log[Item],"Morn meds",Log[Qty],1),"x","")</f>
        <v/>
      </c>
      <c r="J199" s="70" t="str">
        <f>IF(COUNTIFS(Log[Date],tbDailyTotals[[#This Row],[Date]],Log[Item],"Morn insulin",Log[Qty],1),"x","")</f>
        <v/>
      </c>
      <c r="K199" s="70" t="str">
        <f>IF(COUNTIFS(Log[Date],tbDailyTotals[[#This Row],[Date]],Log[Item],"Eve insulin",Log[Qty],1),"x","")</f>
        <v/>
      </c>
      <c r="L199" s="70" t="str">
        <f>IF(COUNTIFS(Log[Date],tbDailyTotals[[#This Row],[Date]],Log[Item],"Eve meds",Log[Qty],1),"x","")</f>
        <v/>
      </c>
      <c r="M199" s="150"/>
    </row>
    <row r="200" spans="2:13" s="75" customFormat="1" ht="25.15" customHeight="1">
      <c r="B200" s="91"/>
      <c r="C200" s="82">
        <f>SUMIFS(Log[Cal],Log[Date],tbDailyTotals[[#This Row],[Date]])</f>
        <v>0</v>
      </c>
      <c r="D200" s="82">
        <f>SUMIFS(Log[Sodium],Log[Date],tbDailyTotals[[#This Row],[Date]])</f>
        <v>0</v>
      </c>
      <c r="E200" s="71">
        <f>SUMIFS(Log[Net Carbs],Log[Date],tbDailyTotals[[#This Row],[Date]])</f>
        <v>0</v>
      </c>
      <c r="F200" s="71">
        <f>SUMIFS(Log[Protein],Log[Date],tbDailyTotals[[#This Row],[Date]])</f>
        <v>0</v>
      </c>
      <c r="G200" s="83">
        <f>SUMIFS(Log[Chol],Log[Date],tbDailyTotals[[#This Row],[Date]])</f>
        <v>0</v>
      </c>
      <c r="H200" s="92"/>
      <c r="I200" s="70" t="str">
        <f>IF(COUNTIFS(Log[Date],tbDailyTotals[[#This Row],[Date]],Log[Item],"Morn meds",Log[Qty],1),"x","")</f>
        <v/>
      </c>
      <c r="J200" s="70" t="str">
        <f>IF(COUNTIFS(Log[Date],tbDailyTotals[[#This Row],[Date]],Log[Item],"Morn insulin",Log[Qty],1),"x","")</f>
        <v/>
      </c>
      <c r="K200" s="70" t="str">
        <f>IF(COUNTIFS(Log[Date],tbDailyTotals[[#This Row],[Date]],Log[Item],"Eve insulin",Log[Qty],1),"x","")</f>
        <v/>
      </c>
      <c r="L200" s="70" t="str">
        <f>IF(COUNTIFS(Log[Date],tbDailyTotals[[#This Row],[Date]],Log[Item],"Eve meds",Log[Qty],1),"x","")</f>
        <v/>
      </c>
      <c r="M200" s="150"/>
    </row>
    <row r="201" spans="2:13" s="75" customFormat="1" ht="25.15" customHeight="1">
      <c r="B201" s="91"/>
      <c r="C201" s="82">
        <f>SUMIFS(Log[Cal],Log[Date],tbDailyTotals[[#This Row],[Date]])</f>
        <v>0</v>
      </c>
      <c r="D201" s="82">
        <f>SUMIFS(Log[Sodium],Log[Date],tbDailyTotals[[#This Row],[Date]])</f>
        <v>0</v>
      </c>
      <c r="E201" s="71">
        <f>SUMIFS(Log[Net Carbs],Log[Date],tbDailyTotals[[#This Row],[Date]])</f>
        <v>0</v>
      </c>
      <c r="F201" s="71">
        <f>SUMIFS(Log[Protein],Log[Date],tbDailyTotals[[#This Row],[Date]])</f>
        <v>0</v>
      </c>
      <c r="G201" s="83">
        <f>SUMIFS(Log[Chol],Log[Date],tbDailyTotals[[#This Row],[Date]])</f>
        <v>0</v>
      </c>
      <c r="H201" s="92"/>
      <c r="I201" s="70" t="str">
        <f>IF(COUNTIFS(Log[Date],tbDailyTotals[[#This Row],[Date]],Log[Item],"Morn meds",Log[Qty],1),"x","")</f>
        <v/>
      </c>
      <c r="J201" s="70" t="str">
        <f>IF(COUNTIFS(Log[Date],tbDailyTotals[[#This Row],[Date]],Log[Item],"Morn insulin",Log[Qty],1),"x","")</f>
        <v/>
      </c>
      <c r="K201" s="70" t="str">
        <f>IF(COUNTIFS(Log[Date],tbDailyTotals[[#This Row],[Date]],Log[Item],"Eve insulin",Log[Qty],1),"x","")</f>
        <v/>
      </c>
      <c r="L201" s="70" t="str">
        <f>IF(COUNTIFS(Log[Date],tbDailyTotals[[#This Row],[Date]],Log[Item],"Eve meds",Log[Qty],1),"x","")</f>
        <v/>
      </c>
      <c r="M201" s="150"/>
    </row>
    <row r="202" spans="2:13" s="75" customFormat="1" ht="25.15" customHeight="1">
      <c r="B202" s="91"/>
      <c r="C202" s="82">
        <f>SUMIFS(Log[Cal],Log[Date],tbDailyTotals[[#This Row],[Date]])</f>
        <v>0</v>
      </c>
      <c r="D202" s="82">
        <f>SUMIFS(Log[Sodium],Log[Date],tbDailyTotals[[#This Row],[Date]])</f>
        <v>0</v>
      </c>
      <c r="E202" s="71">
        <f>SUMIFS(Log[Net Carbs],Log[Date],tbDailyTotals[[#This Row],[Date]])</f>
        <v>0</v>
      </c>
      <c r="F202" s="71">
        <f>SUMIFS(Log[Protein],Log[Date],tbDailyTotals[[#This Row],[Date]])</f>
        <v>0</v>
      </c>
      <c r="G202" s="83">
        <f>SUMIFS(Log[Chol],Log[Date],tbDailyTotals[[#This Row],[Date]])</f>
        <v>0</v>
      </c>
      <c r="H202" s="92"/>
      <c r="I202" s="70" t="str">
        <f>IF(COUNTIFS(Log[Date],tbDailyTotals[[#This Row],[Date]],Log[Item],"Morn meds",Log[Qty],1),"x","")</f>
        <v/>
      </c>
      <c r="J202" s="70" t="str">
        <f>IF(COUNTIFS(Log[Date],tbDailyTotals[[#This Row],[Date]],Log[Item],"Morn insulin",Log[Qty],1),"x","")</f>
        <v/>
      </c>
      <c r="K202" s="70" t="str">
        <f>IF(COUNTIFS(Log[Date],tbDailyTotals[[#This Row],[Date]],Log[Item],"Eve insulin",Log[Qty],1),"x","")</f>
        <v/>
      </c>
      <c r="L202" s="70" t="str">
        <f>IF(COUNTIFS(Log[Date],tbDailyTotals[[#This Row],[Date]],Log[Item],"Eve meds",Log[Qty],1),"x","")</f>
        <v/>
      </c>
      <c r="M202" s="150"/>
    </row>
    <row r="203" spans="2:13" s="75" customFormat="1" ht="25.15" customHeight="1">
      <c r="B203" s="91"/>
      <c r="C203" s="82">
        <f>SUMIFS(Log[Cal],Log[Date],tbDailyTotals[[#This Row],[Date]])</f>
        <v>0</v>
      </c>
      <c r="D203" s="82">
        <f>SUMIFS(Log[Sodium],Log[Date],tbDailyTotals[[#This Row],[Date]])</f>
        <v>0</v>
      </c>
      <c r="E203" s="71">
        <f>SUMIFS(Log[Net Carbs],Log[Date],tbDailyTotals[[#This Row],[Date]])</f>
        <v>0</v>
      </c>
      <c r="F203" s="71">
        <f>SUMIFS(Log[Protein],Log[Date],tbDailyTotals[[#This Row],[Date]])</f>
        <v>0</v>
      </c>
      <c r="G203" s="83">
        <f>SUMIFS(Log[Chol],Log[Date],tbDailyTotals[[#This Row],[Date]])</f>
        <v>0</v>
      </c>
      <c r="H203" s="92"/>
      <c r="I203" s="70" t="str">
        <f>IF(COUNTIFS(Log[Date],tbDailyTotals[[#This Row],[Date]],Log[Item],"Morn meds",Log[Qty],1),"x","")</f>
        <v/>
      </c>
      <c r="J203" s="70" t="str">
        <f>IF(COUNTIFS(Log[Date],tbDailyTotals[[#This Row],[Date]],Log[Item],"Morn insulin",Log[Qty],1),"x","")</f>
        <v/>
      </c>
      <c r="K203" s="70" t="str">
        <f>IF(COUNTIFS(Log[Date],tbDailyTotals[[#This Row],[Date]],Log[Item],"Eve insulin",Log[Qty],1),"x","")</f>
        <v/>
      </c>
      <c r="L203" s="70" t="str">
        <f>IF(COUNTIFS(Log[Date],tbDailyTotals[[#This Row],[Date]],Log[Item],"Eve meds",Log[Qty],1),"x","")</f>
        <v/>
      </c>
      <c r="M203" s="150"/>
    </row>
    <row r="204" spans="2:13" s="75" customFormat="1" ht="25.15" customHeight="1">
      <c r="B204" s="91"/>
      <c r="C204" s="82">
        <f>SUMIFS(Log[Cal],Log[Date],tbDailyTotals[[#This Row],[Date]])</f>
        <v>0</v>
      </c>
      <c r="D204" s="82">
        <f>SUMIFS(Log[Sodium],Log[Date],tbDailyTotals[[#This Row],[Date]])</f>
        <v>0</v>
      </c>
      <c r="E204" s="71">
        <f>SUMIFS(Log[Net Carbs],Log[Date],tbDailyTotals[[#This Row],[Date]])</f>
        <v>0</v>
      </c>
      <c r="F204" s="71">
        <f>SUMIFS(Log[Protein],Log[Date],tbDailyTotals[[#This Row],[Date]])</f>
        <v>0</v>
      </c>
      <c r="G204" s="83">
        <f>SUMIFS(Log[Chol],Log[Date],tbDailyTotals[[#This Row],[Date]])</f>
        <v>0</v>
      </c>
      <c r="H204" s="92"/>
      <c r="I204" s="70" t="str">
        <f>IF(COUNTIFS(Log[Date],tbDailyTotals[[#This Row],[Date]],Log[Item],"Morn meds",Log[Qty],1),"x","")</f>
        <v/>
      </c>
      <c r="J204" s="70" t="str">
        <f>IF(COUNTIFS(Log[Date],tbDailyTotals[[#This Row],[Date]],Log[Item],"Morn insulin",Log[Qty],1),"x","")</f>
        <v/>
      </c>
      <c r="K204" s="70" t="str">
        <f>IF(COUNTIFS(Log[Date],tbDailyTotals[[#This Row],[Date]],Log[Item],"Eve insulin",Log[Qty],1),"x","")</f>
        <v/>
      </c>
      <c r="L204" s="70" t="str">
        <f>IF(COUNTIFS(Log[Date],tbDailyTotals[[#This Row],[Date]],Log[Item],"Eve meds",Log[Qty],1),"x","")</f>
        <v/>
      </c>
      <c r="M204" s="150"/>
    </row>
    <row r="205" spans="2:13" s="75" customFormat="1" ht="25.15" customHeight="1">
      <c r="B205" s="91"/>
      <c r="C205" s="82">
        <f>SUMIFS(Log[Cal],Log[Date],tbDailyTotals[[#This Row],[Date]])</f>
        <v>0</v>
      </c>
      <c r="D205" s="82">
        <f>SUMIFS(Log[Sodium],Log[Date],tbDailyTotals[[#This Row],[Date]])</f>
        <v>0</v>
      </c>
      <c r="E205" s="71">
        <f>SUMIFS(Log[Net Carbs],Log[Date],tbDailyTotals[[#This Row],[Date]])</f>
        <v>0</v>
      </c>
      <c r="F205" s="71">
        <f>SUMIFS(Log[Protein],Log[Date],tbDailyTotals[[#This Row],[Date]])</f>
        <v>0</v>
      </c>
      <c r="G205" s="83">
        <f>SUMIFS(Log[Chol],Log[Date],tbDailyTotals[[#This Row],[Date]])</f>
        <v>0</v>
      </c>
      <c r="H205" s="92"/>
      <c r="I205" s="70" t="str">
        <f>IF(COUNTIFS(Log[Date],tbDailyTotals[[#This Row],[Date]],Log[Item],"Morn meds",Log[Qty],1),"x","")</f>
        <v/>
      </c>
      <c r="J205" s="70" t="str">
        <f>IF(COUNTIFS(Log[Date],tbDailyTotals[[#This Row],[Date]],Log[Item],"Morn insulin",Log[Qty],1),"x","")</f>
        <v/>
      </c>
      <c r="K205" s="70" t="str">
        <f>IF(COUNTIFS(Log[Date],tbDailyTotals[[#This Row],[Date]],Log[Item],"Eve insulin",Log[Qty],1),"x","")</f>
        <v/>
      </c>
      <c r="L205" s="70" t="str">
        <f>IF(COUNTIFS(Log[Date],tbDailyTotals[[#This Row],[Date]],Log[Item],"Eve meds",Log[Qty],1),"x","")</f>
        <v/>
      </c>
      <c r="M205" s="150"/>
    </row>
    <row r="206" spans="2:13" s="75" customFormat="1" ht="25.15" customHeight="1">
      <c r="B206" s="91"/>
      <c r="C206" s="82">
        <f>SUMIFS(Log[Cal],Log[Date],tbDailyTotals[[#This Row],[Date]])</f>
        <v>0</v>
      </c>
      <c r="D206" s="82">
        <f>SUMIFS(Log[Sodium],Log[Date],tbDailyTotals[[#This Row],[Date]])</f>
        <v>0</v>
      </c>
      <c r="E206" s="71">
        <f>SUMIFS(Log[Net Carbs],Log[Date],tbDailyTotals[[#This Row],[Date]])</f>
        <v>0</v>
      </c>
      <c r="F206" s="71">
        <f>SUMIFS(Log[Protein],Log[Date],tbDailyTotals[[#This Row],[Date]])</f>
        <v>0</v>
      </c>
      <c r="G206" s="83">
        <f>SUMIFS(Log[Chol],Log[Date],tbDailyTotals[[#This Row],[Date]])</f>
        <v>0</v>
      </c>
      <c r="H206" s="92"/>
      <c r="I206" s="70" t="str">
        <f>IF(COUNTIFS(Log[Date],tbDailyTotals[[#This Row],[Date]],Log[Item],"Morn meds",Log[Qty],1),"x","")</f>
        <v/>
      </c>
      <c r="J206" s="70" t="str">
        <f>IF(COUNTIFS(Log[Date],tbDailyTotals[[#This Row],[Date]],Log[Item],"Morn insulin",Log[Qty],1),"x","")</f>
        <v/>
      </c>
      <c r="K206" s="70" t="str">
        <f>IF(COUNTIFS(Log[Date],tbDailyTotals[[#This Row],[Date]],Log[Item],"Eve insulin",Log[Qty],1),"x","")</f>
        <v/>
      </c>
      <c r="L206" s="70" t="str">
        <f>IF(COUNTIFS(Log[Date],tbDailyTotals[[#This Row],[Date]],Log[Item],"Eve meds",Log[Qty],1),"x","")</f>
        <v/>
      </c>
      <c r="M206" s="150"/>
    </row>
    <row r="207" spans="2:13" s="75" customFormat="1" ht="25.15" customHeight="1">
      <c r="B207" s="91"/>
      <c r="C207" s="82">
        <f>SUMIFS(Log[Cal],Log[Date],tbDailyTotals[[#This Row],[Date]])</f>
        <v>0</v>
      </c>
      <c r="D207" s="82">
        <f>SUMIFS(Log[Sodium],Log[Date],tbDailyTotals[[#This Row],[Date]])</f>
        <v>0</v>
      </c>
      <c r="E207" s="71">
        <f>SUMIFS(Log[Net Carbs],Log[Date],tbDailyTotals[[#This Row],[Date]])</f>
        <v>0</v>
      </c>
      <c r="F207" s="71">
        <f>SUMIFS(Log[Protein],Log[Date],tbDailyTotals[[#This Row],[Date]])</f>
        <v>0</v>
      </c>
      <c r="G207" s="83">
        <f>SUMIFS(Log[Chol],Log[Date],tbDailyTotals[[#This Row],[Date]])</f>
        <v>0</v>
      </c>
      <c r="H207" s="92"/>
      <c r="I207" s="70" t="str">
        <f>IF(COUNTIFS(Log[Date],tbDailyTotals[[#This Row],[Date]],Log[Item],"Morn meds",Log[Qty],1),"x","")</f>
        <v/>
      </c>
      <c r="J207" s="70" t="str">
        <f>IF(COUNTIFS(Log[Date],tbDailyTotals[[#This Row],[Date]],Log[Item],"Morn insulin",Log[Qty],1),"x","")</f>
        <v/>
      </c>
      <c r="K207" s="70" t="str">
        <f>IF(COUNTIFS(Log[Date],tbDailyTotals[[#This Row],[Date]],Log[Item],"Eve insulin",Log[Qty],1),"x","")</f>
        <v/>
      </c>
      <c r="L207" s="70" t="str">
        <f>IF(COUNTIFS(Log[Date],tbDailyTotals[[#This Row],[Date]],Log[Item],"Eve meds",Log[Qty],1),"x","")</f>
        <v/>
      </c>
      <c r="M207" s="150"/>
    </row>
    <row r="208" spans="2:13" s="75" customFormat="1" ht="25.15" customHeight="1">
      <c r="B208" s="91"/>
      <c r="C208" s="82">
        <f>SUMIFS(Log[Cal],Log[Date],tbDailyTotals[[#This Row],[Date]])</f>
        <v>0</v>
      </c>
      <c r="D208" s="82">
        <f>SUMIFS(Log[Sodium],Log[Date],tbDailyTotals[[#This Row],[Date]])</f>
        <v>0</v>
      </c>
      <c r="E208" s="71">
        <f>SUMIFS(Log[Net Carbs],Log[Date],tbDailyTotals[[#This Row],[Date]])</f>
        <v>0</v>
      </c>
      <c r="F208" s="71">
        <f>SUMIFS(Log[Protein],Log[Date],tbDailyTotals[[#This Row],[Date]])</f>
        <v>0</v>
      </c>
      <c r="G208" s="83">
        <f>SUMIFS(Log[Chol],Log[Date],tbDailyTotals[[#This Row],[Date]])</f>
        <v>0</v>
      </c>
      <c r="H208" s="92"/>
      <c r="I208" s="70" t="str">
        <f>IF(COUNTIFS(Log[Date],tbDailyTotals[[#This Row],[Date]],Log[Item],"Morn meds",Log[Qty],1),"x","")</f>
        <v/>
      </c>
      <c r="J208" s="70" t="str">
        <f>IF(COUNTIFS(Log[Date],tbDailyTotals[[#This Row],[Date]],Log[Item],"Morn insulin",Log[Qty],1),"x","")</f>
        <v/>
      </c>
      <c r="K208" s="70" t="str">
        <f>IF(COUNTIFS(Log[Date],tbDailyTotals[[#This Row],[Date]],Log[Item],"Eve insulin",Log[Qty],1),"x","")</f>
        <v/>
      </c>
      <c r="L208" s="70" t="str">
        <f>IF(COUNTIFS(Log[Date],tbDailyTotals[[#This Row],[Date]],Log[Item],"Eve meds",Log[Qty],1),"x","")</f>
        <v/>
      </c>
      <c r="M208" s="150"/>
    </row>
    <row r="209" spans="2:13" s="75" customFormat="1" ht="25.15" customHeight="1">
      <c r="B209" s="91"/>
      <c r="C209" s="82">
        <f>SUMIFS(Log[Cal],Log[Date],tbDailyTotals[[#This Row],[Date]])</f>
        <v>0</v>
      </c>
      <c r="D209" s="82">
        <f>SUMIFS(Log[Sodium],Log[Date],tbDailyTotals[[#This Row],[Date]])</f>
        <v>0</v>
      </c>
      <c r="E209" s="71">
        <f>SUMIFS(Log[Net Carbs],Log[Date],tbDailyTotals[[#This Row],[Date]])</f>
        <v>0</v>
      </c>
      <c r="F209" s="71">
        <f>SUMIFS(Log[Protein],Log[Date],tbDailyTotals[[#This Row],[Date]])</f>
        <v>0</v>
      </c>
      <c r="G209" s="83">
        <f>SUMIFS(Log[Chol],Log[Date],tbDailyTotals[[#This Row],[Date]])</f>
        <v>0</v>
      </c>
      <c r="H209" s="92"/>
      <c r="I209" s="70" t="str">
        <f>IF(COUNTIFS(Log[Date],tbDailyTotals[[#This Row],[Date]],Log[Item],"Morn meds",Log[Qty],1),"x","")</f>
        <v/>
      </c>
      <c r="J209" s="70" t="str">
        <f>IF(COUNTIFS(Log[Date],tbDailyTotals[[#This Row],[Date]],Log[Item],"Morn insulin",Log[Qty],1),"x","")</f>
        <v/>
      </c>
      <c r="K209" s="70" t="str">
        <f>IF(COUNTIFS(Log[Date],tbDailyTotals[[#This Row],[Date]],Log[Item],"Eve insulin",Log[Qty],1),"x","")</f>
        <v/>
      </c>
      <c r="L209" s="70" t="str">
        <f>IF(COUNTIFS(Log[Date],tbDailyTotals[[#This Row],[Date]],Log[Item],"Eve meds",Log[Qty],1),"x","")</f>
        <v/>
      </c>
      <c r="M209" s="150"/>
    </row>
    <row r="210" spans="2:13" s="75" customFormat="1" ht="25.15" customHeight="1">
      <c r="B210" s="91"/>
      <c r="C210" s="82">
        <f>SUMIFS(Log[Cal],Log[Date],tbDailyTotals[[#This Row],[Date]])</f>
        <v>0</v>
      </c>
      <c r="D210" s="82">
        <f>SUMIFS(Log[Sodium],Log[Date],tbDailyTotals[[#This Row],[Date]])</f>
        <v>0</v>
      </c>
      <c r="E210" s="71">
        <f>SUMIFS(Log[Net Carbs],Log[Date],tbDailyTotals[[#This Row],[Date]])</f>
        <v>0</v>
      </c>
      <c r="F210" s="71">
        <f>SUMIFS(Log[Protein],Log[Date],tbDailyTotals[[#This Row],[Date]])</f>
        <v>0</v>
      </c>
      <c r="G210" s="83">
        <f>SUMIFS(Log[Chol],Log[Date],tbDailyTotals[[#This Row],[Date]])</f>
        <v>0</v>
      </c>
      <c r="H210" s="92"/>
      <c r="I210" s="70" t="str">
        <f>IF(COUNTIFS(Log[Date],tbDailyTotals[[#This Row],[Date]],Log[Item],"Morn meds",Log[Qty],1),"x","")</f>
        <v/>
      </c>
      <c r="J210" s="70" t="str">
        <f>IF(COUNTIFS(Log[Date],tbDailyTotals[[#This Row],[Date]],Log[Item],"Morn insulin",Log[Qty],1),"x","")</f>
        <v/>
      </c>
      <c r="K210" s="70" t="str">
        <f>IF(COUNTIFS(Log[Date],tbDailyTotals[[#This Row],[Date]],Log[Item],"Eve insulin",Log[Qty],1),"x","")</f>
        <v/>
      </c>
      <c r="L210" s="70" t="str">
        <f>IF(COUNTIFS(Log[Date],tbDailyTotals[[#This Row],[Date]],Log[Item],"Eve meds",Log[Qty],1),"x","")</f>
        <v/>
      </c>
      <c r="M210" s="150"/>
    </row>
    <row r="211" spans="2:13" s="75" customFormat="1" ht="25.15" customHeight="1">
      <c r="B211" s="91"/>
      <c r="C211" s="82">
        <f>SUMIFS(Log[Cal],Log[Date],tbDailyTotals[[#This Row],[Date]])</f>
        <v>0</v>
      </c>
      <c r="D211" s="82">
        <f>SUMIFS(Log[Sodium],Log[Date],tbDailyTotals[[#This Row],[Date]])</f>
        <v>0</v>
      </c>
      <c r="E211" s="71">
        <f>SUMIFS(Log[Net Carbs],Log[Date],tbDailyTotals[[#This Row],[Date]])</f>
        <v>0</v>
      </c>
      <c r="F211" s="71">
        <f>SUMIFS(Log[Protein],Log[Date],tbDailyTotals[[#This Row],[Date]])</f>
        <v>0</v>
      </c>
      <c r="G211" s="83">
        <f>SUMIFS(Log[Chol],Log[Date],tbDailyTotals[[#This Row],[Date]])</f>
        <v>0</v>
      </c>
      <c r="H211" s="92"/>
      <c r="I211" s="70" t="str">
        <f>IF(COUNTIFS(Log[Date],tbDailyTotals[[#This Row],[Date]],Log[Item],"Morn meds",Log[Qty],1),"x","")</f>
        <v/>
      </c>
      <c r="J211" s="70" t="str">
        <f>IF(COUNTIFS(Log[Date],tbDailyTotals[[#This Row],[Date]],Log[Item],"Morn insulin",Log[Qty],1),"x","")</f>
        <v/>
      </c>
      <c r="K211" s="70" t="str">
        <f>IF(COUNTIFS(Log[Date],tbDailyTotals[[#This Row],[Date]],Log[Item],"Eve insulin",Log[Qty],1),"x","")</f>
        <v/>
      </c>
      <c r="L211" s="70" t="str">
        <f>IF(COUNTIFS(Log[Date],tbDailyTotals[[#This Row],[Date]],Log[Item],"Eve meds",Log[Qty],1),"x","")</f>
        <v/>
      </c>
      <c r="M211" s="150"/>
    </row>
    <row r="212" spans="2:13" s="75" customFormat="1" ht="25.15" customHeight="1">
      <c r="B212" s="91"/>
      <c r="C212" s="82">
        <f>SUMIFS(Log[Cal],Log[Date],tbDailyTotals[[#This Row],[Date]])</f>
        <v>0</v>
      </c>
      <c r="D212" s="82">
        <f>SUMIFS(Log[Sodium],Log[Date],tbDailyTotals[[#This Row],[Date]])</f>
        <v>0</v>
      </c>
      <c r="E212" s="71">
        <f>SUMIFS(Log[Net Carbs],Log[Date],tbDailyTotals[[#This Row],[Date]])</f>
        <v>0</v>
      </c>
      <c r="F212" s="71">
        <f>SUMIFS(Log[Protein],Log[Date],tbDailyTotals[[#This Row],[Date]])</f>
        <v>0</v>
      </c>
      <c r="G212" s="83">
        <f>SUMIFS(Log[Chol],Log[Date],tbDailyTotals[[#This Row],[Date]])</f>
        <v>0</v>
      </c>
      <c r="H212" s="92"/>
      <c r="I212" s="70" t="str">
        <f>IF(COUNTIFS(Log[Date],tbDailyTotals[[#This Row],[Date]],Log[Item],"Morn meds",Log[Qty],1),"x","")</f>
        <v/>
      </c>
      <c r="J212" s="70" t="str">
        <f>IF(COUNTIFS(Log[Date],tbDailyTotals[[#This Row],[Date]],Log[Item],"Morn insulin",Log[Qty],1),"x","")</f>
        <v/>
      </c>
      <c r="K212" s="70" t="str">
        <f>IF(COUNTIFS(Log[Date],tbDailyTotals[[#This Row],[Date]],Log[Item],"Eve insulin",Log[Qty],1),"x","")</f>
        <v/>
      </c>
      <c r="L212" s="70" t="str">
        <f>IF(COUNTIFS(Log[Date],tbDailyTotals[[#This Row],[Date]],Log[Item],"Eve meds",Log[Qty],1),"x","")</f>
        <v/>
      </c>
      <c r="M212" s="150"/>
    </row>
    <row r="213" spans="2:13" s="75" customFormat="1" ht="25.15" customHeight="1">
      <c r="B213" s="91"/>
      <c r="C213" s="82">
        <f>SUMIFS(Log[Cal],Log[Date],tbDailyTotals[[#This Row],[Date]])</f>
        <v>0</v>
      </c>
      <c r="D213" s="82">
        <f>SUMIFS(Log[Sodium],Log[Date],tbDailyTotals[[#This Row],[Date]])</f>
        <v>0</v>
      </c>
      <c r="E213" s="71">
        <f>SUMIFS(Log[Net Carbs],Log[Date],tbDailyTotals[[#This Row],[Date]])</f>
        <v>0</v>
      </c>
      <c r="F213" s="71">
        <f>SUMIFS(Log[Protein],Log[Date],tbDailyTotals[[#This Row],[Date]])</f>
        <v>0</v>
      </c>
      <c r="G213" s="83">
        <f>SUMIFS(Log[Chol],Log[Date],tbDailyTotals[[#This Row],[Date]])</f>
        <v>0</v>
      </c>
      <c r="H213" s="92"/>
      <c r="I213" s="70" t="str">
        <f>IF(COUNTIFS(Log[Date],tbDailyTotals[[#This Row],[Date]],Log[Item],"Morn meds",Log[Qty],1),"x","")</f>
        <v/>
      </c>
      <c r="J213" s="70" t="str">
        <f>IF(COUNTIFS(Log[Date],tbDailyTotals[[#This Row],[Date]],Log[Item],"Morn insulin",Log[Qty],1),"x","")</f>
        <v/>
      </c>
      <c r="K213" s="70" t="str">
        <f>IF(COUNTIFS(Log[Date],tbDailyTotals[[#This Row],[Date]],Log[Item],"Eve insulin",Log[Qty],1),"x","")</f>
        <v/>
      </c>
      <c r="L213" s="70" t="str">
        <f>IF(COUNTIFS(Log[Date],tbDailyTotals[[#This Row],[Date]],Log[Item],"Eve meds",Log[Qty],1),"x","")</f>
        <v/>
      </c>
      <c r="M213" s="150"/>
    </row>
    <row r="214" spans="2:13" s="75" customFormat="1" ht="25.15" customHeight="1">
      <c r="B214" s="91"/>
      <c r="C214" s="82">
        <f>SUMIFS(Log[Cal],Log[Date],tbDailyTotals[[#This Row],[Date]])</f>
        <v>0</v>
      </c>
      <c r="D214" s="82">
        <f>SUMIFS(Log[Sodium],Log[Date],tbDailyTotals[[#This Row],[Date]])</f>
        <v>0</v>
      </c>
      <c r="E214" s="71">
        <f>SUMIFS(Log[Net Carbs],Log[Date],tbDailyTotals[[#This Row],[Date]])</f>
        <v>0</v>
      </c>
      <c r="F214" s="71">
        <f>SUMIFS(Log[Protein],Log[Date],tbDailyTotals[[#This Row],[Date]])</f>
        <v>0</v>
      </c>
      <c r="G214" s="83">
        <f>SUMIFS(Log[Chol],Log[Date],tbDailyTotals[[#This Row],[Date]])</f>
        <v>0</v>
      </c>
      <c r="H214" s="92"/>
      <c r="I214" s="70" t="str">
        <f>IF(COUNTIFS(Log[Date],tbDailyTotals[[#This Row],[Date]],Log[Item],"Morn meds",Log[Qty],1),"x","")</f>
        <v/>
      </c>
      <c r="J214" s="70" t="str">
        <f>IF(COUNTIFS(Log[Date],tbDailyTotals[[#This Row],[Date]],Log[Item],"Morn insulin",Log[Qty],1),"x","")</f>
        <v/>
      </c>
      <c r="K214" s="70" t="str">
        <f>IF(COUNTIFS(Log[Date],tbDailyTotals[[#This Row],[Date]],Log[Item],"Eve insulin",Log[Qty],1),"x","")</f>
        <v/>
      </c>
      <c r="L214" s="70" t="str">
        <f>IF(COUNTIFS(Log[Date],tbDailyTotals[[#This Row],[Date]],Log[Item],"Eve meds",Log[Qty],1),"x","")</f>
        <v/>
      </c>
      <c r="M214" s="150"/>
    </row>
    <row r="215" spans="2:13" s="75" customFormat="1" ht="25.15" customHeight="1">
      <c r="B215" s="91"/>
      <c r="C215" s="82">
        <f>SUMIFS(Log[Cal],Log[Date],tbDailyTotals[[#This Row],[Date]])</f>
        <v>0</v>
      </c>
      <c r="D215" s="82">
        <f>SUMIFS(Log[Sodium],Log[Date],tbDailyTotals[[#This Row],[Date]])</f>
        <v>0</v>
      </c>
      <c r="E215" s="71">
        <f>SUMIFS(Log[Net Carbs],Log[Date],tbDailyTotals[[#This Row],[Date]])</f>
        <v>0</v>
      </c>
      <c r="F215" s="71">
        <f>SUMIFS(Log[Protein],Log[Date],tbDailyTotals[[#This Row],[Date]])</f>
        <v>0</v>
      </c>
      <c r="G215" s="83">
        <f>SUMIFS(Log[Chol],Log[Date],tbDailyTotals[[#This Row],[Date]])</f>
        <v>0</v>
      </c>
      <c r="H215" s="92"/>
      <c r="I215" s="70" t="str">
        <f>IF(COUNTIFS(Log[Date],tbDailyTotals[[#This Row],[Date]],Log[Item],"Morn meds",Log[Qty],1),"x","")</f>
        <v/>
      </c>
      <c r="J215" s="70" t="str">
        <f>IF(COUNTIFS(Log[Date],tbDailyTotals[[#This Row],[Date]],Log[Item],"Morn insulin",Log[Qty],1),"x","")</f>
        <v/>
      </c>
      <c r="K215" s="70" t="str">
        <f>IF(COUNTIFS(Log[Date],tbDailyTotals[[#This Row],[Date]],Log[Item],"Eve insulin",Log[Qty],1),"x","")</f>
        <v/>
      </c>
      <c r="L215" s="70" t="str">
        <f>IF(COUNTIFS(Log[Date],tbDailyTotals[[#This Row],[Date]],Log[Item],"Eve meds",Log[Qty],1),"x","")</f>
        <v/>
      </c>
      <c r="M215" s="150"/>
    </row>
    <row r="216" spans="2:13" s="75" customFormat="1" ht="25.15" customHeight="1">
      <c r="B216" s="91"/>
      <c r="C216" s="82">
        <f>SUMIFS(Log[Cal],Log[Date],tbDailyTotals[[#This Row],[Date]])</f>
        <v>0</v>
      </c>
      <c r="D216" s="82">
        <f>SUMIFS(Log[Sodium],Log[Date],tbDailyTotals[[#This Row],[Date]])</f>
        <v>0</v>
      </c>
      <c r="E216" s="71">
        <f>SUMIFS(Log[Net Carbs],Log[Date],tbDailyTotals[[#This Row],[Date]])</f>
        <v>0</v>
      </c>
      <c r="F216" s="71">
        <f>SUMIFS(Log[Protein],Log[Date],tbDailyTotals[[#This Row],[Date]])</f>
        <v>0</v>
      </c>
      <c r="G216" s="83">
        <f>SUMIFS(Log[Chol],Log[Date],tbDailyTotals[[#This Row],[Date]])</f>
        <v>0</v>
      </c>
      <c r="H216" s="92"/>
      <c r="I216" s="70" t="str">
        <f>IF(COUNTIFS(Log[Date],tbDailyTotals[[#This Row],[Date]],Log[Item],"Morn meds",Log[Qty],1),"x","")</f>
        <v/>
      </c>
      <c r="J216" s="70" t="str">
        <f>IF(COUNTIFS(Log[Date],tbDailyTotals[[#This Row],[Date]],Log[Item],"Morn insulin",Log[Qty],1),"x","")</f>
        <v/>
      </c>
      <c r="K216" s="70" t="str">
        <f>IF(COUNTIFS(Log[Date],tbDailyTotals[[#This Row],[Date]],Log[Item],"Eve insulin",Log[Qty],1),"x","")</f>
        <v/>
      </c>
      <c r="L216" s="70" t="str">
        <f>IF(COUNTIFS(Log[Date],tbDailyTotals[[#This Row],[Date]],Log[Item],"Eve meds",Log[Qty],1),"x","")</f>
        <v/>
      </c>
      <c r="M216" s="150"/>
    </row>
    <row r="217" spans="2:13" s="75" customFormat="1" ht="25.15" customHeight="1">
      <c r="B217" s="91"/>
      <c r="C217" s="82">
        <f>SUMIFS(Log[Cal],Log[Date],tbDailyTotals[[#This Row],[Date]])</f>
        <v>0</v>
      </c>
      <c r="D217" s="82">
        <f>SUMIFS(Log[Sodium],Log[Date],tbDailyTotals[[#This Row],[Date]])</f>
        <v>0</v>
      </c>
      <c r="E217" s="71">
        <f>SUMIFS(Log[Net Carbs],Log[Date],tbDailyTotals[[#This Row],[Date]])</f>
        <v>0</v>
      </c>
      <c r="F217" s="71">
        <f>SUMIFS(Log[Protein],Log[Date],tbDailyTotals[[#This Row],[Date]])</f>
        <v>0</v>
      </c>
      <c r="G217" s="83">
        <f>SUMIFS(Log[Chol],Log[Date],tbDailyTotals[[#This Row],[Date]])</f>
        <v>0</v>
      </c>
      <c r="H217" s="92"/>
      <c r="I217" s="70" t="str">
        <f>IF(COUNTIFS(Log[Date],tbDailyTotals[[#This Row],[Date]],Log[Item],"Morn meds",Log[Qty],1),"x","")</f>
        <v/>
      </c>
      <c r="J217" s="70" t="str">
        <f>IF(COUNTIFS(Log[Date],tbDailyTotals[[#This Row],[Date]],Log[Item],"Morn insulin",Log[Qty],1),"x","")</f>
        <v/>
      </c>
      <c r="K217" s="70" t="str">
        <f>IF(COUNTIFS(Log[Date],tbDailyTotals[[#This Row],[Date]],Log[Item],"Eve insulin",Log[Qty],1),"x","")</f>
        <v/>
      </c>
      <c r="L217" s="70" t="str">
        <f>IF(COUNTIFS(Log[Date],tbDailyTotals[[#This Row],[Date]],Log[Item],"Eve meds",Log[Qty],1),"x","")</f>
        <v/>
      </c>
      <c r="M217" s="150"/>
    </row>
    <row r="218" spans="2:13" s="75" customFormat="1" ht="25.15" customHeight="1">
      <c r="B218" s="91"/>
      <c r="C218" s="82">
        <f>SUMIFS(Log[Cal],Log[Date],tbDailyTotals[[#This Row],[Date]])</f>
        <v>0</v>
      </c>
      <c r="D218" s="82">
        <f>SUMIFS(Log[Sodium],Log[Date],tbDailyTotals[[#This Row],[Date]])</f>
        <v>0</v>
      </c>
      <c r="E218" s="71">
        <f>SUMIFS(Log[Net Carbs],Log[Date],tbDailyTotals[[#This Row],[Date]])</f>
        <v>0</v>
      </c>
      <c r="F218" s="71">
        <f>SUMIFS(Log[Protein],Log[Date],tbDailyTotals[[#This Row],[Date]])</f>
        <v>0</v>
      </c>
      <c r="G218" s="83">
        <f>SUMIFS(Log[Chol],Log[Date],tbDailyTotals[[#This Row],[Date]])</f>
        <v>0</v>
      </c>
      <c r="H218" s="92"/>
      <c r="I218" s="70" t="str">
        <f>IF(COUNTIFS(Log[Date],tbDailyTotals[[#This Row],[Date]],Log[Item],"Morn meds",Log[Qty],1),"x","")</f>
        <v/>
      </c>
      <c r="J218" s="70" t="str">
        <f>IF(COUNTIFS(Log[Date],tbDailyTotals[[#This Row],[Date]],Log[Item],"Morn insulin",Log[Qty],1),"x","")</f>
        <v/>
      </c>
      <c r="K218" s="70" t="str">
        <f>IF(COUNTIFS(Log[Date],tbDailyTotals[[#This Row],[Date]],Log[Item],"Eve insulin",Log[Qty],1),"x","")</f>
        <v/>
      </c>
      <c r="L218" s="70" t="str">
        <f>IF(COUNTIFS(Log[Date],tbDailyTotals[[#This Row],[Date]],Log[Item],"Eve meds",Log[Qty],1),"x","")</f>
        <v/>
      </c>
      <c r="M218" s="150"/>
    </row>
    <row r="219" spans="2:13" s="75" customFormat="1" ht="25.15" customHeight="1">
      <c r="B219" s="91"/>
      <c r="C219" s="82">
        <f>SUMIFS(Log[Cal],Log[Date],tbDailyTotals[[#This Row],[Date]])</f>
        <v>0</v>
      </c>
      <c r="D219" s="82">
        <f>SUMIFS(Log[Sodium],Log[Date],tbDailyTotals[[#This Row],[Date]])</f>
        <v>0</v>
      </c>
      <c r="E219" s="71">
        <f>SUMIFS(Log[Net Carbs],Log[Date],tbDailyTotals[[#This Row],[Date]])</f>
        <v>0</v>
      </c>
      <c r="F219" s="71">
        <f>SUMIFS(Log[Protein],Log[Date],tbDailyTotals[[#This Row],[Date]])</f>
        <v>0</v>
      </c>
      <c r="G219" s="83">
        <f>SUMIFS(Log[Chol],Log[Date],tbDailyTotals[[#This Row],[Date]])</f>
        <v>0</v>
      </c>
      <c r="H219" s="92"/>
      <c r="I219" s="70" t="str">
        <f>IF(COUNTIFS(Log[Date],tbDailyTotals[[#This Row],[Date]],Log[Item],"Morn meds",Log[Qty],1),"x","")</f>
        <v/>
      </c>
      <c r="J219" s="70" t="str">
        <f>IF(COUNTIFS(Log[Date],tbDailyTotals[[#This Row],[Date]],Log[Item],"Morn insulin",Log[Qty],1),"x","")</f>
        <v/>
      </c>
      <c r="K219" s="70" t="str">
        <f>IF(COUNTIFS(Log[Date],tbDailyTotals[[#This Row],[Date]],Log[Item],"Eve insulin",Log[Qty],1),"x","")</f>
        <v/>
      </c>
      <c r="L219" s="70" t="str">
        <f>IF(COUNTIFS(Log[Date],tbDailyTotals[[#This Row],[Date]],Log[Item],"Eve meds",Log[Qty],1),"x","")</f>
        <v/>
      </c>
      <c r="M219" s="150"/>
    </row>
    <row r="220" spans="2:13" s="75" customFormat="1" ht="25.15" customHeight="1">
      <c r="B220" s="91"/>
      <c r="C220" s="82">
        <f>SUMIFS(Log[Cal],Log[Date],tbDailyTotals[[#This Row],[Date]])</f>
        <v>0</v>
      </c>
      <c r="D220" s="82">
        <f>SUMIFS(Log[Sodium],Log[Date],tbDailyTotals[[#This Row],[Date]])</f>
        <v>0</v>
      </c>
      <c r="E220" s="71">
        <f>SUMIFS(Log[Net Carbs],Log[Date],tbDailyTotals[[#This Row],[Date]])</f>
        <v>0</v>
      </c>
      <c r="F220" s="71">
        <f>SUMIFS(Log[Protein],Log[Date],tbDailyTotals[[#This Row],[Date]])</f>
        <v>0</v>
      </c>
      <c r="G220" s="83">
        <f>SUMIFS(Log[Chol],Log[Date],tbDailyTotals[[#This Row],[Date]])</f>
        <v>0</v>
      </c>
      <c r="H220" s="92"/>
      <c r="I220" s="70" t="str">
        <f>IF(COUNTIFS(Log[Date],tbDailyTotals[[#This Row],[Date]],Log[Item],"Morn meds",Log[Qty],1),"x","")</f>
        <v/>
      </c>
      <c r="J220" s="70" t="str">
        <f>IF(COUNTIFS(Log[Date],tbDailyTotals[[#This Row],[Date]],Log[Item],"Morn insulin",Log[Qty],1),"x","")</f>
        <v/>
      </c>
      <c r="K220" s="70" t="str">
        <f>IF(COUNTIFS(Log[Date],tbDailyTotals[[#This Row],[Date]],Log[Item],"Eve insulin",Log[Qty],1),"x","")</f>
        <v/>
      </c>
      <c r="L220" s="70" t="str">
        <f>IF(COUNTIFS(Log[Date],tbDailyTotals[[#This Row],[Date]],Log[Item],"Eve meds",Log[Qty],1),"x","")</f>
        <v/>
      </c>
      <c r="M220" s="150"/>
    </row>
    <row r="221" spans="2:13" s="75" customFormat="1" ht="25.15" customHeight="1">
      <c r="B221" s="91"/>
      <c r="C221" s="82">
        <f>SUMIFS(Log[Cal],Log[Date],tbDailyTotals[[#This Row],[Date]])</f>
        <v>0</v>
      </c>
      <c r="D221" s="82">
        <f>SUMIFS(Log[Sodium],Log[Date],tbDailyTotals[[#This Row],[Date]])</f>
        <v>0</v>
      </c>
      <c r="E221" s="71">
        <f>SUMIFS(Log[Net Carbs],Log[Date],tbDailyTotals[[#This Row],[Date]])</f>
        <v>0</v>
      </c>
      <c r="F221" s="71">
        <f>SUMIFS(Log[Protein],Log[Date],tbDailyTotals[[#This Row],[Date]])</f>
        <v>0</v>
      </c>
      <c r="G221" s="83">
        <f>SUMIFS(Log[Chol],Log[Date],tbDailyTotals[[#This Row],[Date]])</f>
        <v>0</v>
      </c>
      <c r="H221" s="92"/>
      <c r="I221" s="70" t="str">
        <f>IF(COUNTIFS(Log[Date],tbDailyTotals[[#This Row],[Date]],Log[Item],"Morn meds",Log[Qty],1),"x","")</f>
        <v/>
      </c>
      <c r="J221" s="70" t="str">
        <f>IF(COUNTIFS(Log[Date],tbDailyTotals[[#This Row],[Date]],Log[Item],"Morn insulin",Log[Qty],1),"x","")</f>
        <v/>
      </c>
      <c r="K221" s="70" t="str">
        <f>IF(COUNTIFS(Log[Date],tbDailyTotals[[#This Row],[Date]],Log[Item],"Eve insulin",Log[Qty],1),"x","")</f>
        <v/>
      </c>
      <c r="L221" s="70" t="str">
        <f>IF(COUNTIFS(Log[Date],tbDailyTotals[[#This Row],[Date]],Log[Item],"Eve meds",Log[Qty],1),"x","")</f>
        <v/>
      </c>
      <c r="M221" s="150"/>
    </row>
    <row r="222" spans="2:13" s="75" customFormat="1" ht="25.15" customHeight="1">
      <c r="B222" s="91"/>
      <c r="C222" s="82">
        <f>SUMIFS(Log[Cal],Log[Date],tbDailyTotals[[#This Row],[Date]])</f>
        <v>0</v>
      </c>
      <c r="D222" s="82">
        <f>SUMIFS(Log[Sodium],Log[Date],tbDailyTotals[[#This Row],[Date]])</f>
        <v>0</v>
      </c>
      <c r="E222" s="71">
        <f>SUMIFS(Log[Net Carbs],Log[Date],tbDailyTotals[[#This Row],[Date]])</f>
        <v>0</v>
      </c>
      <c r="F222" s="71">
        <f>SUMIFS(Log[Protein],Log[Date],tbDailyTotals[[#This Row],[Date]])</f>
        <v>0</v>
      </c>
      <c r="G222" s="83">
        <f>SUMIFS(Log[Chol],Log[Date],tbDailyTotals[[#This Row],[Date]])</f>
        <v>0</v>
      </c>
      <c r="H222" s="92"/>
      <c r="I222" s="70" t="str">
        <f>IF(COUNTIFS(Log[Date],tbDailyTotals[[#This Row],[Date]],Log[Item],"Morn meds",Log[Qty],1),"x","")</f>
        <v/>
      </c>
      <c r="J222" s="70" t="str">
        <f>IF(COUNTIFS(Log[Date],tbDailyTotals[[#This Row],[Date]],Log[Item],"Morn insulin",Log[Qty],1),"x","")</f>
        <v/>
      </c>
      <c r="K222" s="70" t="str">
        <f>IF(COUNTIFS(Log[Date],tbDailyTotals[[#This Row],[Date]],Log[Item],"Eve insulin",Log[Qty],1),"x","")</f>
        <v/>
      </c>
      <c r="L222" s="70" t="str">
        <f>IF(COUNTIFS(Log[Date],tbDailyTotals[[#This Row],[Date]],Log[Item],"Eve meds",Log[Qty],1),"x","")</f>
        <v/>
      </c>
      <c r="M222" s="150"/>
    </row>
    <row r="223" spans="2:13" s="75" customFormat="1" ht="25.15" customHeight="1">
      <c r="B223" s="91"/>
      <c r="C223" s="82">
        <f>SUMIFS(Log[Cal],Log[Date],tbDailyTotals[[#This Row],[Date]])</f>
        <v>0</v>
      </c>
      <c r="D223" s="82">
        <f>SUMIFS(Log[Sodium],Log[Date],tbDailyTotals[[#This Row],[Date]])</f>
        <v>0</v>
      </c>
      <c r="E223" s="71">
        <f>SUMIFS(Log[Net Carbs],Log[Date],tbDailyTotals[[#This Row],[Date]])</f>
        <v>0</v>
      </c>
      <c r="F223" s="71">
        <f>SUMIFS(Log[Protein],Log[Date],tbDailyTotals[[#This Row],[Date]])</f>
        <v>0</v>
      </c>
      <c r="G223" s="83">
        <f>SUMIFS(Log[Chol],Log[Date],tbDailyTotals[[#This Row],[Date]])</f>
        <v>0</v>
      </c>
      <c r="H223" s="92"/>
      <c r="I223" s="70" t="str">
        <f>IF(COUNTIFS(Log[Date],tbDailyTotals[[#This Row],[Date]],Log[Item],"Morn meds",Log[Qty],1),"x","")</f>
        <v/>
      </c>
      <c r="J223" s="70" t="str">
        <f>IF(COUNTIFS(Log[Date],tbDailyTotals[[#This Row],[Date]],Log[Item],"Morn insulin",Log[Qty],1),"x","")</f>
        <v/>
      </c>
      <c r="K223" s="70" t="str">
        <f>IF(COUNTIFS(Log[Date],tbDailyTotals[[#This Row],[Date]],Log[Item],"Eve insulin",Log[Qty],1),"x","")</f>
        <v/>
      </c>
      <c r="L223" s="70" t="str">
        <f>IF(COUNTIFS(Log[Date],tbDailyTotals[[#This Row],[Date]],Log[Item],"Eve meds",Log[Qty],1),"x","")</f>
        <v/>
      </c>
      <c r="M223" s="150"/>
    </row>
    <row r="224" spans="2:13" s="75" customFormat="1" ht="25.15" customHeight="1">
      <c r="B224" s="91"/>
      <c r="C224" s="82">
        <f>SUMIFS(Log[Cal],Log[Date],tbDailyTotals[[#This Row],[Date]])</f>
        <v>0</v>
      </c>
      <c r="D224" s="82">
        <f>SUMIFS(Log[Sodium],Log[Date],tbDailyTotals[[#This Row],[Date]])</f>
        <v>0</v>
      </c>
      <c r="E224" s="71">
        <f>SUMIFS(Log[Net Carbs],Log[Date],tbDailyTotals[[#This Row],[Date]])</f>
        <v>0</v>
      </c>
      <c r="F224" s="71">
        <f>SUMIFS(Log[Protein],Log[Date],tbDailyTotals[[#This Row],[Date]])</f>
        <v>0</v>
      </c>
      <c r="G224" s="83">
        <f>SUMIFS(Log[Chol],Log[Date],tbDailyTotals[[#This Row],[Date]])</f>
        <v>0</v>
      </c>
      <c r="H224" s="92"/>
      <c r="I224" s="70" t="str">
        <f>IF(COUNTIFS(Log[Date],tbDailyTotals[[#This Row],[Date]],Log[Item],"Morn meds",Log[Qty],1),"x","")</f>
        <v/>
      </c>
      <c r="J224" s="70" t="str">
        <f>IF(COUNTIFS(Log[Date],tbDailyTotals[[#This Row],[Date]],Log[Item],"Morn insulin",Log[Qty],1),"x","")</f>
        <v/>
      </c>
      <c r="K224" s="70" t="str">
        <f>IF(COUNTIFS(Log[Date],tbDailyTotals[[#This Row],[Date]],Log[Item],"Eve insulin",Log[Qty],1),"x","")</f>
        <v/>
      </c>
      <c r="L224" s="70" t="str">
        <f>IF(COUNTIFS(Log[Date],tbDailyTotals[[#This Row],[Date]],Log[Item],"Eve meds",Log[Qty],1),"x","")</f>
        <v/>
      </c>
      <c r="M224" s="150"/>
    </row>
    <row r="225" spans="2:13" s="75" customFormat="1" ht="25.15" customHeight="1">
      <c r="B225" s="91"/>
      <c r="C225" s="82">
        <f>SUMIFS(Log[Cal],Log[Date],tbDailyTotals[[#This Row],[Date]])</f>
        <v>0</v>
      </c>
      <c r="D225" s="82">
        <f>SUMIFS(Log[Sodium],Log[Date],tbDailyTotals[[#This Row],[Date]])</f>
        <v>0</v>
      </c>
      <c r="E225" s="71">
        <f>SUMIFS(Log[Net Carbs],Log[Date],tbDailyTotals[[#This Row],[Date]])</f>
        <v>0</v>
      </c>
      <c r="F225" s="71">
        <f>SUMIFS(Log[Protein],Log[Date],tbDailyTotals[[#This Row],[Date]])</f>
        <v>0</v>
      </c>
      <c r="G225" s="83">
        <f>SUMIFS(Log[Chol],Log[Date],tbDailyTotals[[#This Row],[Date]])</f>
        <v>0</v>
      </c>
      <c r="H225" s="92"/>
      <c r="I225" s="70" t="str">
        <f>IF(COUNTIFS(Log[Date],tbDailyTotals[[#This Row],[Date]],Log[Item],"Morn meds",Log[Qty],1),"x","")</f>
        <v/>
      </c>
      <c r="J225" s="70" t="str">
        <f>IF(COUNTIFS(Log[Date],tbDailyTotals[[#This Row],[Date]],Log[Item],"Morn insulin",Log[Qty],1),"x","")</f>
        <v/>
      </c>
      <c r="K225" s="70" t="str">
        <f>IF(COUNTIFS(Log[Date],tbDailyTotals[[#This Row],[Date]],Log[Item],"Eve insulin",Log[Qty],1),"x","")</f>
        <v/>
      </c>
      <c r="L225" s="70" t="str">
        <f>IF(COUNTIFS(Log[Date],tbDailyTotals[[#This Row],[Date]],Log[Item],"Eve meds",Log[Qty],1),"x","")</f>
        <v/>
      </c>
      <c r="M225" s="150"/>
    </row>
    <row r="226" spans="2:13" s="75" customFormat="1" ht="25.15" customHeight="1">
      <c r="B226" s="91"/>
      <c r="C226" s="82">
        <f>SUMIFS(Log[Cal],Log[Date],tbDailyTotals[[#This Row],[Date]])</f>
        <v>0</v>
      </c>
      <c r="D226" s="82">
        <f>SUMIFS(Log[Sodium],Log[Date],tbDailyTotals[[#This Row],[Date]])</f>
        <v>0</v>
      </c>
      <c r="E226" s="71">
        <f>SUMIFS(Log[Net Carbs],Log[Date],tbDailyTotals[[#This Row],[Date]])</f>
        <v>0</v>
      </c>
      <c r="F226" s="71">
        <f>SUMIFS(Log[Protein],Log[Date],tbDailyTotals[[#This Row],[Date]])</f>
        <v>0</v>
      </c>
      <c r="G226" s="83">
        <f>SUMIFS(Log[Chol],Log[Date],tbDailyTotals[[#This Row],[Date]])</f>
        <v>0</v>
      </c>
      <c r="H226" s="92"/>
      <c r="I226" s="70" t="str">
        <f>IF(COUNTIFS(Log[Date],tbDailyTotals[[#This Row],[Date]],Log[Item],"Morn meds",Log[Qty],1),"x","")</f>
        <v/>
      </c>
      <c r="J226" s="70" t="str">
        <f>IF(COUNTIFS(Log[Date],tbDailyTotals[[#This Row],[Date]],Log[Item],"Morn insulin",Log[Qty],1),"x","")</f>
        <v/>
      </c>
      <c r="K226" s="70" t="str">
        <f>IF(COUNTIFS(Log[Date],tbDailyTotals[[#This Row],[Date]],Log[Item],"Eve insulin",Log[Qty],1),"x","")</f>
        <v/>
      </c>
      <c r="L226" s="70" t="str">
        <f>IF(COUNTIFS(Log[Date],tbDailyTotals[[#This Row],[Date]],Log[Item],"Eve meds",Log[Qty],1),"x","")</f>
        <v/>
      </c>
      <c r="M226" s="150"/>
    </row>
    <row r="227" spans="2:13" s="75" customFormat="1" ht="25.15" customHeight="1">
      <c r="B227" s="91"/>
      <c r="C227" s="82">
        <f>SUMIFS(Log[Cal],Log[Date],tbDailyTotals[[#This Row],[Date]])</f>
        <v>0</v>
      </c>
      <c r="D227" s="82">
        <f>SUMIFS(Log[Sodium],Log[Date],tbDailyTotals[[#This Row],[Date]])</f>
        <v>0</v>
      </c>
      <c r="E227" s="71">
        <f>SUMIFS(Log[Net Carbs],Log[Date],tbDailyTotals[[#This Row],[Date]])</f>
        <v>0</v>
      </c>
      <c r="F227" s="71">
        <f>SUMIFS(Log[Protein],Log[Date],tbDailyTotals[[#This Row],[Date]])</f>
        <v>0</v>
      </c>
      <c r="G227" s="83">
        <f>SUMIFS(Log[Chol],Log[Date],tbDailyTotals[[#This Row],[Date]])</f>
        <v>0</v>
      </c>
      <c r="H227" s="92"/>
      <c r="I227" s="70" t="str">
        <f>IF(COUNTIFS(Log[Date],tbDailyTotals[[#This Row],[Date]],Log[Item],"Morn meds",Log[Qty],1),"x","")</f>
        <v/>
      </c>
      <c r="J227" s="70" t="str">
        <f>IF(COUNTIFS(Log[Date],tbDailyTotals[[#This Row],[Date]],Log[Item],"Morn insulin",Log[Qty],1),"x","")</f>
        <v/>
      </c>
      <c r="K227" s="70" t="str">
        <f>IF(COUNTIFS(Log[Date],tbDailyTotals[[#This Row],[Date]],Log[Item],"Eve insulin",Log[Qty],1),"x","")</f>
        <v/>
      </c>
      <c r="L227" s="70" t="str">
        <f>IF(COUNTIFS(Log[Date],tbDailyTotals[[#This Row],[Date]],Log[Item],"Eve meds",Log[Qty],1),"x","")</f>
        <v/>
      </c>
      <c r="M227" s="150"/>
    </row>
    <row r="228" spans="2:13" s="75" customFormat="1" ht="25.15" customHeight="1">
      <c r="B228" s="91"/>
      <c r="C228" s="82">
        <f>SUMIFS(Log[Cal],Log[Date],tbDailyTotals[[#This Row],[Date]])</f>
        <v>0</v>
      </c>
      <c r="D228" s="82">
        <f>SUMIFS(Log[Sodium],Log[Date],tbDailyTotals[[#This Row],[Date]])</f>
        <v>0</v>
      </c>
      <c r="E228" s="71">
        <f>SUMIFS(Log[Net Carbs],Log[Date],tbDailyTotals[[#This Row],[Date]])</f>
        <v>0</v>
      </c>
      <c r="F228" s="71">
        <f>SUMIFS(Log[Protein],Log[Date],tbDailyTotals[[#This Row],[Date]])</f>
        <v>0</v>
      </c>
      <c r="G228" s="83">
        <f>SUMIFS(Log[Chol],Log[Date],tbDailyTotals[[#This Row],[Date]])</f>
        <v>0</v>
      </c>
      <c r="H228" s="92"/>
      <c r="I228" s="70" t="str">
        <f>IF(COUNTIFS(Log[Date],tbDailyTotals[[#This Row],[Date]],Log[Item],"Morn meds",Log[Qty],1),"x","")</f>
        <v/>
      </c>
      <c r="J228" s="70" t="str">
        <f>IF(COUNTIFS(Log[Date],tbDailyTotals[[#This Row],[Date]],Log[Item],"Morn insulin",Log[Qty],1),"x","")</f>
        <v/>
      </c>
      <c r="K228" s="70" t="str">
        <f>IF(COUNTIFS(Log[Date],tbDailyTotals[[#This Row],[Date]],Log[Item],"Eve insulin",Log[Qty],1),"x","")</f>
        <v/>
      </c>
      <c r="L228" s="70" t="str">
        <f>IF(COUNTIFS(Log[Date],tbDailyTotals[[#This Row],[Date]],Log[Item],"Eve meds",Log[Qty],1),"x","")</f>
        <v/>
      </c>
      <c r="M228" s="150"/>
    </row>
    <row r="229" spans="2:13" s="75" customFormat="1" ht="25.15" customHeight="1">
      <c r="B229" s="91"/>
      <c r="C229" s="82">
        <f>SUMIFS(Log[Cal],Log[Date],tbDailyTotals[[#This Row],[Date]])</f>
        <v>0</v>
      </c>
      <c r="D229" s="82">
        <f>SUMIFS(Log[Sodium],Log[Date],tbDailyTotals[[#This Row],[Date]])</f>
        <v>0</v>
      </c>
      <c r="E229" s="71">
        <f>SUMIFS(Log[Net Carbs],Log[Date],tbDailyTotals[[#This Row],[Date]])</f>
        <v>0</v>
      </c>
      <c r="F229" s="71">
        <f>SUMIFS(Log[Protein],Log[Date],tbDailyTotals[[#This Row],[Date]])</f>
        <v>0</v>
      </c>
      <c r="G229" s="83">
        <f>SUMIFS(Log[Chol],Log[Date],tbDailyTotals[[#This Row],[Date]])</f>
        <v>0</v>
      </c>
      <c r="H229" s="92"/>
      <c r="I229" s="70" t="str">
        <f>IF(COUNTIFS(Log[Date],tbDailyTotals[[#This Row],[Date]],Log[Item],"Morn meds",Log[Qty],1),"x","")</f>
        <v/>
      </c>
      <c r="J229" s="70" t="str">
        <f>IF(COUNTIFS(Log[Date],tbDailyTotals[[#This Row],[Date]],Log[Item],"Morn insulin",Log[Qty],1),"x","")</f>
        <v/>
      </c>
      <c r="K229" s="70" t="str">
        <f>IF(COUNTIFS(Log[Date],tbDailyTotals[[#This Row],[Date]],Log[Item],"Eve insulin",Log[Qty],1),"x","")</f>
        <v/>
      </c>
      <c r="L229" s="70" t="str">
        <f>IF(COUNTIFS(Log[Date],tbDailyTotals[[#This Row],[Date]],Log[Item],"Eve meds",Log[Qty],1),"x","")</f>
        <v/>
      </c>
      <c r="M229" s="150"/>
    </row>
    <row r="230" spans="2:13" s="75" customFormat="1" ht="25.15" customHeight="1">
      <c r="B230" s="91"/>
      <c r="C230" s="82">
        <f>SUMIFS(Log[Cal],Log[Date],tbDailyTotals[[#This Row],[Date]])</f>
        <v>0</v>
      </c>
      <c r="D230" s="82">
        <f>SUMIFS(Log[Sodium],Log[Date],tbDailyTotals[[#This Row],[Date]])</f>
        <v>0</v>
      </c>
      <c r="E230" s="71">
        <f>SUMIFS(Log[Net Carbs],Log[Date],tbDailyTotals[[#This Row],[Date]])</f>
        <v>0</v>
      </c>
      <c r="F230" s="71">
        <f>SUMIFS(Log[Protein],Log[Date],tbDailyTotals[[#This Row],[Date]])</f>
        <v>0</v>
      </c>
      <c r="G230" s="83">
        <f>SUMIFS(Log[Chol],Log[Date],tbDailyTotals[[#This Row],[Date]])</f>
        <v>0</v>
      </c>
      <c r="H230" s="92"/>
      <c r="I230" s="70" t="str">
        <f>IF(COUNTIFS(Log[Date],tbDailyTotals[[#This Row],[Date]],Log[Item],"Morn meds",Log[Qty],1),"x","")</f>
        <v/>
      </c>
      <c r="J230" s="70" t="str">
        <f>IF(COUNTIFS(Log[Date],tbDailyTotals[[#This Row],[Date]],Log[Item],"Morn insulin",Log[Qty],1),"x","")</f>
        <v/>
      </c>
      <c r="K230" s="70" t="str">
        <f>IF(COUNTIFS(Log[Date],tbDailyTotals[[#This Row],[Date]],Log[Item],"Eve insulin",Log[Qty],1),"x","")</f>
        <v/>
      </c>
      <c r="L230" s="70" t="str">
        <f>IF(COUNTIFS(Log[Date],tbDailyTotals[[#This Row],[Date]],Log[Item],"Eve meds",Log[Qty],1),"x","")</f>
        <v/>
      </c>
      <c r="M230" s="150"/>
    </row>
    <row r="231" spans="2:13" s="75" customFormat="1" ht="25.15" customHeight="1">
      <c r="B231" s="91"/>
      <c r="C231" s="82">
        <f>SUMIFS(Log[Cal],Log[Date],tbDailyTotals[[#This Row],[Date]])</f>
        <v>0</v>
      </c>
      <c r="D231" s="82">
        <f>SUMIFS(Log[Sodium],Log[Date],tbDailyTotals[[#This Row],[Date]])</f>
        <v>0</v>
      </c>
      <c r="E231" s="71">
        <f>SUMIFS(Log[Net Carbs],Log[Date],tbDailyTotals[[#This Row],[Date]])</f>
        <v>0</v>
      </c>
      <c r="F231" s="71">
        <f>SUMIFS(Log[Protein],Log[Date],tbDailyTotals[[#This Row],[Date]])</f>
        <v>0</v>
      </c>
      <c r="G231" s="83">
        <f>SUMIFS(Log[Chol],Log[Date],tbDailyTotals[[#This Row],[Date]])</f>
        <v>0</v>
      </c>
      <c r="H231" s="92"/>
      <c r="I231" s="70" t="str">
        <f>IF(COUNTIFS(Log[Date],tbDailyTotals[[#This Row],[Date]],Log[Item],"Morn meds",Log[Qty],1),"x","")</f>
        <v/>
      </c>
      <c r="J231" s="70" t="str">
        <f>IF(COUNTIFS(Log[Date],tbDailyTotals[[#This Row],[Date]],Log[Item],"Morn insulin",Log[Qty],1),"x","")</f>
        <v/>
      </c>
      <c r="K231" s="70" t="str">
        <f>IF(COUNTIFS(Log[Date],tbDailyTotals[[#This Row],[Date]],Log[Item],"Eve insulin",Log[Qty],1),"x","")</f>
        <v/>
      </c>
      <c r="L231" s="70" t="str">
        <f>IF(COUNTIFS(Log[Date],tbDailyTotals[[#This Row],[Date]],Log[Item],"Eve meds",Log[Qty],1),"x","")</f>
        <v/>
      </c>
      <c r="M231" s="150"/>
    </row>
    <row r="232" spans="2:13" s="75" customFormat="1" ht="25.15" customHeight="1">
      <c r="B232" s="91"/>
      <c r="C232" s="82">
        <f>SUMIFS(Log[Cal],Log[Date],tbDailyTotals[[#This Row],[Date]])</f>
        <v>0</v>
      </c>
      <c r="D232" s="82">
        <f>SUMIFS(Log[Sodium],Log[Date],tbDailyTotals[[#This Row],[Date]])</f>
        <v>0</v>
      </c>
      <c r="E232" s="71">
        <f>SUMIFS(Log[Net Carbs],Log[Date],tbDailyTotals[[#This Row],[Date]])</f>
        <v>0</v>
      </c>
      <c r="F232" s="71">
        <f>SUMIFS(Log[Protein],Log[Date],tbDailyTotals[[#This Row],[Date]])</f>
        <v>0</v>
      </c>
      <c r="G232" s="83">
        <f>SUMIFS(Log[Chol],Log[Date],tbDailyTotals[[#This Row],[Date]])</f>
        <v>0</v>
      </c>
      <c r="H232" s="92"/>
      <c r="I232" s="70" t="str">
        <f>IF(COUNTIFS(Log[Date],tbDailyTotals[[#This Row],[Date]],Log[Item],"Morn meds",Log[Qty],1),"x","")</f>
        <v/>
      </c>
      <c r="J232" s="70" t="str">
        <f>IF(COUNTIFS(Log[Date],tbDailyTotals[[#This Row],[Date]],Log[Item],"Morn insulin",Log[Qty],1),"x","")</f>
        <v/>
      </c>
      <c r="K232" s="70" t="str">
        <f>IF(COUNTIFS(Log[Date],tbDailyTotals[[#This Row],[Date]],Log[Item],"Eve insulin",Log[Qty],1),"x","")</f>
        <v/>
      </c>
      <c r="L232" s="70" t="str">
        <f>IF(COUNTIFS(Log[Date],tbDailyTotals[[#This Row],[Date]],Log[Item],"Eve meds",Log[Qty],1),"x","")</f>
        <v/>
      </c>
      <c r="M232" s="150"/>
    </row>
    <row r="233" spans="2:13" s="75" customFormat="1" ht="25.15" customHeight="1">
      <c r="B233" s="91"/>
      <c r="C233" s="82">
        <f>SUMIFS(Log[Cal],Log[Date],tbDailyTotals[[#This Row],[Date]])</f>
        <v>0</v>
      </c>
      <c r="D233" s="82">
        <f>SUMIFS(Log[Sodium],Log[Date],tbDailyTotals[[#This Row],[Date]])</f>
        <v>0</v>
      </c>
      <c r="E233" s="71">
        <f>SUMIFS(Log[Net Carbs],Log[Date],tbDailyTotals[[#This Row],[Date]])</f>
        <v>0</v>
      </c>
      <c r="F233" s="71">
        <f>SUMIFS(Log[Protein],Log[Date],tbDailyTotals[[#This Row],[Date]])</f>
        <v>0</v>
      </c>
      <c r="G233" s="83">
        <f>SUMIFS(Log[Chol],Log[Date],tbDailyTotals[[#This Row],[Date]])</f>
        <v>0</v>
      </c>
      <c r="H233" s="92"/>
      <c r="I233" s="70" t="str">
        <f>IF(COUNTIFS(Log[Date],tbDailyTotals[[#This Row],[Date]],Log[Item],"Morn meds",Log[Qty],1),"x","")</f>
        <v/>
      </c>
      <c r="J233" s="70" t="str">
        <f>IF(COUNTIFS(Log[Date],tbDailyTotals[[#This Row],[Date]],Log[Item],"Morn insulin",Log[Qty],1),"x","")</f>
        <v/>
      </c>
      <c r="K233" s="70" t="str">
        <f>IF(COUNTIFS(Log[Date],tbDailyTotals[[#This Row],[Date]],Log[Item],"Eve insulin",Log[Qty],1),"x","")</f>
        <v/>
      </c>
      <c r="L233" s="70" t="str">
        <f>IF(COUNTIFS(Log[Date],tbDailyTotals[[#This Row],[Date]],Log[Item],"Eve meds",Log[Qty],1),"x","")</f>
        <v/>
      </c>
      <c r="M233" s="150"/>
    </row>
    <row r="234" spans="2:13" s="75" customFormat="1" ht="25.15" customHeight="1">
      <c r="B234" s="91"/>
      <c r="C234" s="82">
        <f>SUMIFS(Log[Cal],Log[Date],tbDailyTotals[[#This Row],[Date]])</f>
        <v>0</v>
      </c>
      <c r="D234" s="82">
        <f>SUMIFS(Log[Sodium],Log[Date],tbDailyTotals[[#This Row],[Date]])</f>
        <v>0</v>
      </c>
      <c r="E234" s="71">
        <f>SUMIFS(Log[Net Carbs],Log[Date],tbDailyTotals[[#This Row],[Date]])</f>
        <v>0</v>
      </c>
      <c r="F234" s="71">
        <f>SUMIFS(Log[Protein],Log[Date],tbDailyTotals[[#This Row],[Date]])</f>
        <v>0</v>
      </c>
      <c r="G234" s="83">
        <f>SUMIFS(Log[Chol],Log[Date],tbDailyTotals[[#This Row],[Date]])</f>
        <v>0</v>
      </c>
      <c r="H234" s="92"/>
      <c r="I234" s="70" t="str">
        <f>IF(COUNTIFS(Log[Date],tbDailyTotals[[#This Row],[Date]],Log[Item],"Morn meds",Log[Qty],1),"x","")</f>
        <v/>
      </c>
      <c r="J234" s="70" t="str">
        <f>IF(COUNTIFS(Log[Date],tbDailyTotals[[#This Row],[Date]],Log[Item],"Morn insulin",Log[Qty],1),"x","")</f>
        <v/>
      </c>
      <c r="K234" s="70" t="str">
        <f>IF(COUNTIFS(Log[Date],tbDailyTotals[[#This Row],[Date]],Log[Item],"Eve insulin",Log[Qty],1),"x","")</f>
        <v/>
      </c>
      <c r="L234" s="70" t="str">
        <f>IF(COUNTIFS(Log[Date],tbDailyTotals[[#This Row],[Date]],Log[Item],"Eve meds",Log[Qty],1),"x","")</f>
        <v/>
      </c>
      <c r="M234" s="150"/>
    </row>
    <row r="235" spans="2:13" s="75" customFormat="1" ht="25.15" customHeight="1">
      <c r="B235" s="91"/>
      <c r="C235" s="82">
        <f>SUMIFS(Log[Cal],Log[Date],tbDailyTotals[[#This Row],[Date]])</f>
        <v>0</v>
      </c>
      <c r="D235" s="82">
        <f>SUMIFS(Log[Sodium],Log[Date],tbDailyTotals[[#This Row],[Date]])</f>
        <v>0</v>
      </c>
      <c r="E235" s="71">
        <f>SUMIFS(Log[Net Carbs],Log[Date],tbDailyTotals[[#This Row],[Date]])</f>
        <v>0</v>
      </c>
      <c r="F235" s="71">
        <f>SUMIFS(Log[Protein],Log[Date],tbDailyTotals[[#This Row],[Date]])</f>
        <v>0</v>
      </c>
      <c r="G235" s="83">
        <f>SUMIFS(Log[Chol],Log[Date],tbDailyTotals[[#This Row],[Date]])</f>
        <v>0</v>
      </c>
      <c r="H235" s="92"/>
      <c r="I235" s="70" t="str">
        <f>IF(COUNTIFS(Log[Date],tbDailyTotals[[#This Row],[Date]],Log[Item],"Morn meds",Log[Qty],1),"x","")</f>
        <v/>
      </c>
      <c r="J235" s="70" t="str">
        <f>IF(COUNTIFS(Log[Date],tbDailyTotals[[#This Row],[Date]],Log[Item],"Morn insulin",Log[Qty],1),"x","")</f>
        <v/>
      </c>
      <c r="K235" s="70" t="str">
        <f>IF(COUNTIFS(Log[Date],tbDailyTotals[[#This Row],[Date]],Log[Item],"Eve insulin",Log[Qty],1),"x","")</f>
        <v/>
      </c>
      <c r="L235" s="70" t="str">
        <f>IF(COUNTIFS(Log[Date],tbDailyTotals[[#This Row],[Date]],Log[Item],"Eve meds",Log[Qty],1),"x","")</f>
        <v/>
      </c>
      <c r="M235" s="150"/>
    </row>
    <row r="236" spans="2:13" s="75" customFormat="1" ht="25.15" customHeight="1">
      <c r="B236" s="91"/>
      <c r="C236" s="82">
        <f>SUMIFS(Log[Cal],Log[Date],tbDailyTotals[[#This Row],[Date]])</f>
        <v>0</v>
      </c>
      <c r="D236" s="82">
        <f>SUMIFS(Log[Sodium],Log[Date],tbDailyTotals[[#This Row],[Date]])</f>
        <v>0</v>
      </c>
      <c r="E236" s="71">
        <f>SUMIFS(Log[Net Carbs],Log[Date],tbDailyTotals[[#This Row],[Date]])</f>
        <v>0</v>
      </c>
      <c r="F236" s="71">
        <f>SUMIFS(Log[Protein],Log[Date],tbDailyTotals[[#This Row],[Date]])</f>
        <v>0</v>
      </c>
      <c r="G236" s="83">
        <f>SUMIFS(Log[Chol],Log[Date],tbDailyTotals[[#This Row],[Date]])</f>
        <v>0</v>
      </c>
      <c r="H236" s="92"/>
      <c r="I236" s="70" t="str">
        <f>IF(COUNTIFS(Log[Date],tbDailyTotals[[#This Row],[Date]],Log[Item],"Morn meds",Log[Qty],1),"x","")</f>
        <v/>
      </c>
      <c r="J236" s="70" t="str">
        <f>IF(COUNTIFS(Log[Date],tbDailyTotals[[#This Row],[Date]],Log[Item],"Morn insulin",Log[Qty],1),"x","")</f>
        <v/>
      </c>
      <c r="K236" s="70" t="str">
        <f>IF(COUNTIFS(Log[Date],tbDailyTotals[[#This Row],[Date]],Log[Item],"Eve insulin",Log[Qty],1),"x","")</f>
        <v/>
      </c>
      <c r="L236" s="70" t="str">
        <f>IF(COUNTIFS(Log[Date],tbDailyTotals[[#This Row],[Date]],Log[Item],"Eve meds",Log[Qty],1),"x","")</f>
        <v/>
      </c>
      <c r="M236" s="150"/>
    </row>
    <row r="237" spans="2:13" s="75" customFormat="1" ht="25.15" customHeight="1">
      <c r="B237" s="91"/>
      <c r="C237" s="82">
        <f>SUMIFS(Log[Cal],Log[Date],tbDailyTotals[[#This Row],[Date]])</f>
        <v>0</v>
      </c>
      <c r="D237" s="82">
        <f>SUMIFS(Log[Sodium],Log[Date],tbDailyTotals[[#This Row],[Date]])</f>
        <v>0</v>
      </c>
      <c r="E237" s="71">
        <f>SUMIFS(Log[Net Carbs],Log[Date],tbDailyTotals[[#This Row],[Date]])</f>
        <v>0</v>
      </c>
      <c r="F237" s="71">
        <f>SUMIFS(Log[Protein],Log[Date],tbDailyTotals[[#This Row],[Date]])</f>
        <v>0</v>
      </c>
      <c r="G237" s="83">
        <f>SUMIFS(Log[Chol],Log[Date],tbDailyTotals[[#This Row],[Date]])</f>
        <v>0</v>
      </c>
      <c r="H237" s="92"/>
      <c r="I237" s="70" t="str">
        <f>IF(COUNTIFS(Log[Date],tbDailyTotals[[#This Row],[Date]],Log[Item],"Morn meds",Log[Qty],1),"x","")</f>
        <v/>
      </c>
      <c r="J237" s="70" t="str">
        <f>IF(COUNTIFS(Log[Date],tbDailyTotals[[#This Row],[Date]],Log[Item],"Morn insulin",Log[Qty],1),"x","")</f>
        <v/>
      </c>
      <c r="K237" s="70" t="str">
        <f>IF(COUNTIFS(Log[Date],tbDailyTotals[[#This Row],[Date]],Log[Item],"Eve insulin",Log[Qty],1),"x","")</f>
        <v/>
      </c>
      <c r="L237" s="70" t="str">
        <f>IF(COUNTIFS(Log[Date],tbDailyTotals[[#This Row],[Date]],Log[Item],"Eve meds",Log[Qty],1),"x","")</f>
        <v/>
      </c>
      <c r="M237" s="150"/>
    </row>
    <row r="238" spans="2:13" s="75" customFormat="1" ht="25.15" customHeight="1">
      <c r="B238" s="91"/>
      <c r="C238" s="82">
        <f>SUMIFS(Log[Cal],Log[Date],tbDailyTotals[[#This Row],[Date]])</f>
        <v>0</v>
      </c>
      <c r="D238" s="82">
        <f>SUMIFS(Log[Sodium],Log[Date],tbDailyTotals[[#This Row],[Date]])</f>
        <v>0</v>
      </c>
      <c r="E238" s="71">
        <f>SUMIFS(Log[Net Carbs],Log[Date],tbDailyTotals[[#This Row],[Date]])</f>
        <v>0</v>
      </c>
      <c r="F238" s="71">
        <f>SUMIFS(Log[Protein],Log[Date],tbDailyTotals[[#This Row],[Date]])</f>
        <v>0</v>
      </c>
      <c r="G238" s="83">
        <f>SUMIFS(Log[Chol],Log[Date],tbDailyTotals[[#This Row],[Date]])</f>
        <v>0</v>
      </c>
      <c r="H238" s="92"/>
      <c r="I238" s="70" t="str">
        <f>IF(COUNTIFS(Log[Date],tbDailyTotals[[#This Row],[Date]],Log[Item],"Morn meds",Log[Qty],1),"x","")</f>
        <v/>
      </c>
      <c r="J238" s="70" t="str">
        <f>IF(COUNTIFS(Log[Date],tbDailyTotals[[#This Row],[Date]],Log[Item],"Morn insulin",Log[Qty],1),"x","")</f>
        <v/>
      </c>
      <c r="K238" s="70" t="str">
        <f>IF(COUNTIFS(Log[Date],tbDailyTotals[[#This Row],[Date]],Log[Item],"Eve insulin",Log[Qty],1),"x","")</f>
        <v/>
      </c>
      <c r="L238" s="70" t="str">
        <f>IF(COUNTIFS(Log[Date],tbDailyTotals[[#This Row],[Date]],Log[Item],"Eve meds",Log[Qty],1),"x","")</f>
        <v/>
      </c>
      <c r="M238" s="150"/>
    </row>
    <row r="239" spans="2:13" s="75" customFormat="1" ht="25.15" customHeight="1">
      <c r="B239" s="91"/>
      <c r="C239" s="82">
        <f>SUMIFS(Log[Cal],Log[Date],tbDailyTotals[[#This Row],[Date]])</f>
        <v>0</v>
      </c>
      <c r="D239" s="82">
        <f>SUMIFS(Log[Sodium],Log[Date],tbDailyTotals[[#This Row],[Date]])</f>
        <v>0</v>
      </c>
      <c r="E239" s="71">
        <f>SUMIFS(Log[Net Carbs],Log[Date],tbDailyTotals[[#This Row],[Date]])</f>
        <v>0</v>
      </c>
      <c r="F239" s="71">
        <f>SUMIFS(Log[Protein],Log[Date],tbDailyTotals[[#This Row],[Date]])</f>
        <v>0</v>
      </c>
      <c r="G239" s="83">
        <f>SUMIFS(Log[Chol],Log[Date],tbDailyTotals[[#This Row],[Date]])</f>
        <v>0</v>
      </c>
      <c r="H239" s="92"/>
      <c r="I239" s="70" t="str">
        <f>IF(COUNTIFS(Log[Date],tbDailyTotals[[#This Row],[Date]],Log[Item],"Morn meds",Log[Qty],1),"x","")</f>
        <v/>
      </c>
      <c r="J239" s="70" t="str">
        <f>IF(COUNTIFS(Log[Date],tbDailyTotals[[#This Row],[Date]],Log[Item],"Morn insulin",Log[Qty],1),"x","")</f>
        <v/>
      </c>
      <c r="K239" s="70" t="str">
        <f>IF(COUNTIFS(Log[Date],tbDailyTotals[[#This Row],[Date]],Log[Item],"Eve insulin",Log[Qty],1),"x","")</f>
        <v/>
      </c>
      <c r="L239" s="70" t="str">
        <f>IF(COUNTIFS(Log[Date],tbDailyTotals[[#This Row],[Date]],Log[Item],"Eve meds",Log[Qty],1),"x","")</f>
        <v/>
      </c>
      <c r="M239" s="150"/>
    </row>
    <row r="240" spans="2:13" s="75" customFormat="1" ht="25.15" customHeight="1">
      <c r="B240" s="91"/>
      <c r="C240" s="82">
        <f>SUMIFS(Log[Cal],Log[Date],tbDailyTotals[[#This Row],[Date]])</f>
        <v>0</v>
      </c>
      <c r="D240" s="82">
        <f>SUMIFS(Log[Sodium],Log[Date],tbDailyTotals[[#This Row],[Date]])</f>
        <v>0</v>
      </c>
      <c r="E240" s="71">
        <f>SUMIFS(Log[Net Carbs],Log[Date],tbDailyTotals[[#This Row],[Date]])</f>
        <v>0</v>
      </c>
      <c r="F240" s="71">
        <f>SUMIFS(Log[Protein],Log[Date],tbDailyTotals[[#This Row],[Date]])</f>
        <v>0</v>
      </c>
      <c r="G240" s="83">
        <f>SUMIFS(Log[Chol],Log[Date],tbDailyTotals[[#This Row],[Date]])</f>
        <v>0</v>
      </c>
      <c r="H240" s="92"/>
      <c r="I240" s="70" t="str">
        <f>IF(COUNTIFS(Log[Date],tbDailyTotals[[#This Row],[Date]],Log[Item],"Morn meds",Log[Qty],1),"x","")</f>
        <v/>
      </c>
      <c r="J240" s="70" t="str">
        <f>IF(COUNTIFS(Log[Date],tbDailyTotals[[#This Row],[Date]],Log[Item],"Morn insulin",Log[Qty],1),"x","")</f>
        <v/>
      </c>
      <c r="K240" s="70" t="str">
        <f>IF(COUNTIFS(Log[Date],tbDailyTotals[[#This Row],[Date]],Log[Item],"Eve insulin",Log[Qty],1),"x","")</f>
        <v/>
      </c>
      <c r="L240" s="70" t="str">
        <f>IF(COUNTIFS(Log[Date],tbDailyTotals[[#This Row],[Date]],Log[Item],"Eve meds",Log[Qty],1),"x","")</f>
        <v/>
      </c>
      <c r="M240" s="150"/>
    </row>
    <row r="241" spans="2:13" s="75" customFormat="1" ht="25.15" customHeight="1">
      <c r="B241" s="91"/>
      <c r="C241" s="82">
        <f>SUMIFS(Log[Cal],Log[Date],tbDailyTotals[[#This Row],[Date]])</f>
        <v>0</v>
      </c>
      <c r="D241" s="82">
        <f>SUMIFS(Log[Sodium],Log[Date],tbDailyTotals[[#This Row],[Date]])</f>
        <v>0</v>
      </c>
      <c r="E241" s="71">
        <f>SUMIFS(Log[Net Carbs],Log[Date],tbDailyTotals[[#This Row],[Date]])</f>
        <v>0</v>
      </c>
      <c r="F241" s="71">
        <f>SUMIFS(Log[Protein],Log[Date],tbDailyTotals[[#This Row],[Date]])</f>
        <v>0</v>
      </c>
      <c r="G241" s="83">
        <f>SUMIFS(Log[Chol],Log[Date],tbDailyTotals[[#This Row],[Date]])</f>
        <v>0</v>
      </c>
      <c r="H241" s="92"/>
      <c r="I241" s="70" t="str">
        <f>IF(COUNTIFS(Log[Date],tbDailyTotals[[#This Row],[Date]],Log[Item],"Morn meds",Log[Qty],1),"x","")</f>
        <v/>
      </c>
      <c r="J241" s="70" t="str">
        <f>IF(COUNTIFS(Log[Date],tbDailyTotals[[#This Row],[Date]],Log[Item],"Morn insulin",Log[Qty],1),"x","")</f>
        <v/>
      </c>
      <c r="K241" s="70" t="str">
        <f>IF(COUNTIFS(Log[Date],tbDailyTotals[[#This Row],[Date]],Log[Item],"Eve insulin",Log[Qty],1),"x","")</f>
        <v/>
      </c>
      <c r="L241" s="70" t="str">
        <f>IF(COUNTIFS(Log[Date],tbDailyTotals[[#This Row],[Date]],Log[Item],"Eve meds",Log[Qty],1),"x","")</f>
        <v/>
      </c>
      <c r="M241" s="150"/>
    </row>
    <row r="242" spans="2:13" s="75" customFormat="1" ht="25.15" customHeight="1">
      <c r="B242" s="91"/>
      <c r="C242" s="82">
        <f>SUMIFS(Log[Cal],Log[Date],tbDailyTotals[[#This Row],[Date]])</f>
        <v>0</v>
      </c>
      <c r="D242" s="82">
        <f>SUMIFS(Log[Sodium],Log[Date],tbDailyTotals[[#This Row],[Date]])</f>
        <v>0</v>
      </c>
      <c r="E242" s="71">
        <f>SUMIFS(Log[Net Carbs],Log[Date],tbDailyTotals[[#This Row],[Date]])</f>
        <v>0</v>
      </c>
      <c r="F242" s="71">
        <f>SUMIFS(Log[Protein],Log[Date],tbDailyTotals[[#This Row],[Date]])</f>
        <v>0</v>
      </c>
      <c r="G242" s="83">
        <f>SUMIFS(Log[Chol],Log[Date],tbDailyTotals[[#This Row],[Date]])</f>
        <v>0</v>
      </c>
      <c r="H242" s="92"/>
      <c r="I242" s="70" t="str">
        <f>IF(COUNTIFS(Log[Date],tbDailyTotals[[#This Row],[Date]],Log[Item],"Morn meds",Log[Qty],1),"x","")</f>
        <v/>
      </c>
      <c r="J242" s="70" t="str">
        <f>IF(COUNTIFS(Log[Date],tbDailyTotals[[#This Row],[Date]],Log[Item],"Morn insulin",Log[Qty],1),"x","")</f>
        <v/>
      </c>
      <c r="K242" s="70" t="str">
        <f>IF(COUNTIFS(Log[Date],tbDailyTotals[[#This Row],[Date]],Log[Item],"Eve insulin",Log[Qty],1),"x","")</f>
        <v/>
      </c>
      <c r="L242" s="70" t="str">
        <f>IF(COUNTIFS(Log[Date],tbDailyTotals[[#This Row],[Date]],Log[Item],"Eve meds",Log[Qty],1),"x","")</f>
        <v/>
      </c>
      <c r="M242" s="150"/>
    </row>
    <row r="243" spans="2:13" s="75" customFormat="1" ht="25.15" customHeight="1">
      <c r="B243" s="91"/>
      <c r="C243" s="82">
        <f>SUMIFS(Log[Cal],Log[Date],tbDailyTotals[[#This Row],[Date]])</f>
        <v>0</v>
      </c>
      <c r="D243" s="82">
        <f>SUMIFS(Log[Sodium],Log[Date],tbDailyTotals[[#This Row],[Date]])</f>
        <v>0</v>
      </c>
      <c r="E243" s="71">
        <f>SUMIFS(Log[Net Carbs],Log[Date],tbDailyTotals[[#This Row],[Date]])</f>
        <v>0</v>
      </c>
      <c r="F243" s="71">
        <f>SUMIFS(Log[Protein],Log[Date],tbDailyTotals[[#This Row],[Date]])</f>
        <v>0</v>
      </c>
      <c r="G243" s="83">
        <f>SUMIFS(Log[Chol],Log[Date],tbDailyTotals[[#This Row],[Date]])</f>
        <v>0</v>
      </c>
      <c r="H243" s="92"/>
      <c r="I243" s="70" t="str">
        <f>IF(COUNTIFS(Log[Date],tbDailyTotals[[#This Row],[Date]],Log[Item],"Morn meds",Log[Qty],1),"x","")</f>
        <v/>
      </c>
      <c r="J243" s="70" t="str">
        <f>IF(COUNTIFS(Log[Date],tbDailyTotals[[#This Row],[Date]],Log[Item],"Morn insulin",Log[Qty],1),"x","")</f>
        <v/>
      </c>
      <c r="K243" s="70" t="str">
        <f>IF(COUNTIFS(Log[Date],tbDailyTotals[[#This Row],[Date]],Log[Item],"Eve insulin",Log[Qty],1),"x","")</f>
        <v/>
      </c>
      <c r="L243" s="70" t="str">
        <f>IF(COUNTIFS(Log[Date],tbDailyTotals[[#This Row],[Date]],Log[Item],"Eve meds",Log[Qty],1),"x","")</f>
        <v/>
      </c>
      <c r="M243" s="150"/>
    </row>
    <row r="244" spans="2:13" s="75" customFormat="1" ht="25.15" customHeight="1">
      <c r="B244" s="91"/>
      <c r="C244" s="82">
        <f>SUMIFS(Log[Cal],Log[Date],tbDailyTotals[[#This Row],[Date]])</f>
        <v>0</v>
      </c>
      <c r="D244" s="82">
        <f>SUMIFS(Log[Sodium],Log[Date],tbDailyTotals[[#This Row],[Date]])</f>
        <v>0</v>
      </c>
      <c r="E244" s="71">
        <f>SUMIFS(Log[Net Carbs],Log[Date],tbDailyTotals[[#This Row],[Date]])</f>
        <v>0</v>
      </c>
      <c r="F244" s="71">
        <f>SUMIFS(Log[Protein],Log[Date],tbDailyTotals[[#This Row],[Date]])</f>
        <v>0</v>
      </c>
      <c r="G244" s="83">
        <f>SUMIFS(Log[Chol],Log[Date],tbDailyTotals[[#This Row],[Date]])</f>
        <v>0</v>
      </c>
      <c r="H244" s="92"/>
      <c r="I244" s="70" t="str">
        <f>IF(COUNTIFS(Log[Date],tbDailyTotals[[#This Row],[Date]],Log[Item],"Morn meds",Log[Qty],1),"x","")</f>
        <v/>
      </c>
      <c r="J244" s="70" t="str">
        <f>IF(COUNTIFS(Log[Date],tbDailyTotals[[#This Row],[Date]],Log[Item],"Morn insulin",Log[Qty],1),"x","")</f>
        <v/>
      </c>
      <c r="K244" s="70" t="str">
        <f>IF(COUNTIFS(Log[Date],tbDailyTotals[[#This Row],[Date]],Log[Item],"Eve insulin",Log[Qty],1),"x","")</f>
        <v/>
      </c>
      <c r="L244" s="70" t="str">
        <f>IF(COUNTIFS(Log[Date],tbDailyTotals[[#This Row],[Date]],Log[Item],"Eve meds",Log[Qty],1),"x","")</f>
        <v/>
      </c>
      <c r="M244" s="150"/>
    </row>
    <row r="245" spans="2:13" s="75" customFormat="1" ht="25.15" customHeight="1">
      <c r="B245" s="91"/>
      <c r="C245" s="82">
        <f>SUMIFS(Log[Cal],Log[Date],tbDailyTotals[[#This Row],[Date]])</f>
        <v>0</v>
      </c>
      <c r="D245" s="82">
        <f>SUMIFS(Log[Sodium],Log[Date],tbDailyTotals[[#This Row],[Date]])</f>
        <v>0</v>
      </c>
      <c r="E245" s="71">
        <f>SUMIFS(Log[Net Carbs],Log[Date],tbDailyTotals[[#This Row],[Date]])</f>
        <v>0</v>
      </c>
      <c r="F245" s="71">
        <f>SUMIFS(Log[Protein],Log[Date],tbDailyTotals[[#This Row],[Date]])</f>
        <v>0</v>
      </c>
      <c r="G245" s="83">
        <f>SUMIFS(Log[Chol],Log[Date],tbDailyTotals[[#This Row],[Date]])</f>
        <v>0</v>
      </c>
      <c r="H245" s="92"/>
      <c r="I245" s="70" t="str">
        <f>IF(COUNTIFS(Log[Date],tbDailyTotals[[#This Row],[Date]],Log[Item],"Morn meds",Log[Qty],1),"x","")</f>
        <v/>
      </c>
      <c r="J245" s="70" t="str">
        <f>IF(COUNTIFS(Log[Date],tbDailyTotals[[#This Row],[Date]],Log[Item],"Morn insulin",Log[Qty],1),"x","")</f>
        <v/>
      </c>
      <c r="K245" s="70" t="str">
        <f>IF(COUNTIFS(Log[Date],tbDailyTotals[[#This Row],[Date]],Log[Item],"Eve insulin",Log[Qty],1),"x","")</f>
        <v/>
      </c>
      <c r="L245" s="70" t="str">
        <f>IF(COUNTIFS(Log[Date],tbDailyTotals[[#This Row],[Date]],Log[Item],"Eve meds",Log[Qty],1),"x","")</f>
        <v/>
      </c>
      <c r="M245" s="150"/>
    </row>
    <row r="246" spans="2:13" s="75" customFormat="1" ht="25.15" customHeight="1">
      <c r="B246" s="91"/>
      <c r="C246" s="82">
        <f>SUMIFS(Log[Cal],Log[Date],tbDailyTotals[[#This Row],[Date]])</f>
        <v>0</v>
      </c>
      <c r="D246" s="82">
        <f>SUMIFS(Log[Sodium],Log[Date],tbDailyTotals[[#This Row],[Date]])</f>
        <v>0</v>
      </c>
      <c r="E246" s="71">
        <f>SUMIFS(Log[Net Carbs],Log[Date],tbDailyTotals[[#This Row],[Date]])</f>
        <v>0</v>
      </c>
      <c r="F246" s="71">
        <f>SUMIFS(Log[Protein],Log[Date],tbDailyTotals[[#This Row],[Date]])</f>
        <v>0</v>
      </c>
      <c r="G246" s="83">
        <f>SUMIFS(Log[Chol],Log[Date],tbDailyTotals[[#This Row],[Date]])</f>
        <v>0</v>
      </c>
      <c r="H246" s="92"/>
      <c r="I246" s="70" t="str">
        <f>IF(COUNTIFS(Log[Date],tbDailyTotals[[#This Row],[Date]],Log[Item],"Morn meds",Log[Qty],1),"x","")</f>
        <v/>
      </c>
      <c r="J246" s="70" t="str">
        <f>IF(COUNTIFS(Log[Date],tbDailyTotals[[#This Row],[Date]],Log[Item],"Morn insulin",Log[Qty],1),"x","")</f>
        <v/>
      </c>
      <c r="K246" s="70" t="str">
        <f>IF(COUNTIFS(Log[Date],tbDailyTotals[[#This Row],[Date]],Log[Item],"Eve insulin",Log[Qty],1),"x","")</f>
        <v/>
      </c>
      <c r="L246" s="70" t="str">
        <f>IF(COUNTIFS(Log[Date],tbDailyTotals[[#This Row],[Date]],Log[Item],"Eve meds",Log[Qty],1),"x","")</f>
        <v/>
      </c>
      <c r="M246" s="150"/>
    </row>
    <row r="247" spans="2:13" s="75" customFormat="1" ht="25.15" customHeight="1">
      <c r="B247" s="91"/>
      <c r="C247" s="82">
        <f>SUMIFS(Log[Cal],Log[Date],tbDailyTotals[[#This Row],[Date]])</f>
        <v>0</v>
      </c>
      <c r="D247" s="82">
        <f>SUMIFS(Log[Sodium],Log[Date],tbDailyTotals[[#This Row],[Date]])</f>
        <v>0</v>
      </c>
      <c r="E247" s="71">
        <f>SUMIFS(Log[Net Carbs],Log[Date],tbDailyTotals[[#This Row],[Date]])</f>
        <v>0</v>
      </c>
      <c r="F247" s="71">
        <f>SUMIFS(Log[Protein],Log[Date],tbDailyTotals[[#This Row],[Date]])</f>
        <v>0</v>
      </c>
      <c r="G247" s="83">
        <f>SUMIFS(Log[Chol],Log[Date],tbDailyTotals[[#This Row],[Date]])</f>
        <v>0</v>
      </c>
      <c r="H247" s="92"/>
      <c r="I247" s="70" t="str">
        <f>IF(COUNTIFS(Log[Date],tbDailyTotals[[#This Row],[Date]],Log[Item],"Morn meds",Log[Qty],1),"x","")</f>
        <v/>
      </c>
      <c r="J247" s="70" t="str">
        <f>IF(COUNTIFS(Log[Date],tbDailyTotals[[#This Row],[Date]],Log[Item],"Morn insulin",Log[Qty],1),"x","")</f>
        <v/>
      </c>
      <c r="K247" s="70" t="str">
        <f>IF(COUNTIFS(Log[Date],tbDailyTotals[[#This Row],[Date]],Log[Item],"Eve insulin",Log[Qty],1),"x","")</f>
        <v/>
      </c>
      <c r="L247" s="70" t="str">
        <f>IF(COUNTIFS(Log[Date],tbDailyTotals[[#This Row],[Date]],Log[Item],"Eve meds",Log[Qty],1),"x","")</f>
        <v/>
      </c>
      <c r="M247" s="150"/>
    </row>
    <row r="248" spans="2:13" s="75" customFormat="1" ht="25.15" customHeight="1">
      <c r="B248" s="91"/>
      <c r="C248" s="82">
        <f>SUMIFS(Log[Cal],Log[Date],tbDailyTotals[[#This Row],[Date]])</f>
        <v>0</v>
      </c>
      <c r="D248" s="82">
        <f>SUMIFS(Log[Sodium],Log[Date],tbDailyTotals[[#This Row],[Date]])</f>
        <v>0</v>
      </c>
      <c r="E248" s="71">
        <f>SUMIFS(Log[Net Carbs],Log[Date],tbDailyTotals[[#This Row],[Date]])</f>
        <v>0</v>
      </c>
      <c r="F248" s="71">
        <f>SUMIFS(Log[Protein],Log[Date],tbDailyTotals[[#This Row],[Date]])</f>
        <v>0</v>
      </c>
      <c r="G248" s="83">
        <f>SUMIFS(Log[Chol],Log[Date],tbDailyTotals[[#This Row],[Date]])</f>
        <v>0</v>
      </c>
      <c r="H248" s="92"/>
      <c r="I248" s="70" t="str">
        <f>IF(COUNTIFS(Log[Date],tbDailyTotals[[#This Row],[Date]],Log[Item],"Morn meds",Log[Qty],1),"x","")</f>
        <v/>
      </c>
      <c r="J248" s="70" t="str">
        <f>IF(COUNTIFS(Log[Date],tbDailyTotals[[#This Row],[Date]],Log[Item],"Morn insulin",Log[Qty],1),"x","")</f>
        <v/>
      </c>
      <c r="K248" s="70" t="str">
        <f>IF(COUNTIFS(Log[Date],tbDailyTotals[[#This Row],[Date]],Log[Item],"Eve insulin",Log[Qty],1),"x","")</f>
        <v/>
      </c>
      <c r="L248" s="70" t="str">
        <f>IF(COUNTIFS(Log[Date],tbDailyTotals[[#This Row],[Date]],Log[Item],"Eve meds",Log[Qty],1),"x","")</f>
        <v/>
      </c>
      <c r="M248" s="150"/>
    </row>
    <row r="249" spans="2:13" s="75" customFormat="1" ht="25.15" customHeight="1">
      <c r="B249" s="91"/>
      <c r="C249" s="82">
        <f>SUMIFS(Log[Cal],Log[Date],tbDailyTotals[[#This Row],[Date]])</f>
        <v>0</v>
      </c>
      <c r="D249" s="82">
        <f>SUMIFS(Log[Sodium],Log[Date],tbDailyTotals[[#This Row],[Date]])</f>
        <v>0</v>
      </c>
      <c r="E249" s="71">
        <f>SUMIFS(Log[Net Carbs],Log[Date],tbDailyTotals[[#This Row],[Date]])</f>
        <v>0</v>
      </c>
      <c r="F249" s="71">
        <f>SUMIFS(Log[Protein],Log[Date],tbDailyTotals[[#This Row],[Date]])</f>
        <v>0</v>
      </c>
      <c r="G249" s="83">
        <f>SUMIFS(Log[Chol],Log[Date],tbDailyTotals[[#This Row],[Date]])</f>
        <v>0</v>
      </c>
      <c r="H249" s="92"/>
      <c r="I249" s="70" t="str">
        <f>IF(COUNTIFS(Log[Date],tbDailyTotals[[#This Row],[Date]],Log[Item],"Morn meds",Log[Qty],1),"x","")</f>
        <v/>
      </c>
      <c r="J249" s="70" t="str">
        <f>IF(COUNTIFS(Log[Date],tbDailyTotals[[#This Row],[Date]],Log[Item],"Morn insulin",Log[Qty],1),"x","")</f>
        <v/>
      </c>
      <c r="K249" s="70" t="str">
        <f>IF(COUNTIFS(Log[Date],tbDailyTotals[[#This Row],[Date]],Log[Item],"Eve insulin",Log[Qty],1),"x","")</f>
        <v/>
      </c>
      <c r="L249" s="70" t="str">
        <f>IF(COUNTIFS(Log[Date],tbDailyTotals[[#This Row],[Date]],Log[Item],"Eve meds",Log[Qty],1),"x","")</f>
        <v/>
      </c>
      <c r="M249" s="150"/>
    </row>
    <row r="250" spans="2:13" s="75" customFormat="1" ht="25.15" customHeight="1">
      <c r="B250" s="91"/>
      <c r="C250" s="82">
        <f>SUMIFS(Log[Cal],Log[Date],tbDailyTotals[[#This Row],[Date]])</f>
        <v>0</v>
      </c>
      <c r="D250" s="82">
        <f>SUMIFS(Log[Sodium],Log[Date],tbDailyTotals[[#This Row],[Date]])</f>
        <v>0</v>
      </c>
      <c r="E250" s="71">
        <f>SUMIFS(Log[Net Carbs],Log[Date],tbDailyTotals[[#This Row],[Date]])</f>
        <v>0</v>
      </c>
      <c r="F250" s="71">
        <f>SUMIFS(Log[Protein],Log[Date],tbDailyTotals[[#This Row],[Date]])</f>
        <v>0</v>
      </c>
      <c r="G250" s="83">
        <f>SUMIFS(Log[Chol],Log[Date],tbDailyTotals[[#This Row],[Date]])</f>
        <v>0</v>
      </c>
      <c r="H250" s="92"/>
      <c r="I250" s="70" t="str">
        <f>IF(COUNTIFS(Log[Date],tbDailyTotals[[#This Row],[Date]],Log[Item],"Morn meds",Log[Qty],1),"x","")</f>
        <v/>
      </c>
      <c r="J250" s="70" t="str">
        <f>IF(COUNTIFS(Log[Date],tbDailyTotals[[#This Row],[Date]],Log[Item],"Morn insulin",Log[Qty],1),"x","")</f>
        <v/>
      </c>
      <c r="K250" s="70" t="str">
        <f>IF(COUNTIFS(Log[Date],tbDailyTotals[[#This Row],[Date]],Log[Item],"Eve insulin",Log[Qty],1),"x","")</f>
        <v/>
      </c>
      <c r="L250" s="70" t="str">
        <f>IF(COUNTIFS(Log[Date],tbDailyTotals[[#This Row],[Date]],Log[Item],"Eve meds",Log[Qty],1),"x","")</f>
        <v/>
      </c>
      <c r="M250" s="150"/>
    </row>
    <row r="251" spans="2:13" s="75" customFormat="1" ht="25.15" customHeight="1">
      <c r="B251" s="91"/>
      <c r="C251" s="82">
        <f>SUMIFS(Log[Cal],Log[Date],tbDailyTotals[[#This Row],[Date]])</f>
        <v>0</v>
      </c>
      <c r="D251" s="82">
        <f>SUMIFS(Log[Sodium],Log[Date],tbDailyTotals[[#This Row],[Date]])</f>
        <v>0</v>
      </c>
      <c r="E251" s="71">
        <f>SUMIFS(Log[Net Carbs],Log[Date],tbDailyTotals[[#This Row],[Date]])</f>
        <v>0</v>
      </c>
      <c r="F251" s="71">
        <f>SUMIFS(Log[Protein],Log[Date],tbDailyTotals[[#This Row],[Date]])</f>
        <v>0</v>
      </c>
      <c r="G251" s="83">
        <f>SUMIFS(Log[Chol],Log[Date],tbDailyTotals[[#This Row],[Date]])</f>
        <v>0</v>
      </c>
      <c r="H251" s="92"/>
      <c r="I251" s="70" t="str">
        <f>IF(COUNTIFS(Log[Date],tbDailyTotals[[#This Row],[Date]],Log[Item],"Morn meds",Log[Qty],1),"x","")</f>
        <v/>
      </c>
      <c r="J251" s="70" t="str">
        <f>IF(COUNTIFS(Log[Date],tbDailyTotals[[#This Row],[Date]],Log[Item],"Morn insulin",Log[Qty],1),"x","")</f>
        <v/>
      </c>
      <c r="K251" s="70" t="str">
        <f>IF(COUNTIFS(Log[Date],tbDailyTotals[[#This Row],[Date]],Log[Item],"Eve insulin",Log[Qty],1),"x","")</f>
        <v/>
      </c>
      <c r="L251" s="70" t="str">
        <f>IF(COUNTIFS(Log[Date],tbDailyTotals[[#This Row],[Date]],Log[Item],"Eve meds",Log[Qty],1),"x","")</f>
        <v/>
      </c>
      <c r="M251" s="150"/>
    </row>
    <row r="252" spans="2:13" s="75" customFormat="1" ht="25.15" customHeight="1">
      <c r="B252" s="91"/>
      <c r="C252" s="82">
        <f>SUMIFS(Log[Cal],Log[Date],tbDailyTotals[[#This Row],[Date]])</f>
        <v>0</v>
      </c>
      <c r="D252" s="82">
        <f>SUMIFS(Log[Sodium],Log[Date],tbDailyTotals[[#This Row],[Date]])</f>
        <v>0</v>
      </c>
      <c r="E252" s="71">
        <f>SUMIFS(Log[Net Carbs],Log[Date],tbDailyTotals[[#This Row],[Date]])</f>
        <v>0</v>
      </c>
      <c r="F252" s="71">
        <f>SUMIFS(Log[Protein],Log[Date],tbDailyTotals[[#This Row],[Date]])</f>
        <v>0</v>
      </c>
      <c r="G252" s="83">
        <f>SUMIFS(Log[Chol],Log[Date],tbDailyTotals[[#This Row],[Date]])</f>
        <v>0</v>
      </c>
      <c r="H252" s="92"/>
      <c r="I252" s="70" t="str">
        <f>IF(COUNTIFS(Log[Date],tbDailyTotals[[#This Row],[Date]],Log[Item],"Morn meds",Log[Qty],1),"x","")</f>
        <v/>
      </c>
      <c r="J252" s="70" t="str">
        <f>IF(COUNTIFS(Log[Date],tbDailyTotals[[#This Row],[Date]],Log[Item],"Morn insulin",Log[Qty],1),"x","")</f>
        <v/>
      </c>
      <c r="K252" s="70" t="str">
        <f>IF(COUNTIFS(Log[Date],tbDailyTotals[[#This Row],[Date]],Log[Item],"Eve insulin",Log[Qty],1),"x","")</f>
        <v/>
      </c>
      <c r="L252" s="70" t="str">
        <f>IF(COUNTIFS(Log[Date],tbDailyTotals[[#This Row],[Date]],Log[Item],"Eve meds",Log[Qty],1),"x","")</f>
        <v/>
      </c>
      <c r="M252" s="150"/>
    </row>
    <row r="253" spans="2:13" s="75" customFormat="1" ht="25.15" customHeight="1">
      <c r="B253" s="91"/>
      <c r="C253" s="82">
        <f>SUMIFS(Log[Cal],Log[Date],tbDailyTotals[[#This Row],[Date]])</f>
        <v>0</v>
      </c>
      <c r="D253" s="82">
        <f>SUMIFS(Log[Sodium],Log[Date],tbDailyTotals[[#This Row],[Date]])</f>
        <v>0</v>
      </c>
      <c r="E253" s="71">
        <f>SUMIFS(Log[Net Carbs],Log[Date],tbDailyTotals[[#This Row],[Date]])</f>
        <v>0</v>
      </c>
      <c r="F253" s="71">
        <f>SUMIFS(Log[Protein],Log[Date],tbDailyTotals[[#This Row],[Date]])</f>
        <v>0</v>
      </c>
      <c r="G253" s="83">
        <f>SUMIFS(Log[Chol],Log[Date],tbDailyTotals[[#This Row],[Date]])</f>
        <v>0</v>
      </c>
      <c r="H253" s="92"/>
      <c r="I253" s="70" t="str">
        <f>IF(COUNTIFS(Log[Date],tbDailyTotals[[#This Row],[Date]],Log[Item],"Morn meds",Log[Qty],1),"x","")</f>
        <v/>
      </c>
      <c r="J253" s="70" t="str">
        <f>IF(COUNTIFS(Log[Date],tbDailyTotals[[#This Row],[Date]],Log[Item],"Morn insulin",Log[Qty],1),"x","")</f>
        <v/>
      </c>
      <c r="K253" s="70" t="str">
        <f>IF(COUNTIFS(Log[Date],tbDailyTotals[[#This Row],[Date]],Log[Item],"Eve insulin",Log[Qty],1),"x","")</f>
        <v/>
      </c>
      <c r="L253" s="70" t="str">
        <f>IF(COUNTIFS(Log[Date],tbDailyTotals[[#This Row],[Date]],Log[Item],"Eve meds",Log[Qty],1),"x","")</f>
        <v/>
      </c>
      <c r="M253" s="150"/>
    </row>
    <row r="254" spans="2:13" s="75" customFormat="1" ht="25.15" customHeight="1">
      <c r="B254" s="91"/>
      <c r="C254" s="82">
        <f>SUMIFS(Log[Cal],Log[Date],tbDailyTotals[[#This Row],[Date]])</f>
        <v>0</v>
      </c>
      <c r="D254" s="82">
        <f>SUMIFS(Log[Sodium],Log[Date],tbDailyTotals[[#This Row],[Date]])</f>
        <v>0</v>
      </c>
      <c r="E254" s="71">
        <f>SUMIFS(Log[Net Carbs],Log[Date],tbDailyTotals[[#This Row],[Date]])</f>
        <v>0</v>
      </c>
      <c r="F254" s="71">
        <f>SUMIFS(Log[Protein],Log[Date],tbDailyTotals[[#This Row],[Date]])</f>
        <v>0</v>
      </c>
      <c r="G254" s="83">
        <f>SUMIFS(Log[Chol],Log[Date],tbDailyTotals[[#This Row],[Date]])</f>
        <v>0</v>
      </c>
      <c r="H254" s="92"/>
      <c r="I254" s="70" t="str">
        <f>IF(COUNTIFS(Log[Date],tbDailyTotals[[#This Row],[Date]],Log[Item],"Morn meds",Log[Qty],1),"x","")</f>
        <v/>
      </c>
      <c r="J254" s="70" t="str">
        <f>IF(COUNTIFS(Log[Date],tbDailyTotals[[#This Row],[Date]],Log[Item],"Morn insulin",Log[Qty],1),"x","")</f>
        <v/>
      </c>
      <c r="K254" s="70" t="str">
        <f>IF(COUNTIFS(Log[Date],tbDailyTotals[[#This Row],[Date]],Log[Item],"Eve insulin",Log[Qty],1),"x","")</f>
        <v/>
      </c>
      <c r="L254" s="70" t="str">
        <f>IF(COUNTIFS(Log[Date],tbDailyTotals[[#This Row],[Date]],Log[Item],"Eve meds",Log[Qty],1),"x","")</f>
        <v/>
      </c>
      <c r="M254" s="150"/>
    </row>
    <row r="255" spans="2:13" s="75" customFormat="1" ht="25.15" customHeight="1">
      <c r="B255" s="91"/>
      <c r="C255" s="82">
        <f>SUMIFS(Log[Cal],Log[Date],tbDailyTotals[[#This Row],[Date]])</f>
        <v>0</v>
      </c>
      <c r="D255" s="82">
        <f>SUMIFS(Log[Sodium],Log[Date],tbDailyTotals[[#This Row],[Date]])</f>
        <v>0</v>
      </c>
      <c r="E255" s="71">
        <f>SUMIFS(Log[Net Carbs],Log[Date],tbDailyTotals[[#This Row],[Date]])</f>
        <v>0</v>
      </c>
      <c r="F255" s="71">
        <f>SUMIFS(Log[Protein],Log[Date],tbDailyTotals[[#This Row],[Date]])</f>
        <v>0</v>
      </c>
      <c r="G255" s="83">
        <f>SUMIFS(Log[Chol],Log[Date],tbDailyTotals[[#This Row],[Date]])</f>
        <v>0</v>
      </c>
      <c r="H255" s="92"/>
      <c r="I255" s="70" t="str">
        <f>IF(COUNTIFS(Log[Date],tbDailyTotals[[#This Row],[Date]],Log[Item],"Morn meds",Log[Qty],1),"x","")</f>
        <v/>
      </c>
      <c r="J255" s="70" t="str">
        <f>IF(COUNTIFS(Log[Date],tbDailyTotals[[#This Row],[Date]],Log[Item],"Morn insulin",Log[Qty],1),"x","")</f>
        <v/>
      </c>
      <c r="K255" s="70" t="str">
        <f>IF(COUNTIFS(Log[Date],tbDailyTotals[[#This Row],[Date]],Log[Item],"Eve insulin",Log[Qty],1),"x","")</f>
        <v/>
      </c>
      <c r="L255" s="70" t="str">
        <f>IF(COUNTIFS(Log[Date],tbDailyTotals[[#This Row],[Date]],Log[Item],"Eve meds",Log[Qty],1),"x","")</f>
        <v/>
      </c>
      <c r="M255" s="150"/>
    </row>
    <row r="256" spans="2:13" s="75" customFormat="1" ht="25.15" customHeight="1">
      <c r="B256" s="91"/>
      <c r="C256" s="82">
        <f>SUMIFS(Log[Cal],Log[Date],tbDailyTotals[[#This Row],[Date]])</f>
        <v>0</v>
      </c>
      <c r="D256" s="82">
        <f>SUMIFS(Log[Sodium],Log[Date],tbDailyTotals[[#This Row],[Date]])</f>
        <v>0</v>
      </c>
      <c r="E256" s="71">
        <f>SUMIFS(Log[Net Carbs],Log[Date],tbDailyTotals[[#This Row],[Date]])</f>
        <v>0</v>
      </c>
      <c r="F256" s="71">
        <f>SUMIFS(Log[Protein],Log[Date],tbDailyTotals[[#This Row],[Date]])</f>
        <v>0</v>
      </c>
      <c r="G256" s="83">
        <f>SUMIFS(Log[Chol],Log[Date],tbDailyTotals[[#This Row],[Date]])</f>
        <v>0</v>
      </c>
      <c r="H256" s="92"/>
      <c r="I256" s="70" t="str">
        <f>IF(COUNTIFS(Log[Date],tbDailyTotals[[#This Row],[Date]],Log[Item],"Morn meds",Log[Qty],1),"x","")</f>
        <v/>
      </c>
      <c r="J256" s="70" t="str">
        <f>IF(COUNTIFS(Log[Date],tbDailyTotals[[#This Row],[Date]],Log[Item],"Morn insulin",Log[Qty],1),"x","")</f>
        <v/>
      </c>
      <c r="K256" s="70" t="str">
        <f>IF(COUNTIFS(Log[Date],tbDailyTotals[[#This Row],[Date]],Log[Item],"Eve insulin",Log[Qty],1),"x","")</f>
        <v/>
      </c>
      <c r="L256" s="70" t="str">
        <f>IF(COUNTIFS(Log[Date],tbDailyTotals[[#This Row],[Date]],Log[Item],"Eve meds",Log[Qty],1),"x","")</f>
        <v/>
      </c>
      <c r="M256" s="150"/>
    </row>
    <row r="257" spans="2:13" s="75" customFormat="1" ht="25.15" customHeight="1">
      <c r="B257" s="91"/>
      <c r="C257" s="82">
        <f>SUMIFS(Log[Cal],Log[Date],tbDailyTotals[[#This Row],[Date]])</f>
        <v>0</v>
      </c>
      <c r="D257" s="82">
        <f>SUMIFS(Log[Sodium],Log[Date],tbDailyTotals[[#This Row],[Date]])</f>
        <v>0</v>
      </c>
      <c r="E257" s="71">
        <f>SUMIFS(Log[Net Carbs],Log[Date],tbDailyTotals[[#This Row],[Date]])</f>
        <v>0</v>
      </c>
      <c r="F257" s="71">
        <f>SUMIFS(Log[Protein],Log[Date],tbDailyTotals[[#This Row],[Date]])</f>
        <v>0</v>
      </c>
      <c r="G257" s="83">
        <f>SUMIFS(Log[Chol],Log[Date],tbDailyTotals[[#This Row],[Date]])</f>
        <v>0</v>
      </c>
      <c r="H257" s="92"/>
      <c r="I257" s="70" t="str">
        <f>IF(COUNTIFS(Log[Date],tbDailyTotals[[#This Row],[Date]],Log[Item],"Morn meds",Log[Qty],1),"x","")</f>
        <v/>
      </c>
      <c r="J257" s="70" t="str">
        <f>IF(COUNTIFS(Log[Date],tbDailyTotals[[#This Row],[Date]],Log[Item],"Morn insulin",Log[Qty],1),"x","")</f>
        <v/>
      </c>
      <c r="K257" s="70" t="str">
        <f>IF(COUNTIFS(Log[Date],tbDailyTotals[[#This Row],[Date]],Log[Item],"Eve insulin",Log[Qty],1),"x","")</f>
        <v/>
      </c>
      <c r="L257" s="70" t="str">
        <f>IF(COUNTIFS(Log[Date],tbDailyTotals[[#This Row],[Date]],Log[Item],"Eve meds",Log[Qty],1),"x","")</f>
        <v/>
      </c>
      <c r="M257" s="150"/>
    </row>
    <row r="258" spans="2:13" s="75" customFormat="1" ht="25.15" customHeight="1">
      <c r="B258" s="91"/>
      <c r="C258" s="82">
        <f>SUMIFS(Log[Cal],Log[Date],tbDailyTotals[[#This Row],[Date]])</f>
        <v>0</v>
      </c>
      <c r="D258" s="82">
        <f>SUMIFS(Log[Sodium],Log[Date],tbDailyTotals[[#This Row],[Date]])</f>
        <v>0</v>
      </c>
      <c r="E258" s="71">
        <f>SUMIFS(Log[Net Carbs],Log[Date],tbDailyTotals[[#This Row],[Date]])</f>
        <v>0</v>
      </c>
      <c r="F258" s="71">
        <f>SUMIFS(Log[Protein],Log[Date],tbDailyTotals[[#This Row],[Date]])</f>
        <v>0</v>
      </c>
      <c r="G258" s="83">
        <f>SUMIFS(Log[Chol],Log[Date],tbDailyTotals[[#This Row],[Date]])</f>
        <v>0</v>
      </c>
      <c r="H258" s="92"/>
      <c r="I258" s="70" t="str">
        <f>IF(COUNTIFS(Log[Date],tbDailyTotals[[#This Row],[Date]],Log[Item],"Morn meds",Log[Qty],1),"x","")</f>
        <v/>
      </c>
      <c r="J258" s="70" t="str">
        <f>IF(COUNTIFS(Log[Date],tbDailyTotals[[#This Row],[Date]],Log[Item],"Morn insulin",Log[Qty],1),"x","")</f>
        <v/>
      </c>
      <c r="K258" s="70" t="str">
        <f>IF(COUNTIFS(Log[Date],tbDailyTotals[[#This Row],[Date]],Log[Item],"Eve insulin",Log[Qty],1),"x","")</f>
        <v/>
      </c>
      <c r="L258" s="70" t="str">
        <f>IF(COUNTIFS(Log[Date],tbDailyTotals[[#This Row],[Date]],Log[Item],"Eve meds",Log[Qty],1),"x","")</f>
        <v/>
      </c>
      <c r="M258" s="150"/>
    </row>
    <row r="259" spans="2:13" s="75" customFormat="1" ht="25.15" customHeight="1">
      <c r="B259" s="91"/>
      <c r="C259" s="82">
        <f>SUMIFS(Log[Cal],Log[Date],tbDailyTotals[[#This Row],[Date]])</f>
        <v>0</v>
      </c>
      <c r="D259" s="82">
        <f>SUMIFS(Log[Sodium],Log[Date],tbDailyTotals[[#This Row],[Date]])</f>
        <v>0</v>
      </c>
      <c r="E259" s="71">
        <f>SUMIFS(Log[Net Carbs],Log[Date],tbDailyTotals[[#This Row],[Date]])</f>
        <v>0</v>
      </c>
      <c r="F259" s="71">
        <f>SUMIFS(Log[Protein],Log[Date],tbDailyTotals[[#This Row],[Date]])</f>
        <v>0</v>
      </c>
      <c r="G259" s="83">
        <f>SUMIFS(Log[Chol],Log[Date],tbDailyTotals[[#This Row],[Date]])</f>
        <v>0</v>
      </c>
      <c r="H259" s="92"/>
      <c r="I259" s="70" t="str">
        <f>IF(COUNTIFS(Log[Date],tbDailyTotals[[#This Row],[Date]],Log[Item],"Morn meds",Log[Qty],1),"x","")</f>
        <v/>
      </c>
      <c r="J259" s="70" t="str">
        <f>IF(COUNTIFS(Log[Date],tbDailyTotals[[#This Row],[Date]],Log[Item],"Morn insulin",Log[Qty],1),"x","")</f>
        <v/>
      </c>
      <c r="K259" s="70" t="str">
        <f>IF(COUNTIFS(Log[Date],tbDailyTotals[[#This Row],[Date]],Log[Item],"Eve insulin",Log[Qty],1),"x","")</f>
        <v/>
      </c>
      <c r="L259" s="70" t="str">
        <f>IF(COUNTIFS(Log[Date],tbDailyTotals[[#This Row],[Date]],Log[Item],"Eve meds",Log[Qty],1),"x","")</f>
        <v/>
      </c>
      <c r="M259" s="150"/>
    </row>
    <row r="260" spans="2:13" s="75" customFormat="1" ht="25.15" customHeight="1">
      <c r="B260" s="91"/>
      <c r="C260" s="82">
        <f>SUMIFS(Log[Cal],Log[Date],tbDailyTotals[[#This Row],[Date]])</f>
        <v>0</v>
      </c>
      <c r="D260" s="82">
        <f>SUMIFS(Log[Sodium],Log[Date],tbDailyTotals[[#This Row],[Date]])</f>
        <v>0</v>
      </c>
      <c r="E260" s="71">
        <f>SUMIFS(Log[Net Carbs],Log[Date],tbDailyTotals[[#This Row],[Date]])</f>
        <v>0</v>
      </c>
      <c r="F260" s="71">
        <f>SUMIFS(Log[Protein],Log[Date],tbDailyTotals[[#This Row],[Date]])</f>
        <v>0</v>
      </c>
      <c r="G260" s="83">
        <f>SUMIFS(Log[Chol],Log[Date],tbDailyTotals[[#This Row],[Date]])</f>
        <v>0</v>
      </c>
      <c r="H260" s="92"/>
      <c r="I260" s="70" t="str">
        <f>IF(COUNTIFS(Log[Date],tbDailyTotals[[#This Row],[Date]],Log[Item],"Morn meds",Log[Qty],1),"x","")</f>
        <v/>
      </c>
      <c r="J260" s="70" t="str">
        <f>IF(COUNTIFS(Log[Date],tbDailyTotals[[#This Row],[Date]],Log[Item],"Morn insulin",Log[Qty],1),"x","")</f>
        <v/>
      </c>
      <c r="K260" s="70" t="str">
        <f>IF(COUNTIFS(Log[Date],tbDailyTotals[[#This Row],[Date]],Log[Item],"Eve insulin",Log[Qty],1),"x","")</f>
        <v/>
      </c>
      <c r="L260" s="70" t="str">
        <f>IF(COUNTIFS(Log[Date],tbDailyTotals[[#This Row],[Date]],Log[Item],"Eve meds",Log[Qty],1),"x","")</f>
        <v/>
      </c>
      <c r="M260" s="150"/>
    </row>
    <row r="261" spans="2:13" s="75" customFormat="1" ht="25.15" customHeight="1">
      <c r="B261" s="91"/>
      <c r="C261" s="82">
        <f>SUMIFS(Log[Cal],Log[Date],tbDailyTotals[[#This Row],[Date]])</f>
        <v>0</v>
      </c>
      <c r="D261" s="82">
        <f>SUMIFS(Log[Sodium],Log[Date],tbDailyTotals[[#This Row],[Date]])</f>
        <v>0</v>
      </c>
      <c r="E261" s="71">
        <f>SUMIFS(Log[Net Carbs],Log[Date],tbDailyTotals[[#This Row],[Date]])</f>
        <v>0</v>
      </c>
      <c r="F261" s="71">
        <f>SUMIFS(Log[Protein],Log[Date],tbDailyTotals[[#This Row],[Date]])</f>
        <v>0</v>
      </c>
      <c r="G261" s="83">
        <f>SUMIFS(Log[Chol],Log[Date],tbDailyTotals[[#This Row],[Date]])</f>
        <v>0</v>
      </c>
      <c r="H261" s="92"/>
      <c r="I261" s="70" t="str">
        <f>IF(COUNTIFS(Log[Date],tbDailyTotals[[#This Row],[Date]],Log[Item],"Morn meds",Log[Qty],1),"x","")</f>
        <v/>
      </c>
      <c r="J261" s="70" t="str">
        <f>IF(COUNTIFS(Log[Date],tbDailyTotals[[#This Row],[Date]],Log[Item],"Morn insulin",Log[Qty],1),"x","")</f>
        <v/>
      </c>
      <c r="K261" s="70" t="str">
        <f>IF(COUNTIFS(Log[Date],tbDailyTotals[[#This Row],[Date]],Log[Item],"Eve insulin",Log[Qty],1),"x","")</f>
        <v/>
      </c>
      <c r="L261" s="70" t="str">
        <f>IF(COUNTIFS(Log[Date],tbDailyTotals[[#This Row],[Date]],Log[Item],"Eve meds",Log[Qty],1),"x","")</f>
        <v/>
      </c>
      <c r="M261" s="150"/>
    </row>
    <row r="262" spans="2:13" s="75" customFormat="1" ht="25.15" customHeight="1">
      <c r="B262" s="91"/>
      <c r="C262" s="82">
        <f>SUMIFS(Log[Cal],Log[Date],tbDailyTotals[[#This Row],[Date]])</f>
        <v>0</v>
      </c>
      <c r="D262" s="82">
        <f>SUMIFS(Log[Sodium],Log[Date],tbDailyTotals[[#This Row],[Date]])</f>
        <v>0</v>
      </c>
      <c r="E262" s="71">
        <f>SUMIFS(Log[Net Carbs],Log[Date],tbDailyTotals[[#This Row],[Date]])</f>
        <v>0</v>
      </c>
      <c r="F262" s="71">
        <f>SUMIFS(Log[Protein],Log[Date],tbDailyTotals[[#This Row],[Date]])</f>
        <v>0</v>
      </c>
      <c r="G262" s="83">
        <f>SUMIFS(Log[Chol],Log[Date],tbDailyTotals[[#This Row],[Date]])</f>
        <v>0</v>
      </c>
      <c r="H262" s="92"/>
      <c r="I262" s="70" t="str">
        <f>IF(COUNTIFS(Log[Date],tbDailyTotals[[#This Row],[Date]],Log[Item],"Morn meds",Log[Qty],1),"x","")</f>
        <v/>
      </c>
      <c r="J262" s="70" t="str">
        <f>IF(COUNTIFS(Log[Date],tbDailyTotals[[#This Row],[Date]],Log[Item],"Morn insulin",Log[Qty],1),"x","")</f>
        <v/>
      </c>
      <c r="K262" s="70" t="str">
        <f>IF(COUNTIFS(Log[Date],tbDailyTotals[[#This Row],[Date]],Log[Item],"Eve insulin",Log[Qty],1),"x","")</f>
        <v/>
      </c>
      <c r="L262" s="70" t="str">
        <f>IF(COUNTIFS(Log[Date],tbDailyTotals[[#This Row],[Date]],Log[Item],"Eve meds",Log[Qty],1),"x","")</f>
        <v/>
      </c>
      <c r="M262" s="150"/>
    </row>
    <row r="263" spans="2:13" s="75" customFormat="1" ht="25.15" customHeight="1">
      <c r="B263" s="91"/>
      <c r="C263" s="82">
        <f>SUMIFS(Log[Cal],Log[Date],tbDailyTotals[[#This Row],[Date]])</f>
        <v>0</v>
      </c>
      <c r="D263" s="82">
        <f>SUMIFS(Log[Sodium],Log[Date],tbDailyTotals[[#This Row],[Date]])</f>
        <v>0</v>
      </c>
      <c r="E263" s="71">
        <f>SUMIFS(Log[Net Carbs],Log[Date],tbDailyTotals[[#This Row],[Date]])</f>
        <v>0</v>
      </c>
      <c r="F263" s="71">
        <f>SUMIFS(Log[Protein],Log[Date],tbDailyTotals[[#This Row],[Date]])</f>
        <v>0</v>
      </c>
      <c r="G263" s="83">
        <f>SUMIFS(Log[Chol],Log[Date],tbDailyTotals[[#This Row],[Date]])</f>
        <v>0</v>
      </c>
      <c r="H263" s="92"/>
      <c r="I263" s="70" t="str">
        <f>IF(COUNTIFS(Log[Date],tbDailyTotals[[#This Row],[Date]],Log[Item],"Morn meds",Log[Qty],1),"x","")</f>
        <v/>
      </c>
      <c r="J263" s="70" t="str">
        <f>IF(COUNTIFS(Log[Date],tbDailyTotals[[#This Row],[Date]],Log[Item],"Morn insulin",Log[Qty],1),"x","")</f>
        <v/>
      </c>
      <c r="K263" s="70" t="str">
        <f>IF(COUNTIFS(Log[Date],tbDailyTotals[[#This Row],[Date]],Log[Item],"Eve insulin",Log[Qty],1),"x","")</f>
        <v/>
      </c>
      <c r="L263" s="70" t="str">
        <f>IF(COUNTIFS(Log[Date],tbDailyTotals[[#This Row],[Date]],Log[Item],"Eve meds",Log[Qty],1),"x","")</f>
        <v/>
      </c>
      <c r="M263" s="150"/>
    </row>
    <row r="264" spans="2:13" s="75" customFormat="1" ht="25.15" customHeight="1">
      <c r="B264" s="91"/>
      <c r="C264" s="82">
        <f>SUMIFS(Log[Cal],Log[Date],tbDailyTotals[[#This Row],[Date]])</f>
        <v>0</v>
      </c>
      <c r="D264" s="82">
        <f>SUMIFS(Log[Sodium],Log[Date],tbDailyTotals[[#This Row],[Date]])</f>
        <v>0</v>
      </c>
      <c r="E264" s="71">
        <f>SUMIFS(Log[Net Carbs],Log[Date],tbDailyTotals[[#This Row],[Date]])</f>
        <v>0</v>
      </c>
      <c r="F264" s="71">
        <f>SUMIFS(Log[Protein],Log[Date],tbDailyTotals[[#This Row],[Date]])</f>
        <v>0</v>
      </c>
      <c r="G264" s="83">
        <f>SUMIFS(Log[Chol],Log[Date],tbDailyTotals[[#This Row],[Date]])</f>
        <v>0</v>
      </c>
      <c r="H264" s="92"/>
      <c r="I264" s="70" t="str">
        <f>IF(COUNTIFS(Log[Date],tbDailyTotals[[#This Row],[Date]],Log[Item],"Morn meds",Log[Qty],1),"x","")</f>
        <v/>
      </c>
      <c r="J264" s="70" t="str">
        <f>IF(COUNTIFS(Log[Date],tbDailyTotals[[#This Row],[Date]],Log[Item],"Morn insulin",Log[Qty],1),"x","")</f>
        <v/>
      </c>
      <c r="K264" s="70" t="str">
        <f>IF(COUNTIFS(Log[Date],tbDailyTotals[[#This Row],[Date]],Log[Item],"Eve insulin",Log[Qty],1),"x","")</f>
        <v/>
      </c>
      <c r="L264" s="70" t="str">
        <f>IF(COUNTIFS(Log[Date],tbDailyTotals[[#This Row],[Date]],Log[Item],"Eve meds",Log[Qty],1),"x","")</f>
        <v/>
      </c>
      <c r="M264" s="150"/>
    </row>
    <row r="265" spans="2:13" s="75" customFormat="1" ht="25.15" customHeight="1">
      <c r="B265" s="91"/>
      <c r="C265" s="82">
        <f>SUMIFS(Log[Cal],Log[Date],tbDailyTotals[[#This Row],[Date]])</f>
        <v>0</v>
      </c>
      <c r="D265" s="82">
        <f>SUMIFS(Log[Sodium],Log[Date],tbDailyTotals[[#This Row],[Date]])</f>
        <v>0</v>
      </c>
      <c r="E265" s="71">
        <f>SUMIFS(Log[Net Carbs],Log[Date],tbDailyTotals[[#This Row],[Date]])</f>
        <v>0</v>
      </c>
      <c r="F265" s="71">
        <f>SUMIFS(Log[Protein],Log[Date],tbDailyTotals[[#This Row],[Date]])</f>
        <v>0</v>
      </c>
      <c r="G265" s="83">
        <f>SUMIFS(Log[Chol],Log[Date],tbDailyTotals[[#This Row],[Date]])</f>
        <v>0</v>
      </c>
      <c r="H265" s="92"/>
      <c r="I265" s="70" t="str">
        <f>IF(COUNTIFS(Log[Date],tbDailyTotals[[#This Row],[Date]],Log[Item],"Morn meds",Log[Qty],1),"x","")</f>
        <v/>
      </c>
      <c r="J265" s="70" t="str">
        <f>IF(COUNTIFS(Log[Date],tbDailyTotals[[#This Row],[Date]],Log[Item],"Morn insulin",Log[Qty],1),"x","")</f>
        <v/>
      </c>
      <c r="K265" s="70" t="str">
        <f>IF(COUNTIFS(Log[Date],tbDailyTotals[[#This Row],[Date]],Log[Item],"Eve insulin",Log[Qty],1),"x","")</f>
        <v/>
      </c>
      <c r="L265" s="70" t="str">
        <f>IF(COUNTIFS(Log[Date],tbDailyTotals[[#This Row],[Date]],Log[Item],"Eve meds",Log[Qty],1),"x","")</f>
        <v/>
      </c>
      <c r="M265" s="150"/>
    </row>
    <row r="266" spans="2:13" s="75" customFormat="1" ht="25.15" customHeight="1">
      <c r="B266" s="91"/>
      <c r="C266" s="82">
        <f>SUMIFS(Log[Cal],Log[Date],tbDailyTotals[[#This Row],[Date]])</f>
        <v>0</v>
      </c>
      <c r="D266" s="82">
        <f>SUMIFS(Log[Sodium],Log[Date],tbDailyTotals[[#This Row],[Date]])</f>
        <v>0</v>
      </c>
      <c r="E266" s="71">
        <f>SUMIFS(Log[Net Carbs],Log[Date],tbDailyTotals[[#This Row],[Date]])</f>
        <v>0</v>
      </c>
      <c r="F266" s="71">
        <f>SUMIFS(Log[Protein],Log[Date],tbDailyTotals[[#This Row],[Date]])</f>
        <v>0</v>
      </c>
      <c r="G266" s="83">
        <f>SUMIFS(Log[Chol],Log[Date],tbDailyTotals[[#This Row],[Date]])</f>
        <v>0</v>
      </c>
      <c r="H266" s="92"/>
      <c r="I266" s="70" t="str">
        <f>IF(COUNTIFS(Log[Date],tbDailyTotals[[#This Row],[Date]],Log[Item],"Morn meds",Log[Qty],1),"x","")</f>
        <v/>
      </c>
      <c r="J266" s="70" t="str">
        <f>IF(COUNTIFS(Log[Date],tbDailyTotals[[#This Row],[Date]],Log[Item],"Morn insulin",Log[Qty],1),"x","")</f>
        <v/>
      </c>
      <c r="K266" s="70" t="str">
        <f>IF(COUNTIFS(Log[Date],tbDailyTotals[[#This Row],[Date]],Log[Item],"Eve insulin",Log[Qty],1),"x","")</f>
        <v/>
      </c>
      <c r="L266" s="70" t="str">
        <f>IF(COUNTIFS(Log[Date],tbDailyTotals[[#This Row],[Date]],Log[Item],"Eve meds",Log[Qty],1),"x","")</f>
        <v/>
      </c>
      <c r="M266" s="150"/>
    </row>
    <row r="267" spans="2:13" s="75" customFormat="1" ht="25.15" customHeight="1">
      <c r="B267" s="91"/>
      <c r="C267" s="82">
        <f>SUMIFS(Log[Cal],Log[Date],tbDailyTotals[[#This Row],[Date]])</f>
        <v>0</v>
      </c>
      <c r="D267" s="82">
        <f>SUMIFS(Log[Sodium],Log[Date],tbDailyTotals[[#This Row],[Date]])</f>
        <v>0</v>
      </c>
      <c r="E267" s="71">
        <f>SUMIFS(Log[Net Carbs],Log[Date],tbDailyTotals[[#This Row],[Date]])</f>
        <v>0</v>
      </c>
      <c r="F267" s="71">
        <f>SUMIFS(Log[Protein],Log[Date],tbDailyTotals[[#This Row],[Date]])</f>
        <v>0</v>
      </c>
      <c r="G267" s="83">
        <f>SUMIFS(Log[Chol],Log[Date],tbDailyTotals[[#This Row],[Date]])</f>
        <v>0</v>
      </c>
      <c r="H267" s="92"/>
      <c r="I267" s="70" t="str">
        <f>IF(COUNTIFS(Log[Date],tbDailyTotals[[#This Row],[Date]],Log[Item],"Morn meds",Log[Qty],1),"x","")</f>
        <v/>
      </c>
      <c r="J267" s="70" t="str">
        <f>IF(COUNTIFS(Log[Date],tbDailyTotals[[#This Row],[Date]],Log[Item],"Morn insulin",Log[Qty],1),"x","")</f>
        <v/>
      </c>
      <c r="K267" s="70" t="str">
        <f>IF(COUNTIFS(Log[Date],tbDailyTotals[[#This Row],[Date]],Log[Item],"Eve insulin",Log[Qty],1),"x","")</f>
        <v/>
      </c>
      <c r="L267" s="70" t="str">
        <f>IF(COUNTIFS(Log[Date],tbDailyTotals[[#This Row],[Date]],Log[Item],"Eve meds",Log[Qty],1),"x","")</f>
        <v/>
      </c>
      <c r="M267" s="150"/>
    </row>
    <row r="268" spans="2:13" s="75" customFormat="1" ht="25.15" customHeight="1">
      <c r="B268" s="91"/>
      <c r="C268" s="82">
        <f>SUMIFS(Log[Cal],Log[Date],tbDailyTotals[[#This Row],[Date]])</f>
        <v>0</v>
      </c>
      <c r="D268" s="82">
        <f>SUMIFS(Log[Sodium],Log[Date],tbDailyTotals[[#This Row],[Date]])</f>
        <v>0</v>
      </c>
      <c r="E268" s="71">
        <f>SUMIFS(Log[Net Carbs],Log[Date],tbDailyTotals[[#This Row],[Date]])</f>
        <v>0</v>
      </c>
      <c r="F268" s="71">
        <f>SUMIFS(Log[Protein],Log[Date],tbDailyTotals[[#This Row],[Date]])</f>
        <v>0</v>
      </c>
      <c r="G268" s="83">
        <f>SUMIFS(Log[Chol],Log[Date],tbDailyTotals[[#This Row],[Date]])</f>
        <v>0</v>
      </c>
      <c r="H268" s="92"/>
      <c r="I268" s="70" t="str">
        <f>IF(COUNTIFS(Log[Date],tbDailyTotals[[#This Row],[Date]],Log[Item],"Morn meds",Log[Qty],1),"x","")</f>
        <v/>
      </c>
      <c r="J268" s="70" t="str">
        <f>IF(COUNTIFS(Log[Date],tbDailyTotals[[#This Row],[Date]],Log[Item],"Morn insulin",Log[Qty],1),"x","")</f>
        <v/>
      </c>
      <c r="K268" s="70" t="str">
        <f>IF(COUNTIFS(Log[Date],tbDailyTotals[[#This Row],[Date]],Log[Item],"Eve insulin",Log[Qty],1),"x","")</f>
        <v/>
      </c>
      <c r="L268" s="70" t="str">
        <f>IF(COUNTIFS(Log[Date],tbDailyTotals[[#This Row],[Date]],Log[Item],"Eve meds",Log[Qty],1),"x","")</f>
        <v/>
      </c>
      <c r="M268" s="150"/>
    </row>
    <row r="269" spans="2:13" s="75" customFormat="1" ht="25.15" customHeight="1">
      <c r="B269" s="91"/>
      <c r="C269" s="82">
        <f>SUMIFS(Log[Cal],Log[Date],tbDailyTotals[[#This Row],[Date]])</f>
        <v>0</v>
      </c>
      <c r="D269" s="82">
        <f>SUMIFS(Log[Sodium],Log[Date],tbDailyTotals[[#This Row],[Date]])</f>
        <v>0</v>
      </c>
      <c r="E269" s="71">
        <f>SUMIFS(Log[Net Carbs],Log[Date],tbDailyTotals[[#This Row],[Date]])</f>
        <v>0</v>
      </c>
      <c r="F269" s="71">
        <f>SUMIFS(Log[Protein],Log[Date],tbDailyTotals[[#This Row],[Date]])</f>
        <v>0</v>
      </c>
      <c r="G269" s="83">
        <f>SUMIFS(Log[Chol],Log[Date],tbDailyTotals[[#This Row],[Date]])</f>
        <v>0</v>
      </c>
      <c r="H269" s="92"/>
      <c r="I269" s="70" t="str">
        <f>IF(COUNTIFS(Log[Date],tbDailyTotals[[#This Row],[Date]],Log[Item],"Morn meds",Log[Qty],1),"x","")</f>
        <v/>
      </c>
      <c r="J269" s="70" t="str">
        <f>IF(COUNTIFS(Log[Date],tbDailyTotals[[#This Row],[Date]],Log[Item],"Morn insulin",Log[Qty],1),"x","")</f>
        <v/>
      </c>
      <c r="K269" s="70" t="str">
        <f>IF(COUNTIFS(Log[Date],tbDailyTotals[[#This Row],[Date]],Log[Item],"Eve insulin",Log[Qty],1),"x","")</f>
        <v/>
      </c>
      <c r="L269" s="70" t="str">
        <f>IF(COUNTIFS(Log[Date],tbDailyTotals[[#This Row],[Date]],Log[Item],"Eve meds",Log[Qty],1),"x","")</f>
        <v/>
      </c>
      <c r="M269" s="150"/>
    </row>
    <row r="270" spans="2:13" s="75" customFormat="1" ht="25.15" customHeight="1">
      <c r="B270" s="91"/>
      <c r="C270" s="82">
        <f>SUMIFS(Log[Cal],Log[Date],tbDailyTotals[[#This Row],[Date]])</f>
        <v>0</v>
      </c>
      <c r="D270" s="82">
        <f>SUMIFS(Log[Sodium],Log[Date],tbDailyTotals[[#This Row],[Date]])</f>
        <v>0</v>
      </c>
      <c r="E270" s="71">
        <f>SUMIFS(Log[Net Carbs],Log[Date],tbDailyTotals[[#This Row],[Date]])</f>
        <v>0</v>
      </c>
      <c r="F270" s="71">
        <f>SUMIFS(Log[Protein],Log[Date],tbDailyTotals[[#This Row],[Date]])</f>
        <v>0</v>
      </c>
      <c r="G270" s="83">
        <f>SUMIFS(Log[Chol],Log[Date],tbDailyTotals[[#This Row],[Date]])</f>
        <v>0</v>
      </c>
      <c r="H270" s="92"/>
      <c r="I270" s="70" t="str">
        <f>IF(COUNTIFS(Log[Date],tbDailyTotals[[#This Row],[Date]],Log[Item],"Morn meds",Log[Qty],1),"x","")</f>
        <v/>
      </c>
      <c r="J270" s="70" t="str">
        <f>IF(COUNTIFS(Log[Date],tbDailyTotals[[#This Row],[Date]],Log[Item],"Morn insulin",Log[Qty],1),"x","")</f>
        <v/>
      </c>
      <c r="K270" s="70" t="str">
        <f>IF(COUNTIFS(Log[Date],tbDailyTotals[[#This Row],[Date]],Log[Item],"Eve insulin",Log[Qty],1),"x","")</f>
        <v/>
      </c>
      <c r="L270" s="70" t="str">
        <f>IF(COUNTIFS(Log[Date],tbDailyTotals[[#This Row],[Date]],Log[Item],"Eve meds",Log[Qty],1),"x","")</f>
        <v/>
      </c>
      <c r="M270" s="150"/>
    </row>
    <row r="271" spans="2:13" s="75" customFormat="1" ht="25.15" customHeight="1">
      <c r="B271" s="91"/>
      <c r="C271" s="82">
        <f>SUMIFS(Log[Cal],Log[Date],tbDailyTotals[[#This Row],[Date]])</f>
        <v>0</v>
      </c>
      <c r="D271" s="82">
        <f>SUMIFS(Log[Sodium],Log[Date],tbDailyTotals[[#This Row],[Date]])</f>
        <v>0</v>
      </c>
      <c r="E271" s="71">
        <f>SUMIFS(Log[Net Carbs],Log[Date],tbDailyTotals[[#This Row],[Date]])</f>
        <v>0</v>
      </c>
      <c r="F271" s="71">
        <f>SUMIFS(Log[Protein],Log[Date],tbDailyTotals[[#This Row],[Date]])</f>
        <v>0</v>
      </c>
      <c r="G271" s="83">
        <f>SUMIFS(Log[Chol],Log[Date],tbDailyTotals[[#This Row],[Date]])</f>
        <v>0</v>
      </c>
      <c r="H271" s="92"/>
      <c r="I271" s="70" t="str">
        <f>IF(COUNTIFS(Log[Date],tbDailyTotals[[#This Row],[Date]],Log[Item],"Morn meds",Log[Qty],1),"x","")</f>
        <v/>
      </c>
      <c r="J271" s="70" t="str">
        <f>IF(COUNTIFS(Log[Date],tbDailyTotals[[#This Row],[Date]],Log[Item],"Morn insulin",Log[Qty],1),"x","")</f>
        <v/>
      </c>
      <c r="K271" s="70" t="str">
        <f>IF(COUNTIFS(Log[Date],tbDailyTotals[[#This Row],[Date]],Log[Item],"Eve insulin",Log[Qty],1),"x","")</f>
        <v/>
      </c>
      <c r="L271" s="70" t="str">
        <f>IF(COUNTIFS(Log[Date],tbDailyTotals[[#This Row],[Date]],Log[Item],"Eve meds",Log[Qty],1),"x","")</f>
        <v/>
      </c>
      <c r="M271" s="150"/>
    </row>
    <row r="272" spans="2:13" s="75" customFormat="1" ht="25.15" customHeight="1">
      <c r="B272" s="91"/>
      <c r="C272" s="82">
        <f>SUMIFS(Log[Cal],Log[Date],tbDailyTotals[[#This Row],[Date]])</f>
        <v>0</v>
      </c>
      <c r="D272" s="82">
        <f>SUMIFS(Log[Sodium],Log[Date],tbDailyTotals[[#This Row],[Date]])</f>
        <v>0</v>
      </c>
      <c r="E272" s="71">
        <f>SUMIFS(Log[Net Carbs],Log[Date],tbDailyTotals[[#This Row],[Date]])</f>
        <v>0</v>
      </c>
      <c r="F272" s="71">
        <f>SUMIFS(Log[Protein],Log[Date],tbDailyTotals[[#This Row],[Date]])</f>
        <v>0</v>
      </c>
      <c r="G272" s="83">
        <f>SUMIFS(Log[Chol],Log[Date],tbDailyTotals[[#This Row],[Date]])</f>
        <v>0</v>
      </c>
      <c r="H272" s="92"/>
      <c r="I272" s="70" t="str">
        <f>IF(COUNTIFS(Log[Date],tbDailyTotals[[#This Row],[Date]],Log[Item],"Morn meds",Log[Qty],1),"x","")</f>
        <v/>
      </c>
      <c r="J272" s="70" t="str">
        <f>IF(COUNTIFS(Log[Date],tbDailyTotals[[#This Row],[Date]],Log[Item],"Morn insulin",Log[Qty],1),"x","")</f>
        <v/>
      </c>
      <c r="K272" s="70" t="str">
        <f>IF(COUNTIFS(Log[Date],tbDailyTotals[[#This Row],[Date]],Log[Item],"Eve insulin",Log[Qty],1),"x","")</f>
        <v/>
      </c>
      <c r="L272" s="70" t="str">
        <f>IF(COUNTIFS(Log[Date],tbDailyTotals[[#This Row],[Date]],Log[Item],"Eve meds",Log[Qty],1),"x","")</f>
        <v/>
      </c>
      <c r="M272" s="150"/>
    </row>
    <row r="273" spans="2:13" s="75" customFormat="1" ht="25.15" customHeight="1">
      <c r="B273" s="91"/>
      <c r="C273" s="82">
        <f>SUMIFS(Log[Cal],Log[Date],tbDailyTotals[[#This Row],[Date]])</f>
        <v>0</v>
      </c>
      <c r="D273" s="82">
        <f>SUMIFS(Log[Sodium],Log[Date],tbDailyTotals[[#This Row],[Date]])</f>
        <v>0</v>
      </c>
      <c r="E273" s="71">
        <f>SUMIFS(Log[Net Carbs],Log[Date],tbDailyTotals[[#This Row],[Date]])</f>
        <v>0</v>
      </c>
      <c r="F273" s="71">
        <f>SUMIFS(Log[Protein],Log[Date],tbDailyTotals[[#This Row],[Date]])</f>
        <v>0</v>
      </c>
      <c r="G273" s="83">
        <f>SUMIFS(Log[Chol],Log[Date],tbDailyTotals[[#This Row],[Date]])</f>
        <v>0</v>
      </c>
      <c r="H273" s="92"/>
      <c r="I273" s="70" t="str">
        <f>IF(COUNTIFS(Log[Date],tbDailyTotals[[#This Row],[Date]],Log[Item],"Morn meds",Log[Qty],1),"x","")</f>
        <v/>
      </c>
      <c r="J273" s="70" t="str">
        <f>IF(COUNTIFS(Log[Date],tbDailyTotals[[#This Row],[Date]],Log[Item],"Morn insulin",Log[Qty],1),"x","")</f>
        <v/>
      </c>
      <c r="K273" s="70" t="str">
        <f>IF(COUNTIFS(Log[Date],tbDailyTotals[[#This Row],[Date]],Log[Item],"Eve insulin",Log[Qty],1),"x","")</f>
        <v/>
      </c>
      <c r="L273" s="70" t="str">
        <f>IF(COUNTIFS(Log[Date],tbDailyTotals[[#This Row],[Date]],Log[Item],"Eve meds",Log[Qty],1),"x","")</f>
        <v/>
      </c>
      <c r="M273" s="150"/>
    </row>
    <row r="274" spans="2:13" s="75" customFormat="1" ht="25.15" customHeight="1">
      <c r="B274" s="91"/>
      <c r="C274" s="82">
        <f>SUMIFS(Log[Cal],Log[Date],tbDailyTotals[[#This Row],[Date]])</f>
        <v>0</v>
      </c>
      <c r="D274" s="82">
        <f>SUMIFS(Log[Sodium],Log[Date],tbDailyTotals[[#This Row],[Date]])</f>
        <v>0</v>
      </c>
      <c r="E274" s="71">
        <f>SUMIFS(Log[Net Carbs],Log[Date],tbDailyTotals[[#This Row],[Date]])</f>
        <v>0</v>
      </c>
      <c r="F274" s="71">
        <f>SUMIFS(Log[Protein],Log[Date],tbDailyTotals[[#This Row],[Date]])</f>
        <v>0</v>
      </c>
      <c r="G274" s="83">
        <f>SUMIFS(Log[Chol],Log[Date],tbDailyTotals[[#This Row],[Date]])</f>
        <v>0</v>
      </c>
      <c r="H274" s="92"/>
      <c r="I274" s="70" t="str">
        <f>IF(COUNTIFS(Log[Date],tbDailyTotals[[#This Row],[Date]],Log[Item],"Morn meds",Log[Qty],1),"x","")</f>
        <v/>
      </c>
      <c r="J274" s="70" t="str">
        <f>IF(COUNTIFS(Log[Date],tbDailyTotals[[#This Row],[Date]],Log[Item],"Morn insulin",Log[Qty],1),"x","")</f>
        <v/>
      </c>
      <c r="K274" s="70" t="str">
        <f>IF(COUNTIFS(Log[Date],tbDailyTotals[[#This Row],[Date]],Log[Item],"Eve insulin",Log[Qty],1),"x","")</f>
        <v/>
      </c>
      <c r="L274" s="70" t="str">
        <f>IF(COUNTIFS(Log[Date],tbDailyTotals[[#This Row],[Date]],Log[Item],"Eve meds",Log[Qty],1),"x","")</f>
        <v/>
      </c>
      <c r="M274" s="150"/>
    </row>
    <row r="275" spans="2:13" s="75" customFormat="1" ht="25.15" customHeight="1">
      <c r="B275" s="91"/>
      <c r="C275" s="82">
        <f>SUMIFS(Log[Cal],Log[Date],tbDailyTotals[[#This Row],[Date]])</f>
        <v>0</v>
      </c>
      <c r="D275" s="82">
        <f>SUMIFS(Log[Sodium],Log[Date],tbDailyTotals[[#This Row],[Date]])</f>
        <v>0</v>
      </c>
      <c r="E275" s="71">
        <f>SUMIFS(Log[Net Carbs],Log[Date],tbDailyTotals[[#This Row],[Date]])</f>
        <v>0</v>
      </c>
      <c r="F275" s="71">
        <f>SUMIFS(Log[Protein],Log[Date],tbDailyTotals[[#This Row],[Date]])</f>
        <v>0</v>
      </c>
      <c r="G275" s="83">
        <f>SUMIFS(Log[Chol],Log[Date],tbDailyTotals[[#This Row],[Date]])</f>
        <v>0</v>
      </c>
      <c r="H275" s="92"/>
      <c r="I275" s="70" t="str">
        <f>IF(COUNTIFS(Log[Date],tbDailyTotals[[#This Row],[Date]],Log[Item],"Morn meds",Log[Qty],1),"x","")</f>
        <v/>
      </c>
      <c r="J275" s="70" t="str">
        <f>IF(COUNTIFS(Log[Date],tbDailyTotals[[#This Row],[Date]],Log[Item],"Morn insulin",Log[Qty],1),"x","")</f>
        <v/>
      </c>
      <c r="K275" s="70" t="str">
        <f>IF(COUNTIFS(Log[Date],tbDailyTotals[[#This Row],[Date]],Log[Item],"Eve insulin",Log[Qty],1),"x","")</f>
        <v/>
      </c>
      <c r="L275" s="70" t="str">
        <f>IF(COUNTIFS(Log[Date],tbDailyTotals[[#This Row],[Date]],Log[Item],"Eve meds",Log[Qty],1),"x","")</f>
        <v/>
      </c>
      <c r="M275" s="150"/>
    </row>
    <row r="276" spans="2:13" s="75" customFormat="1" ht="25.15" customHeight="1">
      <c r="B276" s="91"/>
      <c r="C276" s="82">
        <f>SUMIFS(Log[Cal],Log[Date],tbDailyTotals[[#This Row],[Date]])</f>
        <v>0</v>
      </c>
      <c r="D276" s="82">
        <f>SUMIFS(Log[Sodium],Log[Date],tbDailyTotals[[#This Row],[Date]])</f>
        <v>0</v>
      </c>
      <c r="E276" s="71">
        <f>SUMIFS(Log[Net Carbs],Log[Date],tbDailyTotals[[#This Row],[Date]])</f>
        <v>0</v>
      </c>
      <c r="F276" s="71">
        <f>SUMIFS(Log[Protein],Log[Date],tbDailyTotals[[#This Row],[Date]])</f>
        <v>0</v>
      </c>
      <c r="G276" s="83">
        <f>SUMIFS(Log[Chol],Log[Date],tbDailyTotals[[#This Row],[Date]])</f>
        <v>0</v>
      </c>
      <c r="H276" s="92"/>
      <c r="I276" s="70" t="str">
        <f>IF(COUNTIFS(Log[Date],tbDailyTotals[[#This Row],[Date]],Log[Item],"Morn meds",Log[Qty],1),"x","")</f>
        <v/>
      </c>
      <c r="J276" s="70" t="str">
        <f>IF(COUNTIFS(Log[Date],tbDailyTotals[[#This Row],[Date]],Log[Item],"Morn insulin",Log[Qty],1),"x","")</f>
        <v/>
      </c>
      <c r="K276" s="70" t="str">
        <f>IF(COUNTIFS(Log[Date],tbDailyTotals[[#This Row],[Date]],Log[Item],"Eve insulin",Log[Qty],1),"x","")</f>
        <v/>
      </c>
      <c r="L276" s="70" t="str">
        <f>IF(COUNTIFS(Log[Date],tbDailyTotals[[#This Row],[Date]],Log[Item],"Eve meds",Log[Qty],1),"x","")</f>
        <v/>
      </c>
      <c r="M276" s="150"/>
    </row>
    <row r="277" spans="2:13" s="75" customFormat="1" ht="25.15" customHeight="1">
      <c r="B277" s="91"/>
      <c r="C277" s="82">
        <f>SUMIFS(Log[Cal],Log[Date],tbDailyTotals[[#This Row],[Date]])</f>
        <v>0</v>
      </c>
      <c r="D277" s="82">
        <f>SUMIFS(Log[Sodium],Log[Date],tbDailyTotals[[#This Row],[Date]])</f>
        <v>0</v>
      </c>
      <c r="E277" s="71">
        <f>SUMIFS(Log[Net Carbs],Log[Date],tbDailyTotals[[#This Row],[Date]])</f>
        <v>0</v>
      </c>
      <c r="F277" s="71">
        <f>SUMIFS(Log[Protein],Log[Date],tbDailyTotals[[#This Row],[Date]])</f>
        <v>0</v>
      </c>
      <c r="G277" s="83">
        <f>SUMIFS(Log[Chol],Log[Date],tbDailyTotals[[#This Row],[Date]])</f>
        <v>0</v>
      </c>
      <c r="H277" s="92"/>
      <c r="I277" s="70" t="str">
        <f>IF(COUNTIFS(Log[Date],tbDailyTotals[[#This Row],[Date]],Log[Item],"Morn meds",Log[Qty],1),"x","")</f>
        <v/>
      </c>
      <c r="J277" s="70" t="str">
        <f>IF(COUNTIFS(Log[Date],tbDailyTotals[[#This Row],[Date]],Log[Item],"Morn insulin",Log[Qty],1),"x","")</f>
        <v/>
      </c>
      <c r="K277" s="70" t="str">
        <f>IF(COUNTIFS(Log[Date],tbDailyTotals[[#This Row],[Date]],Log[Item],"Eve insulin",Log[Qty],1),"x","")</f>
        <v/>
      </c>
      <c r="L277" s="70" t="str">
        <f>IF(COUNTIFS(Log[Date],tbDailyTotals[[#This Row],[Date]],Log[Item],"Eve meds",Log[Qty],1),"x","")</f>
        <v/>
      </c>
      <c r="M277" s="150"/>
    </row>
    <row r="278" spans="2:13" s="75" customFormat="1" ht="25.15" customHeight="1">
      <c r="B278" s="91"/>
      <c r="C278" s="82">
        <f>SUMIFS(Log[Cal],Log[Date],tbDailyTotals[[#This Row],[Date]])</f>
        <v>0</v>
      </c>
      <c r="D278" s="82">
        <f>SUMIFS(Log[Sodium],Log[Date],tbDailyTotals[[#This Row],[Date]])</f>
        <v>0</v>
      </c>
      <c r="E278" s="71">
        <f>SUMIFS(Log[Net Carbs],Log[Date],tbDailyTotals[[#This Row],[Date]])</f>
        <v>0</v>
      </c>
      <c r="F278" s="71">
        <f>SUMIFS(Log[Protein],Log[Date],tbDailyTotals[[#This Row],[Date]])</f>
        <v>0</v>
      </c>
      <c r="G278" s="83">
        <f>SUMIFS(Log[Chol],Log[Date],tbDailyTotals[[#This Row],[Date]])</f>
        <v>0</v>
      </c>
      <c r="H278" s="92"/>
      <c r="I278" s="70" t="str">
        <f>IF(COUNTIFS(Log[Date],tbDailyTotals[[#This Row],[Date]],Log[Item],"Morn meds",Log[Qty],1),"x","")</f>
        <v/>
      </c>
      <c r="J278" s="70" t="str">
        <f>IF(COUNTIFS(Log[Date],tbDailyTotals[[#This Row],[Date]],Log[Item],"Morn insulin",Log[Qty],1),"x","")</f>
        <v/>
      </c>
      <c r="K278" s="70" t="str">
        <f>IF(COUNTIFS(Log[Date],tbDailyTotals[[#This Row],[Date]],Log[Item],"Eve insulin",Log[Qty],1),"x","")</f>
        <v/>
      </c>
      <c r="L278" s="70" t="str">
        <f>IF(COUNTIFS(Log[Date],tbDailyTotals[[#This Row],[Date]],Log[Item],"Eve meds",Log[Qty],1),"x","")</f>
        <v/>
      </c>
      <c r="M278" s="150"/>
    </row>
    <row r="279" spans="2:13" s="75" customFormat="1" ht="25.15" customHeight="1">
      <c r="B279" s="91"/>
      <c r="C279" s="82">
        <f>SUMIFS(Log[Cal],Log[Date],tbDailyTotals[[#This Row],[Date]])</f>
        <v>0</v>
      </c>
      <c r="D279" s="82">
        <f>SUMIFS(Log[Sodium],Log[Date],tbDailyTotals[[#This Row],[Date]])</f>
        <v>0</v>
      </c>
      <c r="E279" s="71">
        <f>SUMIFS(Log[Net Carbs],Log[Date],tbDailyTotals[[#This Row],[Date]])</f>
        <v>0</v>
      </c>
      <c r="F279" s="71">
        <f>SUMIFS(Log[Protein],Log[Date],tbDailyTotals[[#This Row],[Date]])</f>
        <v>0</v>
      </c>
      <c r="G279" s="83">
        <f>SUMIFS(Log[Chol],Log[Date],tbDailyTotals[[#This Row],[Date]])</f>
        <v>0</v>
      </c>
      <c r="H279" s="92"/>
      <c r="I279" s="70" t="str">
        <f>IF(COUNTIFS(Log[Date],tbDailyTotals[[#This Row],[Date]],Log[Item],"Morn meds",Log[Qty],1),"x","")</f>
        <v/>
      </c>
      <c r="J279" s="70" t="str">
        <f>IF(COUNTIFS(Log[Date],tbDailyTotals[[#This Row],[Date]],Log[Item],"Morn insulin",Log[Qty],1),"x","")</f>
        <v/>
      </c>
      <c r="K279" s="70" t="str">
        <f>IF(COUNTIFS(Log[Date],tbDailyTotals[[#This Row],[Date]],Log[Item],"Eve insulin",Log[Qty],1),"x","")</f>
        <v/>
      </c>
      <c r="L279" s="70" t="str">
        <f>IF(COUNTIFS(Log[Date],tbDailyTotals[[#This Row],[Date]],Log[Item],"Eve meds",Log[Qty],1),"x","")</f>
        <v/>
      </c>
      <c r="M279" s="150"/>
    </row>
    <row r="280" spans="2:13" s="75" customFormat="1" ht="25.15" customHeight="1">
      <c r="B280" s="91"/>
      <c r="C280" s="82">
        <f>SUMIFS(Log[Cal],Log[Date],tbDailyTotals[[#This Row],[Date]])</f>
        <v>0</v>
      </c>
      <c r="D280" s="82">
        <f>SUMIFS(Log[Sodium],Log[Date],tbDailyTotals[[#This Row],[Date]])</f>
        <v>0</v>
      </c>
      <c r="E280" s="71">
        <f>SUMIFS(Log[Net Carbs],Log[Date],tbDailyTotals[[#This Row],[Date]])</f>
        <v>0</v>
      </c>
      <c r="F280" s="71">
        <f>SUMIFS(Log[Protein],Log[Date],tbDailyTotals[[#This Row],[Date]])</f>
        <v>0</v>
      </c>
      <c r="G280" s="83">
        <f>SUMIFS(Log[Chol],Log[Date],tbDailyTotals[[#This Row],[Date]])</f>
        <v>0</v>
      </c>
      <c r="H280" s="92"/>
      <c r="I280" s="70" t="str">
        <f>IF(COUNTIFS(Log[Date],tbDailyTotals[[#This Row],[Date]],Log[Item],"Morn meds",Log[Qty],1),"x","")</f>
        <v/>
      </c>
      <c r="J280" s="70" t="str">
        <f>IF(COUNTIFS(Log[Date],tbDailyTotals[[#This Row],[Date]],Log[Item],"Morn insulin",Log[Qty],1),"x","")</f>
        <v/>
      </c>
      <c r="K280" s="70" t="str">
        <f>IF(COUNTIFS(Log[Date],tbDailyTotals[[#This Row],[Date]],Log[Item],"Eve insulin",Log[Qty],1),"x","")</f>
        <v/>
      </c>
      <c r="L280" s="70" t="str">
        <f>IF(COUNTIFS(Log[Date],tbDailyTotals[[#This Row],[Date]],Log[Item],"Eve meds",Log[Qty],1),"x","")</f>
        <v/>
      </c>
      <c r="M280" s="150"/>
    </row>
    <row r="281" spans="2:13" s="75" customFormat="1" ht="25.15" customHeight="1">
      <c r="B281" s="91"/>
      <c r="C281" s="82">
        <f>SUMIFS(Log[Cal],Log[Date],tbDailyTotals[[#This Row],[Date]])</f>
        <v>0</v>
      </c>
      <c r="D281" s="82">
        <f>SUMIFS(Log[Sodium],Log[Date],tbDailyTotals[[#This Row],[Date]])</f>
        <v>0</v>
      </c>
      <c r="E281" s="71">
        <f>SUMIFS(Log[Net Carbs],Log[Date],tbDailyTotals[[#This Row],[Date]])</f>
        <v>0</v>
      </c>
      <c r="F281" s="71">
        <f>SUMIFS(Log[Protein],Log[Date],tbDailyTotals[[#This Row],[Date]])</f>
        <v>0</v>
      </c>
      <c r="G281" s="83">
        <f>SUMIFS(Log[Chol],Log[Date],tbDailyTotals[[#This Row],[Date]])</f>
        <v>0</v>
      </c>
      <c r="H281" s="92"/>
      <c r="I281" s="70" t="str">
        <f>IF(COUNTIFS(Log[Date],tbDailyTotals[[#This Row],[Date]],Log[Item],"Morn meds",Log[Qty],1),"x","")</f>
        <v/>
      </c>
      <c r="J281" s="70" t="str">
        <f>IF(COUNTIFS(Log[Date],tbDailyTotals[[#This Row],[Date]],Log[Item],"Morn insulin",Log[Qty],1),"x","")</f>
        <v/>
      </c>
      <c r="K281" s="70" t="str">
        <f>IF(COUNTIFS(Log[Date],tbDailyTotals[[#This Row],[Date]],Log[Item],"Eve insulin",Log[Qty],1),"x","")</f>
        <v/>
      </c>
      <c r="L281" s="70" t="str">
        <f>IF(COUNTIFS(Log[Date],tbDailyTotals[[#This Row],[Date]],Log[Item],"Eve meds",Log[Qty],1),"x","")</f>
        <v/>
      </c>
      <c r="M281" s="150"/>
    </row>
    <row r="282" spans="2:13" s="75" customFormat="1" ht="25.15" customHeight="1">
      <c r="B282" s="91"/>
      <c r="C282" s="82">
        <f>SUMIFS(Log[Cal],Log[Date],tbDailyTotals[[#This Row],[Date]])</f>
        <v>0</v>
      </c>
      <c r="D282" s="82">
        <f>SUMIFS(Log[Sodium],Log[Date],tbDailyTotals[[#This Row],[Date]])</f>
        <v>0</v>
      </c>
      <c r="E282" s="71">
        <f>SUMIFS(Log[Net Carbs],Log[Date],tbDailyTotals[[#This Row],[Date]])</f>
        <v>0</v>
      </c>
      <c r="F282" s="71">
        <f>SUMIFS(Log[Protein],Log[Date],tbDailyTotals[[#This Row],[Date]])</f>
        <v>0</v>
      </c>
      <c r="G282" s="83">
        <f>SUMIFS(Log[Chol],Log[Date],tbDailyTotals[[#This Row],[Date]])</f>
        <v>0</v>
      </c>
      <c r="H282" s="92"/>
      <c r="I282" s="70" t="str">
        <f>IF(COUNTIFS(Log[Date],tbDailyTotals[[#This Row],[Date]],Log[Item],"Morn meds",Log[Qty],1),"x","")</f>
        <v/>
      </c>
      <c r="J282" s="70" t="str">
        <f>IF(COUNTIFS(Log[Date],tbDailyTotals[[#This Row],[Date]],Log[Item],"Morn insulin",Log[Qty],1),"x","")</f>
        <v/>
      </c>
      <c r="K282" s="70" t="str">
        <f>IF(COUNTIFS(Log[Date],tbDailyTotals[[#This Row],[Date]],Log[Item],"Eve insulin",Log[Qty],1),"x","")</f>
        <v/>
      </c>
      <c r="L282" s="70" t="str">
        <f>IF(COUNTIFS(Log[Date],tbDailyTotals[[#This Row],[Date]],Log[Item],"Eve meds",Log[Qty],1),"x","")</f>
        <v/>
      </c>
      <c r="M282" s="150"/>
    </row>
    <row r="283" spans="2:13" s="75" customFormat="1" ht="25.15" customHeight="1">
      <c r="B283" s="91"/>
      <c r="C283" s="82">
        <f>SUMIFS(Log[Cal],Log[Date],tbDailyTotals[[#This Row],[Date]])</f>
        <v>0</v>
      </c>
      <c r="D283" s="82">
        <f>SUMIFS(Log[Sodium],Log[Date],tbDailyTotals[[#This Row],[Date]])</f>
        <v>0</v>
      </c>
      <c r="E283" s="71">
        <f>SUMIFS(Log[Net Carbs],Log[Date],tbDailyTotals[[#This Row],[Date]])</f>
        <v>0</v>
      </c>
      <c r="F283" s="71">
        <f>SUMIFS(Log[Protein],Log[Date],tbDailyTotals[[#This Row],[Date]])</f>
        <v>0</v>
      </c>
      <c r="G283" s="83">
        <f>SUMIFS(Log[Chol],Log[Date],tbDailyTotals[[#This Row],[Date]])</f>
        <v>0</v>
      </c>
      <c r="H283" s="92"/>
      <c r="I283" s="70" t="str">
        <f>IF(COUNTIFS(Log[Date],tbDailyTotals[[#This Row],[Date]],Log[Item],"Morn meds",Log[Qty],1),"x","")</f>
        <v/>
      </c>
      <c r="J283" s="70" t="str">
        <f>IF(COUNTIFS(Log[Date],tbDailyTotals[[#This Row],[Date]],Log[Item],"Morn insulin",Log[Qty],1),"x","")</f>
        <v/>
      </c>
      <c r="K283" s="70" t="str">
        <f>IF(COUNTIFS(Log[Date],tbDailyTotals[[#This Row],[Date]],Log[Item],"Eve insulin",Log[Qty],1),"x","")</f>
        <v/>
      </c>
      <c r="L283" s="70" t="str">
        <f>IF(COUNTIFS(Log[Date],tbDailyTotals[[#This Row],[Date]],Log[Item],"Eve meds",Log[Qty],1),"x","")</f>
        <v/>
      </c>
      <c r="M283" s="150"/>
    </row>
    <row r="284" spans="2:13" s="75" customFormat="1" ht="25.15" customHeight="1">
      <c r="B284" s="91"/>
      <c r="C284" s="82">
        <f>SUMIFS(Log[Cal],Log[Date],tbDailyTotals[[#This Row],[Date]])</f>
        <v>0</v>
      </c>
      <c r="D284" s="82">
        <f>SUMIFS(Log[Sodium],Log[Date],tbDailyTotals[[#This Row],[Date]])</f>
        <v>0</v>
      </c>
      <c r="E284" s="71">
        <f>SUMIFS(Log[Net Carbs],Log[Date],tbDailyTotals[[#This Row],[Date]])</f>
        <v>0</v>
      </c>
      <c r="F284" s="71">
        <f>SUMIFS(Log[Protein],Log[Date],tbDailyTotals[[#This Row],[Date]])</f>
        <v>0</v>
      </c>
      <c r="G284" s="83">
        <f>SUMIFS(Log[Chol],Log[Date],tbDailyTotals[[#This Row],[Date]])</f>
        <v>0</v>
      </c>
      <c r="H284" s="92"/>
      <c r="I284" s="70" t="str">
        <f>IF(COUNTIFS(Log[Date],tbDailyTotals[[#This Row],[Date]],Log[Item],"Morn meds",Log[Qty],1),"x","")</f>
        <v/>
      </c>
      <c r="J284" s="70" t="str">
        <f>IF(COUNTIFS(Log[Date],tbDailyTotals[[#This Row],[Date]],Log[Item],"Morn insulin",Log[Qty],1),"x","")</f>
        <v/>
      </c>
      <c r="K284" s="70" t="str">
        <f>IF(COUNTIFS(Log[Date],tbDailyTotals[[#This Row],[Date]],Log[Item],"Eve insulin",Log[Qty],1),"x","")</f>
        <v/>
      </c>
      <c r="L284" s="70" t="str">
        <f>IF(COUNTIFS(Log[Date],tbDailyTotals[[#This Row],[Date]],Log[Item],"Eve meds",Log[Qty],1),"x","")</f>
        <v/>
      </c>
      <c r="M284" s="150"/>
    </row>
    <row r="285" spans="2:13" s="75" customFormat="1" ht="25.15" customHeight="1">
      <c r="B285" s="91"/>
      <c r="C285" s="82">
        <f>SUMIFS(Log[Cal],Log[Date],tbDailyTotals[[#This Row],[Date]])</f>
        <v>0</v>
      </c>
      <c r="D285" s="82">
        <f>SUMIFS(Log[Sodium],Log[Date],tbDailyTotals[[#This Row],[Date]])</f>
        <v>0</v>
      </c>
      <c r="E285" s="71">
        <f>SUMIFS(Log[Net Carbs],Log[Date],tbDailyTotals[[#This Row],[Date]])</f>
        <v>0</v>
      </c>
      <c r="F285" s="71">
        <f>SUMIFS(Log[Protein],Log[Date],tbDailyTotals[[#This Row],[Date]])</f>
        <v>0</v>
      </c>
      <c r="G285" s="83">
        <f>SUMIFS(Log[Chol],Log[Date],tbDailyTotals[[#This Row],[Date]])</f>
        <v>0</v>
      </c>
      <c r="H285" s="92"/>
      <c r="I285" s="70" t="str">
        <f>IF(COUNTIFS(Log[Date],tbDailyTotals[[#This Row],[Date]],Log[Item],"Morn meds",Log[Qty],1),"x","")</f>
        <v/>
      </c>
      <c r="J285" s="70" t="str">
        <f>IF(COUNTIFS(Log[Date],tbDailyTotals[[#This Row],[Date]],Log[Item],"Morn insulin",Log[Qty],1),"x","")</f>
        <v/>
      </c>
      <c r="K285" s="70" t="str">
        <f>IF(COUNTIFS(Log[Date],tbDailyTotals[[#This Row],[Date]],Log[Item],"Eve insulin",Log[Qty],1),"x","")</f>
        <v/>
      </c>
      <c r="L285" s="70" t="str">
        <f>IF(COUNTIFS(Log[Date],tbDailyTotals[[#This Row],[Date]],Log[Item],"Eve meds",Log[Qty],1),"x","")</f>
        <v/>
      </c>
      <c r="M285" s="150"/>
    </row>
    <row r="286" spans="2:13" s="75" customFormat="1" ht="25.15" customHeight="1">
      <c r="B286" s="91"/>
      <c r="C286" s="82">
        <f>SUMIFS(Log[Cal],Log[Date],tbDailyTotals[[#This Row],[Date]])</f>
        <v>0</v>
      </c>
      <c r="D286" s="82">
        <f>SUMIFS(Log[Sodium],Log[Date],tbDailyTotals[[#This Row],[Date]])</f>
        <v>0</v>
      </c>
      <c r="E286" s="71">
        <f>SUMIFS(Log[Net Carbs],Log[Date],tbDailyTotals[[#This Row],[Date]])</f>
        <v>0</v>
      </c>
      <c r="F286" s="71">
        <f>SUMIFS(Log[Protein],Log[Date],tbDailyTotals[[#This Row],[Date]])</f>
        <v>0</v>
      </c>
      <c r="G286" s="83">
        <f>SUMIFS(Log[Chol],Log[Date],tbDailyTotals[[#This Row],[Date]])</f>
        <v>0</v>
      </c>
      <c r="H286" s="92"/>
      <c r="I286" s="70" t="str">
        <f>IF(COUNTIFS(Log[Date],tbDailyTotals[[#This Row],[Date]],Log[Item],"Morn meds",Log[Qty],1),"x","")</f>
        <v/>
      </c>
      <c r="J286" s="70" t="str">
        <f>IF(COUNTIFS(Log[Date],tbDailyTotals[[#This Row],[Date]],Log[Item],"Morn insulin",Log[Qty],1),"x","")</f>
        <v/>
      </c>
      <c r="K286" s="70" t="str">
        <f>IF(COUNTIFS(Log[Date],tbDailyTotals[[#This Row],[Date]],Log[Item],"Eve insulin",Log[Qty],1),"x","")</f>
        <v/>
      </c>
      <c r="L286" s="70" t="str">
        <f>IF(COUNTIFS(Log[Date],tbDailyTotals[[#This Row],[Date]],Log[Item],"Eve meds",Log[Qty],1),"x","")</f>
        <v/>
      </c>
      <c r="M286" s="150"/>
    </row>
    <row r="287" spans="2:13" s="75" customFormat="1" ht="25.15" customHeight="1">
      <c r="B287" s="91"/>
      <c r="C287" s="82">
        <f>SUMIFS(Log[Cal],Log[Date],tbDailyTotals[[#This Row],[Date]])</f>
        <v>0</v>
      </c>
      <c r="D287" s="82">
        <f>SUMIFS(Log[Sodium],Log[Date],tbDailyTotals[[#This Row],[Date]])</f>
        <v>0</v>
      </c>
      <c r="E287" s="71">
        <f>SUMIFS(Log[Net Carbs],Log[Date],tbDailyTotals[[#This Row],[Date]])</f>
        <v>0</v>
      </c>
      <c r="F287" s="71">
        <f>SUMIFS(Log[Protein],Log[Date],tbDailyTotals[[#This Row],[Date]])</f>
        <v>0</v>
      </c>
      <c r="G287" s="83">
        <f>SUMIFS(Log[Chol],Log[Date],tbDailyTotals[[#This Row],[Date]])</f>
        <v>0</v>
      </c>
      <c r="H287" s="92"/>
      <c r="I287" s="70" t="str">
        <f>IF(COUNTIFS(Log[Date],tbDailyTotals[[#This Row],[Date]],Log[Item],"Morn meds",Log[Qty],1),"x","")</f>
        <v/>
      </c>
      <c r="J287" s="70" t="str">
        <f>IF(COUNTIFS(Log[Date],tbDailyTotals[[#This Row],[Date]],Log[Item],"Morn insulin",Log[Qty],1),"x","")</f>
        <v/>
      </c>
      <c r="K287" s="70" t="str">
        <f>IF(COUNTIFS(Log[Date],tbDailyTotals[[#This Row],[Date]],Log[Item],"Eve insulin",Log[Qty],1),"x","")</f>
        <v/>
      </c>
      <c r="L287" s="70" t="str">
        <f>IF(COUNTIFS(Log[Date],tbDailyTotals[[#This Row],[Date]],Log[Item],"Eve meds",Log[Qty],1),"x","")</f>
        <v/>
      </c>
      <c r="M287" s="150"/>
    </row>
    <row r="288" spans="2:13" s="75" customFormat="1" ht="25.15" customHeight="1">
      <c r="B288" s="91"/>
      <c r="C288" s="82">
        <f>SUMIFS(Log[Cal],Log[Date],tbDailyTotals[[#This Row],[Date]])</f>
        <v>0</v>
      </c>
      <c r="D288" s="82">
        <f>SUMIFS(Log[Sodium],Log[Date],tbDailyTotals[[#This Row],[Date]])</f>
        <v>0</v>
      </c>
      <c r="E288" s="71">
        <f>SUMIFS(Log[Net Carbs],Log[Date],tbDailyTotals[[#This Row],[Date]])</f>
        <v>0</v>
      </c>
      <c r="F288" s="71">
        <f>SUMIFS(Log[Protein],Log[Date],tbDailyTotals[[#This Row],[Date]])</f>
        <v>0</v>
      </c>
      <c r="G288" s="83">
        <f>SUMIFS(Log[Chol],Log[Date],tbDailyTotals[[#This Row],[Date]])</f>
        <v>0</v>
      </c>
      <c r="H288" s="92"/>
      <c r="I288" s="70" t="str">
        <f>IF(COUNTIFS(Log[Date],tbDailyTotals[[#This Row],[Date]],Log[Item],"Morn meds",Log[Qty],1),"x","")</f>
        <v/>
      </c>
      <c r="J288" s="70" t="str">
        <f>IF(COUNTIFS(Log[Date],tbDailyTotals[[#This Row],[Date]],Log[Item],"Morn insulin",Log[Qty],1),"x","")</f>
        <v/>
      </c>
      <c r="K288" s="70" t="str">
        <f>IF(COUNTIFS(Log[Date],tbDailyTotals[[#This Row],[Date]],Log[Item],"Eve insulin",Log[Qty],1),"x","")</f>
        <v/>
      </c>
      <c r="L288" s="70" t="str">
        <f>IF(COUNTIFS(Log[Date],tbDailyTotals[[#This Row],[Date]],Log[Item],"Eve meds",Log[Qty],1),"x","")</f>
        <v/>
      </c>
      <c r="M288" s="150"/>
    </row>
    <row r="289" spans="2:13" s="75" customFormat="1" ht="25.15" customHeight="1">
      <c r="B289" s="91"/>
      <c r="C289" s="82">
        <f>SUMIFS(Log[Cal],Log[Date],tbDailyTotals[[#This Row],[Date]])</f>
        <v>0</v>
      </c>
      <c r="D289" s="82">
        <f>SUMIFS(Log[Sodium],Log[Date],tbDailyTotals[[#This Row],[Date]])</f>
        <v>0</v>
      </c>
      <c r="E289" s="71">
        <f>SUMIFS(Log[Net Carbs],Log[Date],tbDailyTotals[[#This Row],[Date]])</f>
        <v>0</v>
      </c>
      <c r="F289" s="71">
        <f>SUMIFS(Log[Protein],Log[Date],tbDailyTotals[[#This Row],[Date]])</f>
        <v>0</v>
      </c>
      <c r="G289" s="83">
        <f>SUMIFS(Log[Chol],Log[Date],tbDailyTotals[[#This Row],[Date]])</f>
        <v>0</v>
      </c>
      <c r="H289" s="92"/>
      <c r="I289" s="70" t="str">
        <f>IF(COUNTIFS(Log[Date],tbDailyTotals[[#This Row],[Date]],Log[Item],"Morn meds",Log[Qty],1),"x","")</f>
        <v/>
      </c>
      <c r="J289" s="70" t="str">
        <f>IF(COUNTIFS(Log[Date],tbDailyTotals[[#This Row],[Date]],Log[Item],"Morn insulin",Log[Qty],1),"x","")</f>
        <v/>
      </c>
      <c r="K289" s="70" t="str">
        <f>IF(COUNTIFS(Log[Date],tbDailyTotals[[#This Row],[Date]],Log[Item],"Eve insulin",Log[Qty],1),"x","")</f>
        <v/>
      </c>
      <c r="L289" s="70" t="str">
        <f>IF(COUNTIFS(Log[Date],tbDailyTotals[[#This Row],[Date]],Log[Item],"Eve meds",Log[Qty],1),"x","")</f>
        <v/>
      </c>
      <c r="M289" s="150"/>
    </row>
    <row r="290" spans="2:13" s="75" customFormat="1" ht="25.15" customHeight="1">
      <c r="B290" s="91"/>
      <c r="C290" s="82">
        <f>SUMIFS(Log[Cal],Log[Date],tbDailyTotals[[#This Row],[Date]])</f>
        <v>0</v>
      </c>
      <c r="D290" s="82">
        <f>SUMIFS(Log[Sodium],Log[Date],tbDailyTotals[[#This Row],[Date]])</f>
        <v>0</v>
      </c>
      <c r="E290" s="71">
        <f>SUMIFS(Log[Net Carbs],Log[Date],tbDailyTotals[[#This Row],[Date]])</f>
        <v>0</v>
      </c>
      <c r="F290" s="71">
        <f>SUMIFS(Log[Protein],Log[Date],tbDailyTotals[[#This Row],[Date]])</f>
        <v>0</v>
      </c>
      <c r="G290" s="83">
        <f>SUMIFS(Log[Chol],Log[Date],tbDailyTotals[[#This Row],[Date]])</f>
        <v>0</v>
      </c>
      <c r="H290" s="92"/>
      <c r="I290" s="70" t="str">
        <f>IF(COUNTIFS(Log[Date],tbDailyTotals[[#This Row],[Date]],Log[Item],"Morn meds",Log[Qty],1),"x","")</f>
        <v/>
      </c>
      <c r="J290" s="70" t="str">
        <f>IF(COUNTIFS(Log[Date],tbDailyTotals[[#This Row],[Date]],Log[Item],"Morn insulin",Log[Qty],1),"x","")</f>
        <v/>
      </c>
      <c r="K290" s="70" t="str">
        <f>IF(COUNTIFS(Log[Date],tbDailyTotals[[#This Row],[Date]],Log[Item],"Eve insulin",Log[Qty],1),"x","")</f>
        <v/>
      </c>
      <c r="L290" s="70" t="str">
        <f>IF(COUNTIFS(Log[Date],tbDailyTotals[[#This Row],[Date]],Log[Item],"Eve meds",Log[Qty],1),"x","")</f>
        <v/>
      </c>
      <c r="M290" s="150"/>
    </row>
    <row r="291" spans="2:13" s="75" customFormat="1" ht="25.15" customHeight="1">
      <c r="B291" s="91"/>
      <c r="C291" s="82">
        <f>SUMIFS(Log[Cal],Log[Date],tbDailyTotals[[#This Row],[Date]])</f>
        <v>0</v>
      </c>
      <c r="D291" s="82">
        <f>SUMIFS(Log[Sodium],Log[Date],tbDailyTotals[[#This Row],[Date]])</f>
        <v>0</v>
      </c>
      <c r="E291" s="71">
        <f>SUMIFS(Log[Net Carbs],Log[Date],tbDailyTotals[[#This Row],[Date]])</f>
        <v>0</v>
      </c>
      <c r="F291" s="71">
        <f>SUMIFS(Log[Protein],Log[Date],tbDailyTotals[[#This Row],[Date]])</f>
        <v>0</v>
      </c>
      <c r="G291" s="83">
        <f>SUMIFS(Log[Chol],Log[Date],tbDailyTotals[[#This Row],[Date]])</f>
        <v>0</v>
      </c>
      <c r="H291" s="92"/>
      <c r="I291" s="70" t="str">
        <f>IF(COUNTIFS(Log[Date],tbDailyTotals[[#This Row],[Date]],Log[Item],"Morn meds",Log[Qty],1),"x","")</f>
        <v/>
      </c>
      <c r="J291" s="70" t="str">
        <f>IF(COUNTIFS(Log[Date],tbDailyTotals[[#This Row],[Date]],Log[Item],"Morn insulin",Log[Qty],1),"x","")</f>
        <v/>
      </c>
      <c r="K291" s="70" t="str">
        <f>IF(COUNTIFS(Log[Date],tbDailyTotals[[#This Row],[Date]],Log[Item],"Eve insulin",Log[Qty],1),"x","")</f>
        <v/>
      </c>
      <c r="L291" s="70" t="str">
        <f>IF(COUNTIFS(Log[Date],tbDailyTotals[[#This Row],[Date]],Log[Item],"Eve meds",Log[Qty],1),"x","")</f>
        <v/>
      </c>
      <c r="M291" s="150"/>
    </row>
    <row r="292" spans="2:13" s="75" customFormat="1" ht="25.15" customHeight="1">
      <c r="B292" s="91"/>
      <c r="C292" s="82">
        <f>SUMIFS(Log[Cal],Log[Date],tbDailyTotals[[#This Row],[Date]])</f>
        <v>0</v>
      </c>
      <c r="D292" s="82">
        <f>SUMIFS(Log[Sodium],Log[Date],tbDailyTotals[[#This Row],[Date]])</f>
        <v>0</v>
      </c>
      <c r="E292" s="71">
        <f>SUMIFS(Log[Net Carbs],Log[Date],tbDailyTotals[[#This Row],[Date]])</f>
        <v>0</v>
      </c>
      <c r="F292" s="71">
        <f>SUMIFS(Log[Protein],Log[Date],tbDailyTotals[[#This Row],[Date]])</f>
        <v>0</v>
      </c>
      <c r="G292" s="83">
        <f>SUMIFS(Log[Chol],Log[Date],tbDailyTotals[[#This Row],[Date]])</f>
        <v>0</v>
      </c>
      <c r="H292" s="92"/>
      <c r="I292" s="70" t="str">
        <f>IF(COUNTIFS(Log[Date],tbDailyTotals[[#This Row],[Date]],Log[Item],"Morn meds",Log[Qty],1),"x","")</f>
        <v/>
      </c>
      <c r="J292" s="70" t="str">
        <f>IF(COUNTIFS(Log[Date],tbDailyTotals[[#This Row],[Date]],Log[Item],"Morn insulin",Log[Qty],1),"x","")</f>
        <v/>
      </c>
      <c r="K292" s="70" t="str">
        <f>IF(COUNTIFS(Log[Date],tbDailyTotals[[#This Row],[Date]],Log[Item],"Eve insulin",Log[Qty],1),"x","")</f>
        <v/>
      </c>
      <c r="L292" s="70" t="str">
        <f>IF(COUNTIFS(Log[Date],tbDailyTotals[[#This Row],[Date]],Log[Item],"Eve meds",Log[Qty],1),"x","")</f>
        <v/>
      </c>
      <c r="M292" s="150"/>
    </row>
    <row r="293" spans="2:13" s="75" customFormat="1" ht="25.15" customHeight="1">
      <c r="B293" s="91"/>
      <c r="C293" s="82">
        <f>SUMIFS(Log[Cal],Log[Date],tbDailyTotals[[#This Row],[Date]])</f>
        <v>0</v>
      </c>
      <c r="D293" s="82">
        <f>SUMIFS(Log[Sodium],Log[Date],tbDailyTotals[[#This Row],[Date]])</f>
        <v>0</v>
      </c>
      <c r="E293" s="71">
        <f>SUMIFS(Log[Net Carbs],Log[Date],tbDailyTotals[[#This Row],[Date]])</f>
        <v>0</v>
      </c>
      <c r="F293" s="71">
        <f>SUMIFS(Log[Protein],Log[Date],tbDailyTotals[[#This Row],[Date]])</f>
        <v>0</v>
      </c>
      <c r="G293" s="83">
        <f>SUMIFS(Log[Chol],Log[Date],tbDailyTotals[[#This Row],[Date]])</f>
        <v>0</v>
      </c>
      <c r="H293" s="92"/>
      <c r="I293" s="70" t="str">
        <f>IF(COUNTIFS(Log[Date],tbDailyTotals[[#This Row],[Date]],Log[Item],"Morn meds",Log[Qty],1),"x","")</f>
        <v/>
      </c>
      <c r="J293" s="70" t="str">
        <f>IF(COUNTIFS(Log[Date],tbDailyTotals[[#This Row],[Date]],Log[Item],"Morn insulin",Log[Qty],1),"x","")</f>
        <v/>
      </c>
      <c r="K293" s="70" t="str">
        <f>IF(COUNTIFS(Log[Date],tbDailyTotals[[#This Row],[Date]],Log[Item],"Eve insulin",Log[Qty],1),"x","")</f>
        <v/>
      </c>
      <c r="L293" s="70" t="str">
        <f>IF(COUNTIFS(Log[Date],tbDailyTotals[[#This Row],[Date]],Log[Item],"Eve meds",Log[Qty],1),"x","")</f>
        <v/>
      </c>
      <c r="M293" s="150"/>
    </row>
    <row r="294" spans="2:13" s="75" customFormat="1" ht="25.15" customHeight="1">
      <c r="B294" s="91"/>
      <c r="C294" s="82">
        <f>SUMIFS(Log[Cal],Log[Date],tbDailyTotals[[#This Row],[Date]])</f>
        <v>0</v>
      </c>
      <c r="D294" s="82">
        <f>SUMIFS(Log[Sodium],Log[Date],tbDailyTotals[[#This Row],[Date]])</f>
        <v>0</v>
      </c>
      <c r="E294" s="71">
        <f>SUMIFS(Log[Net Carbs],Log[Date],tbDailyTotals[[#This Row],[Date]])</f>
        <v>0</v>
      </c>
      <c r="F294" s="71">
        <f>SUMIFS(Log[Protein],Log[Date],tbDailyTotals[[#This Row],[Date]])</f>
        <v>0</v>
      </c>
      <c r="G294" s="83">
        <f>SUMIFS(Log[Chol],Log[Date],tbDailyTotals[[#This Row],[Date]])</f>
        <v>0</v>
      </c>
      <c r="H294" s="92"/>
      <c r="I294" s="70" t="str">
        <f>IF(COUNTIFS(Log[Date],tbDailyTotals[[#This Row],[Date]],Log[Item],"Morn meds",Log[Qty],1),"x","")</f>
        <v/>
      </c>
      <c r="J294" s="70" t="str">
        <f>IF(COUNTIFS(Log[Date],tbDailyTotals[[#This Row],[Date]],Log[Item],"Morn insulin",Log[Qty],1),"x","")</f>
        <v/>
      </c>
      <c r="K294" s="70" t="str">
        <f>IF(COUNTIFS(Log[Date],tbDailyTotals[[#This Row],[Date]],Log[Item],"Eve insulin",Log[Qty],1),"x","")</f>
        <v/>
      </c>
      <c r="L294" s="70" t="str">
        <f>IF(COUNTIFS(Log[Date],tbDailyTotals[[#This Row],[Date]],Log[Item],"Eve meds",Log[Qty],1),"x","")</f>
        <v/>
      </c>
      <c r="M294" s="150"/>
    </row>
    <row r="295" spans="2:13" s="75" customFormat="1" ht="25.15" customHeight="1">
      <c r="B295" s="91"/>
      <c r="C295" s="82">
        <f>SUMIFS(Log[Cal],Log[Date],tbDailyTotals[[#This Row],[Date]])</f>
        <v>0</v>
      </c>
      <c r="D295" s="82">
        <f>SUMIFS(Log[Sodium],Log[Date],tbDailyTotals[[#This Row],[Date]])</f>
        <v>0</v>
      </c>
      <c r="E295" s="71">
        <f>SUMIFS(Log[Net Carbs],Log[Date],tbDailyTotals[[#This Row],[Date]])</f>
        <v>0</v>
      </c>
      <c r="F295" s="71">
        <f>SUMIFS(Log[Protein],Log[Date],tbDailyTotals[[#This Row],[Date]])</f>
        <v>0</v>
      </c>
      <c r="G295" s="83">
        <f>SUMIFS(Log[Chol],Log[Date],tbDailyTotals[[#This Row],[Date]])</f>
        <v>0</v>
      </c>
      <c r="H295" s="92"/>
      <c r="I295" s="70" t="str">
        <f>IF(COUNTIFS(Log[Date],tbDailyTotals[[#This Row],[Date]],Log[Item],"Morn meds",Log[Qty],1),"x","")</f>
        <v/>
      </c>
      <c r="J295" s="70" t="str">
        <f>IF(COUNTIFS(Log[Date],tbDailyTotals[[#This Row],[Date]],Log[Item],"Morn insulin",Log[Qty],1),"x","")</f>
        <v/>
      </c>
      <c r="K295" s="70" t="str">
        <f>IF(COUNTIFS(Log[Date],tbDailyTotals[[#This Row],[Date]],Log[Item],"Eve insulin",Log[Qty],1),"x","")</f>
        <v/>
      </c>
      <c r="L295" s="70" t="str">
        <f>IF(COUNTIFS(Log[Date],tbDailyTotals[[#This Row],[Date]],Log[Item],"Eve meds",Log[Qty],1),"x","")</f>
        <v/>
      </c>
      <c r="M295" s="150"/>
    </row>
    <row r="296" spans="2:13" s="75" customFormat="1" ht="25.15" customHeight="1">
      <c r="B296" s="91"/>
      <c r="C296" s="82">
        <f>SUMIFS(Log[Cal],Log[Date],tbDailyTotals[[#This Row],[Date]])</f>
        <v>0</v>
      </c>
      <c r="D296" s="82">
        <f>SUMIFS(Log[Sodium],Log[Date],tbDailyTotals[[#This Row],[Date]])</f>
        <v>0</v>
      </c>
      <c r="E296" s="71">
        <f>SUMIFS(Log[Net Carbs],Log[Date],tbDailyTotals[[#This Row],[Date]])</f>
        <v>0</v>
      </c>
      <c r="F296" s="71">
        <f>SUMIFS(Log[Protein],Log[Date],tbDailyTotals[[#This Row],[Date]])</f>
        <v>0</v>
      </c>
      <c r="G296" s="83">
        <f>SUMIFS(Log[Chol],Log[Date],tbDailyTotals[[#This Row],[Date]])</f>
        <v>0</v>
      </c>
      <c r="H296" s="92"/>
      <c r="I296" s="70" t="str">
        <f>IF(COUNTIFS(Log[Date],tbDailyTotals[[#This Row],[Date]],Log[Item],"Morn meds",Log[Qty],1),"x","")</f>
        <v/>
      </c>
      <c r="J296" s="70" t="str">
        <f>IF(COUNTIFS(Log[Date],tbDailyTotals[[#This Row],[Date]],Log[Item],"Morn insulin",Log[Qty],1),"x","")</f>
        <v/>
      </c>
      <c r="K296" s="70" t="str">
        <f>IF(COUNTIFS(Log[Date],tbDailyTotals[[#This Row],[Date]],Log[Item],"Eve insulin",Log[Qty],1),"x","")</f>
        <v/>
      </c>
      <c r="L296" s="70" t="str">
        <f>IF(COUNTIFS(Log[Date],tbDailyTotals[[#This Row],[Date]],Log[Item],"Eve meds",Log[Qty],1),"x","")</f>
        <v/>
      </c>
      <c r="M296" s="150"/>
    </row>
    <row r="297" spans="2:13" s="75" customFormat="1" ht="25.15" customHeight="1">
      <c r="B297" s="91"/>
      <c r="C297" s="82">
        <f>SUMIFS(Log[Cal],Log[Date],tbDailyTotals[[#This Row],[Date]])</f>
        <v>0</v>
      </c>
      <c r="D297" s="82">
        <f>SUMIFS(Log[Sodium],Log[Date],tbDailyTotals[[#This Row],[Date]])</f>
        <v>0</v>
      </c>
      <c r="E297" s="71">
        <f>SUMIFS(Log[Net Carbs],Log[Date],tbDailyTotals[[#This Row],[Date]])</f>
        <v>0</v>
      </c>
      <c r="F297" s="71">
        <f>SUMIFS(Log[Protein],Log[Date],tbDailyTotals[[#This Row],[Date]])</f>
        <v>0</v>
      </c>
      <c r="G297" s="83">
        <f>SUMIFS(Log[Chol],Log[Date],tbDailyTotals[[#This Row],[Date]])</f>
        <v>0</v>
      </c>
      <c r="H297" s="92"/>
      <c r="I297" s="70" t="str">
        <f>IF(COUNTIFS(Log[Date],tbDailyTotals[[#This Row],[Date]],Log[Item],"Morn meds",Log[Qty],1),"x","")</f>
        <v/>
      </c>
      <c r="J297" s="70" t="str">
        <f>IF(COUNTIFS(Log[Date],tbDailyTotals[[#This Row],[Date]],Log[Item],"Morn insulin",Log[Qty],1),"x","")</f>
        <v/>
      </c>
      <c r="K297" s="70" t="str">
        <f>IF(COUNTIFS(Log[Date],tbDailyTotals[[#This Row],[Date]],Log[Item],"Eve insulin",Log[Qty],1),"x","")</f>
        <v/>
      </c>
      <c r="L297" s="70" t="str">
        <f>IF(COUNTIFS(Log[Date],tbDailyTotals[[#This Row],[Date]],Log[Item],"Eve meds",Log[Qty],1),"x","")</f>
        <v/>
      </c>
      <c r="M297" s="150"/>
    </row>
    <row r="298" spans="2:13" s="75" customFormat="1" ht="25.15" customHeight="1">
      <c r="B298" s="91"/>
      <c r="C298" s="82">
        <f>SUMIFS(Log[Cal],Log[Date],tbDailyTotals[[#This Row],[Date]])</f>
        <v>0</v>
      </c>
      <c r="D298" s="82">
        <f>SUMIFS(Log[Sodium],Log[Date],tbDailyTotals[[#This Row],[Date]])</f>
        <v>0</v>
      </c>
      <c r="E298" s="71">
        <f>SUMIFS(Log[Net Carbs],Log[Date],tbDailyTotals[[#This Row],[Date]])</f>
        <v>0</v>
      </c>
      <c r="F298" s="71">
        <f>SUMIFS(Log[Protein],Log[Date],tbDailyTotals[[#This Row],[Date]])</f>
        <v>0</v>
      </c>
      <c r="G298" s="83">
        <f>SUMIFS(Log[Chol],Log[Date],tbDailyTotals[[#This Row],[Date]])</f>
        <v>0</v>
      </c>
      <c r="H298" s="92"/>
      <c r="I298" s="70" t="str">
        <f>IF(COUNTIFS(Log[Date],tbDailyTotals[[#This Row],[Date]],Log[Item],"Morn meds",Log[Qty],1),"x","")</f>
        <v/>
      </c>
      <c r="J298" s="70" t="str">
        <f>IF(COUNTIFS(Log[Date],tbDailyTotals[[#This Row],[Date]],Log[Item],"Morn insulin",Log[Qty],1),"x","")</f>
        <v/>
      </c>
      <c r="K298" s="70" t="str">
        <f>IF(COUNTIFS(Log[Date],tbDailyTotals[[#This Row],[Date]],Log[Item],"Eve insulin",Log[Qty],1),"x","")</f>
        <v/>
      </c>
      <c r="L298" s="70" t="str">
        <f>IF(COUNTIFS(Log[Date],tbDailyTotals[[#This Row],[Date]],Log[Item],"Eve meds",Log[Qty],1),"x","")</f>
        <v/>
      </c>
      <c r="M298" s="150"/>
    </row>
    <row r="299" spans="2:13" s="75" customFormat="1" ht="25.15" customHeight="1">
      <c r="B299" s="91"/>
      <c r="C299" s="82">
        <f>SUMIFS(Log[Cal],Log[Date],tbDailyTotals[[#This Row],[Date]])</f>
        <v>0</v>
      </c>
      <c r="D299" s="82">
        <f>SUMIFS(Log[Sodium],Log[Date],tbDailyTotals[[#This Row],[Date]])</f>
        <v>0</v>
      </c>
      <c r="E299" s="71">
        <f>SUMIFS(Log[Net Carbs],Log[Date],tbDailyTotals[[#This Row],[Date]])</f>
        <v>0</v>
      </c>
      <c r="F299" s="71">
        <f>SUMIFS(Log[Protein],Log[Date],tbDailyTotals[[#This Row],[Date]])</f>
        <v>0</v>
      </c>
      <c r="G299" s="83">
        <f>SUMIFS(Log[Chol],Log[Date],tbDailyTotals[[#This Row],[Date]])</f>
        <v>0</v>
      </c>
      <c r="H299" s="92"/>
      <c r="I299" s="70" t="str">
        <f>IF(COUNTIFS(Log[Date],tbDailyTotals[[#This Row],[Date]],Log[Item],"Morn meds",Log[Qty],1),"x","")</f>
        <v/>
      </c>
      <c r="J299" s="70" t="str">
        <f>IF(COUNTIFS(Log[Date],tbDailyTotals[[#This Row],[Date]],Log[Item],"Morn insulin",Log[Qty],1),"x","")</f>
        <v/>
      </c>
      <c r="K299" s="70" t="str">
        <f>IF(COUNTIFS(Log[Date],tbDailyTotals[[#This Row],[Date]],Log[Item],"Eve insulin",Log[Qty],1),"x","")</f>
        <v/>
      </c>
      <c r="L299" s="70" t="str">
        <f>IF(COUNTIFS(Log[Date],tbDailyTotals[[#This Row],[Date]],Log[Item],"Eve meds",Log[Qty],1),"x","")</f>
        <v/>
      </c>
      <c r="M299" s="150"/>
    </row>
    <row r="300" spans="2:13" s="75" customFormat="1" ht="25.15" customHeight="1">
      <c r="B300" s="91"/>
      <c r="C300" s="82">
        <f>SUMIFS(Log[Cal],Log[Date],tbDailyTotals[[#This Row],[Date]])</f>
        <v>0</v>
      </c>
      <c r="D300" s="82">
        <f>SUMIFS(Log[Sodium],Log[Date],tbDailyTotals[[#This Row],[Date]])</f>
        <v>0</v>
      </c>
      <c r="E300" s="71">
        <f>SUMIFS(Log[Net Carbs],Log[Date],tbDailyTotals[[#This Row],[Date]])</f>
        <v>0</v>
      </c>
      <c r="F300" s="71">
        <f>SUMIFS(Log[Protein],Log[Date],tbDailyTotals[[#This Row],[Date]])</f>
        <v>0</v>
      </c>
      <c r="G300" s="83">
        <f>SUMIFS(Log[Chol],Log[Date],tbDailyTotals[[#This Row],[Date]])</f>
        <v>0</v>
      </c>
      <c r="H300" s="92"/>
      <c r="I300" s="70" t="str">
        <f>IF(COUNTIFS(Log[Date],tbDailyTotals[[#This Row],[Date]],Log[Item],"Morn meds",Log[Qty],1),"x","")</f>
        <v/>
      </c>
      <c r="J300" s="70" t="str">
        <f>IF(COUNTIFS(Log[Date],tbDailyTotals[[#This Row],[Date]],Log[Item],"Morn insulin",Log[Qty],1),"x","")</f>
        <v/>
      </c>
      <c r="K300" s="70" t="str">
        <f>IF(COUNTIFS(Log[Date],tbDailyTotals[[#This Row],[Date]],Log[Item],"Eve insulin",Log[Qty],1),"x","")</f>
        <v/>
      </c>
      <c r="L300" s="70" t="str">
        <f>IF(COUNTIFS(Log[Date],tbDailyTotals[[#This Row],[Date]],Log[Item],"Eve meds",Log[Qty],1),"x","")</f>
        <v/>
      </c>
      <c r="M300" s="150"/>
    </row>
    <row r="301" spans="2:13" s="75" customFormat="1" ht="25.15" customHeight="1">
      <c r="B301" s="91"/>
      <c r="C301" s="82">
        <f>SUMIFS(Log[Cal],Log[Date],tbDailyTotals[[#This Row],[Date]])</f>
        <v>0</v>
      </c>
      <c r="D301" s="82">
        <f>SUMIFS(Log[Sodium],Log[Date],tbDailyTotals[[#This Row],[Date]])</f>
        <v>0</v>
      </c>
      <c r="E301" s="71">
        <f>SUMIFS(Log[Net Carbs],Log[Date],tbDailyTotals[[#This Row],[Date]])</f>
        <v>0</v>
      </c>
      <c r="F301" s="71">
        <f>SUMIFS(Log[Protein],Log[Date],tbDailyTotals[[#This Row],[Date]])</f>
        <v>0</v>
      </c>
      <c r="G301" s="83">
        <f>SUMIFS(Log[Chol],Log[Date],tbDailyTotals[[#This Row],[Date]])</f>
        <v>0</v>
      </c>
      <c r="H301" s="92"/>
      <c r="I301" s="70" t="str">
        <f>IF(COUNTIFS(Log[Date],tbDailyTotals[[#This Row],[Date]],Log[Item],"Morn meds",Log[Qty],1),"x","")</f>
        <v/>
      </c>
      <c r="J301" s="70" t="str">
        <f>IF(COUNTIFS(Log[Date],tbDailyTotals[[#This Row],[Date]],Log[Item],"Morn insulin",Log[Qty],1),"x","")</f>
        <v/>
      </c>
      <c r="K301" s="70" t="str">
        <f>IF(COUNTIFS(Log[Date],tbDailyTotals[[#This Row],[Date]],Log[Item],"Eve insulin",Log[Qty],1),"x","")</f>
        <v/>
      </c>
      <c r="L301" s="70" t="str">
        <f>IF(COUNTIFS(Log[Date],tbDailyTotals[[#This Row],[Date]],Log[Item],"Eve meds",Log[Qty],1),"x","")</f>
        <v/>
      </c>
      <c r="M301" s="150"/>
    </row>
    <row r="302" spans="2:13" s="75" customFormat="1" ht="25.15" customHeight="1">
      <c r="B302" s="91"/>
      <c r="C302" s="82">
        <f>SUMIFS(Log[Cal],Log[Date],tbDailyTotals[[#This Row],[Date]])</f>
        <v>0</v>
      </c>
      <c r="D302" s="82">
        <f>SUMIFS(Log[Sodium],Log[Date],tbDailyTotals[[#This Row],[Date]])</f>
        <v>0</v>
      </c>
      <c r="E302" s="71">
        <f>SUMIFS(Log[Net Carbs],Log[Date],tbDailyTotals[[#This Row],[Date]])</f>
        <v>0</v>
      </c>
      <c r="F302" s="71">
        <f>SUMIFS(Log[Protein],Log[Date],tbDailyTotals[[#This Row],[Date]])</f>
        <v>0</v>
      </c>
      <c r="G302" s="83">
        <f>SUMIFS(Log[Chol],Log[Date],tbDailyTotals[[#This Row],[Date]])</f>
        <v>0</v>
      </c>
      <c r="H302" s="92"/>
      <c r="I302" s="70" t="str">
        <f>IF(COUNTIFS(Log[Date],tbDailyTotals[[#This Row],[Date]],Log[Item],"Morn meds",Log[Qty],1),"x","")</f>
        <v/>
      </c>
      <c r="J302" s="70" t="str">
        <f>IF(COUNTIFS(Log[Date],tbDailyTotals[[#This Row],[Date]],Log[Item],"Morn insulin",Log[Qty],1),"x","")</f>
        <v/>
      </c>
      <c r="K302" s="70" t="str">
        <f>IF(COUNTIFS(Log[Date],tbDailyTotals[[#This Row],[Date]],Log[Item],"Eve insulin",Log[Qty],1),"x","")</f>
        <v/>
      </c>
      <c r="L302" s="70" t="str">
        <f>IF(COUNTIFS(Log[Date],tbDailyTotals[[#This Row],[Date]],Log[Item],"Eve meds",Log[Qty],1),"x","")</f>
        <v/>
      </c>
      <c r="M302" s="150"/>
    </row>
    <row r="303" spans="2:13" s="75" customFormat="1" ht="25.15" customHeight="1">
      <c r="B303" s="91"/>
      <c r="C303" s="82">
        <f>SUMIFS(Log[Cal],Log[Date],tbDailyTotals[[#This Row],[Date]])</f>
        <v>0</v>
      </c>
      <c r="D303" s="82">
        <f>SUMIFS(Log[Sodium],Log[Date],tbDailyTotals[[#This Row],[Date]])</f>
        <v>0</v>
      </c>
      <c r="E303" s="71">
        <f>SUMIFS(Log[Net Carbs],Log[Date],tbDailyTotals[[#This Row],[Date]])</f>
        <v>0</v>
      </c>
      <c r="F303" s="71">
        <f>SUMIFS(Log[Protein],Log[Date],tbDailyTotals[[#This Row],[Date]])</f>
        <v>0</v>
      </c>
      <c r="G303" s="83">
        <f>SUMIFS(Log[Chol],Log[Date],tbDailyTotals[[#This Row],[Date]])</f>
        <v>0</v>
      </c>
      <c r="H303" s="92"/>
      <c r="I303" s="70" t="str">
        <f>IF(COUNTIFS(Log[Date],tbDailyTotals[[#This Row],[Date]],Log[Item],"Morn meds",Log[Qty],1),"x","")</f>
        <v/>
      </c>
      <c r="J303" s="70" t="str">
        <f>IF(COUNTIFS(Log[Date],tbDailyTotals[[#This Row],[Date]],Log[Item],"Morn insulin",Log[Qty],1),"x","")</f>
        <v/>
      </c>
      <c r="K303" s="70" t="str">
        <f>IF(COUNTIFS(Log[Date],tbDailyTotals[[#This Row],[Date]],Log[Item],"Eve insulin",Log[Qty],1),"x","")</f>
        <v/>
      </c>
      <c r="L303" s="70" t="str">
        <f>IF(COUNTIFS(Log[Date],tbDailyTotals[[#This Row],[Date]],Log[Item],"Eve meds",Log[Qty],1),"x","")</f>
        <v/>
      </c>
      <c r="M303" s="150"/>
    </row>
    <row r="304" spans="2:13" s="75" customFormat="1" ht="25.15" customHeight="1">
      <c r="B304" s="91"/>
      <c r="C304" s="82">
        <f>SUMIFS(Log[Cal],Log[Date],tbDailyTotals[[#This Row],[Date]])</f>
        <v>0</v>
      </c>
      <c r="D304" s="82">
        <f>SUMIFS(Log[Sodium],Log[Date],tbDailyTotals[[#This Row],[Date]])</f>
        <v>0</v>
      </c>
      <c r="E304" s="71">
        <f>SUMIFS(Log[Net Carbs],Log[Date],tbDailyTotals[[#This Row],[Date]])</f>
        <v>0</v>
      </c>
      <c r="F304" s="71">
        <f>SUMIFS(Log[Protein],Log[Date],tbDailyTotals[[#This Row],[Date]])</f>
        <v>0</v>
      </c>
      <c r="G304" s="83">
        <f>SUMIFS(Log[Chol],Log[Date],tbDailyTotals[[#This Row],[Date]])</f>
        <v>0</v>
      </c>
      <c r="H304" s="92"/>
      <c r="I304" s="70" t="str">
        <f>IF(COUNTIFS(Log[Date],tbDailyTotals[[#This Row],[Date]],Log[Item],"Morn meds",Log[Qty],1),"x","")</f>
        <v/>
      </c>
      <c r="J304" s="70" t="str">
        <f>IF(COUNTIFS(Log[Date],tbDailyTotals[[#This Row],[Date]],Log[Item],"Morn insulin",Log[Qty],1),"x","")</f>
        <v/>
      </c>
      <c r="K304" s="70" t="str">
        <f>IF(COUNTIFS(Log[Date],tbDailyTotals[[#This Row],[Date]],Log[Item],"Eve insulin",Log[Qty],1),"x","")</f>
        <v/>
      </c>
      <c r="L304" s="70" t="str">
        <f>IF(COUNTIFS(Log[Date],tbDailyTotals[[#This Row],[Date]],Log[Item],"Eve meds",Log[Qty],1),"x","")</f>
        <v/>
      </c>
      <c r="M304" s="150"/>
    </row>
    <row r="305" spans="2:13" s="75" customFormat="1" ht="25.15" customHeight="1">
      <c r="B305" s="91"/>
      <c r="C305" s="82">
        <f>SUMIFS(Log[Cal],Log[Date],tbDailyTotals[[#This Row],[Date]])</f>
        <v>0</v>
      </c>
      <c r="D305" s="82">
        <f>SUMIFS(Log[Sodium],Log[Date],tbDailyTotals[[#This Row],[Date]])</f>
        <v>0</v>
      </c>
      <c r="E305" s="71">
        <f>SUMIFS(Log[Net Carbs],Log[Date],tbDailyTotals[[#This Row],[Date]])</f>
        <v>0</v>
      </c>
      <c r="F305" s="71">
        <f>SUMIFS(Log[Protein],Log[Date],tbDailyTotals[[#This Row],[Date]])</f>
        <v>0</v>
      </c>
      <c r="G305" s="83">
        <f>SUMIFS(Log[Chol],Log[Date],tbDailyTotals[[#This Row],[Date]])</f>
        <v>0</v>
      </c>
      <c r="H305" s="92"/>
      <c r="I305" s="70" t="str">
        <f>IF(COUNTIFS(Log[Date],tbDailyTotals[[#This Row],[Date]],Log[Item],"Morn meds",Log[Qty],1),"x","")</f>
        <v/>
      </c>
      <c r="J305" s="70" t="str">
        <f>IF(COUNTIFS(Log[Date],tbDailyTotals[[#This Row],[Date]],Log[Item],"Morn insulin",Log[Qty],1),"x","")</f>
        <v/>
      </c>
      <c r="K305" s="70" t="str">
        <f>IF(COUNTIFS(Log[Date],tbDailyTotals[[#This Row],[Date]],Log[Item],"Eve insulin",Log[Qty],1),"x","")</f>
        <v/>
      </c>
      <c r="L305" s="70" t="str">
        <f>IF(COUNTIFS(Log[Date],tbDailyTotals[[#This Row],[Date]],Log[Item],"Eve meds",Log[Qty],1),"x","")</f>
        <v/>
      </c>
      <c r="M305" s="150"/>
    </row>
    <row r="306" spans="2:13" s="75" customFormat="1" ht="25.15" customHeight="1">
      <c r="B306" s="91"/>
      <c r="C306" s="82">
        <f>SUMIFS(Log[Cal],Log[Date],tbDailyTotals[[#This Row],[Date]])</f>
        <v>0</v>
      </c>
      <c r="D306" s="82">
        <f>SUMIFS(Log[Sodium],Log[Date],tbDailyTotals[[#This Row],[Date]])</f>
        <v>0</v>
      </c>
      <c r="E306" s="71">
        <f>SUMIFS(Log[Net Carbs],Log[Date],tbDailyTotals[[#This Row],[Date]])</f>
        <v>0</v>
      </c>
      <c r="F306" s="71">
        <f>SUMIFS(Log[Protein],Log[Date],tbDailyTotals[[#This Row],[Date]])</f>
        <v>0</v>
      </c>
      <c r="G306" s="83">
        <f>SUMIFS(Log[Chol],Log[Date],tbDailyTotals[[#This Row],[Date]])</f>
        <v>0</v>
      </c>
      <c r="H306" s="92"/>
      <c r="I306" s="70" t="str">
        <f>IF(COUNTIFS(Log[Date],tbDailyTotals[[#This Row],[Date]],Log[Item],"Morn meds",Log[Qty],1),"x","")</f>
        <v/>
      </c>
      <c r="J306" s="70" t="str">
        <f>IF(COUNTIFS(Log[Date],tbDailyTotals[[#This Row],[Date]],Log[Item],"Morn insulin",Log[Qty],1),"x","")</f>
        <v/>
      </c>
      <c r="K306" s="70" t="str">
        <f>IF(COUNTIFS(Log[Date],tbDailyTotals[[#This Row],[Date]],Log[Item],"Eve insulin",Log[Qty],1),"x","")</f>
        <v/>
      </c>
      <c r="L306" s="70" t="str">
        <f>IF(COUNTIFS(Log[Date],tbDailyTotals[[#This Row],[Date]],Log[Item],"Eve meds",Log[Qty],1),"x","")</f>
        <v/>
      </c>
      <c r="M306" s="150"/>
    </row>
    <row r="307" spans="2:13" s="75" customFormat="1" ht="25.15" customHeight="1">
      <c r="B307" s="91"/>
      <c r="C307" s="82">
        <f>SUMIFS(Log[Cal],Log[Date],tbDailyTotals[[#This Row],[Date]])</f>
        <v>0</v>
      </c>
      <c r="D307" s="82">
        <f>SUMIFS(Log[Sodium],Log[Date],tbDailyTotals[[#This Row],[Date]])</f>
        <v>0</v>
      </c>
      <c r="E307" s="71">
        <f>SUMIFS(Log[Net Carbs],Log[Date],tbDailyTotals[[#This Row],[Date]])</f>
        <v>0</v>
      </c>
      <c r="F307" s="71">
        <f>SUMIFS(Log[Protein],Log[Date],tbDailyTotals[[#This Row],[Date]])</f>
        <v>0</v>
      </c>
      <c r="G307" s="83">
        <f>SUMIFS(Log[Chol],Log[Date],tbDailyTotals[[#This Row],[Date]])</f>
        <v>0</v>
      </c>
      <c r="H307" s="92"/>
      <c r="I307" s="70" t="str">
        <f>IF(COUNTIFS(Log[Date],tbDailyTotals[[#This Row],[Date]],Log[Item],"Morn meds",Log[Qty],1),"x","")</f>
        <v/>
      </c>
      <c r="J307" s="70" t="str">
        <f>IF(COUNTIFS(Log[Date],tbDailyTotals[[#This Row],[Date]],Log[Item],"Morn insulin",Log[Qty],1),"x","")</f>
        <v/>
      </c>
      <c r="K307" s="70" t="str">
        <f>IF(COUNTIFS(Log[Date],tbDailyTotals[[#This Row],[Date]],Log[Item],"Eve insulin",Log[Qty],1),"x","")</f>
        <v/>
      </c>
      <c r="L307" s="70" t="str">
        <f>IF(COUNTIFS(Log[Date],tbDailyTotals[[#This Row],[Date]],Log[Item],"Eve meds",Log[Qty],1),"x","")</f>
        <v/>
      </c>
      <c r="M307" s="150"/>
    </row>
    <row r="308" spans="2:13" s="75" customFormat="1" ht="25.15" customHeight="1">
      <c r="B308" s="91"/>
      <c r="C308" s="82">
        <f>SUMIFS(Log[Cal],Log[Date],tbDailyTotals[[#This Row],[Date]])</f>
        <v>0</v>
      </c>
      <c r="D308" s="82">
        <f>SUMIFS(Log[Sodium],Log[Date],tbDailyTotals[[#This Row],[Date]])</f>
        <v>0</v>
      </c>
      <c r="E308" s="71">
        <f>SUMIFS(Log[Net Carbs],Log[Date],tbDailyTotals[[#This Row],[Date]])</f>
        <v>0</v>
      </c>
      <c r="F308" s="71">
        <f>SUMIFS(Log[Protein],Log[Date],tbDailyTotals[[#This Row],[Date]])</f>
        <v>0</v>
      </c>
      <c r="G308" s="83">
        <f>SUMIFS(Log[Chol],Log[Date],tbDailyTotals[[#This Row],[Date]])</f>
        <v>0</v>
      </c>
      <c r="H308" s="92"/>
      <c r="I308" s="70" t="str">
        <f>IF(COUNTIFS(Log[Date],tbDailyTotals[[#This Row],[Date]],Log[Item],"Morn meds",Log[Qty],1),"x","")</f>
        <v/>
      </c>
      <c r="J308" s="70" t="str">
        <f>IF(COUNTIFS(Log[Date],tbDailyTotals[[#This Row],[Date]],Log[Item],"Morn insulin",Log[Qty],1),"x","")</f>
        <v/>
      </c>
      <c r="K308" s="70" t="str">
        <f>IF(COUNTIFS(Log[Date],tbDailyTotals[[#This Row],[Date]],Log[Item],"Eve insulin",Log[Qty],1),"x","")</f>
        <v/>
      </c>
      <c r="L308" s="70" t="str">
        <f>IF(COUNTIFS(Log[Date],tbDailyTotals[[#This Row],[Date]],Log[Item],"Eve meds",Log[Qty],1),"x","")</f>
        <v/>
      </c>
      <c r="M308" s="150"/>
    </row>
    <row r="309" spans="2:13" s="75" customFormat="1" ht="25.15" customHeight="1">
      <c r="B309" s="91"/>
      <c r="C309" s="82">
        <f>SUMIFS(Log[Cal],Log[Date],tbDailyTotals[[#This Row],[Date]])</f>
        <v>0</v>
      </c>
      <c r="D309" s="82">
        <f>SUMIFS(Log[Sodium],Log[Date],tbDailyTotals[[#This Row],[Date]])</f>
        <v>0</v>
      </c>
      <c r="E309" s="71">
        <f>SUMIFS(Log[Net Carbs],Log[Date],tbDailyTotals[[#This Row],[Date]])</f>
        <v>0</v>
      </c>
      <c r="F309" s="71">
        <f>SUMIFS(Log[Protein],Log[Date],tbDailyTotals[[#This Row],[Date]])</f>
        <v>0</v>
      </c>
      <c r="G309" s="83">
        <f>SUMIFS(Log[Chol],Log[Date],tbDailyTotals[[#This Row],[Date]])</f>
        <v>0</v>
      </c>
      <c r="H309" s="92"/>
      <c r="I309" s="70" t="str">
        <f>IF(COUNTIFS(Log[Date],tbDailyTotals[[#This Row],[Date]],Log[Item],"Morn meds",Log[Qty],1),"x","")</f>
        <v/>
      </c>
      <c r="J309" s="70" t="str">
        <f>IF(COUNTIFS(Log[Date],tbDailyTotals[[#This Row],[Date]],Log[Item],"Morn insulin",Log[Qty],1),"x","")</f>
        <v/>
      </c>
      <c r="K309" s="70" t="str">
        <f>IF(COUNTIFS(Log[Date],tbDailyTotals[[#This Row],[Date]],Log[Item],"Eve insulin",Log[Qty],1),"x","")</f>
        <v/>
      </c>
      <c r="L309" s="70" t="str">
        <f>IF(COUNTIFS(Log[Date],tbDailyTotals[[#This Row],[Date]],Log[Item],"Eve meds",Log[Qty],1),"x","")</f>
        <v/>
      </c>
      <c r="M309" s="150"/>
    </row>
    <row r="310" spans="2:13" s="75" customFormat="1" ht="25.15" customHeight="1">
      <c r="B310" s="91"/>
      <c r="C310" s="82">
        <f>SUMIFS(Log[Cal],Log[Date],tbDailyTotals[[#This Row],[Date]])</f>
        <v>0</v>
      </c>
      <c r="D310" s="82">
        <f>SUMIFS(Log[Sodium],Log[Date],tbDailyTotals[[#This Row],[Date]])</f>
        <v>0</v>
      </c>
      <c r="E310" s="71">
        <f>SUMIFS(Log[Net Carbs],Log[Date],tbDailyTotals[[#This Row],[Date]])</f>
        <v>0</v>
      </c>
      <c r="F310" s="71">
        <f>SUMIFS(Log[Protein],Log[Date],tbDailyTotals[[#This Row],[Date]])</f>
        <v>0</v>
      </c>
      <c r="G310" s="83">
        <f>SUMIFS(Log[Chol],Log[Date],tbDailyTotals[[#This Row],[Date]])</f>
        <v>0</v>
      </c>
      <c r="H310" s="92"/>
      <c r="I310" s="70" t="str">
        <f>IF(COUNTIFS(Log[Date],tbDailyTotals[[#This Row],[Date]],Log[Item],"Morn meds",Log[Qty],1),"x","")</f>
        <v/>
      </c>
      <c r="J310" s="70" t="str">
        <f>IF(COUNTIFS(Log[Date],tbDailyTotals[[#This Row],[Date]],Log[Item],"Morn insulin",Log[Qty],1),"x","")</f>
        <v/>
      </c>
      <c r="K310" s="70" t="str">
        <f>IF(COUNTIFS(Log[Date],tbDailyTotals[[#This Row],[Date]],Log[Item],"Eve insulin",Log[Qty],1),"x","")</f>
        <v/>
      </c>
      <c r="L310" s="70" t="str">
        <f>IF(COUNTIFS(Log[Date],tbDailyTotals[[#This Row],[Date]],Log[Item],"Eve meds",Log[Qty],1),"x","")</f>
        <v/>
      </c>
      <c r="M310" s="150"/>
    </row>
    <row r="311" spans="2:13" s="75" customFormat="1" ht="25.15" customHeight="1">
      <c r="B311" s="91"/>
      <c r="C311" s="82">
        <f>SUMIFS(Log[Cal],Log[Date],tbDailyTotals[[#This Row],[Date]])</f>
        <v>0</v>
      </c>
      <c r="D311" s="82">
        <f>SUMIFS(Log[Sodium],Log[Date],tbDailyTotals[[#This Row],[Date]])</f>
        <v>0</v>
      </c>
      <c r="E311" s="71">
        <f>SUMIFS(Log[Net Carbs],Log[Date],tbDailyTotals[[#This Row],[Date]])</f>
        <v>0</v>
      </c>
      <c r="F311" s="71">
        <f>SUMIFS(Log[Protein],Log[Date],tbDailyTotals[[#This Row],[Date]])</f>
        <v>0</v>
      </c>
      <c r="G311" s="83">
        <f>SUMIFS(Log[Chol],Log[Date],tbDailyTotals[[#This Row],[Date]])</f>
        <v>0</v>
      </c>
      <c r="H311" s="92"/>
      <c r="I311" s="70" t="str">
        <f>IF(COUNTIFS(Log[Date],tbDailyTotals[[#This Row],[Date]],Log[Item],"Morn meds",Log[Qty],1),"x","")</f>
        <v/>
      </c>
      <c r="J311" s="70" t="str">
        <f>IF(COUNTIFS(Log[Date],tbDailyTotals[[#This Row],[Date]],Log[Item],"Morn insulin",Log[Qty],1),"x","")</f>
        <v/>
      </c>
      <c r="K311" s="70" t="str">
        <f>IF(COUNTIFS(Log[Date],tbDailyTotals[[#This Row],[Date]],Log[Item],"Eve insulin",Log[Qty],1),"x","")</f>
        <v/>
      </c>
      <c r="L311" s="70" t="str">
        <f>IF(COUNTIFS(Log[Date],tbDailyTotals[[#This Row],[Date]],Log[Item],"Eve meds",Log[Qty],1),"x","")</f>
        <v/>
      </c>
      <c r="M311" s="150"/>
    </row>
    <row r="312" spans="2:13" s="75" customFormat="1" ht="25.15" customHeight="1">
      <c r="B312" s="91"/>
      <c r="C312" s="82">
        <f>SUMIFS(Log[Cal],Log[Date],tbDailyTotals[[#This Row],[Date]])</f>
        <v>0</v>
      </c>
      <c r="D312" s="82">
        <f>SUMIFS(Log[Sodium],Log[Date],tbDailyTotals[[#This Row],[Date]])</f>
        <v>0</v>
      </c>
      <c r="E312" s="71">
        <f>SUMIFS(Log[Net Carbs],Log[Date],tbDailyTotals[[#This Row],[Date]])</f>
        <v>0</v>
      </c>
      <c r="F312" s="71">
        <f>SUMIFS(Log[Protein],Log[Date],tbDailyTotals[[#This Row],[Date]])</f>
        <v>0</v>
      </c>
      <c r="G312" s="83">
        <f>SUMIFS(Log[Chol],Log[Date],tbDailyTotals[[#This Row],[Date]])</f>
        <v>0</v>
      </c>
      <c r="H312" s="92"/>
      <c r="I312" s="70" t="str">
        <f>IF(COUNTIFS(Log[Date],tbDailyTotals[[#This Row],[Date]],Log[Item],"Morn meds",Log[Qty],1),"x","")</f>
        <v/>
      </c>
      <c r="J312" s="70" t="str">
        <f>IF(COUNTIFS(Log[Date],tbDailyTotals[[#This Row],[Date]],Log[Item],"Morn insulin",Log[Qty],1),"x","")</f>
        <v/>
      </c>
      <c r="K312" s="70" t="str">
        <f>IF(COUNTIFS(Log[Date],tbDailyTotals[[#This Row],[Date]],Log[Item],"Eve insulin",Log[Qty],1),"x","")</f>
        <v/>
      </c>
      <c r="L312" s="70" t="str">
        <f>IF(COUNTIFS(Log[Date],tbDailyTotals[[#This Row],[Date]],Log[Item],"Eve meds",Log[Qty],1),"x","")</f>
        <v/>
      </c>
      <c r="M312" s="150"/>
    </row>
    <row r="313" spans="2:13" s="75" customFormat="1" ht="25.15" customHeight="1">
      <c r="B313" s="91"/>
      <c r="C313" s="82">
        <f>SUMIFS(Log[Cal],Log[Date],tbDailyTotals[[#This Row],[Date]])</f>
        <v>0</v>
      </c>
      <c r="D313" s="82">
        <f>SUMIFS(Log[Sodium],Log[Date],tbDailyTotals[[#This Row],[Date]])</f>
        <v>0</v>
      </c>
      <c r="E313" s="71">
        <f>SUMIFS(Log[Net Carbs],Log[Date],tbDailyTotals[[#This Row],[Date]])</f>
        <v>0</v>
      </c>
      <c r="F313" s="71">
        <f>SUMIFS(Log[Protein],Log[Date],tbDailyTotals[[#This Row],[Date]])</f>
        <v>0</v>
      </c>
      <c r="G313" s="83">
        <f>SUMIFS(Log[Chol],Log[Date],tbDailyTotals[[#This Row],[Date]])</f>
        <v>0</v>
      </c>
      <c r="H313" s="92"/>
      <c r="I313" s="70" t="str">
        <f>IF(COUNTIFS(Log[Date],tbDailyTotals[[#This Row],[Date]],Log[Item],"Morn meds",Log[Qty],1),"x","")</f>
        <v/>
      </c>
      <c r="J313" s="70" t="str">
        <f>IF(COUNTIFS(Log[Date],tbDailyTotals[[#This Row],[Date]],Log[Item],"Morn insulin",Log[Qty],1),"x","")</f>
        <v/>
      </c>
      <c r="K313" s="70" t="str">
        <f>IF(COUNTIFS(Log[Date],tbDailyTotals[[#This Row],[Date]],Log[Item],"Eve insulin",Log[Qty],1),"x","")</f>
        <v/>
      </c>
      <c r="L313" s="70" t="str">
        <f>IF(COUNTIFS(Log[Date],tbDailyTotals[[#This Row],[Date]],Log[Item],"Eve meds",Log[Qty],1),"x","")</f>
        <v/>
      </c>
      <c r="M313" s="150"/>
    </row>
    <row r="314" spans="2:13" s="75" customFormat="1" ht="25.15" customHeight="1">
      <c r="B314" s="91"/>
      <c r="C314" s="82">
        <f>SUMIFS(Log[Cal],Log[Date],tbDailyTotals[[#This Row],[Date]])</f>
        <v>0</v>
      </c>
      <c r="D314" s="82">
        <f>SUMIFS(Log[Sodium],Log[Date],tbDailyTotals[[#This Row],[Date]])</f>
        <v>0</v>
      </c>
      <c r="E314" s="71">
        <f>SUMIFS(Log[Net Carbs],Log[Date],tbDailyTotals[[#This Row],[Date]])</f>
        <v>0</v>
      </c>
      <c r="F314" s="71">
        <f>SUMIFS(Log[Protein],Log[Date],tbDailyTotals[[#This Row],[Date]])</f>
        <v>0</v>
      </c>
      <c r="G314" s="83">
        <f>SUMIFS(Log[Chol],Log[Date],tbDailyTotals[[#This Row],[Date]])</f>
        <v>0</v>
      </c>
      <c r="H314" s="92"/>
      <c r="I314" s="70" t="str">
        <f>IF(COUNTIFS(Log[Date],tbDailyTotals[[#This Row],[Date]],Log[Item],"Morn meds",Log[Qty],1),"x","")</f>
        <v/>
      </c>
      <c r="J314" s="70" t="str">
        <f>IF(COUNTIFS(Log[Date],tbDailyTotals[[#This Row],[Date]],Log[Item],"Morn insulin",Log[Qty],1),"x","")</f>
        <v/>
      </c>
      <c r="K314" s="70" t="str">
        <f>IF(COUNTIFS(Log[Date],tbDailyTotals[[#This Row],[Date]],Log[Item],"Eve insulin",Log[Qty],1),"x","")</f>
        <v/>
      </c>
      <c r="L314" s="70" t="str">
        <f>IF(COUNTIFS(Log[Date],tbDailyTotals[[#This Row],[Date]],Log[Item],"Eve meds",Log[Qty],1),"x","")</f>
        <v/>
      </c>
      <c r="M314" s="150"/>
    </row>
    <row r="315" spans="2:13" s="75" customFormat="1" ht="25.15" customHeight="1">
      <c r="B315" s="91"/>
      <c r="C315" s="82">
        <f>SUMIFS(Log[Cal],Log[Date],tbDailyTotals[[#This Row],[Date]])</f>
        <v>0</v>
      </c>
      <c r="D315" s="82">
        <f>SUMIFS(Log[Sodium],Log[Date],tbDailyTotals[[#This Row],[Date]])</f>
        <v>0</v>
      </c>
      <c r="E315" s="71">
        <f>SUMIFS(Log[Net Carbs],Log[Date],tbDailyTotals[[#This Row],[Date]])</f>
        <v>0</v>
      </c>
      <c r="F315" s="71">
        <f>SUMIFS(Log[Protein],Log[Date],tbDailyTotals[[#This Row],[Date]])</f>
        <v>0</v>
      </c>
      <c r="G315" s="83">
        <f>SUMIFS(Log[Chol],Log[Date],tbDailyTotals[[#This Row],[Date]])</f>
        <v>0</v>
      </c>
      <c r="H315" s="92"/>
      <c r="I315" s="70" t="str">
        <f>IF(COUNTIFS(Log[Date],tbDailyTotals[[#This Row],[Date]],Log[Item],"Morn meds",Log[Qty],1),"x","")</f>
        <v/>
      </c>
      <c r="J315" s="70" t="str">
        <f>IF(COUNTIFS(Log[Date],tbDailyTotals[[#This Row],[Date]],Log[Item],"Morn insulin",Log[Qty],1),"x","")</f>
        <v/>
      </c>
      <c r="K315" s="70" t="str">
        <f>IF(COUNTIFS(Log[Date],tbDailyTotals[[#This Row],[Date]],Log[Item],"Eve insulin",Log[Qty],1),"x","")</f>
        <v/>
      </c>
      <c r="L315" s="70" t="str">
        <f>IF(COUNTIFS(Log[Date],tbDailyTotals[[#This Row],[Date]],Log[Item],"Eve meds",Log[Qty],1),"x","")</f>
        <v/>
      </c>
      <c r="M315" s="150"/>
    </row>
    <row r="316" spans="2:13" s="75" customFormat="1" ht="25.15" customHeight="1">
      <c r="B316" s="91"/>
      <c r="C316" s="82">
        <f>SUMIFS(Log[Cal],Log[Date],tbDailyTotals[[#This Row],[Date]])</f>
        <v>0</v>
      </c>
      <c r="D316" s="82">
        <f>SUMIFS(Log[Sodium],Log[Date],tbDailyTotals[[#This Row],[Date]])</f>
        <v>0</v>
      </c>
      <c r="E316" s="71">
        <f>SUMIFS(Log[Net Carbs],Log[Date],tbDailyTotals[[#This Row],[Date]])</f>
        <v>0</v>
      </c>
      <c r="F316" s="71">
        <f>SUMIFS(Log[Protein],Log[Date],tbDailyTotals[[#This Row],[Date]])</f>
        <v>0</v>
      </c>
      <c r="G316" s="83">
        <f>SUMIFS(Log[Chol],Log[Date],tbDailyTotals[[#This Row],[Date]])</f>
        <v>0</v>
      </c>
      <c r="H316" s="92"/>
      <c r="I316" s="70" t="str">
        <f>IF(COUNTIFS(Log[Date],tbDailyTotals[[#This Row],[Date]],Log[Item],"Morn meds",Log[Qty],1),"x","")</f>
        <v/>
      </c>
      <c r="J316" s="70" t="str">
        <f>IF(COUNTIFS(Log[Date],tbDailyTotals[[#This Row],[Date]],Log[Item],"Morn insulin",Log[Qty],1),"x","")</f>
        <v/>
      </c>
      <c r="K316" s="70" t="str">
        <f>IF(COUNTIFS(Log[Date],tbDailyTotals[[#This Row],[Date]],Log[Item],"Eve insulin",Log[Qty],1),"x","")</f>
        <v/>
      </c>
      <c r="L316" s="70" t="str">
        <f>IF(COUNTIFS(Log[Date],tbDailyTotals[[#This Row],[Date]],Log[Item],"Eve meds",Log[Qty],1),"x","")</f>
        <v/>
      </c>
      <c r="M316" s="150"/>
    </row>
    <row r="317" spans="2:13" s="75" customFormat="1" ht="25.15" customHeight="1">
      <c r="B317" s="91"/>
      <c r="C317" s="82">
        <f>SUMIFS(Log[Cal],Log[Date],tbDailyTotals[[#This Row],[Date]])</f>
        <v>0</v>
      </c>
      <c r="D317" s="82">
        <f>SUMIFS(Log[Sodium],Log[Date],tbDailyTotals[[#This Row],[Date]])</f>
        <v>0</v>
      </c>
      <c r="E317" s="71">
        <f>SUMIFS(Log[Net Carbs],Log[Date],tbDailyTotals[[#This Row],[Date]])</f>
        <v>0</v>
      </c>
      <c r="F317" s="71">
        <f>SUMIFS(Log[Protein],Log[Date],tbDailyTotals[[#This Row],[Date]])</f>
        <v>0</v>
      </c>
      <c r="G317" s="83">
        <f>SUMIFS(Log[Chol],Log[Date],tbDailyTotals[[#This Row],[Date]])</f>
        <v>0</v>
      </c>
      <c r="H317" s="92"/>
      <c r="I317" s="70" t="str">
        <f>IF(COUNTIFS(Log[Date],tbDailyTotals[[#This Row],[Date]],Log[Item],"Morn meds",Log[Qty],1),"x","")</f>
        <v/>
      </c>
      <c r="J317" s="70" t="str">
        <f>IF(COUNTIFS(Log[Date],tbDailyTotals[[#This Row],[Date]],Log[Item],"Morn insulin",Log[Qty],1),"x","")</f>
        <v/>
      </c>
      <c r="K317" s="70" t="str">
        <f>IF(COUNTIFS(Log[Date],tbDailyTotals[[#This Row],[Date]],Log[Item],"Eve insulin",Log[Qty],1),"x","")</f>
        <v/>
      </c>
      <c r="L317" s="70" t="str">
        <f>IF(COUNTIFS(Log[Date],tbDailyTotals[[#This Row],[Date]],Log[Item],"Eve meds",Log[Qty],1),"x","")</f>
        <v/>
      </c>
      <c r="M317" s="150"/>
    </row>
    <row r="318" spans="2:13" s="75" customFormat="1" ht="25.15" customHeight="1">
      <c r="B318" s="91"/>
      <c r="C318" s="82">
        <f>SUMIFS(Log[Cal],Log[Date],tbDailyTotals[[#This Row],[Date]])</f>
        <v>0</v>
      </c>
      <c r="D318" s="82">
        <f>SUMIFS(Log[Sodium],Log[Date],tbDailyTotals[[#This Row],[Date]])</f>
        <v>0</v>
      </c>
      <c r="E318" s="71">
        <f>SUMIFS(Log[Net Carbs],Log[Date],tbDailyTotals[[#This Row],[Date]])</f>
        <v>0</v>
      </c>
      <c r="F318" s="71">
        <f>SUMIFS(Log[Protein],Log[Date],tbDailyTotals[[#This Row],[Date]])</f>
        <v>0</v>
      </c>
      <c r="G318" s="83">
        <f>SUMIFS(Log[Chol],Log[Date],tbDailyTotals[[#This Row],[Date]])</f>
        <v>0</v>
      </c>
      <c r="H318" s="92"/>
      <c r="I318" s="70" t="str">
        <f>IF(COUNTIFS(Log[Date],tbDailyTotals[[#This Row],[Date]],Log[Item],"Morn meds",Log[Qty],1),"x","")</f>
        <v/>
      </c>
      <c r="J318" s="70" t="str">
        <f>IF(COUNTIFS(Log[Date],tbDailyTotals[[#This Row],[Date]],Log[Item],"Morn insulin",Log[Qty],1),"x","")</f>
        <v/>
      </c>
      <c r="K318" s="70" t="str">
        <f>IF(COUNTIFS(Log[Date],tbDailyTotals[[#This Row],[Date]],Log[Item],"Eve insulin",Log[Qty],1),"x","")</f>
        <v/>
      </c>
      <c r="L318" s="70" t="str">
        <f>IF(COUNTIFS(Log[Date],tbDailyTotals[[#This Row],[Date]],Log[Item],"Eve meds",Log[Qty],1),"x","")</f>
        <v/>
      </c>
      <c r="M318" s="150"/>
    </row>
    <row r="319" spans="2:13" s="75" customFormat="1" ht="25.15" customHeight="1">
      <c r="B319" s="91"/>
      <c r="C319" s="82">
        <f>SUMIFS(Log[Cal],Log[Date],tbDailyTotals[[#This Row],[Date]])</f>
        <v>0</v>
      </c>
      <c r="D319" s="82">
        <f>SUMIFS(Log[Sodium],Log[Date],tbDailyTotals[[#This Row],[Date]])</f>
        <v>0</v>
      </c>
      <c r="E319" s="71">
        <f>SUMIFS(Log[Net Carbs],Log[Date],tbDailyTotals[[#This Row],[Date]])</f>
        <v>0</v>
      </c>
      <c r="F319" s="71">
        <f>SUMIFS(Log[Protein],Log[Date],tbDailyTotals[[#This Row],[Date]])</f>
        <v>0</v>
      </c>
      <c r="G319" s="83">
        <f>SUMIFS(Log[Chol],Log[Date],tbDailyTotals[[#This Row],[Date]])</f>
        <v>0</v>
      </c>
      <c r="H319" s="92"/>
      <c r="I319" s="70" t="str">
        <f>IF(COUNTIFS(Log[Date],tbDailyTotals[[#This Row],[Date]],Log[Item],"Morn meds",Log[Qty],1),"x","")</f>
        <v/>
      </c>
      <c r="J319" s="70" t="str">
        <f>IF(COUNTIFS(Log[Date],tbDailyTotals[[#This Row],[Date]],Log[Item],"Morn insulin",Log[Qty],1),"x","")</f>
        <v/>
      </c>
      <c r="K319" s="70" t="str">
        <f>IF(COUNTIFS(Log[Date],tbDailyTotals[[#This Row],[Date]],Log[Item],"Eve insulin",Log[Qty],1),"x","")</f>
        <v/>
      </c>
      <c r="L319" s="70" t="str">
        <f>IF(COUNTIFS(Log[Date],tbDailyTotals[[#This Row],[Date]],Log[Item],"Eve meds",Log[Qty],1),"x","")</f>
        <v/>
      </c>
      <c r="M319" s="150"/>
    </row>
    <row r="320" spans="2:13" s="75" customFormat="1" ht="25.15" customHeight="1">
      <c r="B320" s="91"/>
      <c r="C320" s="82">
        <f>SUMIFS(Log[Cal],Log[Date],tbDailyTotals[[#This Row],[Date]])</f>
        <v>0</v>
      </c>
      <c r="D320" s="82">
        <f>SUMIFS(Log[Sodium],Log[Date],tbDailyTotals[[#This Row],[Date]])</f>
        <v>0</v>
      </c>
      <c r="E320" s="71">
        <f>SUMIFS(Log[Net Carbs],Log[Date],tbDailyTotals[[#This Row],[Date]])</f>
        <v>0</v>
      </c>
      <c r="F320" s="71">
        <f>SUMIFS(Log[Protein],Log[Date],tbDailyTotals[[#This Row],[Date]])</f>
        <v>0</v>
      </c>
      <c r="G320" s="83">
        <f>SUMIFS(Log[Chol],Log[Date],tbDailyTotals[[#This Row],[Date]])</f>
        <v>0</v>
      </c>
      <c r="H320" s="92"/>
      <c r="I320" s="70" t="str">
        <f>IF(COUNTIFS(Log[Date],tbDailyTotals[[#This Row],[Date]],Log[Item],"Morn meds",Log[Qty],1),"x","")</f>
        <v/>
      </c>
      <c r="J320" s="70" t="str">
        <f>IF(COUNTIFS(Log[Date],tbDailyTotals[[#This Row],[Date]],Log[Item],"Morn insulin",Log[Qty],1),"x","")</f>
        <v/>
      </c>
      <c r="K320" s="70" t="str">
        <f>IF(COUNTIFS(Log[Date],tbDailyTotals[[#This Row],[Date]],Log[Item],"Eve insulin",Log[Qty],1),"x","")</f>
        <v/>
      </c>
      <c r="L320" s="70" t="str">
        <f>IF(COUNTIFS(Log[Date],tbDailyTotals[[#This Row],[Date]],Log[Item],"Eve meds",Log[Qty],1),"x","")</f>
        <v/>
      </c>
      <c r="M320" s="150"/>
    </row>
    <row r="321" spans="2:13" s="75" customFormat="1" ht="25.15" customHeight="1">
      <c r="B321" s="91"/>
      <c r="C321" s="82">
        <f>SUMIFS(Log[Cal],Log[Date],tbDailyTotals[[#This Row],[Date]])</f>
        <v>0</v>
      </c>
      <c r="D321" s="82">
        <f>SUMIFS(Log[Sodium],Log[Date],tbDailyTotals[[#This Row],[Date]])</f>
        <v>0</v>
      </c>
      <c r="E321" s="71">
        <f>SUMIFS(Log[Net Carbs],Log[Date],tbDailyTotals[[#This Row],[Date]])</f>
        <v>0</v>
      </c>
      <c r="F321" s="71">
        <f>SUMIFS(Log[Protein],Log[Date],tbDailyTotals[[#This Row],[Date]])</f>
        <v>0</v>
      </c>
      <c r="G321" s="83">
        <f>SUMIFS(Log[Chol],Log[Date],tbDailyTotals[[#This Row],[Date]])</f>
        <v>0</v>
      </c>
      <c r="H321" s="92"/>
      <c r="I321" s="70" t="str">
        <f>IF(COUNTIFS(Log[Date],tbDailyTotals[[#This Row],[Date]],Log[Item],"Morn meds",Log[Qty],1),"x","")</f>
        <v/>
      </c>
      <c r="J321" s="70" t="str">
        <f>IF(COUNTIFS(Log[Date],tbDailyTotals[[#This Row],[Date]],Log[Item],"Morn insulin",Log[Qty],1),"x","")</f>
        <v/>
      </c>
      <c r="K321" s="70" t="str">
        <f>IF(COUNTIFS(Log[Date],tbDailyTotals[[#This Row],[Date]],Log[Item],"Eve insulin",Log[Qty],1),"x","")</f>
        <v/>
      </c>
      <c r="L321" s="70" t="str">
        <f>IF(COUNTIFS(Log[Date],tbDailyTotals[[#This Row],[Date]],Log[Item],"Eve meds",Log[Qty],1),"x","")</f>
        <v/>
      </c>
      <c r="M321" s="150"/>
    </row>
    <row r="322" spans="2:13" s="75" customFormat="1" ht="25.15" customHeight="1">
      <c r="B322" s="91"/>
      <c r="C322" s="82">
        <f>SUMIFS(Log[Cal],Log[Date],tbDailyTotals[[#This Row],[Date]])</f>
        <v>0</v>
      </c>
      <c r="D322" s="82">
        <f>SUMIFS(Log[Sodium],Log[Date],tbDailyTotals[[#This Row],[Date]])</f>
        <v>0</v>
      </c>
      <c r="E322" s="71">
        <f>SUMIFS(Log[Net Carbs],Log[Date],tbDailyTotals[[#This Row],[Date]])</f>
        <v>0</v>
      </c>
      <c r="F322" s="71">
        <f>SUMIFS(Log[Protein],Log[Date],tbDailyTotals[[#This Row],[Date]])</f>
        <v>0</v>
      </c>
      <c r="G322" s="83">
        <f>SUMIFS(Log[Chol],Log[Date],tbDailyTotals[[#This Row],[Date]])</f>
        <v>0</v>
      </c>
      <c r="H322" s="92"/>
      <c r="I322" s="70" t="str">
        <f>IF(COUNTIFS(Log[Date],tbDailyTotals[[#This Row],[Date]],Log[Item],"Morn meds",Log[Qty],1),"x","")</f>
        <v/>
      </c>
      <c r="J322" s="70" t="str">
        <f>IF(COUNTIFS(Log[Date],tbDailyTotals[[#This Row],[Date]],Log[Item],"Morn insulin",Log[Qty],1),"x","")</f>
        <v/>
      </c>
      <c r="K322" s="70" t="str">
        <f>IF(COUNTIFS(Log[Date],tbDailyTotals[[#This Row],[Date]],Log[Item],"Eve insulin",Log[Qty],1),"x","")</f>
        <v/>
      </c>
      <c r="L322" s="70" t="str">
        <f>IF(COUNTIFS(Log[Date],tbDailyTotals[[#This Row],[Date]],Log[Item],"Eve meds",Log[Qty],1),"x","")</f>
        <v/>
      </c>
      <c r="M322" s="150"/>
    </row>
    <row r="323" spans="2:13" s="75" customFormat="1" ht="25.15" customHeight="1">
      <c r="B323" s="91"/>
      <c r="C323" s="82">
        <f>SUMIFS(Log[Cal],Log[Date],tbDailyTotals[[#This Row],[Date]])</f>
        <v>0</v>
      </c>
      <c r="D323" s="82">
        <f>SUMIFS(Log[Sodium],Log[Date],tbDailyTotals[[#This Row],[Date]])</f>
        <v>0</v>
      </c>
      <c r="E323" s="71">
        <f>SUMIFS(Log[Net Carbs],Log[Date],tbDailyTotals[[#This Row],[Date]])</f>
        <v>0</v>
      </c>
      <c r="F323" s="71">
        <f>SUMIFS(Log[Protein],Log[Date],tbDailyTotals[[#This Row],[Date]])</f>
        <v>0</v>
      </c>
      <c r="G323" s="83">
        <f>SUMIFS(Log[Chol],Log[Date],tbDailyTotals[[#This Row],[Date]])</f>
        <v>0</v>
      </c>
      <c r="H323" s="92"/>
      <c r="I323" s="70" t="str">
        <f>IF(COUNTIFS(Log[Date],tbDailyTotals[[#This Row],[Date]],Log[Item],"Morn meds",Log[Qty],1),"x","")</f>
        <v/>
      </c>
      <c r="J323" s="70" t="str">
        <f>IF(COUNTIFS(Log[Date],tbDailyTotals[[#This Row],[Date]],Log[Item],"Morn insulin",Log[Qty],1),"x","")</f>
        <v/>
      </c>
      <c r="K323" s="70" t="str">
        <f>IF(COUNTIFS(Log[Date],tbDailyTotals[[#This Row],[Date]],Log[Item],"Eve insulin",Log[Qty],1),"x","")</f>
        <v/>
      </c>
      <c r="L323" s="70" t="str">
        <f>IF(COUNTIFS(Log[Date],tbDailyTotals[[#This Row],[Date]],Log[Item],"Eve meds",Log[Qty],1),"x","")</f>
        <v/>
      </c>
      <c r="M323" s="150"/>
    </row>
    <row r="324" spans="2:13" s="75" customFormat="1" ht="25.15" customHeight="1">
      <c r="B324" s="91"/>
      <c r="C324" s="82">
        <f>SUMIFS(Log[Cal],Log[Date],tbDailyTotals[[#This Row],[Date]])</f>
        <v>0</v>
      </c>
      <c r="D324" s="82">
        <f>SUMIFS(Log[Sodium],Log[Date],tbDailyTotals[[#This Row],[Date]])</f>
        <v>0</v>
      </c>
      <c r="E324" s="71">
        <f>SUMIFS(Log[Net Carbs],Log[Date],tbDailyTotals[[#This Row],[Date]])</f>
        <v>0</v>
      </c>
      <c r="F324" s="71">
        <f>SUMIFS(Log[Protein],Log[Date],tbDailyTotals[[#This Row],[Date]])</f>
        <v>0</v>
      </c>
      <c r="G324" s="83">
        <f>SUMIFS(Log[Chol],Log[Date],tbDailyTotals[[#This Row],[Date]])</f>
        <v>0</v>
      </c>
      <c r="H324" s="92"/>
      <c r="I324" s="70" t="str">
        <f>IF(COUNTIFS(Log[Date],tbDailyTotals[[#This Row],[Date]],Log[Item],"Morn meds",Log[Qty],1),"x","")</f>
        <v/>
      </c>
      <c r="J324" s="70" t="str">
        <f>IF(COUNTIFS(Log[Date],tbDailyTotals[[#This Row],[Date]],Log[Item],"Morn insulin",Log[Qty],1),"x","")</f>
        <v/>
      </c>
      <c r="K324" s="70" t="str">
        <f>IF(COUNTIFS(Log[Date],tbDailyTotals[[#This Row],[Date]],Log[Item],"Eve insulin",Log[Qty],1),"x","")</f>
        <v/>
      </c>
      <c r="L324" s="70" t="str">
        <f>IF(COUNTIFS(Log[Date],tbDailyTotals[[#This Row],[Date]],Log[Item],"Eve meds",Log[Qty],1),"x","")</f>
        <v/>
      </c>
      <c r="M324" s="150"/>
    </row>
    <row r="325" spans="2:13" s="75" customFormat="1" ht="25.15" customHeight="1">
      <c r="B325" s="91"/>
      <c r="C325" s="82">
        <f>SUMIFS(Log[Cal],Log[Date],tbDailyTotals[[#This Row],[Date]])</f>
        <v>0</v>
      </c>
      <c r="D325" s="82">
        <f>SUMIFS(Log[Sodium],Log[Date],tbDailyTotals[[#This Row],[Date]])</f>
        <v>0</v>
      </c>
      <c r="E325" s="71">
        <f>SUMIFS(Log[Net Carbs],Log[Date],tbDailyTotals[[#This Row],[Date]])</f>
        <v>0</v>
      </c>
      <c r="F325" s="71">
        <f>SUMIFS(Log[Protein],Log[Date],tbDailyTotals[[#This Row],[Date]])</f>
        <v>0</v>
      </c>
      <c r="G325" s="83">
        <f>SUMIFS(Log[Chol],Log[Date],tbDailyTotals[[#This Row],[Date]])</f>
        <v>0</v>
      </c>
      <c r="H325" s="92"/>
      <c r="I325" s="70" t="str">
        <f>IF(COUNTIFS(Log[Date],tbDailyTotals[[#This Row],[Date]],Log[Item],"Morn meds",Log[Qty],1),"x","")</f>
        <v/>
      </c>
      <c r="J325" s="70" t="str">
        <f>IF(COUNTIFS(Log[Date],tbDailyTotals[[#This Row],[Date]],Log[Item],"Morn insulin",Log[Qty],1),"x","")</f>
        <v/>
      </c>
      <c r="K325" s="70" t="str">
        <f>IF(COUNTIFS(Log[Date],tbDailyTotals[[#This Row],[Date]],Log[Item],"Eve insulin",Log[Qty],1),"x","")</f>
        <v/>
      </c>
      <c r="L325" s="70" t="str">
        <f>IF(COUNTIFS(Log[Date],tbDailyTotals[[#This Row],[Date]],Log[Item],"Eve meds",Log[Qty],1),"x","")</f>
        <v/>
      </c>
      <c r="M325" s="150"/>
    </row>
    <row r="326" spans="2:13" s="75" customFormat="1" ht="25.15" customHeight="1">
      <c r="B326" s="91"/>
      <c r="C326" s="82">
        <f>SUMIFS(Log[Cal],Log[Date],tbDailyTotals[[#This Row],[Date]])</f>
        <v>0</v>
      </c>
      <c r="D326" s="82">
        <f>SUMIFS(Log[Sodium],Log[Date],tbDailyTotals[[#This Row],[Date]])</f>
        <v>0</v>
      </c>
      <c r="E326" s="71">
        <f>SUMIFS(Log[Net Carbs],Log[Date],tbDailyTotals[[#This Row],[Date]])</f>
        <v>0</v>
      </c>
      <c r="F326" s="71">
        <f>SUMIFS(Log[Protein],Log[Date],tbDailyTotals[[#This Row],[Date]])</f>
        <v>0</v>
      </c>
      <c r="G326" s="83">
        <f>SUMIFS(Log[Chol],Log[Date],tbDailyTotals[[#This Row],[Date]])</f>
        <v>0</v>
      </c>
      <c r="H326" s="92"/>
      <c r="I326" s="70" t="str">
        <f>IF(COUNTIFS(Log[Date],tbDailyTotals[[#This Row],[Date]],Log[Item],"Morn meds",Log[Qty],1),"x","")</f>
        <v/>
      </c>
      <c r="J326" s="70" t="str">
        <f>IF(COUNTIFS(Log[Date],tbDailyTotals[[#This Row],[Date]],Log[Item],"Morn insulin",Log[Qty],1),"x","")</f>
        <v/>
      </c>
      <c r="K326" s="70" t="str">
        <f>IF(COUNTIFS(Log[Date],tbDailyTotals[[#This Row],[Date]],Log[Item],"Eve insulin",Log[Qty],1),"x","")</f>
        <v/>
      </c>
      <c r="L326" s="70" t="str">
        <f>IF(COUNTIFS(Log[Date],tbDailyTotals[[#This Row],[Date]],Log[Item],"Eve meds",Log[Qty],1),"x","")</f>
        <v/>
      </c>
      <c r="M326" s="150"/>
    </row>
    <row r="327" spans="2:13" s="75" customFormat="1" ht="25.15" customHeight="1">
      <c r="B327" s="91"/>
      <c r="C327" s="82">
        <f>SUMIFS(Log[Cal],Log[Date],tbDailyTotals[[#This Row],[Date]])</f>
        <v>0</v>
      </c>
      <c r="D327" s="82">
        <f>SUMIFS(Log[Sodium],Log[Date],tbDailyTotals[[#This Row],[Date]])</f>
        <v>0</v>
      </c>
      <c r="E327" s="71">
        <f>SUMIFS(Log[Net Carbs],Log[Date],tbDailyTotals[[#This Row],[Date]])</f>
        <v>0</v>
      </c>
      <c r="F327" s="71">
        <f>SUMIFS(Log[Protein],Log[Date],tbDailyTotals[[#This Row],[Date]])</f>
        <v>0</v>
      </c>
      <c r="G327" s="83">
        <f>SUMIFS(Log[Chol],Log[Date],tbDailyTotals[[#This Row],[Date]])</f>
        <v>0</v>
      </c>
      <c r="H327" s="92"/>
      <c r="I327" s="70" t="str">
        <f>IF(COUNTIFS(Log[Date],tbDailyTotals[[#This Row],[Date]],Log[Item],"Morn meds",Log[Qty],1),"x","")</f>
        <v/>
      </c>
      <c r="J327" s="70" t="str">
        <f>IF(COUNTIFS(Log[Date],tbDailyTotals[[#This Row],[Date]],Log[Item],"Morn insulin",Log[Qty],1),"x","")</f>
        <v/>
      </c>
      <c r="K327" s="70" t="str">
        <f>IF(COUNTIFS(Log[Date],tbDailyTotals[[#This Row],[Date]],Log[Item],"Eve insulin",Log[Qty],1),"x","")</f>
        <v/>
      </c>
      <c r="L327" s="70" t="str">
        <f>IF(COUNTIFS(Log[Date],tbDailyTotals[[#This Row],[Date]],Log[Item],"Eve meds",Log[Qty],1),"x","")</f>
        <v/>
      </c>
      <c r="M327" s="150"/>
    </row>
    <row r="328" spans="2:13" s="75" customFormat="1" ht="25.15" customHeight="1">
      <c r="B328" s="91"/>
      <c r="C328" s="82">
        <f>SUMIFS(Log[Cal],Log[Date],tbDailyTotals[[#This Row],[Date]])</f>
        <v>0</v>
      </c>
      <c r="D328" s="82">
        <f>SUMIFS(Log[Sodium],Log[Date],tbDailyTotals[[#This Row],[Date]])</f>
        <v>0</v>
      </c>
      <c r="E328" s="71">
        <f>SUMIFS(Log[Net Carbs],Log[Date],tbDailyTotals[[#This Row],[Date]])</f>
        <v>0</v>
      </c>
      <c r="F328" s="71">
        <f>SUMIFS(Log[Protein],Log[Date],tbDailyTotals[[#This Row],[Date]])</f>
        <v>0</v>
      </c>
      <c r="G328" s="83">
        <f>SUMIFS(Log[Chol],Log[Date],tbDailyTotals[[#This Row],[Date]])</f>
        <v>0</v>
      </c>
      <c r="H328" s="92"/>
      <c r="I328" s="70" t="str">
        <f>IF(COUNTIFS(Log[Date],tbDailyTotals[[#This Row],[Date]],Log[Item],"Morn meds",Log[Qty],1),"x","")</f>
        <v/>
      </c>
      <c r="J328" s="70" t="str">
        <f>IF(COUNTIFS(Log[Date],tbDailyTotals[[#This Row],[Date]],Log[Item],"Morn insulin",Log[Qty],1),"x","")</f>
        <v/>
      </c>
      <c r="K328" s="70" t="str">
        <f>IF(COUNTIFS(Log[Date],tbDailyTotals[[#This Row],[Date]],Log[Item],"Eve insulin",Log[Qty],1),"x","")</f>
        <v/>
      </c>
      <c r="L328" s="70" t="str">
        <f>IF(COUNTIFS(Log[Date],tbDailyTotals[[#This Row],[Date]],Log[Item],"Eve meds",Log[Qty],1),"x","")</f>
        <v/>
      </c>
      <c r="M328" s="150"/>
    </row>
    <row r="329" spans="2:13" s="75" customFormat="1" ht="25.15" customHeight="1">
      <c r="B329" s="91"/>
      <c r="C329" s="82">
        <f>SUMIFS(Log[Cal],Log[Date],tbDailyTotals[[#This Row],[Date]])</f>
        <v>0</v>
      </c>
      <c r="D329" s="82">
        <f>SUMIFS(Log[Sodium],Log[Date],tbDailyTotals[[#This Row],[Date]])</f>
        <v>0</v>
      </c>
      <c r="E329" s="71">
        <f>SUMIFS(Log[Net Carbs],Log[Date],tbDailyTotals[[#This Row],[Date]])</f>
        <v>0</v>
      </c>
      <c r="F329" s="71">
        <f>SUMIFS(Log[Protein],Log[Date],tbDailyTotals[[#This Row],[Date]])</f>
        <v>0</v>
      </c>
      <c r="G329" s="83">
        <f>SUMIFS(Log[Chol],Log[Date],tbDailyTotals[[#This Row],[Date]])</f>
        <v>0</v>
      </c>
      <c r="H329" s="92"/>
      <c r="I329" s="70" t="str">
        <f>IF(COUNTIFS(Log[Date],tbDailyTotals[[#This Row],[Date]],Log[Item],"Morn meds",Log[Qty],1),"x","")</f>
        <v/>
      </c>
      <c r="J329" s="70" t="str">
        <f>IF(COUNTIFS(Log[Date],tbDailyTotals[[#This Row],[Date]],Log[Item],"Morn insulin",Log[Qty],1),"x","")</f>
        <v/>
      </c>
      <c r="K329" s="70" t="str">
        <f>IF(COUNTIFS(Log[Date],tbDailyTotals[[#This Row],[Date]],Log[Item],"Eve insulin",Log[Qty],1),"x","")</f>
        <v/>
      </c>
      <c r="L329" s="70" t="str">
        <f>IF(COUNTIFS(Log[Date],tbDailyTotals[[#This Row],[Date]],Log[Item],"Eve meds",Log[Qty],1),"x","")</f>
        <v/>
      </c>
      <c r="M329" s="150"/>
    </row>
    <row r="330" spans="2:13" s="75" customFormat="1" ht="25.15" customHeight="1">
      <c r="B330" s="91"/>
      <c r="C330" s="82">
        <f>SUMIFS(Log[Cal],Log[Date],tbDailyTotals[[#This Row],[Date]])</f>
        <v>0</v>
      </c>
      <c r="D330" s="82">
        <f>SUMIFS(Log[Sodium],Log[Date],tbDailyTotals[[#This Row],[Date]])</f>
        <v>0</v>
      </c>
      <c r="E330" s="71">
        <f>SUMIFS(Log[Net Carbs],Log[Date],tbDailyTotals[[#This Row],[Date]])</f>
        <v>0</v>
      </c>
      <c r="F330" s="71">
        <f>SUMIFS(Log[Protein],Log[Date],tbDailyTotals[[#This Row],[Date]])</f>
        <v>0</v>
      </c>
      <c r="G330" s="83">
        <f>SUMIFS(Log[Chol],Log[Date],tbDailyTotals[[#This Row],[Date]])</f>
        <v>0</v>
      </c>
      <c r="H330" s="92"/>
      <c r="I330" s="70" t="str">
        <f>IF(COUNTIFS(Log[Date],tbDailyTotals[[#This Row],[Date]],Log[Item],"Morn meds",Log[Qty],1),"x","")</f>
        <v/>
      </c>
      <c r="J330" s="70" t="str">
        <f>IF(COUNTIFS(Log[Date],tbDailyTotals[[#This Row],[Date]],Log[Item],"Morn insulin",Log[Qty],1),"x","")</f>
        <v/>
      </c>
      <c r="K330" s="70" t="str">
        <f>IF(COUNTIFS(Log[Date],tbDailyTotals[[#This Row],[Date]],Log[Item],"Eve insulin",Log[Qty],1),"x","")</f>
        <v/>
      </c>
      <c r="L330" s="70" t="str">
        <f>IF(COUNTIFS(Log[Date],tbDailyTotals[[#This Row],[Date]],Log[Item],"Eve meds",Log[Qty],1),"x","")</f>
        <v/>
      </c>
      <c r="M330" s="150"/>
    </row>
    <row r="331" spans="2:13" s="75" customFormat="1" ht="25.15" customHeight="1">
      <c r="B331" s="91"/>
      <c r="C331" s="82">
        <f>SUMIFS(Log[Cal],Log[Date],tbDailyTotals[[#This Row],[Date]])</f>
        <v>0</v>
      </c>
      <c r="D331" s="82">
        <f>SUMIFS(Log[Sodium],Log[Date],tbDailyTotals[[#This Row],[Date]])</f>
        <v>0</v>
      </c>
      <c r="E331" s="71">
        <f>SUMIFS(Log[Net Carbs],Log[Date],tbDailyTotals[[#This Row],[Date]])</f>
        <v>0</v>
      </c>
      <c r="F331" s="71">
        <f>SUMIFS(Log[Protein],Log[Date],tbDailyTotals[[#This Row],[Date]])</f>
        <v>0</v>
      </c>
      <c r="G331" s="83">
        <f>SUMIFS(Log[Chol],Log[Date],tbDailyTotals[[#This Row],[Date]])</f>
        <v>0</v>
      </c>
      <c r="H331" s="92"/>
      <c r="I331" s="70" t="str">
        <f>IF(COUNTIFS(Log[Date],tbDailyTotals[[#This Row],[Date]],Log[Item],"Morn meds",Log[Qty],1),"x","")</f>
        <v/>
      </c>
      <c r="J331" s="70" t="str">
        <f>IF(COUNTIFS(Log[Date],tbDailyTotals[[#This Row],[Date]],Log[Item],"Morn insulin",Log[Qty],1),"x","")</f>
        <v/>
      </c>
      <c r="K331" s="70" t="str">
        <f>IF(COUNTIFS(Log[Date],tbDailyTotals[[#This Row],[Date]],Log[Item],"Eve insulin",Log[Qty],1),"x","")</f>
        <v/>
      </c>
      <c r="L331" s="70" t="str">
        <f>IF(COUNTIFS(Log[Date],tbDailyTotals[[#This Row],[Date]],Log[Item],"Eve meds",Log[Qty],1),"x","")</f>
        <v/>
      </c>
      <c r="M331" s="150"/>
    </row>
    <row r="332" spans="2:13" s="75" customFormat="1" ht="25.15" customHeight="1">
      <c r="B332" s="91"/>
      <c r="C332" s="82">
        <f>SUMIFS(Log[Cal],Log[Date],tbDailyTotals[[#This Row],[Date]])</f>
        <v>0</v>
      </c>
      <c r="D332" s="82">
        <f>SUMIFS(Log[Sodium],Log[Date],tbDailyTotals[[#This Row],[Date]])</f>
        <v>0</v>
      </c>
      <c r="E332" s="71">
        <f>SUMIFS(Log[Net Carbs],Log[Date],tbDailyTotals[[#This Row],[Date]])</f>
        <v>0</v>
      </c>
      <c r="F332" s="71">
        <f>SUMIFS(Log[Protein],Log[Date],tbDailyTotals[[#This Row],[Date]])</f>
        <v>0</v>
      </c>
      <c r="G332" s="83">
        <f>SUMIFS(Log[Chol],Log[Date],tbDailyTotals[[#This Row],[Date]])</f>
        <v>0</v>
      </c>
      <c r="H332" s="92"/>
      <c r="I332" s="70" t="str">
        <f>IF(COUNTIFS(Log[Date],tbDailyTotals[[#This Row],[Date]],Log[Item],"Morn meds",Log[Qty],1),"x","")</f>
        <v/>
      </c>
      <c r="J332" s="70" t="str">
        <f>IF(COUNTIFS(Log[Date],tbDailyTotals[[#This Row],[Date]],Log[Item],"Morn insulin",Log[Qty],1),"x","")</f>
        <v/>
      </c>
      <c r="K332" s="70" t="str">
        <f>IF(COUNTIFS(Log[Date],tbDailyTotals[[#This Row],[Date]],Log[Item],"Eve insulin",Log[Qty],1),"x","")</f>
        <v/>
      </c>
      <c r="L332" s="70" t="str">
        <f>IF(COUNTIFS(Log[Date],tbDailyTotals[[#This Row],[Date]],Log[Item],"Eve meds",Log[Qty],1),"x","")</f>
        <v/>
      </c>
      <c r="M332" s="150"/>
    </row>
    <row r="333" spans="2:13" s="75" customFormat="1" ht="25.15" customHeight="1">
      <c r="B333" s="91"/>
      <c r="C333" s="82">
        <f>SUMIFS(Log[Cal],Log[Date],tbDailyTotals[[#This Row],[Date]])</f>
        <v>0</v>
      </c>
      <c r="D333" s="82">
        <f>SUMIFS(Log[Sodium],Log[Date],tbDailyTotals[[#This Row],[Date]])</f>
        <v>0</v>
      </c>
      <c r="E333" s="71">
        <f>SUMIFS(Log[Net Carbs],Log[Date],tbDailyTotals[[#This Row],[Date]])</f>
        <v>0</v>
      </c>
      <c r="F333" s="71">
        <f>SUMIFS(Log[Protein],Log[Date],tbDailyTotals[[#This Row],[Date]])</f>
        <v>0</v>
      </c>
      <c r="G333" s="83">
        <f>SUMIFS(Log[Chol],Log[Date],tbDailyTotals[[#This Row],[Date]])</f>
        <v>0</v>
      </c>
      <c r="H333" s="92"/>
      <c r="I333" s="70" t="str">
        <f>IF(COUNTIFS(Log[Date],tbDailyTotals[[#This Row],[Date]],Log[Item],"Morn meds",Log[Qty],1),"x","")</f>
        <v/>
      </c>
      <c r="J333" s="70" t="str">
        <f>IF(COUNTIFS(Log[Date],tbDailyTotals[[#This Row],[Date]],Log[Item],"Morn insulin",Log[Qty],1),"x","")</f>
        <v/>
      </c>
      <c r="K333" s="70" t="str">
        <f>IF(COUNTIFS(Log[Date],tbDailyTotals[[#This Row],[Date]],Log[Item],"Eve insulin",Log[Qty],1),"x","")</f>
        <v/>
      </c>
      <c r="L333" s="70" t="str">
        <f>IF(COUNTIFS(Log[Date],tbDailyTotals[[#This Row],[Date]],Log[Item],"Eve meds",Log[Qty],1),"x","")</f>
        <v/>
      </c>
      <c r="M333" s="150"/>
    </row>
    <row r="334" spans="2:13" s="75" customFormat="1" ht="25.15" customHeight="1">
      <c r="B334" s="91"/>
      <c r="C334" s="82">
        <f>SUMIFS(Log[Cal],Log[Date],tbDailyTotals[[#This Row],[Date]])</f>
        <v>0</v>
      </c>
      <c r="D334" s="82">
        <f>SUMIFS(Log[Sodium],Log[Date],tbDailyTotals[[#This Row],[Date]])</f>
        <v>0</v>
      </c>
      <c r="E334" s="71">
        <f>SUMIFS(Log[Net Carbs],Log[Date],tbDailyTotals[[#This Row],[Date]])</f>
        <v>0</v>
      </c>
      <c r="F334" s="71">
        <f>SUMIFS(Log[Protein],Log[Date],tbDailyTotals[[#This Row],[Date]])</f>
        <v>0</v>
      </c>
      <c r="G334" s="83">
        <f>SUMIFS(Log[Chol],Log[Date],tbDailyTotals[[#This Row],[Date]])</f>
        <v>0</v>
      </c>
      <c r="H334" s="92"/>
      <c r="I334" s="70" t="str">
        <f>IF(COUNTIFS(Log[Date],tbDailyTotals[[#This Row],[Date]],Log[Item],"Morn meds",Log[Qty],1),"x","")</f>
        <v/>
      </c>
      <c r="J334" s="70" t="str">
        <f>IF(COUNTIFS(Log[Date],tbDailyTotals[[#This Row],[Date]],Log[Item],"Morn insulin",Log[Qty],1),"x","")</f>
        <v/>
      </c>
      <c r="K334" s="70" t="str">
        <f>IF(COUNTIFS(Log[Date],tbDailyTotals[[#This Row],[Date]],Log[Item],"Eve insulin",Log[Qty],1),"x","")</f>
        <v/>
      </c>
      <c r="L334" s="70" t="str">
        <f>IF(COUNTIFS(Log[Date],tbDailyTotals[[#This Row],[Date]],Log[Item],"Eve meds",Log[Qty],1),"x","")</f>
        <v/>
      </c>
      <c r="M334" s="150"/>
    </row>
    <row r="335" spans="2:13" s="75" customFormat="1" ht="25.15" customHeight="1">
      <c r="B335" s="91"/>
      <c r="C335" s="82">
        <f>SUMIFS(Log[Cal],Log[Date],tbDailyTotals[[#This Row],[Date]])</f>
        <v>0</v>
      </c>
      <c r="D335" s="82">
        <f>SUMIFS(Log[Sodium],Log[Date],tbDailyTotals[[#This Row],[Date]])</f>
        <v>0</v>
      </c>
      <c r="E335" s="71">
        <f>SUMIFS(Log[Net Carbs],Log[Date],tbDailyTotals[[#This Row],[Date]])</f>
        <v>0</v>
      </c>
      <c r="F335" s="71">
        <f>SUMIFS(Log[Protein],Log[Date],tbDailyTotals[[#This Row],[Date]])</f>
        <v>0</v>
      </c>
      <c r="G335" s="83">
        <f>SUMIFS(Log[Chol],Log[Date],tbDailyTotals[[#This Row],[Date]])</f>
        <v>0</v>
      </c>
      <c r="H335" s="92"/>
      <c r="I335" s="70" t="str">
        <f>IF(COUNTIFS(Log[Date],tbDailyTotals[[#This Row],[Date]],Log[Item],"Morn meds",Log[Qty],1),"x","")</f>
        <v/>
      </c>
      <c r="J335" s="70" t="str">
        <f>IF(COUNTIFS(Log[Date],tbDailyTotals[[#This Row],[Date]],Log[Item],"Morn insulin",Log[Qty],1),"x","")</f>
        <v/>
      </c>
      <c r="K335" s="70" t="str">
        <f>IF(COUNTIFS(Log[Date],tbDailyTotals[[#This Row],[Date]],Log[Item],"Eve insulin",Log[Qty],1),"x","")</f>
        <v/>
      </c>
      <c r="L335" s="70" t="str">
        <f>IF(COUNTIFS(Log[Date],tbDailyTotals[[#This Row],[Date]],Log[Item],"Eve meds",Log[Qty],1),"x","")</f>
        <v/>
      </c>
      <c r="M335" s="150"/>
    </row>
    <row r="336" spans="2:13" s="75" customFormat="1" ht="25.15" customHeight="1">
      <c r="B336" s="91"/>
      <c r="C336" s="82">
        <f>SUMIFS(Log[Cal],Log[Date],tbDailyTotals[[#This Row],[Date]])</f>
        <v>0</v>
      </c>
      <c r="D336" s="82">
        <f>SUMIFS(Log[Sodium],Log[Date],tbDailyTotals[[#This Row],[Date]])</f>
        <v>0</v>
      </c>
      <c r="E336" s="71">
        <f>SUMIFS(Log[Net Carbs],Log[Date],tbDailyTotals[[#This Row],[Date]])</f>
        <v>0</v>
      </c>
      <c r="F336" s="71">
        <f>SUMIFS(Log[Protein],Log[Date],tbDailyTotals[[#This Row],[Date]])</f>
        <v>0</v>
      </c>
      <c r="G336" s="83">
        <f>SUMIFS(Log[Chol],Log[Date],tbDailyTotals[[#This Row],[Date]])</f>
        <v>0</v>
      </c>
      <c r="H336" s="92"/>
      <c r="I336" s="70" t="str">
        <f>IF(COUNTIFS(Log[Date],tbDailyTotals[[#This Row],[Date]],Log[Item],"Morn meds",Log[Qty],1),"x","")</f>
        <v/>
      </c>
      <c r="J336" s="70" t="str">
        <f>IF(COUNTIFS(Log[Date],tbDailyTotals[[#This Row],[Date]],Log[Item],"Morn insulin",Log[Qty],1),"x","")</f>
        <v/>
      </c>
      <c r="K336" s="70" t="str">
        <f>IF(COUNTIFS(Log[Date],tbDailyTotals[[#This Row],[Date]],Log[Item],"Eve insulin",Log[Qty],1),"x","")</f>
        <v/>
      </c>
      <c r="L336" s="70" t="str">
        <f>IF(COUNTIFS(Log[Date],tbDailyTotals[[#This Row],[Date]],Log[Item],"Eve meds",Log[Qty],1),"x","")</f>
        <v/>
      </c>
      <c r="M336" s="150"/>
    </row>
    <row r="337" spans="2:13" s="75" customFormat="1" ht="25.15" customHeight="1">
      <c r="B337" s="91"/>
      <c r="C337" s="82">
        <f>SUMIFS(Log[Cal],Log[Date],tbDailyTotals[[#This Row],[Date]])</f>
        <v>0</v>
      </c>
      <c r="D337" s="82">
        <f>SUMIFS(Log[Sodium],Log[Date],tbDailyTotals[[#This Row],[Date]])</f>
        <v>0</v>
      </c>
      <c r="E337" s="71">
        <f>SUMIFS(Log[Net Carbs],Log[Date],tbDailyTotals[[#This Row],[Date]])</f>
        <v>0</v>
      </c>
      <c r="F337" s="71">
        <f>SUMIFS(Log[Protein],Log[Date],tbDailyTotals[[#This Row],[Date]])</f>
        <v>0</v>
      </c>
      <c r="G337" s="83">
        <f>SUMIFS(Log[Chol],Log[Date],tbDailyTotals[[#This Row],[Date]])</f>
        <v>0</v>
      </c>
      <c r="H337" s="92"/>
      <c r="I337" s="70" t="str">
        <f>IF(COUNTIFS(Log[Date],tbDailyTotals[[#This Row],[Date]],Log[Item],"Morn meds",Log[Qty],1),"x","")</f>
        <v/>
      </c>
      <c r="J337" s="70" t="str">
        <f>IF(COUNTIFS(Log[Date],tbDailyTotals[[#This Row],[Date]],Log[Item],"Morn insulin",Log[Qty],1),"x","")</f>
        <v/>
      </c>
      <c r="K337" s="70" t="str">
        <f>IF(COUNTIFS(Log[Date],tbDailyTotals[[#This Row],[Date]],Log[Item],"Eve insulin",Log[Qty],1),"x","")</f>
        <v/>
      </c>
      <c r="L337" s="70" t="str">
        <f>IF(COUNTIFS(Log[Date],tbDailyTotals[[#This Row],[Date]],Log[Item],"Eve meds",Log[Qty],1),"x","")</f>
        <v/>
      </c>
      <c r="M337" s="150"/>
    </row>
    <row r="338" spans="2:13" s="75" customFormat="1" ht="25.15" customHeight="1">
      <c r="B338" s="91"/>
      <c r="C338" s="82">
        <f>SUMIFS(Log[Cal],Log[Date],tbDailyTotals[[#This Row],[Date]])</f>
        <v>0</v>
      </c>
      <c r="D338" s="82">
        <f>SUMIFS(Log[Sodium],Log[Date],tbDailyTotals[[#This Row],[Date]])</f>
        <v>0</v>
      </c>
      <c r="E338" s="71">
        <f>SUMIFS(Log[Net Carbs],Log[Date],tbDailyTotals[[#This Row],[Date]])</f>
        <v>0</v>
      </c>
      <c r="F338" s="71">
        <f>SUMIFS(Log[Protein],Log[Date],tbDailyTotals[[#This Row],[Date]])</f>
        <v>0</v>
      </c>
      <c r="G338" s="83">
        <f>SUMIFS(Log[Chol],Log[Date],tbDailyTotals[[#This Row],[Date]])</f>
        <v>0</v>
      </c>
      <c r="H338" s="92"/>
      <c r="I338" s="70" t="str">
        <f>IF(COUNTIFS(Log[Date],tbDailyTotals[[#This Row],[Date]],Log[Item],"Morn meds",Log[Qty],1),"x","")</f>
        <v/>
      </c>
      <c r="J338" s="70" t="str">
        <f>IF(COUNTIFS(Log[Date],tbDailyTotals[[#This Row],[Date]],Log[Item],"Morn insulin",Log[Qty],1),"x","")</f>
        <v/>
      </c>
      <c r="K338" s="70" t="str">
        <f>IF(COUNTIFS(Log[Date],tbDailyTotals[[#This Row],[Date]],Log[Item],"Eve insulin",Log[Qty],1),"x","")</f>
        <v/>
      </c>
      <c r="L338" s="70" t="str">
        <f>IF(COUNTIFS(Log[Date],tbDailyTotals[[#This Row],[Date]],Log[Item],"Eve meds",Log[Qty],1),"x","")</f>
        <v/>
      </c>
      <c r="M338" s="150"/>
    </row>
    <row r="339" spans="2:13" s="75" customFormat="1" ht="25.15" customHeight="1">
      <c r="B339" s="91"/>
      <c r="C339" s="82">
        <f>SUMIFS(Log[Cal],Log[Date],tbDailyTotals[[#This Row],[Date]])</f>
        <v>0</v>
      </c>
      <c r="D339" s="82">
        <f>SUMIFS(Log[Sodium],Log[Date],tbDailyTotals[[#This Row],[Date]])</f>
        <v>0</v>
      </c>
      <c r="E339" s="71">
        <f>SUMIFS(Log[Net Carbs],Log[Date],tbDailyTotals[[#This Row],[Date]])</f>
        <v>0</v>
      </c>
      <c r="F339" s="71">
        <f>SUMIFS(Log[Protein],Log[Date],tbDailyTotals[[#This Row],[Date]])</f>
        <v>0</v>
      </c>
      <c r="G339" s="83">
        <f>SUMIFS(Log[Chol],Log[Date],tbDailyTotals[[#This Row],[Date]])</f>
        <v>0</v>
      </c>
      <c r="H339" s="92"/>
      <c r="I339" s="70" t="str">
        <f>IF(COUNTIFS(Log[Date],tbDailyTotals[[#This Row],[Date]],Log[Item],"Morn meds",Log[Qty],1),"x","")</f>
        <v/>
      </c>
      <c r="J339" s="70" t="str">
        <f>IF(COUNTIFS(Log[Date],tbDailyTotals[[#This Row],[Date]],Log[Item],"Morn insulin",Log[Qty],1),"x","")</f>
        <v/>
      </c>
      <c r="K339" s="70" t="str">
        <f>IF(COUNTIFS(Log[Date],tbDailyTotals[[#This Row],[Date]],Log[Item],"Eve insulin",Log[Qty],1),"x","")</f>
        <v/>
      </c>
      <c r="L339" s="70" t="str">
        <f>IF(COUNTIFS(Log[Date],tbDailyTotals[[#This Row],[Date]],Log[Item],"Eve meds",Log[Qty],1),"x","")</f>
        <v/>
      </c>
      <c r="M339" s="150"/>
    </row>
    <row r="340" spans="2:13" s="75" customFormat="1" ht="25.15" customHeight="1">
      <c r="B340" s="91"/>
      <c r="C340" s="82">
        <f>SUMIFS(Log[Cal],Log[Date],tbDailyTotals[[#This Row],[Date]])</f>
        <v>0</v>
      </c>
      <c r="D340" s="82">
        <f>SUMIFS(Log[Sodium],Log[Date],tbDailyTotals[[#This Row],[Date]])</f>
        <v>0</v>
      </c>
      <c r="E340" s="71">
        <f>SUMIFS(Log[Net Carbs],Log[Date],tbDailyTotals[[#This Row],[Date]])</f>
        <v>0</v>
      </c>
      <c r="F340" s="71">
        <f>SUMIFS(Log[Protein],Log[Date],tbDailyTotals[[#This Row],[Date]])</f>
        <v>0</v>
      </c>
      <c r="G340" s="83">
        <f>SUMIFS(Log[Chol],Log[Date],tbDailyTotals[[#This Row],[Date]])</f>
        <v>0</v>
      </c>
      <c r="H340" s="92"/>
      <c r="I340" s="70" t="str">
        <f>IF(COUNTIFS(Log[Date],tbDailyTotals[[#This Row],[Date]],Log[Item],"Morn meds",Log[Qty],1),"x","")</f>
        <v/>
      </c>
      <c r="J340" s="70" t="str">
        <f>IF(COUNTIFS(Log[Date],tbDailyTotals[[#This Row],[Date]],Log[Item],"Morn insulin",Log[Qty],1),"x","")</f>
        <v/>
      </c>
      <c r="K340" s="70" t="str">
        <f>IF(COUNTIFS(Log[Date],tbDailyTotals[[#This Row],[Date]],Log[Item],"Eve insulin",Log[Qty],1),"x","")</f>
        <v/>
      </c>
      <c r="L340" s="70" t="str">
        <f>IF(COUNTIFS(Log[Date],tbDailyTotals[[#This Row],[Date]],Log[Item],"Eve meds",Log[Qty],1),"x","")</f>
        <v/>
      </c>
      <c r="M340" s="150"/>
    </row>
    <row r="341" spans="2:13" s="75" customFormat="1" ht="25.15" customHeight="1">
      <c r="B341" s="91"/>
      <c r="C341" s="82">
        <f>SUMIFS(Log[Cal],Log[Date],tbDailyTotals[[#This Row],[Date]])</f>
        <v>0</v>
      </c>
      <c r="D341" s="82">
        <f>SUMIFS(Log[Sodium],Log[Date],tbDailyTotals[[#This Row],[Date]])</f>
        <v>0</v>
      </c>
      <c r="E341" s="71">
        <f>SUMIFS(Log[Net Carbs],Log[Date],tbDailyTotals[[#This Row],[Date]])</f>
        <v>0</v>
      </c>
      <c r="F341" s="71">
        <f>SUMIFS(Log[Protein],Log[Date],tbDailyTotals[[#This Row],[Date]])</f>
        <v>0</v>
      </c>
      <c r="G341" s="83">
        <f>SUMIFS(Log[Chol],Log[Date],tbDailyTotals[[#This Row],[Date]])</f>
        <v>0</v>
      </c>
      <c r="H341" s="92"/>
      <c r="I341" s="70" t="str">
        <f>IF(COUNTIFS(Log[Date],tbDailyTotals[[#This Row],[Date]],Log[Item],"Morn meds",Log[Qty],1),"x","")</f>
        <v/>
      </c>
      <c r="J341" s="70" t="str">
        <f>IF(COUNTIFS(Log[Date],tbDailyTotals[[#This Row],[Date]],Log[Item],"Morn insulin",Log[Qty],1),"x","")</f>
        <v/>
      </c>
      <c r="K341" s="70" t="str">
        <f>IF(COUNTIFS(Log[Date],tbDailyTotals[[#This Row],[Date]],Log[Item],"Eve insulin",Log[Qty],1),"x","")</f>
        <v/>
      </c>
      <c r="L341" s="70" t="str">
        <f>IF(COUNTIFS(Log[Date],tbDailyTotals[[#This Row],[Date]],Log[Item],"Eve meds",Log[Qty],1),"x","")</f>
        <v/>
      </c>
      <c r="M341" s="150"/>
    </row>
    <row r="342" spans="2:13" s="75" customFormat="1" ht="25.15" customHeight="1">
      <c r="B342" s="91"/>
      <c r="C342" s="82">
        <f>SUMIFS(Log[Cal],Log[Date],tbDailyTotals[[#This Row],[Date]])</f>
        <v>0</v>
      </c>
      <c r="D342" s="82">
        <f>SUMIFS(Log[Sodium],Log[Date],tbDailyTotals[[#This Row],[Date]])</f>
        <v>0</v>
      </c>
      <c r="E342" s="71">
        <f>SUMIFS(Log[Net Carbs],Log[Date],tbDailyTotals[[#This Row],[Date]])</f>
        <v>0</v>
      </c>
      <c r="F342" s="71">
        <f>SUMIFS(Log[Protein],Log[Date],tbDailyTotals[[#This Row],[Date]])</f>
        <v>0</v>
      </c>
      <c r="G342" s="83">
        <f>SUMIFS(Log[Chol],Log[Date],tbDailyTotals[[#This Row],[Date]])</f>
        <v>0</v>
      </c>
      <c r="H342" s="92"/>
      <c r="I342" s="70" t="str">
        <f>IF(COUNTIFS(Log[Date],tbDailyTotals[[#This Row],[Date]],Log[Item],"Morn meds",Log[Qty],1),"x","")</f>
        <v/>
      </c>
      <c r="J342" s="70" t="str">
        <f>IF(COUNTIFS(Log[Date],tbDailyTotals[[#This Row],[Date]],Log[Item],"Morn insulin",Log[Qty],1),"x","")</f>
        <v/>
      </c>
      <c r="K342" s="70" t="str">
        <f>IF(COUNTIFS(Log[Date],tbDailyTotals[[#This Row],[Date]],Log[Item],"Eve insulin",Log[Qty],1),"x","")</f>
        <v/>
      </c>
      <c r="L342" s="70" t="str">
        <f>IF(COUNTIFS(Log[Date],tbDailyTotals[[#This Row],[Date]],Log[Item],"Eve meds",Log[Qty],1),"x","")</f>
        <v/>
      </c>
      <c r="M342" s="150"/>
    </row>
    <row r="343" spans="2:13" s="75" customFormat="1" ht="25.15" customHeight="1">
      <c r="B343" s="91"/>
      <c r="C343" s="82">
        <f>SUMIFS(Log[Cal],Log[Date],tbDailyTotals[[#This Row],[Date]])</f>
        <v>0</v>
      </c>
      <c r="D343" s="82">
        <f>SUMIFS(Log[Sodium],Log[Date],tbDailyTotals[[#This Row],[Date]])</f>
        <v>0</v>
      </c>
      <c r="E343" s="71">
        <f>SUMIFS(Log[Net Carbs],Log[Date],tbDailyTotals[[#This Row],[Date]])</f>
        <v>0</v>
      </c>
      <c r="F343" s="71">
        <f>SUMIFS(Log[Protein],Log[Date],tbDailyTotals[[#This Row],[Date]])</f>
        <v>0</v>
      </c>
      <c r="G343" s="83">
        <f>SUMIFS(Log[Chol],Log[Date],tbDailyTotals[[#This Row],[Date]])</f>
        <v>0</v>
      </c>
      <c r="H343" s="92"/>
      <c r="I343" s="70" t="str">
        <f>IF(COUNTIFS(Log[Date],tbDailyTotals[[#This Row],[Date]],Log[Item],"Morn meds",Log[Qty],1),"x","")</f>
        <v/>
      </c>
      <c r="J343" s="70" t="str">
        <f>IF(COUNTIFS(Log[Date],tbDailyTotals[[#This Row],[Date]],Log[Item],"Morn insulin",Log[Qty],1),"x","")</f>
        <v/>
      </c>
      <c r="K343" s="70" t="str">
        <f>IF(COUNTIFS(Log[Date],tbDailyTotals[[#This Row],[Date]],Log[Item],"Eve insulin",Log[Qty],1),"x","")</f>
        <v/>
      </c>
      <c r="L343" s="70" t="str">
        <f>IF(COUNTIFS(Log[Date],tbDailyTotals[[#This Row],[Date]],Log[Item],"Eve meds",Log[Qty],1),"x","")</f>
        <v/>
      </c>
      <c r="M343" s="150"/>
    </row>
    <row r="344" spans="2:13" s="75" customFormat="1" ht="25.15" customHeight="1">
      <c r="B344" s="91"/>
      <c r="C344" s="82">
        <f>SUMIFS(Log[Cal],Log[Date],tbDailyTotals[[#This Row],[Date]])</f>
        <v>0</v>
      </c>
      <c r="D344" s="82">
        <f>SUMIFS(Log[Sodium],Log[Date],tbDailyTotals[[#This Row],[Date]])</f>
        <v>0</v>
      </c>
      <c r="E344" s="71">
        <f>SUMIFS(Log[Net Carbs],Log[Date],tbDailyTotals[[#This Row],[Date]])</f>
        <v>0</v>
      </c>
      <c r="F344" s="71">
        <f>SUMIFS(Log[Protein],Log[Date],tbDailyTotals[[#This Row],[Date]])</f>
        <v>0</v>
      </c>
      <c r="G344" s="83">
        <f>SUMIFS(Log[Chol],Log[Date],tbDailyTotals[[#This Row],[Date]])</f>
        <v>0</v>
      </c>
      <c r="H344" s="92"/>
      <c r="I344" s="70" t="str">
        <f>IF(COUNTIFS(Log[Date],tbDailyTotals[[#This Row],[Date]],Log[Item],"Morn meds",Log[Qty],1),"x","")</f>
        <v/>
      </c>
      <c r="J344" s="70" t="str">
        <f>IF(COUNTIFS(Log[Date],tbDailyTotals[[#This Row],[Date]],Log[Item],"Morn insulin",Log[Qty],1),"x","")</f>
        <v/>
      </c>
      <c r="K344" s="70" t="str">
        <f>IF(COUNTIFS(Log[Date],tbDailyTotals[[#This Row],[Date]],Log[Item],"Eve insulin",Log[Qty],1),"x","")</f>
        <v/>
      </c>
      <c r="L344" s="70" t="str">
        <f>IF(COUNTIFS(Log[Date],tbDailyTotals[[#This Row],[Date]],Log[Item],"Eve meds",Log[Qty],1),"x","")</f>
        <v/>
      </c>
      <c r="M344" s="150"/>
    </row>
    <row r="345" spans="2:13" s="75" customFormat="1" ht="25.15" customHeight="1">
      <c r="B345" s="91"/>
      <c r="C345" s="82">
        <f>SUMIFS(Log[Cal],Log[Date],tbDailyTotals[[#This Row],[Date]])</f>
        <v>0</v>
      </c>
      <c r="D345" s="82">
        <f>SUMIFS(Log[Sodium],Log[Date],tbDailyTotals[[#This Row],[Date]])</f>
        <v>0</v>
      </c>
      <c r="E345" s="71">
        <f>SUMIFS(Log[Net Carbs],Log[Date],tbDailyTotals[[#This Row],[Date]])</f>
        <v>0</v>
      </c>
      <c r="F345" s="71">
        <f>SUMIFS(Log[Protein],Log[Date],tbDailyTotals[[#This Row],[Date]])</f>
        <v>0</v>
      </c>
      <c r="G345" s="83">
        <f>SUMIFS(Log[Chol],Log[Date],tbDailyTotals[[#This Row],[Date]])</f>
        <v>0</v>
      </c>
      <c r="H345" s="92"/>
      <c r="I345" s="70" t="str">
        <f>IF(COUNTIFS(Log[Date],tbDailyTotals[[#This Row],[Date]],Log[Item],"Morn meds",Log[Qty],1),"x","")</f>
        <v/>
      </c>
      <c r="J345" s="70" t="str">
        <f>IF(COUNTIFS(Log[Date],tbDailyTotals[[#This Row],[Date]],Log[Item],"Morn insulin",Log[Qty],1),"x","")</f>
        <v/>
      </c>
      <c r="K345" s="70" t="str">
        <f>IF(COUNTIFS(Log[Date],tbDailyTotals[[#This Row],[Date]],Log[Item],"Eve insulin",Log[Qty],1),"x","")</f>
        <v/>
      </c>
      <c r="L345" s="70" t="str">
        <f>IF(COUNTIFS(Log[Date],tbDailyTotals[[#This Row],[Date]],Log[Item],"Eve meds",Log[Qty],1),"x","")</f>
        <v/>
      </c>
      <c r="M345" s="150"/>
    </row>
    <row r="346" spans="2:13" s="75" customFormat="1" ht="25.15" customHeight="1">
      <c r="B346" s="91"/>
      <c r="C346" s="82">
        <f>SUMIFS(Log[Cal],Log[Date],tbDailyTotals[[#This Row],[Date]])</f>
        <v>0</v>
      </c>
      <c r="D346" s="82">
        <f>SUMIFS(Log[Sodium],Log[Date],tbDailyTotals[[#This Row],[Date]])</f>
        <v>0</v>
      </c>
      <c r="E346" s="71">
        <f>SUMIFS(Log[Net Carbs],Log[Date],tbDailyTotals[[#This Row],[Date]])</f>
        <v>0</v>
      </c>
      <c r="F346" s="71">
        <f>SUMIFS(Log[Protein],Log[Date],tbDailyTotals[[#This Row],[Date]])</f>
        <v>0</v>
      </c>
      <c r="G346" s="83">
        <f>SUMIFS(Log[Chol],Log[Date],tbDailyTotals[[#This Row],[Date]])</f>
        <v>0</v>
      </c>
      <c r="H346" s="92"/>
      <c r="I346" s="70" t="str">
        <f>IF(COUNTIFS(Log[Date],tbDailyTotals[[#This Row],[Date]],Log[Item],"Morn meds",Log[Qty],1),"x","")</f>
        <v/>
      </c>
      <c r="J346" s="70" t="str">
        <f>IF(COUNTIFS(Log[Date],tbDailyTotals[[#This Row],[Date]],Log[Item],"Morn insulin",Log[Qty],1),"x","")</f>
        <v/>
      </c>
      <c r="K346" s="70" t="str">
        <f>IF(COUNTIFS(Log[Date],tbDailyTotals[[#This Row],[Date]],Log[Item],"Eve insulin",Log[Qty],1),"x","")</f>
        <v/>
      </c>
      <c r="L346" s="70" t="str">
        <f>IF(COUNTIFS(Log[Date],tbDailyTotals[[#This Row],[Date]],Log[Item],"Eve meds",Log[Qty],1),"x","")</f>
        <v/>
      </c>
      <c r="M346" s="150"/>
    </row>
    <row r="347" spans="2:13" s="75" customFormat="1" ht="25.15" customHeight="1">
      <c r="B347" s="91"/>
      <c r="C347" s="82">
        <f>SUMIFS(Log[Cal],Log[Date],tbDailyTotals[[#This Row],[Date]])</f>
        <v>0</v>
      </c>
      <c r="D347" s="82">
        <f>SUMIFS(Log[Sodium],Log[Date],tbDailyTotals[[#This Row],[Date]])</f>
        <v>0</v>
      </c>
      <c r="E347" s="71">
        <f>SUMIFS(Log[Net Carbs],Log[Date],tbDailyTotals[[#This Row],[Date]])</f>
        <v>0</v>
      </c>
      <c r="F347" s="71">
        <f>SUMIFS(Log[Protein],Log[Date],tbDailyTotals[[#This Row],[Date]])</f>
        <v>0</v>
      </c>
      <c r="G347" s="83">
        <f>SUMIFS(Log[Chol],Log[Date],tbDailyTotals[[#This Row],[Date]])</f>
        <v>0</v>
      </c>
      <c r="H347" s="92"/>
      <c r="I347" s="70" t="str">
        <f>IF(COUNTIFS(Log[Date],tbDailyTotals[[#This Row],[Date]],Log[Item],"Morn meds",Log[Qty],1),"x","")</f>
        <v/>
      </c>
      <c r="J347" s="70" t="str">
        <f>IF(COUNTIFS(Log[Date],tbDailyTotals[[#This Row],[Date]],Log[Item],"Morn insulin",Log[Qty],1),"x","")</f>
        <v/>
      </c>
      <c r="K347" s="70" t="str">
        <f>IF(COUNTIFS(Log[Date],tbDailyTotals[[#This Row],[Date]],Log[Item],"Eve insulin",Log[Qty],1),"x","")</f>
        <v/>
      </c>
      <c r="L347" s="70" t="str">
        <f>IF(COUNTIFS(Log[Date],tbDailyTotals[[#This Row],[Date]],Log[Item],"Eve meds",Log[Qty],1),"x","")</f>
        <v/>
      </c>
      <c r="M347" s="150"/>
    </row>
    <row r="348" spans="2:13" s="75" customFormat="1" ht="25.15" customHeight="1">
      <c r="B348" s="91"/>
      <c r="C348" s="82">
        <f>SUMIFS(Log[Cal],Log[Date],tbDailyTotals[[#This Row],[Date]])</f>
        <v>0</v>
      </c>
      <c r="D348" s="82">
        <f>SUMIFS(Log[Sodium],Log[Date],tbDailyTotals[[#This Row],[Date]])</f>
        <v>0</v>
      </c>
      <c r="E348" s="71">
        <f>SUMIFS(Log[Net Carbs],Log[Date],tbDailyTotals[[#This Row],[Date]])</f>
        <v>0</v>
      </c>
      <c r="F348" s="71">
        <f>SUMIFS(Log[Protein],Log[Date],tbDailyTotals[[#This Row],[Date]])</f>
        <v>0</v>
      </c>
      <c r="G348" s="83">
        <f>SUMIFS(Log[Chol],Log[Date],tbDailyTotals[[#This Row],[Date]])</f>
        <v>0</v>
      </c>
      <c r="H348" s="92"/>
      <c r="I348" s="70" t="str">
        <f>IF(COUNTIFS(Log[Date],tbDailyTotals[[#This Row],[Date]],Log[Item],"Morn meds",Log[Qty],1),"x","")</f>
        <v/>
      </c>
      <c r="J348" s="70" t="str">
        <f>IF(COUNTIFS(Log[Date],tbDailyTotals[[#This Row],[Date]],Log[Item],"Morn insulin",Log[Qty],1),"x","")</f>
        <v/>
      </c>
      <c r="K348" s="70" t="str">
        <f>IF(COUNTIFS(Log[Date],tbDailyTotals[[#This Row],[Date]],Log[Item],"Eve insulin",Log[Qty],1),"x","")</f>
        <v/>
      </c>
      <c r="L348" s="70" t="str">
        <f>IF(COUNTIFS(Log[Date],tbDailyTotals[[#This Row],[Date]],Log[Item],"Eve meds",Log[Qty],1),"x","")</f>
        <v/>
      </c>
      <c r="M348" s="150"/>
    </row>
    <row r="349" spans="2:13" s="75" customFormat="1" ht="25.15" customHeight="1">
      <c r="B349" s="91"/>
      <c r="C349" s="82">
        <f>SUMIFS(Log[Cal],Log[Date],tbDailyTotals[[#This Row],[Date]])</f>
        <v>0</v>
      </c>
      <c r="D349" s="82">
        <f>SUMIFS(Log[Sodium],Log[Date],tbDailyTotals[[#This Row],[Date]])</f>
        <v>0</v>
      </c>
      <c r="E349" s="71">
        <f>SUMIFS(Log[Net Carbs],Log[Date],tbDailyTotals[[#This Row],[Date]])</f>
        <v>0</v>
      </c>
      <c r="F349" s="71">
        <f>SUMIFS(Log[Protein],Log[Date],tbDailyTotals[[#This Row],[Date]])</f>
        <v>0</v>
      </c>
      <c r="G349" s="83">
        <f>SUMIFS(Log[Chol],Log[Date],tbDailyTotals[[#This Row],[Date]])</f>
        <v>0</v>
      </c>
      <c r="H349" s="92"/>
      <c r="I349" s="70" t="str">
        <f>IF(COUNTIFS(Log[Date],tbDailyTotals[[#This Row],[Date]],Log[Item],"Morn meds",Log[Qty],1),"x","")</f>
        <v/>
      </c>
      <c r="J349" s="70" t="str">
        <f>IF(COUNTIFS(Log[Date],tbDailyTotals[[#This Row],[Date]],Log[Item],"Morn insulin",Log[Qty],1),"x","")</f>
        <v/>
      </c>
      <c r="K349" s="70" t="str">
        <f>IF(COUNTIFS(Log[Date],tbDailyTotals[[#This Row],[Date]],Log[Item],"Eve insulin",Log[Qty],1),"x","")</f>
        <v/>
      </c>
      <c r="L349" s="70" t="str">
        <f>IF(COUNTIFS(Log[Date],tbDailyTotals[[#This Row],[Date]],Log[Item],"Eve meds",Log[Qty],1),"x","")</f>
        <v/>
      </c>
      <c r="M349" s="150"/>
    </row>
    <row r="350" spans="2:13" s="75" customFormat="1" ht="25.15" customHeight="1">
      <c r="B350" s="91"/>
      <c r="C350" s="82">
        <f>SUMIFS(Log[Cal],Log[Date],tbDailyTotals[[#This Row],[Date]])</f>
        <v>0</v>
      </c>
      <c r="D350" s="82">
        <f>SUMIFS(Log[Sodium],Log[Date],tbDailyTotals[[#This Row],[Date]])</f>
        <v>0</v>
      </c>
      <c r="E350" s="71">
        <f>SUMIFS(Log[Net Carbs],Log[Date],tbDailyTotals[[#This Row],[Date]])</f>
        <v>0</v>
      </c>
      <c r="F350" s="71">
        <f>SUMIFS(Log[Protein],Log[Date],tbDailyTotals[[#This Row],[Date]])</f>
        <v>0</v>
      </c>
      <c r="G350" s="83">
        <f>SUMIFS(Log[Chol],Log[Date],tbDailyTotals[[#This Row],[Date]])</f>
        <v>0</v>
      </c>
      <c r="H350" s="92"/>
      <c r="I350" s="70" t="str">
        <f>IF(COUNTIFS(Log[Date],tbDailyTotals[[#This Row],[Date]],Log[Item],"Morn meds",Log[Qty],1),"x","")</f>
        <v/>
      </c>
      <c r="J350" s="70" t="str">
        <f>IF(COUNTIFS(Log[Date],tbDailyTotals[[#This Row],[Date]],Log[Item],"Morn insulin",Log[Qty],1),"x","")</f>
        <v/>
      </c>
      <c r="K350" s="70" t="str">
        <f>IF(COUNTIFS(Log[Date],tbDailyTotals[[#This Row],[Date]],Log[Item],"Eve insulin",Log[Qty],1),"x","")</f>
        <v/>
      </c>
      <c r="L350" s="70" t="str">
        <f>IF(COUNTIFS(Log[Date],tbDailyTotals[[#This Row],[Date]],Log[Item],"Eve meds",Log[Qty],1),"x","")</f>
        <v/>
      </c>
      <c r="M350" s="150"/>
    </row>
    <row r="351" spans="2:13" s="75" customFormat="1" ht="25.15" customHeight="1">
      <c r="B351" s="91"/>
      <c r="C351" s="82">
        <f>SUMIFS(Log[Cal],Log[Date],tbDailyTotals[[#This Row],[Date]])</f>
        <v>0</v>
      </c>
      <c r="D351" s="82">
        <f>SUMIFS(Log[Sodium],Log[Date],tbDailyTotals[[#This Row],[Date]])</f>
        <v>0</v>
      </c>
      <c r="E351" s="71">
        <f>SUMIFS(Log[Net Carbs],Log[Date],tbDailyTotals[[#This Row],[Date]])</f>
        <v>0</v>
      </c>
      <c r="F351" s="71">
        <f>SUMIFS(Log[Protein],Log[Date],tbDailyTotals[[#This Row],[Date]])</f>
        <v>0</v>
      </c>
      <c r="G351" s="83">
        <f>SUMIFS(Log[Chol],Log[Date],tbDailyTotals[[#This Row],[Date]])</f>
        <v>0</v>
      </c>
      <c r="H351" s="92"/>
      <c r="I351" s="70" t="str">
        <f>IF(COUNTIFS(Log[Date],tbDailyTotals[[#This Row],[Date]],Log[Item],"Morn meds",Log[Qty],1),"x","")</f>
        <v/>
      </c>
      <c r="J351" s="70" t="str">
        <f>IF(COUNTIFS(Log[Date],tbDailyTotals[[#This Row],[Date]],Log[Item],"Morn insulin",Log[Qty],1),"x","")</f>
        <v/>
      </c>
      <c r="K351" s="70" t="str">
        <f>IF(COUNTIFS(Log[Date],tbDailyTotals[[#This Row],[Date]],Log[Item],"Eve insulin",Log[Qty],1),"x","")</f>
        <v/>
      </c>
      <c r="L351" s="70" t="str">
        <f>IF(COUNTIFS(Log[Date],tbDailyTotals[[#This Row],[Date]],Log[Item],"Eve meds",Log[Qty],1),"x","")</f>
        <v/>
      </c>
      <c r="M351" s="150"/>
    </row>
    <row r="352" spans="2:13" s="75" customFormat="1" ht="25.15" customHeight="1">
      <c r="B352" s="91"/>
      <c r="C352" s="82">
        <f>SUMIFS(Log[Cal],Log[Date],tbDailyTotals[[#This Row],[Date]])</f>
        <v>0</v>
      </c>
      <c r="D352" s="82">
        <f>SUMIFS(Log[Sodium],Log[Date],tbDailyTotals[[#This Row],[Date]])</f>
        <v>0</v>
      </c>
      <c r="E352" s="71">
        <f>SUMIFS(Log[Net Carbs],Log[Date],tbDailyTotals[[#This Row],[Date]])</f>
        <v>0</v>
      </c>
      <c r="F352" s="71">
        <f>SUMIFS(Log[Protein],Log[Date],tbDailyTotals[[#This Row],[Date]])</f>
        <v>0</v>
      </c>
      <c r="G352" s="83">
        <f>SUMIFS(Log[Chol],Log[Date],tbDailyTotals[[#This Row],[Date]])</f>
        <v>0</v>
      </c>
      <c r="H352" s="92"/>
      <c r="I352" s="70" t="str">
        <f>IF(COUNTIFS(Log[Date],tbDailyTotals[[#This Row],[Date]],Log[Item],"Morn meds",Log[Qty],1),"x","")</f>
        <v/>
      </c>
      <c r="J352" s="70" t="str">
        <f>IF(COUNTIFS(Log[Date],tbDailyTotals[[#This Row],[Date]],Log[Item],"Morn insulin",Log[Qty],1),"x","")</f>
        <v/>
      </c>
      <c r="K352" s="70" t="str">
        <f>IF(COUNTIFS(Log[Date],tbDailyTotals[[#This Row],[Date]],Log[Item],"Eve insulin",Log[Qty],1),"x","")</f>
        <v/>
      </c>
      <c r="L352" s="70" t="str">
        <f>IF(COUNTIFS(Log[Date],tbDailyTotals[[#This Row],[Date]],Log[Item],"Eve meds",Log[Qty],1),"x","")</f>
        <v/>
      </c>
      <c r="M352" s="150"/>
    </row>
    <row r="353" spans="2:13" s="75" customFormat="1" ht="25.15" customHeight="1">
      <c r="B353" s="91"/>
      <c r="C353" s="82">
        <f>SUMIFS(Log[Cal],Log[Date],tbDailyTotals[[#This Row],[Date]])</f>
        <v>0</v>
      </c>
      <c r="D353" s="82">
        <f>SUMIFS(Log[Sodium],Log[Date],tbDailyTotals[[#This Row],[Date]])</f>
        <v>0</v>
      </c>
      <c r="E353" s="71">
        <f>SUMIFS(Log[Net Carbs],Log[Date],tbDailyTotals[[#This Row],[Date]])</f>
        <v>0</v>
      </c>
      <c r="F353" s="71">
        <f>SUMIFS(Log[Protein],Log[Date],tbDailyTotals[[#This Row],[Date]])</f>
        <v>0</v>
      </c>
      <c r="G353" s="83">
        <f>SUMIFS(Log[Chol],Log[Date],tbDailyTotals[[#This Row],[Date]])</f>
        <v>0</v>
      </c>
      <c r="H353" s="92"/>
      <c r="I353" s="70" t="str">
        <f>IF(COUNTIFS(Log[Date],tbDailyTotals[[#This Row],[Date]],Log[Item],"Morn meds",Log[Qty],1),"x","")</f>
        <v/>
      </c>
      <c r="J353" s="70" t="str">
        <f>IF(COUNTIFS(Log[Date],tbDailyTotals[[#This Row],[Date]],Log[Item],"Morn insulin",Log[Qty],1),"x","")</f>
        <v/>
      </c>
      <c r="K353" s="70" t="str">
        <f>IF(COUNTIFS(Log[Date],tbDailyTotals[[#This Row],[Date]],Log[Item],"Eve insulin",Log[Qty],1),"x","")</f>
        <v/>
      </c>
      <c r="L353" s="70" t="str">
        <f>IF(COUNTIFS(Log[Date],tbDailyTotals[[#This Row],[Date]],Log[Item],"Eve meds",Log[Qty],1),"x","")</f>
        <v/>
      </c>
      <c r="M353" s="150"/>
    </row>
    <row r="354" spans="2:13" s="75" customFormat="1" ht="25.15" customHeight="1">
      <c r="B354" s="91"/>
      <c r="C354" s="82">
        <f>SUMIFS(Log[Cal],Log[Date],tbDailyTotals[[#This Row],[Date]])</f>
        <v>0</v>
      </c>
      <c r="D354" s="82">
        <f>SUMIFS(Log[Sodium],Log[Date],tbDailyTotals[[#This Row],[Date]])</f>
        <v>0</v>
      </c>
      <c r="E354" s="71">
        <f>SUMIFS(Log[Net Carbs],Log[Date],tbDailyTotals[[#This Row],[Date]])</f>
        <v>0</v>
      </c>
      <c r="F354" s="71">
        <f>SUMIFS(Log[Protein],Log[Date],tbDailyTotals[[#This Row],[Date]])</f>
        <v>0</v>
      </c>
      <c r="G354" s="83">
        <f>SUMIFS(Log[Chol],Log[Date],tbDailyTotals[[#This Row],[Date]])</f>
        <v>0</v>
      </c>
      <c r="H354" s="92"/>
      <c r="I354" s="70" t="str">
        <f>IF(COUNTIFS(Log[Date],tbDailyTotals[[#This Row],[Date]],Log[Item],"Morn meds",Log[Qty],1),"x","")</f>
        <v/>
      </c>
      <c r="J354" s="70" t="str">
        <f>IF(COUNTIFS(Log[Date],tbDailyTotals[[#This Row],[Date]],Log[Item],"Morn insulin",Log[Qty],1),"x","")</f>
        <v/>
      </c>
      <c r="K354" s="70" t="str">
        <f>IF(COUNTIFS(Log[Date],tbDailyTotals[[#This Row],[Date]],Log[Item],"Eve insulin",Log[Qty],1),"x","")</f>
        <v/>
      </c>
      <c r="L354" s="70" t="str">
        <f>IF(COUNTIFS(Log[Date],tbDailyTotals[[#This Row],[Date]],Log[Item],"Eve meds",Log[Qty],1),"x","")</f>
        <v/>
      </c>
      <c r="M354" s="150"/>
    </row>
    <row r="355" spans="2:13" s="75" customFormat="1" ht="25.15" customHeight="1">
      <c r="B355" s="91"/>
      <c r="C355" s="82">
        <f>SUMIFS(Log[Cal],Log[Date],tbDailyTotals[[#This Row],[Date]])</f>
        <v>0</v>
      </c>
      <c r="D355" s="82">
        <f>SUMIFS(Log[Sodium],Log[Date],tbDailyTotals[[#This Row],[Date]])</f>
        <v>0</v>
      </c>
      <c r="E355" s="71">
        <f>SUMIFS(Log[Net Carbs],Log[Date],tbDailyTotals[[#This Row],[Date]])</f>
        <v>0</v>
      </c>
      <c r="F355" s="71">
        <f>SUMIFS(Log[Protein],Log[Date],tbDailyTotals[[#This Row],[Date]])</f>
        <v>0</v>
      </c>
      <c r="G355" s="83">
        <f>SUMIFS(Log[Chol],Log[Date],tbDailyTotals[[#This Row],[Date]])</f>
        <v>0</v>
      </c>
      <c r="H355" s="92"/>
      <c r="I355" s="70" t="str">
        <f>IF(COUNTIFS(Log[Date],tbDailyTotals[[#This Row],[Date]],Log[Item],"Morn meds",Log[Qty],1),"x","")</f>
        <v/>
      </c>
      <c r="J355" s="70" t="str">
        <f>IF(COUNTIFS(Log[Date],tbDailyTotals[[#This Row],[Date]],Log[Item],"Morn insulin",Log[Qty],1),"x","")</f>
        <v/>
      </c>
      <c r="K355" s="70" t="str">
        <f>IF(COUNTIFS(Log[Date],tbDailyTotals[[#This Row],[Date]],Log[Item],"Eve insulin",Log[Qty],1),"x","")</f>
        <v/>
      </c>
      <c r="L355" s="70" t="str">
        <f>IF(COUNTIFS(Log[Date],tbDailyTotals[[#This Row],[Date]],Log[Item],"Eve meds",Log[Qty],1),"x","")</f>
        <v/>
      </c>
      <c r="M355" s="150"/>
    </row>
    <row r="356" spans="2:13" s="75" customFormat="1" ht="25.15" customHeight="1">
      <c r="B356" s="91"/>
      <c r="C356" s="82">
        <f>SUMIFS(Log[Cal],Log[Date],tbDailyTotals[[#This Row],[Date]])</f>
        <v>0</v>
      </c>
      <c r="D356" s="82">
        <f>SUMIFS(Log[Sodium],Log[Date],tbDailyTotals[[#This Row],[Date]])</f>
        <v>0</v>
      </c>
      <c r="E356" s="71">
        <f>SUMIFS(Log[Net Carbs],Log[Date],tbDailyTotals[[#This Row],[Date]])</f>
        <v>0</v>
      </c>
      <c r="F356" s="71">
        <f>SUMIFS(Log[Protein],Log[Date],tbDailyTotals[[#This Row],[Date]])</f>
        <v>0</v>
      </c>
      <c r="G356" s="83">
        <f>SUMIFS(Log[Chol],Log[Date],tbDailyTotals[[#This Row],[Date]])</f>
        <v>0</v>
      </c>
      <c r="H356" s="92"/>
      <c r="I356" s="70" t="str">
        <f>IF(COUNTIFS(Log[Date],tbDailyTotals[[#This Row],[Date]],Log[Item],"Morn meds",Log[Qty],1),"x","")</f>
        <v/>
      </c>
      <c r="J356" s="70" t="str">
        <f>IF(COUNTIFS(Log[Date],tbDailyTotals[[#This Row],[Date]],Log[Item],"Morn insulin",Log[Qty],1),"x","")</f>
        <v/>
      </c>
      <c r="K356" s="70" t="str">
        <f>IF(COUNTIFS(Log[Date],tbDailyTotals[[#This Row],[Date]],Log[Item],"Eve insulin",Log[Qty],1),"x","")</f>
        <v/>
      </c>
      <c r="L356" s="70" t="str">
        <f>IF(COUNTIFS(Log[Date],tbDailyTotals[[#This Row],[Date]],Log[Item],"Eve meds",Log[Qty],1),"x","")</f>
        <v/>
      </c>
      <c r="M356" s="150"/>
    </row>
    <row r="357" spans="2:13" s="75" customFormat="1" ht="25.15" customHeight="1">
      <c r="B357" s="91"/>
      <c r="C357" s="82">
        <f>SUMIFS(Log[Cal],Log[Date],tbDailyTotals[[#This Row],[Date]])</f>
        <v>0</v>
      </c>
      <c r="D357" s="82">
        <f>SUMIFS(Log[Sodium],Log[Date],tbDailyTotals[[#This Row],[Date]])</f>
        <v>0</v>
      </c>
      <c r="E357" s="71">
        <f>SUMIFS(Log[Net Carbs],Log[Date],tbDailyTotals[[#This Row],[Date]])</f>
        <v>0</v>
      </c>
      <c r="F357" s="71">
        <f>SUMIFS(Log[Protein],Log[Date],tbDailyTotals[[#This Row],[Date]])</f>
        <v>0</v>
      </c>
      <c r="G357" s="83">
        <f>SUMIFS(Log[Chol],Log[Date],tbDailyTotals[[#This Row],[Date]])</f>
        <v>0</v>
      </c>
      <c r="H357" s="92"/>
      <c r="I357" s="70" t="str">
        <f>IF(COUNTIFS(Log[Date],tbDailyTotals[[#This Row],[Date]],Log[Item],"Morn meds",Log[Qty],1),"x","")</f>
        <v/>
      </c>
      <c r="J357" s="70" t="str">
        <f>IF(COUNTIFS(Log[Date],tbDailyTotals[[#This Row],[Date]],Log[Item],"Morn insulin",Log[Qty],1),"x","")</f>
        <v/>
      </c>
      <c r="K357" s="70" t="str">
        <f>IF(COUNTIFS(Log[Date],tbDailyTotals[[#This Row],[Date]],Log[Item],"Eve insulin",Log[Qty],1),"x","")</f>
        <v/>
      </c>
      <c r="L357" s="70" t="str">
        <f>IF(COUNTIFS(Log[Date],tbDailyTotals[[#This Row],[Date]],Log[Item],"Eve meds",Log[Qty],1),"x","")</f>
        <v/>
      </c>
      <c r="M357" s="150"/>
    </row>
    <row r="358" spans="2:13" s="75" customFormat="1" ht="25.15" customHeight="1">
      <c r="B358" s="91"/>
      <c r="C358" s="82">
        <f>SUMIFS(Log[Cal],Log[Date],tbDailyTotals[[#This Row],[Date]])</f>
        <v>0</v>
      </c>
      <c r="D358" s="82">
        <f>SUMIFS(Log[Sodium],Log[Date],tbDailyTotals[[#This Row],[Date]])</f>
        <v>0</v>
      </c>
      <c r="E358" s="71">
        <f>SUMIFS(Log[Net Carbs],Log[Date],tbDailyTotals[[#This Row],[Date]])</f>
        <v>0</v>
      </c>
      <c r="F358" s="71">
        <f>SUMIFS(Log[Protein],Log[Date],tbDailyTotals[[#This Row],[Date]])</f>
        <v>0</v>
      </c>
      <c r="G358" s="83">
        <f>SUMIFS(Log[Chol],Log[Date],tbDailyTotals[[#This Row],[Date]])</f>
        <v>0</v>
      </c>
      <c r="H358" s="92"/>
      <c r="I358" s="70" t="str">
        <f>IF(COUNTIFS(Log[Date],tbDailyTotals[[#This Row],[Date]],Log[Item],"Morn meds",Log[Qty],1),"x","")</f>
        <v/>
      </c>
      <c r="J358" s="70" t="str">
        <f>IF(COUNTIFS(Log[Date],tbDailyTotals[[#This Row],[Date]],Log[Item],"Morn insulin",Log[Qty],1),"x","")</f>
        <v/>
      </c>
      <c r="K358" s="70" t="str">
        <f>IF(COUNTIFS(Log[Date],tbDailyTotals[[#This Row],[Date]],Log[Item],"Eve insulin",Log[Qty],1),"x","")</f>
        <v/>
      </c>
      <c r="L358" s="70" t="str">
        <f>IF(COUNTIFS(Log[Date],tbDailyTotals[[#This Row],[Date]],Log[Item],"Eve meds",Log[Qty],1),"x","")</f>
        <v/>
      </c>
      <c r="M358" s="150"/>
    </row>
    <row r="359" spans="2:13" s="75" customFormat="1" ht="25.15" customHeight="1">
      <c r="B359" s="91"/>
      <c r="C359" s="82">
        <f>SUMIFS(Log[Cal],Log[Date],tbDailyTotals[[#This Row],[Date]])</f>
        <v>0</v>
      </c>
      <c r="D359" s="82">
        <f>SUMIFS(Log[Sodium],Log[Date],tbDailyTotals[[#This Row],[Date]])</f>
        <v>0</v>
      </c>
      <c r="E359" s="71">
        <f>SUMIFS(Log[Net Carbs],Log[Date],tbDailyTotals[[#This Row],[Date]])</f>
        <v>0</v>
      </c>
      <c r="F359" s="71">
        <f>SUMIFS(Log[Protein],Log[Date],tbDailyTotals[[#This Row],[Date]])</f>
        <v>0</v>
      </c>
      <c r="G359" s="83">
        <f>SUMIFS(Log[Chol],Log[Date],tbDailyTotals[[#This Row],[Date]])</f>
        <v>0</v>
      </c>
      <c r="H359" s="92"/>
      <c r="I359" s="70" t="str">
        <f>IF(COUNTIFS(Log[Date],tbDailyTotals[[#This Row],[Date]],Log[Item],"Morn meds",Log[Qty],1),"x","")</f>
        <v/>
      </c>
      <c r="J359" s="70" t="str">
        <f>IF(COUNTIFS(Log[Date],tbDailyTotals[[#This Row],[Date]],Log[Item],"Morn insulin",Log[Qty],1),"x","")</f>
        <v/>
      </c>
      <c r="K359" s="70" t="str">
        <f>IF(COUNTIFS(Log[Date],tbDailyTotals[[#This Row],[Date]],Log[Item],"Eve insulin",Log[Qty],1),"x","")</f>
        <v/>
      </c>
      <c r="L359" s="70" t="str">
        <f>IF(COUNTIFS(Log[Date],tbDailyTotals[[#This Row],[Date]],Log[Item],"Eve meds",Log[Qty],1),"x","")</f>
        <v/>
      </c>
      <c r="M359" s="150"/>
    </row>
    <row r="360" spans="2:13" s="75" customFormat="1" ht="25.15" customHeight="1">
      <c r="B360" s="91"/>
      <c r="C360" s="82">
        <f>SUMIFS(Log[Cal],Log[Date],tbDailyTotals[[#This Row],[Date]])</f>
        <v>0</v>
      </c>
      <c r="D360" s="82">
        <f>SUMIFS(Log[Sodium],Log[Date],tbDailyTotals[[#This Row],[Date]])</f>
        <v>0</v>
      </c>
      <c r="E360" s="71">
        <f>SUMIFS(Log[Net Carbs],Log[Date],tbDailyTotals[[#This Row],[Date]])</f>
        <v>0</v>
      </c>
      <c r="F360" s="71">
        <f>SUMIFS(Log[Protein],Log[Date],tbDailyTotals[[#This Row],[Date]])</f>
        <v>0</v>
      </c>
      <c r="G360" s="83">
        <f>SUMIFS(Log[Chol],Log[Date],tbDailyTotals[[#This Row],[Date]])</f>
        <v>0</v>
      </c>
      <c r="H360" s="92"/>
      <c r="I360" s="70" t="str">
        <f>IF(COUNTIFS(Log[Date],tbDailyTotals[[#This Row],[Date]],Log[Item],"Morn meds",Log[Qty],1),"x","")</f>
        <v/>
      </c>
      <c r="J360" s="70" t="str">
        <f>IF(COUNTIFS(Log[Date],tbDailyTotals[[#This Row],[Date]],Log[Item],"Morn insulin",Log[Qty],1),"x","")</f>
        <v/>
      </c>
      <c r="K360" s="70" t="str">
        <f>IF(COUNTIFS(Log[Date],tbDailyTotals[[#This Row],[Date]],Log[Item],"Eve insulin",Log[Qty],1),"x","")</f>
        <v/>
      </c>
      <c r="L360" s="70" t="str">
        <f>IF(COUNTIFS(Log[Date],tbDailyTotals[[#This Row],[Date]],Log[Item],"Eve meds",Log[Qty],1),"x","")</f>
        <v/>
      </c>
      <c r="M360" s="150"/>
    </row>
    <row r="361" spans="2:13" s="75" customFormat="1" ht="25.15" customHeight="1">
      <c r="B361" s="91"/>
      <c r="C361" s="82">
        <f>SUMIFS(Log[Cal],Log[Date],tbDailyTotals[[#This Row],[Date]])</f>
        <v>0</v>
      </c>
      <c r="D361" s="82">
        <f>SUMIFS(Log[Sodium],Log[Date],tbDailyTotals[[#This Row],[Date]])</f>
        <v>0</v>
      </c>
      <c r="E361" s="71">
        <f>SUMIFS(Log[Net Carbs],Log[Date],tbDailyTotals[[#This Row],[Date]])</f>
        <v>0</v>
      </c>
      <c r="F361" s="71">
        <f>SUMIFS(Log[Protein],Log[Date],tbDailyTotals[[#This Row],[Date]])</f>
        <v>0</v>
      </c>
      <c r="G361" s="83">
        <f>SUMIFS(Log[Chol],Log[Date],tbDailyTotals[[#This Row],[Date]])</f>
        <v>0</v>
      </c>
      <c r="H361" s="92"/>
      <c r="I361" s="70" t="str">
        <f>IF(COUNTIFS(Log[Date],tbDailyTotals[[#This Row],[Date]],Log[Item],"Morn meds",Log[Qty],1),"x","")</f>
        <v/>
      </c>
      <c r="J361" s="70" t="str">
        <f>IF(COUNTIFS(Log[Date],tbDailyTotals[[#This Row],[Date]],Log[Item],"Morn insulin",Log[Qty],1),"x","")</f>
        <v/>
      </c>
      <c r="K361" s="70" t="str">
        <f>IF(COUNTIFS(Log[Date],tbDailyTotals[[#This Row],[Date]],Log[Item],"Eve insulin",Log[Qty],1),"x","")</f>
        <v/>
      </c>
      <c r="L361" s="70" t="str">
        <f>IF(COUNTIFS(Log[Date],tbDailyTotals[[#This Row],[Date]],Log[Item],"Eve meds",Log[Qty],1),"x","")</f>
        <v/>
      </c>
      <c r="M361" s="150"/>
    </row>
    <row r="362" spans="2:13" s="75" customFormat="1" ht="25.15" customHeight="1">
      <c r="B362" s="91"/>
      <c r="C362" s="82">
        <f>SUMIFS(Log[Cal],Log[Date],tbDailyTotals[[#This Row],[Date]])</f>
        <v>0</v>
      </c>
      <c r="D362" s="82">
        <f>SUMIFS(Log[Sodium],Log[Date],tbDailyTotals[[#This Row],[Date]])</f>
        <v>0</v>
      </c>
      <c r="E362" s="71">
        <f>SUMIFS(Log[Net Carbs],Log[Date],tbDailyTotals[[#This Row],[Date]])</f>
        <v>0</v>
      </c>
      <c r="F362" s="71">
        <f>SUMIFS(Log[Protein],Log[Date],tbDailyTotals[[#This Row],[Date]])</f>
        <v>0</v>
      </c>
      <c r="G362" s="83">
        <f>SUMIFS(Log[Chol],Log[Date],tbDailyTotals[[#This Row],[Date]])</f>
        <v>0</v>
      </c>
      <c r="H362" s="92"/>
      <c r="I362" s="70" t="str">
        <f>IF(COUNTIFS(Log[Date],tbDailyTotals[[#This Row],[Date]],Log[Item],"Morn meds",Log[Qty],1),"x","")</f>
        <v/>
      </c>
      <c r="J362" s="70" t="str">
        <f>IF(COUNTIFS(Log[Date],tbDailyTotals[[#This Row],[Date]],Log[Item],"Morn insulin",Log[Qty],1),"x","")</f>
        <v/>
      </c>
      <c r="K362" s="70" t="str">
        <f>IF(COUNTIFS(Log[Date],tbDailyTotals[[#This Row],[Date]],Log[Item],"Eve insulin",Log[Qty],1),"x","")</f>
        <v/>
      </c>
      <c r="L362" s="70" t="str">
        <f>IF(COUNTIFS(Log[Date],tbDailyTotals[[#This Row],[Date]],Log[Item],"Eve meds",Log[Qty],1),"x","")</f>
        <v/>
      </c>
      <c r="M362" s="150"/>
    </row>
    <row r="363" spans="2:13" s="75" customFormat="1" ht="25.15" customHeight="1">
      <c r="B363" s="91"/>
      <c r="C363" s="82">
        <f>SUMIFS(Log[Cal],Log[Date],tbDailyTotals[[#This Row],[Date]])</f>
        <v>0</v>
      </c>
      <c r="D363" s="82">
        <f>SUMIFS(Log[Sodium],Log[Date],tbDailyTotals[[#This Row],[Date]])</f>
        <v>0</v>
      </c>
      <c r="E363" s="71">
        <f>SUMIFS(Log[Net Carbs],Log[Date],tbDailyTotals[[#This Row],[Date]])</f>
        <v>0</v>
      </c>
      <c r="F363" s="71">
        <f>SUMIFS(Log[Protein],Log[Date],tbDailyTotals[[#This Row],[Date]])</f>
        <v>0</v>
      </c>
      <c r="G363" s="83">
        <f>SUMIFS(Log[Chol],Log[Date],tbDailyTotals[[#This Row],[Date]])</f>
        <v>0</v>
      </c>
      <c r="H363" s="92"/>
      <c r="I363" s="70" t="str">
        <f>IF(COUNTIFS(Log[Date],tbDailyTotals[[#This Row],[Date]],Log[Item],"Morn meds",Log[Qty],1),"x","")</f>
        <v/>
      </c>
      <c r="J363" s="70" t="str">
        <f>IF(COUNTIFS(Log[Date],tbDailyTotals[[#This Row],[Date]],Log[Item],"Morn insulin",Log[Qty],1),"x","")</f>
        <v/>
      </c>
      <c r="K363" s="70" t="str">
        <f>IF(COUNTIFS(Log[Date],tbDailyTotals[[#This Row],[Date]],Log[Item],"Eve insulin",Log[Qty],1),"x","")</f>
        <v/>
      </c>
      <c r="L363" s="70" t="str">
        <f>IF(COUNTIFS(Log[Date],tbDailyTotals[[#This Row],[Date]],Log[Item],"Eve meds",Log[Qty],1),"x","")</f>
        <v/>
      </c>
      <c r="M363" s="150"/>
    </row>
    <row r="364" spans="2:13" s="75" customFormat="1" ht="25.15" customHeight="1">
      <c r="B364" s="91"/>
      <c r="C364" s="82">
        <f>SUMIFS(Log[Cal],Log[Date],tbDailyTotals[[#This Row],[Date]])</f>
        <v>0</v>
      </c>
      <c r="D364" s="82">
        <f>SUMIFS(Log[Sodium],Log[Date],tbDailyTotals[[#This Row],[Date]])</f>
        <v>0</v>
      </c>
      <c r="E364" s="71">
        <f>SUMIFS(Log[Net Carbs],Log[Date],tbDailyTotals[[#This Row],[Date]])</f>
        <v>0</v>
      </c>
      <c r="F364" s="71">
        <f>SUMIFS(Log[Protein],Log[Date],tbDailyTotals[[#This Row],[Date]])</f>
        <v>0</v>
      </c>
      <c r="G364" s="83">
        <f>SUMIFS(Log[Chol],Log[Date],tbDailyTotals[[#This Row],[Date]])</f>
        <v>0</v>
      </c>
      <c r="H364" s="92"/>
      <c r="I364" s="70" t="str">
        <f>IF(COUNTIFS(Log[Date],tbDailyTotals[[#This Row],[Date]],Log[Item],"Morn meds",Log[Qty],1),"x","")</f>
        <v/>
      </c>
      <c r="J364" s="70" t="str">
        <f>IF(COUNTIFS(Log[Date],tbDailyTotals[[#This Row],[Date]],Log[Item],"Morn insulin",Log[Qty],1),"x","")</f>
        <v/>
      </c>
      <c r="K364" s="70" t="str">
        <f>IF(COUNTIFS(Log[Date],tbDailyTotals[[#This Row],[Date]],Log[Item],"Eve insulin",Log[Qty],1),"x","")</f>
        <v/>
      </c>
      <c r="L364" s="70" t="str">
        <f>IF(COUNTIFS(Log[Date],tbDailyTotals[[#This Row],[Date]],Log[Item],"Eve meds",Log[Qty],1),"x","")</f>
        <v/>
      </c>
      <c r="M364" s="150"/>
    </row>
    <row r="365" spans="2:13" s="75" customFormat="1" ht="25.15" customHeight="1">
      <c r="B365" s="91"/>
      <c r="C365" s="82">
        <f>SUMIFS(Log[Cal],Log[Date],tbDailyTotals[[#This Row],[Date]])</f>
        <v>0</v>
      </c>
      <c r="D365" s="82">
        <f>SUMIFS(Log[Sodium],Log[Date],tbDailyTotals[[#This Row],[Date]])</f>
        <v>0</v>
      </c>
      <c r="E365" s="71">
        <f>SUMIFS(Log[Net Carbs],Log[Date],tbDailyTotals[[#This Row],[Date]])</f>
        <v>0</v>
      </c>
      <c r="F365" s="71">
        <f>SUMIFS(Log[Protein],Log[Date],tbDailyTotals[[#This Row],[Date]])</f>
        <v>0</v>
      </c>
      <c r="G365" s="83">
        <f>SUMIFS(Log[Chol],Log[Date],tbDailyTotals[[#This Row],[Date]])</f>
        <v>0</v>
      </c>
      <c r="H365" s="92"/>
      <c r="I365" s="70" t="str">
        <f>IF(COUNTIFS(Log[Date],tbDailyTotals[[#This Row],[Date]],Log[Item],"Morn meds",Log[Qty],1),"x","")</f>
        <v/>
      </c>
      <c r="J365" s="70" t="str">
        <f>IF(COUNTIFS(Log[Date],tbDailyTotals[[#This Row],[Date]],Log[Item],"Morn insulin",Log[Qty],1),"x","")</f>
        <v/>
      </c>
      <c r="K365" s="70" t="str">
        <f>IF(COUNTIFS(Log[Date],tbDailyTotals[[#This Row],[Date]],Log[Item],"Eve insulin",Log[Qty],1),"x","")</f>
        <v/>
      </c>
      <c r="L365" s="70" t="str">
        <f>IF(COUNTIFS(Log[Date],tbDailyTotals[[#This Row],[Date]],Log[Item],"Eve meds",Log[Qty],1),"x","")</f>
        <v/>
      </c>
      <c r="M365" s="150"/>
    </row>
    <row r="366" spans="2:13" s="75" customFormat="1" ht="25.15" customHeight="1">
      <c r="B366" s="91"/>
      <c r="C366" s="82">
        <f>SUMIFS(Log[Cal],Log[Date],tbDailyTotals[[#This Row],[Date]])</f>
        <v>0</v>
      </c>
      <c r="D366" s="82">
        <f>SUMIFS(Log[Sodium],Log[Date],tbDailyTotals[[#This Row],[Date]])</f>
        <v>0</v>
      </c>
      <c r="E366" s="71">
        <f>SUMIFS(Log[Net Carbs],Log[Date],tbDailyTotals[[#This Row],[Date]])</f>
        <v>0</v>
      </c>
      <c r="F366" s="71">
        <f>SUMIFS(Log[Protein],Log[Date],tbDailyTotals[[#This Row],[Date]])</f>
        <v>0</v>
      </c>
      <c r="G366" s="83">
        <f>SUMIFS(Log[Chol],Log[Date],tbDailyTotals[[#This Row],[Date]])</f>
        <v>0</v>
      </c>
      <c r="H366" s="92"/>
      <c r="I366" s="70" t="str">
        <f>IF(COUNTIFS(Log[Date],tbDailyTotals[[#This Row],[Date]],Log[Item],"Morn meds",Log[Qty],1),"x","")</f>
        <v/>
      </c>
      <c r="J366" s="70" t="str">
        <f>IF(COUNTIFS(Log[Date],tbDailyTotals[[#This Row],[Date]],Log[Item],"Morn insulin",Log[Qty],1),"x","")</f>
        <v/>
      </c>
      <c r="K366" s="70" t="str">
        <f>IF(COUNTIFS(Log[Date],tbDailyTotals[[#This Row],[Date]],Log[Item],"Eve insulin",Log[Qty],1),"x","")</f>
        <v/>
      </c>
      <c r="L366" s="70" t="str">
        <f>IF(COUNTIFS(Log[Date],tbDailyTotals[[#This Row],[Date]],Log[Item],"Eve meds",Log[Qty],1),"x","")</f>
        <v/>
      </c>
      <c r="M366" s="150"/>
    </row>
    <row r="367" spans="2:13" s="75" customFormat="1" ht="25.15" customHeight="1">
      <c r="B367" s="91"/>
      <c r="C367" s="82">
        <f>SUMIFS(Log[Cal],Log[Date],tbDailyTotals[[#This Row],[Date]])</f>
        <v>0</v>
      </c>
      <c r="D367" s="82">
        <f>SUMIFS(Log[Sodium],Log[Date],tbDailyTotals[[#This Row],[Date]])</f>
        <v>0</v>
      </c>
      <c r="E367" s="71">
        <f>SUMIFS(Log[Net Carbs],Log[Date],tbDailyTotals[[#This Row],[Date]])</f>
        <v>0</v>
      </c>
      <c r="F367" s="71">
        <f>SUMIFS(Log[Protein],Log[Date],tbDailyTotals[[#This Row],[Date]])</f>
        <v>0</v>
      </c>
      <c r="G367" s="83">
        <f>SUMIFS(Log[Chol],Log[Date],tbDailyTotals[[#This Row],[Date]])</f>
        <v>0</v>
      </c>
      <c r="H367" s="92"/>
      <c r="I367" s="70" t="str">
        <f>IF(COUNTIFS(Log[Date],tbDailyTotals[[#This Row],[Date]],Log[Item],"Morn meds",Log[Qty],1),"x","")</f>
        <v/>
      </c>
      <c r="J367" s="70" t="str">
        <f>IF(COUNTIFS(Log[Date],tbDailyTotals[[#This Row],[Date]],Log[Item],"Morn insulin",Log[Qty],1),"x","")</f>
        <v/>
      </c>
      <c r="K367" s="70" t="str">
        <f>IF(COUNTIFS(Log[Date],tbDailyTotals[[#This Row],[Date]],Log[Item],"Eve insulin",Log[Qty],1),"x","")</f>
        <v/>
      </c>
      <c r="L367" s="70" t="str">
        <f>IF(COUNTIFS(Log[Date],tbDailyTotals[[#This Row],[Date]],Log[Item],"Eve meds",Log[Qty],1),"x","")</f>
        <v/>
      </c>
      <c r="M367" s="150"/>
    </row>
    <row r="368" spans="2:13" s="75" customFormat="1" ht="25.15" customHeight="1">
      <c r="B368" s="91"/>
      <c r="C368" s="82">
        <f>SUMIFS(Log[Cal],Log[Date],tbDailyTotals[[#This Row],[Date]])</f>
        <v>0</v>
      </c>
      <c r="D368" s="82">
        <f>SUMIFS(Log[Sodium],Log[Date],tbDailyTotals[[#This Row],[Date]])</f>
        <v>0</v>
      </c>
      <c r="E368" s="71">
        <f>SUMIFS(Log[Net Carbs],Log[Date],tbDailyTotals[[#This Row],[Date]])</f>
        <v>0</v>
      </c>
      <c r="F368" s="71">
        <f>SUMIFS(Log[Protein],Log[Date],tbDailyTotals[[#This Row],[Date]])</f>
        <v>0</v>
      </c>
      <c r="G368" s="83">
        <f>SUMIFS(Log[Chol],Log[Date],tbDailyTotals[[#This Row],[Date]])</f>
        <v>0</v>
      </c>
      <c r="H368" s="92"/>
      <c r="I368" s="70" t="str">
        <f>IF(COUNTIFS(Log[Date],tbDailyTotals[[#This Row],[Date]],Log[Item],"Morn meds",Log[Qty],1),"x","")</f>
        <v/>
      </c>
      <c r="J368" s="70" t="str">
        <f>IF(COUNTIFS(Log[Date],tbDailyTotals[[#This Row],[Date]],Log[Item],"Morn insulin",Log[Qty],1),"x","")</f>
        <v/>
      </c>
      <c r="K368" s="70" t="str">
        <f>IF(COUNTIFS(Log[Date],tbDailyTotals[[#This Row],[Date]],Log[Item],"Eve insulin",Log[Qty],1),"x","")</f>
        <v/>
      </c>
      <c r="L368" s="70" t="str">
        <f>IF(COUNTIFS(Log[Date],tbDailyTotals[[#This Row],[Date]],Log[Item],"Eve meds",Log[Qty],1),"x","")</f>
        <v/>
      </c>
      <c r="M368" s="150"/>
    </row>
    <row r="369" spans="2:13" s="75" customFormat="1" ht="25.15" customHeight="1">
      <c r="B369" s="91"/>
      <c r="C369" s="82">
        <f>SUMIFS(Log[Cal],Log[Date],tbDailyTotals[[#This Row],[Date]])</f>
        <v>0</v>
      </c>
      <c r="D369" s="82">
        <f>SUMIFS(Log[Sodium],Log[Date],tbDailyTotals[[#This Row],[Date]])</f>
        <v>0</v>
      </c>
      <c r="E369" s="71">
        <f>SUMIFS(Log[Net Carbs],Log[Date],tbDailyTotals[[#This Row],[Date]])</f>
        <v>0</v>
      </c>
      <c r="F369" s="71">
        <f>SUMIFS(Log[Protein],Log[Date],tbDailyTotals[[#This Row],[Date]])</f>
        <v>0</v>
      </c>
      <c r="G369" s="83">
        <f>SUMIFS(Log[Chol],Log[Date],tbDailyTotals[[#This Row],[Date]])</f>
        <v>0</v>
      </c>
      <c r="H369" s="92"/>
      <c r="I369" s="70" t="str">
        <f>IF(COUNTIFS(Log[Date],tbDailyTotals[[#This Row],[Date]],Log[Item],"Morn meds",Log[Qty],1),"x","")</f>
        <v/>
      </c>
      <c r="J369" s="70" t="str">
        <f>IF(COUNTIFS(Log[Date],tbDailyTotals[[#This Row],[Date]],Log[Item],"Morn insulin",Log[Qty],1),"x","")</f>
        <v/>
      </c>
      <c r="K369" s="70" t="str">
        <f>IF(COUNTIFS(Log[Date],tbDailyTotals[[#This Row],[Date]],Log[Item],"Eve insulin",Log[Qty],1),"x","")</f>
        <v/>
      </c>
      <c r="L369" s="70" t="str">
        <f>IF(COUNTIFS(Log[Date],tbDailyTotals[[#This Row],[Date]],Log[Item],"Eve meds",Log[Qty],1),"x","")</f>
        <v/>
      </c>
      <c r="M369" s="150"/>
    </row>
    <row r="370" spans="2:13" s="75" customFormat="1" ht="25.15" customHeight="1">
      <c r="B370" s="91"/>
      <c r="C370" s="82">
        <f>SUMIFS(Log[Cal],Log[Date],tbDailyTotals[[#This Row],[Date]])</f>
        <v>0</v>
      </c>
      <c r="D370" s="82">
        <f>SUMIFS(Log[Sodium],Log[Date],tbDailyTotals[[#This Row],[Date]])</f>
        <v>0</v>
      </c>
      <c r="E370" s="71">
        <f>SUMIFS(Log[Net Carbs],Log[Date],tbDailyTotals[[#This Row],[Date]])</f>
        <v>0</v>
      </c>
      <c r="F370" s="71">
        <f>SUMIFS(Log[Protein],Log[Date],tbDailyTotals[[#This Row],[Date]])</f>
        <v>0</v>
      </c>
      <c r="G370" s="83">
        <f>SUMIFS(Log[Chol],Log[Date],tbDailyTotals[[#This Row],[Date]])</f>
        <v>0</v>
      </c>
      <c r="H370" s="92"/>
      <c r="I370" s="70" t="str">
        <f>IF(COUNTIFS(Log[Date],tbDailyTotals[[#This Row],[Date]],Log[Item],"Morn meds",Log[Qty],1),"x","")</f>
        <v/>
      </c>
      <c r="J370" s="70" t="str">
        <f>IF(COUNTIFS(Log[Date],tbDailyTotals[[#This Row],[Date]],Log[Item],"Morn insulin",Log[Qty],1),"x","")</f>
        <v/>
      </c>
      <c r="K370" s="70" t="str">
        <f>IF(COUNTIFS(Log[Date],tbDailyTotals[[#This Row],[Date]],Log[Item],"Eve insulin",Log[Qty],1),"x","")</f>
        <v/>
      </c>
      <c r="L370" s="70" t="str">
        <f>IF(COUNTIFS(Log[Date],tbDailyTotals[[#This Row],[Date]],Log[Item],"Eve meds",Log[Qty],1),"x","")</f>
        <v/>
      </c>
      <c r="M370" s="150"/>
    </row>
    <row r="371" spans="2:13" s="75" customFormat="1" ht="25.15" customHeight="1">
      <c r="B371" s="91"/>
      <c r="C371" s="82">
        <f>SUMIFS(Log[Cal],Log[Date],tbDailyTotals[[#This Row],[Date]])</f>
        <v>0</v>
      </c>
      <c r="D371" s="82">
        <f>SUMIFS(Log[Sodium],Log[Date],tbDailyTotals[[#This Row],[Date]])</f>
        <v>0</v>
      </c>
      <c r="E371" s="71">
        <f>SUMIFS(Log[Net Carbs],Log[Date],tbDailyTotals[[#This Row],[Date]])</f>
        <v>0</v>
      </c>
      <c r="F371" s="71">
        <f>SUMIFS(Log[Protein],Log[Date],tbDailyTotals[[#This Row],[Date]])</f>
        <v>0</v>
      </c>
      <c r="G371" s="83">
        <f>SUMIFS(Log[Chol],Log[Date],tbDailyTotals[[#This Row],[Date]])</f>
        <v>0</v>
      </c>
      <c r="H371" s="92"/>
      <c r="I371" s="70" t="str">
        <f>IF(COUNTIFS(Log[Date],tbDailyTotals[[#This Row],[Date]],Log[Item],"Morn meds",Log[Qty],1),"x","")</f>
        <v/>
      </c>
      <c r="J371" s="70" t="str">
        <f>IF(COUNTIFS(Log[Date],tbDailyTotals[[#This Row],[Date]],Log[Item],"Morn insulin",Log[Qty],1),"x","")</f>
        <v/>
      </c>
      <c r="K371" s="70" t="str">
        <f>IF(COUNTIFS(Log[Date],tbDailyTotals[[#This Row],[Date]],Log[Item],"Eve insulin",Log[Qty],1),"x","")</f>
        <v/>
      </c>
      <c r="L371" s="70" t="str">
        <f>IF(COUNTIFS(Log[Date],tbDailyTotals[[#This Row],[Date]],Log[Item],"Eve meds",Log[Qty],1),"x","")</f>
        <v/>
      </c>
      <c r="M371" s="150"/>
    </row>
    <row r="372" spans="2:13" s="75" customFormat="1" ht="25.15" customHeight="1">
      <c r="B372" s="91"/>
      <c r="C372" s="82">
        <f>SUMIFS(Log[Cal],Log[Date],tbDailyTotals[[#This Row],[Date]])</f>
        <v>0</v>
      </c>
      <c r="D372" s="82">
        <f>SUMIFS(Log[Sodium],Log[Date],tbDailyTotals[[#This Row],[Date]])</f>
        <v>0</v>
      </c>
      <c r="E372" s="71">
        <f>SUMIFS(Log[Net Carbs],Log[Date],tbDailyTotals[[#This Row],[Date]])</f>
        <v>0</v>
      </c>
      <c r="F372" s="71">
        <f>SUMIFS(Log[Protein],Log[Date],tbDailyTotals[[#This Row],[Date]])</f>
        <v>0</v>
      </c>
      <c r="G372" s="83">
        <f>SUMIFS(Log[Chol],Log[Date],tbDailyTotals[[#This Row],[Date]])</f>
        <v>0</v>
      </c>
      <c r="H372" s="92"/>
      <c r="I372" s="70" t="str">
        <f>IF(COUNTIFS(Log[Date],tbDailyTotals[[#This Row],[Date]],Log[Item],"Morn meds",Log[Qty],1),"x","")</f>
        <v/>
      </c>
      <c r="J372" s="70" t="str">
        <f>IF(COUNTIFS(Log[Date],tbDailyTotals[[#This Row],[Date]],Log[Item],"Morn insulin",Log[Qty],1),"x","")</f>
        <v/>
      </c>
      <c r="K372" s="70" t="str">
        <f>IF(COUNTIFS(Log[Date],tbDailyTotals[[#This Row],[Date]],Log[Item],"Eve insulin",Log[Qty],1),"x","")</f>
        <v/>
      </c>
      <c r="L372" s="70" t="str">
        <f>IF(COUNTIFS(Log[Date],tbDailyTotals[[#This Row],[Date]],Log[Item],"Eve meds",Log[Qty],1),"x","")</f>
        <v/>
      </c>
      <c r="M372" s="150"/>
    </row>
    <row r="373" spans="2:13" s="75" customFormat="1" ht="25.15" customHeight="1">
      <c r="B373" s="91"/>
      <c r="C373" s="82">
        <f>SUMIFS(Log[Cal],Log[Date],tbDailyTotals[[#This Row],[Date]])</f>
        <v>0</v>
      </c>
      <c r="D373" s="82">
        <f>SUMIFS(Log[Sodium],Log[Date],tbDailyTotals[[#This Row],[Date]])</f>
        <v>0</v>
      </c>
      <c r="E373" s="71">
        <f>SUMIFS(Log[Net Carbs],Log[Date],tbDailyTotals[[#This Row],[Date]])</f>
        <v>0</v>
      </c>
      <c r="F373" s="71">
        <f>SUMIFS(Log[Protein],Log[Date],tbDailyTotals[[#This Row],[Date]])</f>
        <v>0</v>
      </c>
      <c r="G373" s="83">
        <f>SUMIFS(Log[Chol],Log[Date],tbDailyTotals[[#This Row],[Date]])</f>
        <v>0</v>
      </c>
      <c r="H373" s="92"/>
      <c r="I373" s="70" t="str">
        <f>IF(COUNTIFS(Log[Date],tbDailyTotals[[#This Row],[Date]],Log[Item],"Morn meds",Log[Qty],1),"x","")</f>
        <v/>
      </c>
      <c r="J373" s="70" t="str">
        <f>IF(COUNTIFS(Log[Date],tbDailyTotals[[#This Row],[Date]],Log[Item],"Morn insulin",Log[Qty],1),"x","")</f>
        <v/>
      </c>
      <c r="K373" s="70" t="str">
        <f>IF(COUNTIFS(Log[Date],tbDailyTotals[[#This Row],[Date]],Log[Item],"Eve insulin",Log[Qty],1),"x","")</f>
        <v/>
      </c>
      <c r="L373" s="70" t="str">
        <f>IF(COUNTIFS(Log[Date],tbDailyTotals[[#This Row],[Date]],Log[Item],"Eve meds",Log[Qty],1),"x","")</f>
        <v/>
      </c>
      <c r="M373" s="150"/>
    </row>
    <row r="374" spans="2:13" s="75" customFormat="1" ht="25.15" customHeight="1">
      <c r="B374" s="91"/>
      <c r="C374" s="82">
        <f>SUMIFS(Log[Cal],Log[Date],tbDailyTotals[[#This Row],[Date]])</f>
        <v>0</v>
      </c>
      <c r="D374" s="82">
        <f>SUMIFS(Log[Sodium],Log[Date],tbDailyTotals[[#This Row],[Date]])</f>
        <v>0</v>
      </c>
      <c r="E374" s="71">
        <f>SUMIFS(Log[Net Carbs],Log[Date],tbDailyTotals[[#This Row],[Date]])</f>
        <v>0</v>
      </c>
      <c r="F374" s="71">
        <f>SUMIFS(Log[Protein],Log[Date],tbDailyTotals[[#This Row],[Date]])</f>
        <v>0</v>
      </c>
      <c r="G374" s="83">
        <f>SUMIFS(Log[Chol],Log[Date],tbDailyTotals[[#This Row],[Date]])</f>
        <v>0</v>
      </c>
      <c r="H374" s="92"/>
      <c r="I374" s="70" t="str">
        <f>IF(COUNTIFS(Log[Date],tbDailyTotals[[#This Row],[Date]],Log[Item],"Morn meds",Log[Qty],1),"x","")</f>
        <v/>
      </c>
      <c r="J374" s="70" t="str">
        <f>IF(COUNTIFS(Log[Date],tbDailyTotals[[#This Row],[Date]],Log[Item],"Morn insulin",Log[Qty],1),"x","")</f>
        <v/>
      </c>
      <c r="K374" s="70" t="str">
        <f>IF(COUNTIFS(Log[Date],tbDailyTotals[[#This Row],[Date]],Log[Item],"Eve insulin",Log[Qty],1),"x","")</f>
        <v/>
      </c>
      <c r="L374" s="70" t="str">
        <f>IF(COUNTIFS(Log[Date],tbDailyTotals[[#This Row],[Date]],Log[Item],"Eve meds",Log[Qty],1),"x","")</f>
        <v/>
      </c>
      <c r="M374" s="150"/>
    </row>
    <row r="375" spans="2:13" s="75" customFormat="1" ht="25.15" customHeight="1">
      <c r="B375" s="91"/>
      <c r="C375" s="82">
        <f>SUMIFS(Log[Cal],Log[Date],tbDailyTotals[[#This Row],[Date]])</f>
        <v>0</v>
      </c>
      <c r="D375" s="82">
        <f>SUMIFS(Log[Sodium],Log[Date],tbDailyTotals[[#This Row],[Date]])</f>
        <v>0</v>
      </c>
      <c r="E375" s="71">
        <f>SUMIFS(Log[Net Carbs],Log[Date],tbDailyTotals[[#This Row],[Date]])</f>
        <v>0</v>
      </c>
      <c r="F375" s="71">
        <f>SUMIFS(Log[Protein],Log[Date],tbDailyTotals[[#This Row],[Date]])</f>
        <v>0</v>
      </c>
      <c r="G375" s="83">
        <f>SUMIFS(Log[Chol],Log[Date],tbDailyTotals[[#This Row],[Date]])</f>
        <v>0</v>
      </c>
      <c r="H375" s="92"/>
      <c r="I375" s="70" t="str">
        <f>IF(COUNTIFS(Log[Date],tbDailyTotals[[#This Row],[Date]],Log[Item],"Morn meds",Log[Qty],1),"x","")</f>
        <v/>
      </c>
      <c r="J375" s="70" t="str">
        <f>IF(COUNTIFS(Log[Date],tbDailyTotals[[#This Row],[Date]],Log[Item],"Morn insulin",Log[Qty],1),"x","")</f>
        <v/>
      </c>
      <c r="K375" s="70" t="str">
        <f>IF(COUNTIFS(Log[Date],tbDailyTotals[[#This Row],[Date]],Log[Item],"Eve insulin",Log[Qty],1),"x","")</f>
        <v/>
      </c>
      <c r="L375" s="70" t="str">
        <f>IF(COUNTIFS(Log[Date],tbDailyTotals[[#This Row],[Date]],Log[Item],"Eve meds",Log[Qty],1),"x","")</f>
        <v/>
      </c>
      <c r="M375" s="150"/>
    </row>
    <row r="376" spans="2:13" s="75" customFormat="1" ht="25.15" customHeight="1">
      <c r="B376" s="91"/>
      <c r="C376" s="82">
        <f>SUMIFS(Log[Cal],Log[Date],tbDailyTotals[[#This Row],[Date]])</f>
        <v>0</v>
      </c>
      <c r="D376" s="82">
        <f>SUMIFS(Log[Sodium],Log[Date],tbDailyTotals[[#This Row],[Date]])</f>
        <v>0</v>
      </c>
      <c r="E376" s="71">
        <f>SUMIFS(Log[Net Carbs],Log[Date],tbDailyTotals[[#This Row],[Date]])</f>
        <v>0</v>
      </c>
      <c r="F376" s="71">
        <f>SUMIFS(Log[Protein],Log[Date],tbDailyTotals[[#This Row],[Date]])</f>
        <v>0</v>
      </c>
      <c r="G376" s="83">
        <f>SUMIFS(Log[Chol],Log[Date],tbDailyTotals[[#This Row],[Date]])</f>
        <v>0</v>
      </c>
      <c r="H376" s="92"/>
      <c r="I376" s="70" t="str">
        <f>IF(COUNTIFS(Log[Date],tbDailyTotals[[#This Row],[Date]],Log[Item],"Morn meds",Log[Qty],1),"x","")</f>
        <v/>
      </c>
      <c r="J376" s="70" t="str">
        <f>IF(COUNTIFS(Log[Date],tbDailyTotals[[#This Row],[Date]],Log[Item],"Morn insulin",Log[Qty],1),"x","")</f>
        <v/>
      </c>
      <c r="K376" s="70" t="str">
        <f>IF(COUNTIFS(Log[Date],tbDailyTotals[[#This Row],[Date]],Log[Item],"Eve insulin",Log[Qty],1),"x","")</f>
        <v/>
      </c>
      <c r="L376" s="70" t="str">
        <f>IF(COUNTIFS(Log[Date],tbDailyTotals[[#This Row],[Date]],Log[Item],"Eve meds",Log[Qty],1),"x","")</f>
        <v/>
      </c>
      <c r="M376" s="150"/>
    </row>
    <row r="377" spans="2:13" s="75" customFormat="1" ht="25.15" customHeight="1">
      <c r="B377" s="91"/>
      <c r="C377" s="82">
        <f>SUMIFS(Log[Cal],Log[Date],tbDailyTotals[[#This Row],[Date]])</f>
        <v>0</v>
      </c>
      <c r="D377" s="82">
        <f>SUMIFS(Log[Sodium],Log[Date],tbDailyTotals[[#This Row],[Date]])</f>
        <v>0</v>
      </c>
      <c r="E377" s="71">
        <f>SUMIFS(Log[Net Carbs],Log[Date],tbDailyTotals[[#This Row],[Date]])</f>
        <v>0</v>
      </c>
      <c r="F377" s="71">
        <f>SUMIFS(Log[Protein],Log[Date],tbDailyTotals[[#This Row],[Date]])</f>
        <v>0</v>
      </c>
      <c r="G377" s="83">
        <f>SUMIFS(Log[Chol],Log[Date],tbDailyTotals[[#This Row],[Date]])</f>
        <v>0</v>
      </c>
      <c r="H377" s="92"/>
      <c r="I377" s="70" t="str">
        <f>IF(COUNTIFS(Log[Date],tbDailyTotals[[#This Row],[Date]],Log[Item],"Morn meds",Log[Qty],1),"x","")</f>
        <v/>
      </c>
      <c r="J377" s="70" t="str">
        <f>IF(COUNTIFS(Log[Date],tbDailyTotals[[#This Row],[Date]],Log[Item],"Morn insulin",Log[Qty],1),"x","")</f>
        <v/>
      </c>
      <c r="K377" s="70" t="str">
        <f>IF(COUNTIFS(Log[Date],tbDailyTotals[[#This Row],[Date]],Log[Item],"Eve insulin",Log[Qty],1),"x","")</f>
        <v/>
      </c>
      <c r="L377" s="70" t="str">
        <f>IF(COUNTIFS(Log[Date],tbDailyTotals[[#This Row],[Date]],Log[Item],"Eve meds",Log[Qty],1),"x","")</f>
        <v/>
      </c>
      <c r="M377" s="150"/>
    </row>
    <row r="378" spans="2:13" s="75" customFormat="1" ht="25.15" customHeight="1">
      <c r="B378" s="91"/>
      <c r="C378" s="82">
        <f>SUMIFS(Log[Cal],Log[Date],tbDailyTotals[[#This Row],[Date]])</f>
        <v>0</v>
      </c>
      <c r="D378" s="82">
        <f>SUMIFS(Log[Sodium],Log[Date],tbDailyTotals[[#This Row],[Date]])</f>
        <v>0</v>
      </c>
      <c r="E378" s="71">
        <f>SUMIFS(Log[Net Carbs],Log[Date],tbDailyTotals[[#This Row],[Date]])</f>
        <v>0</v>
      </c>
      <c r="F378" s="71">
        <f>SUMIFS(Log[Protein],Log[Date],tbDailyTotals[[#This Row],[Date]])</f>
        <v>0</v>
      </c>
      <c r="G378" s="83">
        <f>SUMIFS(Log[Chol],Log[Date],tbDailyTotals[[#This Row],[Date]])</f>
        <v>0</v>
      </c>
      <c r="H378" s="92"/>
      <c r="I378" s="70" t="str">
        <f>IF(COUNTIFS(Log[Date],tbDailyTotals[[#This Row],[Date]],Log[Item],"Morn meds",Log[Qty],1),"x","")</f>
        <v/>
      </c>
      <c r="J378" s="70" t="str">
        <f>IF(COUNTIFS(Log[Date],tbDailyTotals[[#This Row],[Date]],Log[Item],"Morn insulin",Log[Qty],1),"x","")</f>
        <v/>
      </c>
      <c r="K378" s="70" t="str">
        <f>IF(COUNTIFS(Log[Date],tbDailyTotals[[#This Row],[Date]],Log[Item],"Eve insulin",Log[Qty],1),"x","")</f>
        <v/>
      </c>
      <c r="L378" s="70" t="str">
        <f>IF(COUNTIFS(Log[Date],tbDailyTotals[[#This Row],[Date]],Log[Item],"Eve meds",Log[Qty],1),"x","")</f>
        <v/>
      </c>
      <c r="M378" s="150"/>
    </row>
    <row r="379" spans="2:13" s="75" customFormat="1" ht="25.15" customHeight="1">
      <c r="B379" s="91"/>
      <c r="C379" s="82">
        <f>SUMIFS(Log[Cal],Log[Date],tbDailyTotals[[#This Row],[Date]])</f>
        <v>0</v>
      </c>
      <c r="D379" s="82">
        <f>SUMIFS(Log[Sodium],Log[Date],tbDailyTotals[[#This Row],[Date]])</f>
        <v>0</v>
      </c>
      <c r="E379" s="71">
        <f>SUMIFS(Log[Net Carbs],Log[Date],tbDailyTotals[[#This Row],[Date]])</f>
        <v>0</v>
      </c>
      <c r="F379" s="71">
        <f>SUMIFS(Log[Protein],Log[Date],tbDailyTotals[[#This Row],[Date]])</f>
        <v>0</v>
      </c>
      <c r="G379" s="83">
        <f>SUMIFS(Log[Chol],Log[Date],tbDailyTotals[[#This Row],[Date]])</f>
        <v>0</v>
      </c>
      <c r="H379" s="92"/>
      <c r="I379" s="70" t="str">
        <f>IF(COUNTIFS(Log[Date],tbDailyTotals[[#This Row],[Date]],Log[Item],"Morn meds",Log[Qty],1),"x","")</f>
        <v/>
      </c>
      <c r="J379" s="70" t="str">
        <f>IF(COUNTIFS(Log[Date],tbDailyTotals[[#This Row],[Date]],Log[Item],"Morn insulin",Log[Qty],1),"x","")</f>
        <v/>
      </c>
      <c r="K379" s="70" t="str">
        <f>IF(COUNTIFS(Log[Date],tbDailyTotals[[#This Row],[Date]],Log[Item],"Eve insulin",Log[Qty],1),"x","")</f>
        <v/>
      </c>
      <c r="L379" s="70" t="str">
        <f>IF(COUNTIFS(Log[Date],tbDailyTotals[[#This Row],[Date]],Log[Item],"Eve meds",Log[Qty],1),"x","")</f>
        <v/>
      </c>
      <c r="M379" s="150"/>
    </row>
    <row r="380" spans="2:13" s="75" customFormat="1" ht="25.15" customHeight="1">
      <c r="B380" s="91"/>
      <c r="C380" s="82">
        <f>SUMIFS(Log[Cal],Log[Date],tbDailyTotals[[#This Row],[Date]])</f>
        <v>0</v>
      </c>
      <c r="D380" s="82">
        <f>SUMIFS(Log[Sodium],Log[Date],tbDailyTotals[[#This Row],[Date]])</f>
        <v>0</v>
      </c>
      <c r="E380" s="71">
        <f>SUMIFS(Log[Net Carbs],Log[Date],tbDailyTotals[[#This Row],[Date]])</f>
        <v>0</v>
      </c>
      <c r="F380" s="71">
        <f>SUMIFS(Log[Protein],Log[Date],tbDailyTotals[[#This Row],[Date]])</f>
        <v>0</v>
      </c>
      <c r="G380" s="83">
        <f>SUMIFS(Log[Chol],Log[Date],tbDailyTotals[[#This Row],[Date]])</f>
        <v>0</v>
      </c>
      <c r="H380" s="92"/>
      <c r="I380" s="70" t="str">
        <f>IF(COUNTIFS(Log[Date],tbDailyTotals[[#This Row],[Date]],Log[Item],"Morn meds",Log[Qty],1),"x","")</f>
        <v/>
      </c>
      <c r="J380" s="70" t="str">
        <f>IF(COUNTIFS(Log[Date],tbDailyTotals[[#This Row],[Date]],Log[Item],"Morn insulin",Log[Qty],1),"x","")</f>
        <v/>
      </c>
      <c r="K380" s="70" t="str">
        <f>IF(COUNTIFS(Log[Date],tbDailyTotals[[#This Row],[Date]],Log[Item],"Eve insulin",Log[Qty],1),"x","")</f>
        <v/>
      </c>
      <c r="L380" s="70" t="str">
        <f>IF(COUNTIFS(Log[Date],tbDailyTotals[[#This Row],[Date]],Log[Item],"Eve meds",Log[Qty],1),"x","")</f>
        <v/>
      </c>
      <c r="M380" s="150"/>
    </row>
    <row r="381" spans="2:13" s="75" customFormat="1" ht="25.15" customHeight="1">
      <c r="B381" s="91"/>
      <c r="C381" s="82">
        <f>SUMIFS(Log[Cal],Log[Date],tbDailyTotals[[#This Row],[Date]])</f>
        <v>0</v>
      </c>
      <c r="D381" s="82">
        <f>SUMIFS(Log[Sodium],Log[Date],tbDailyTotals[[#This Row],[Date]])</f>
        <v>0</v>
      </c>
      <c r="E381" s="71">
        <f>SUMIFS(Log[Net Carbs],Log[Date],tbDailyTotals[[#This Row],[Date]])</f>
        <v>0</v>
      </c>
      <c r="F381" s="71">
        <f>SUMIFS(Log[Protein],Log[Date],tbDailyTotals[[#This Row],[Date]])</f>
        <v>0</v>
      </c>
      <c r="G381" s="83">
        <f>SUMIFS(Log[Chol],Log[Date],tbDailyTotals[[#This Row],[Date]])</f>
        <v>0</v>
      </c>
      <c r="H381" s="92"/>
      <c r="I381" s="70" t="str">
        <f>IF(COUNTIFS(Log[Date],tbDailyTotals[[#This Row],[Date]],Log[Item],"Morn meds",Log[Qty],1),"x","")</f>
        <v/>
      </c>
      <c r="J381" s="70" t="str">
        <f>IF(COUNTIFS(Log[Date],tbDailyTotals[[#This Row],[Date]],Log[Item],"Morn insulin",Log[Qty],1),"x","")</f>
        <v/>
      </c>
      <c r="K381" s="70" t="str">
        <f>IF(COUNTIFS(Log[Date],tbDailyTotals[[#This Row],[Date]],Log[Item],"Eve insulin",Log[Qty],1),"x","")</f>
        <v/>
      </c>
      <c r="L381" s="70" t="str">
        <f>IF(COUNTIFS(Log[Date],tbDailyTotals[[#This Row],[Date]],Log[Item],"Eve meds",Log[Qty],1),"x","")</f>
        <v/>
      </c>
      <c r="M381" s="150"/>
    </row>
    <row r="382" spans="2:13" s="75" customFormat="1" ht="25.15" customHeight="1">
      <c r="B382" s="91"/>
      <c r="C382" s="82">
        <f>SUMIFS(Log[Cal],Log[Date],tbDailyTotals[[#This Row],[Date]])</f>
        <v>0</v>
      </c>
      <c r="D382" s="82">
        <f>SUMIFS(Log[Sodium],Log[Date],tbDailyTotals[[#This Row],[Date]])</f>
        <v>0</v>
      </c>
      <c r="E382" s="71">
        <f>SUMIFS(Log[Net Carbs],Log[Date],tbDailyTotals[[#This Row],[Date]])</f>
        <v>0</v>
      </c>
      <c r="F382" s="71">
        <f>SUMIFS(Log[Protein],Log[Date],tbDailyTotals[[#This Row],[Date]])</f>
        <v>0</v>
      </c>
      <c r="G382" s="83">
        <f>SUMIFS(Log[Chol],Log[Date],tbDailyTotals[[#This Row],[Date]])</f>
        <v>0</v>
      </c>
      <c r="H382" s="92"/>
      <c r="I382" s="70" t="str">
        <f>IF(COUNTIFS(Log[Date],tbDailyTotals[[#This Row],[Date]],Log[Item],"Morn meds",Log[Qty],1),"x","")</f>
        <v/>
      </c>
      <c r="J382" s="70" t="str">
        <f>IF(COUNTIFS(Log[Date],tbDailyTotals[[#This Row],[Date]],Log[Item],"Morn insulin",Log[Qty],1),"x","")</f>
        <v/>
      </c>
      <c r="K382" s="70" t="str">
        <f>IF(COUNTIFS(Log[Date],tbDailyTotals[[#This Row],[Date]],Log[Item],"Eve insulin",Log[Qty],1),"x","")</f>
        <v/>
      </c>
      <c r="L382" s="70" t="str">
        <f>IF(COUNTIFS(Log[Date],tbDailyTotals[[#This Row],[Date]],Log[Item],"Eve meds",Log[Qty],1),"x","")</f>
        <v/>
      </c>
      <c r="M382" s="150"/>
    </row>
    <row r="383" spans="2:13" s="75" customFormat="1" ht="25.15" customHeight="1">
      <c r="B383" s="91"/>
      <c r="C383" s="82">
        <f>SUMIFS(Log[Cal],Log[Date],tbDailyTotals[[#This Row],[Date]])</f>
        <v>0</v>
      </c>
      <c r="D383" s="82">
        <f>SUMIFS(Log[Sodium],Log[Date],tbDailyTotals[[#This Row],[Date]])</f>
        <v>0</v>
      </c>
      <c r="E383" s="71">
        <f>SUMIFS(Log[Net Carbs],Log[Date],tbDailyTotals[[#This Row],[Date]])</f>
        <v>0</v>
      </c>
      <c r="F383" s="71">
        <f>SUMIFS(Log[Protein],Log[Date],tbDailyTotals[[#This Row],[Date]])</f>
        <v>0</v>
      </c>
      <c r="G383" s="83">
        <f>SUMIFS(Log[Chol],Log[Date],tbDailyTotals[[#This Row],[Date]])</f>
        <v>0</v>
      </c>
      <c r="H383" s="92"/>
      <c r="I383" s="70" t="str">
        <f>IF(COUNTIFS(Log[Date],tbDailyTotals[[#This Row],[Date]],Log[Item],"Morn meds",Log[Qty],1),"x","")</f>
        <v/>
      </c>
      <c r="J383" s="70" t="str">
        <f>IF(COUNTIFS(Log[Date],tbDailyTotals[[#This Row],[Date]],Log[Item],"Morn insulin",Log[Qty],1),"x","")</f>
        <v/>
      </c>
      <c r="K383" s="70" t="str">
        <f>IF(COUNTIFS(Log[Date],tbDailyTotals[[#This Row],[Date]],Log[Item],"Eve insulin",Log[Qty],1),"x","")</f>
        <v/>
      </c>
      <c r="L383" s="70" t="str">
        <f>IF(COUNTIFS(Log[Date],tbDailyTotals[[#This Row],[Date]],Log[Item],"Eve meds",Log[Qty],1),"x","")</f>
        <v/>
      </c>
      <c r="M383" s="150"/>
    </row>
    <row r="384" spans="2:13" s="75" customFormat="1" ht="25.15" customHeight="1">
      <c r="B384" s="91"/>
      <c r="C384" s="82">
        <f>SUMIFS(Log[Cal],Log[Date],tbDailyTotals[[#This Row],[Date]])</f>
        <v>0</v>
      </c>
      <c r="D384" s="82">
        <f>SUMIFS(Log[Sodium],Log[Date],tbDailyTotals[[#This Row],[Date]])</f>
        <v>0</v>
      </c>
      <c r="E384" s="71">
        <f>SUMIFS(Log[Net Carbs],Log[Date],tbDailyTotals[[#This Row],[Date]])</f>
        <v>0</v>
      </c>
      <c r="F384" s="71">
        <f>SUMIFS(Log[Protein],Log[Date],tbDailyTotals[[#This Row],[Date]])</f>
        <v>0</v>
      </c>
      <c r="G384" s="83">
        <f>SUMIFS(Log[Chol],Log[Date],tbDailyTotals[[#This Row],[Date]])</f>
        <v>0</v>
      </c>
      <c r="H384" s="92"/>
      <c r="I384" s="70" t="str">
        <f>IF(COUNTIFS(Log[Date],tbDailyTotals[[#This Row],[Date]],Log[Item],"Morn meds",Log[Qty],1),"x","")</f>
        <v/>
      </c>
      <c r="J384" s="70" t="str">
        <f>IF(COUNTIFS(Log[Date],tbDailyTotals[[#This Row],[Date]],Log[Item],"Morn insulin",Log[Qty],1),"x","")</f>
        <v/>
      </c>
      <c r="K384" s="70" t="str">
        <f>IF(COUNTIFS(Log[Date],tbDailyTotals[[#This Row],[Date]],Log[Item],"Eve insulin",Log[Qty],1),"x","")</f>
        <v/>
      </c>
      <c r="L384" s="70" t="str">
        <f>IF(COUNTIFS(Log[Date],tbDailyTotals[[#This Row],[Date]],Log[Item],"Eve meds",Log[Qty],1),"x","")</f>
        <v/>
      </c>
      <c r="M384" s="150"/>
    </row>
    <row r="385" spans="2:13" s="75" customFormat="1" ht="25.15" customHeight="1">
      <c r="B385" s="91"/>
      <c r="C385" s="82">
        <f>SUMIFS(Log[Cal],Log[Date],tbDailyTotals[[#This Row],[Date]])</f>
        <v>0</v>
      </c>
      <c r="D385" s="82">
        <f>SUMIFS(Log[Sodium],Log[Date],tbDailyTotals[[#This Row],[Date]])</f>
        <v>0</v>
      </c>
      <c r="E385" s="71">
        <f>SUMIFS(Log[Net Carbs],Log[Date],tbDailyTotals[[#This Row],[Date]])</f>
        <v>0</v>
      </c>
      <c r="F385" s="71">
        <f>SUMIFS(Log[Protein],Log[Date],tbDailyTotals[[#This Row],[Date]])</f>
        <v>0</v>
      </c>
      <c r="G385" s="83">
        <f>SUMIFS(Log[Chol],Log[Date],tbDailyTotals[[#This Row],[Date]])</f>
        <v>0</v>
      </c>
      <c r="H385" s="92"/>
      <c r="I385" s="70" t="str">
        <f>IF(COUNTIFS(Log[Date],tbDailyTotals[[#This Row],[Date]],Log[Item],"Morn meds",Log[Qty],1),"x","")</f>
        <v/>
      </c>
      <c r="J385" s="70" t="str">
        <f>IF(COUNTIFS(Log[Date],tbDailyTotals[[#This Row],[Date]],Log[Item],"Morn insulin",Log[Qty],1),"x","")</f>
        <v/>
      </c>
      <c r="K385" s="70" t="str">
        <f>IF(COUNTIFS(Log[Date],tbDailyTotals[[#This Row],[Date]],Log[Item],"Eve insulin",Log[Qty],1),"x","")</f>
        <v/>
      </c>
      <c r="L385" s="70" t="str">
        <f>IF(COUNTIFS(Log[Date],tbDailyTotals[[#This Row],[Date]],Log[Item],"Eve meds",Log[Qty],1),"x","")</f>
        <v/>
      </c>
      <c r="M385" s="150"/>
    </row>
    <row r="386" spans="2:13" s="75" customFormat="1" ht="25.15" customHeight="1">
      <c r="B386" s="91"/>
      <c r="C386" s="82">
        <f>SUMIFS(Log[Cal],Log[Date],tbDailyTotals[[#This Row],[Date]])</f>
        <v>0</v>
      </c>
      <c r="D386" s="82">
        <f>SUMIFS(Log[Sodium],Log[Date],tbDailyTotals[[#This Row],[Date]])</f>
        <v>0</v>
      </c>
      <c r="E386" s="71">
        <f>SUMIFS(Log[Net Carbs],Log[Date],tbDailyTotals[[#This Row],[Date]])</f>
        <v>0</v>
      </c>
      <c r="F386" s="71">
        <f>SUMIFS(Log[Protein],Log[Date],tbDailyTotals[[#This Row],[Date]])</f>
        <v>0</v>
      </c>
      <c r="G386" s="83">
        <f>SUMIFS(Log[Chol],Log[Date],tbDailyTotals[[#This Row],[Date]])</f>
        <v>0</v>
      </c>
      <c r="H386" s="92"/>
      <c r="I386" s="70" t="str">
        <f>IF(COUNTIFS(Log[Date],tbDailyTotals[[#This Row],[Date]],Log[Item],"Morn meds",Log[Qty],1),"x","")</f>
        <v/>
      </c>
      <c r="J386" s="70" t="str">
        <f>IF(COUNTIFS(Log[Date],tbDailyTotals[[#This Row],[Date]],Log[Item],"Morn insulin",Log[Qty],1),"x","")</f>
        <v/>
      </c>
      <c r="K386" s="70" t="str">
        <f>IF(COUNTIFS(Log[Date],tbDailyTotals[[#This Row],[Date]],Log[Item],"Eve insulin",Log[Qty],1),"x","")</f>
        <v/>
      </c>
      <c r="L386" s="70" t="str">
        <f>IF(COUNTIFS(Log[Date],tbDailyTotals[[#This Row],[Date]],Log[Item],"Eve meds",Log[Qty],1),"x","")</f>
        <v/>
      </c>
      <c r="M386" s="150"/>
    </row>
    <row r="387" spans="2:13" s="75" customFormat="1" ht="25.15" customHeight="1">
      <c r="B387" s="91"/>
      <c r="C387" s="82">
        <f>SUMIFS(Log[Cal],Log[Date],tbDailyTotals[[#This Row],[Date]])</f>
        <v>0</v>
      </c>
      <c r="D387" s="82">
        <f>SUMIFS(Log[Sodium],Log[Date],tbDailyTotals[[#This Row],[Date]])</f>
        <v>0</v>
      </c>
      <c r="E387" s="71">
        <f>SUMIFS(Log[Net Carbs],Log[Date],tbDailyTotals[[#This Row],[Date]])</f>
        <v>0</v>
      </c>
      <c r="F387" s="71">
        <f>SUMIFS(Log[Protein],Log[Date],tbDailyTotals[[#This Row],[Date]])</f>
        <v>0</v>
      </c>
      <c r="G387" s="83">
        <f>SUMIFS(Log[Chol],Log[Date],tbDailyTotals[[#This Row],[Date]])</f>
        <v>0</v>
      </c>
      <c r="H387" s="92"/>
      <c r="I387" s="70" t="str">
        <f>IF(COUNTIFS(Log[Date],tbDailyTotals[[#This Row],[Date]],Log[Item],"Morn meds",Log[Qty],1),"x","")</f>
        <v/>
      </c>
      <c r="J387" s="70" t="str">
        <f>IF(COUNTIFS(Log[Date],tbDailyTotals[[#This Row],[Date]],Log[Item],"Morn insulin",Log[Qty],1),"x","")</f>
        <v/>
      </c>
      <c r="K387" s="70" t="str">
        <f>IF(COUNTIFS(Log[Date],tbDailyTotals[[#This Row],[Date]],Log[Item],"Eve insulin",Log[Qty],1),"x","")</f>
        <v/>
      </c>
      <c r="L387" s="70" t="str">
        <f>IF(COUNTIFS(Log[Date],tbDailyTotals[[#This Row],[Date]],Log[Item],"Eve meds",Log[Qty],1),"x","")</f>
        <v/>
      </c>
      <c r="M387" s="150"/>
    </row>
    <row r="388" spans="2:13" s="75" customFormat="1" ht="25.15" customHeight="1">
      <c r="B388" s="91"/>
      <c r="C388" s="82">
        <f>SUMIFS(Log[Cal],Log[Date],tbDailyTotals[[#This Row],[Date]])</f>
        <v>0</v>
      </c>
      <c r="D388" s="82">
        <f>SUMIFS(Log[Sodium],Log[Date],tbDailyTotals[[#This Row],[Date]])</f>
        <v>0</v>
      </c>
      <c r="E388" s="71">
        <f>SUMIFS(Log[Net Carbs],Log[Date],tbDailyTotals[[#This Row],[Date]])</f>
        <v>0</v>
      </c>
      <c r="F388" s="71">
        <f>SUMIFS(Log[Protein],Log[Date],tbDailyTotals[[#This Row],[Date]])</f>
        <v>0</v>
      </c>
      <c r="G388" s="83">
        <f>SUMIFS(Log[Chol],Log[Date],tbDailyTotals[[#This Row],[Date]])</f>
        <v>0</v>
      </c>
      <c r="H388" s="92"/>
      <c r="I388" s="70" t="str">
        <f>IF(COUNTIFS(Log[Date],tbDailyTotals[[#This Row],[Date]],Log[Item],"Morn meds",Log[Qty],1),"x","")</f>
        <v/>
      </c>
      <c r="J388" s="70" t="str">
        <f>IF(COUNTIFS(Log[Date],tbDailyTotals[[#This Row],[Date]],Log[Item],"Morn insulin",Log[Qty],1),"x","")</f>
        <v/>
      </c>
      <c r="K388" s="70" t="str">
        <f>IF(COUNTIFS(Log[Date],tbDailyTotals[[#This Row],[Date]],Log[Item],"Eve insulin",Log[Qty],1),"x","")</f>
        <v/>
      </c>
      <c r="L388" s="70" t="str">
        <f>IF(COUNTIFS(Log[Date],tbDailyTotals[[#This Row],[Date]],Log[Item],"Eve meds",Log[Qty],1),"x","")</f>
        <v/>
      </c>
      <c r="M388" s="150"/>
    </row>
    <row r="389" spans="2:13" s="75" customFormat="1" ht="25.15" customHeight="1">
      <c r="B389" s="91"/>
      <c r="C389" s="82">
        <f>SUMIFS(Log[Cal],Log[Date],tbDailyTotals[[#This Row],[Date]])</f>
        <v>0</v>
      </c>
      <c r="D389" s="82">
        <f>SUMIFS(Log[Sodium],Log[Date],tbDailyTotals[[#This Row],[Date]])</f>
        <v>0</v>
      </c>
      <c r="E389" s="71">
        <f>SUMIFS(Log[Net Carbs],Log[Date],tbDailyTotals[[#This Row],[Date]])</f>
        <v>0</v>
      </c>
      <c r="F389" s="71">
        <f>SUMIFS(Log[Protein],Log[Date],tbDailyTotals[[#This Row],[Date]])</f>
        <v>0</v>
      </c>
      <c r="G389" s="83">
        <f>SUMIFS(Log[Chol],Log[Date],tbDailyTotals[[#This Row],[Date]])</f>
        <v>0</v>
      </c>
      <c r="H389" s="92"/>
      <c r="I389" s="70" t="str">
        <f>IF(COUNTIFS(Log[Date],tbDailyTotals[[#This Row],[Date]],Log[Item],"Morn meds",Log[Qty],1),"x","")</f>
        <v/>
      </c>
      <c r="J389" s="70" t="str">
        <f>IF(COUNTIFS(Log[Date],tbDailyTotals[[#This Row],[Date]],Log[Item],"Morn insulin",Log[Qty],1),"x","")</f>
        <v/>
      </c>
      <c r="K389" s="70" t="str">
        <f>IF(COUNTIFS(Log[Date],tbDailyTotals[[#This Row],[Date]],Log[Item],"Eve insulin",Log[Qty],1),"x","")</f>
        <v/>
      </c>
      <c r="L389" s="70" t="str">
        <f>IF(COUNTIFS(Log[Date],tbDailyTotals[[#This Row],[Date]],Log[Item],"Eve meds",Log[Qty],1),"x","")</f>
        <v/>
      </c>
      <c r="M389" s="150"/>
    </row>
    <row r="390" spans="2:13" s="75" customFormat="1" ht="25.15" customHeight="1">
      <c r="B390" s="91"/>
      <c r="C390" s="82">
        <f>SUMIFS(Log[Cal],Log[Date],tbDailyTotals[[#This Row],[Date]])</f>
        <v>0</v>
      </c>
      <c r="D390" s="82">
        <f>SUMIFS(Log[Sodium],Log[Date],tbDailyTotals[[#This Row],[Date]])</f>
        <v>0</v>
      </c>
      <c r="E390" s="71">
        <f>SUMIFS(Log[Net Carbs],Log[Date],tbDailyTotals[[#This Row],[Date]])</f>
        <v>0</v>
      </c>
      <c r="F390" s="71">
        <f>SUMIFS(Log[Protein],Log[Date],tbDailyTotals[[#This Row],[Date]])</f>
        <v>0</v>
      </c>
      <c r="G390" s="83">
        <f>SUMIFS(Log[Chol],Log[Date],tbDailyTotals[[#This Row],[Date]])</f>
        <v>0</v>
      </c>
      <c r="H390" s="92"/>
      <c r="I390" s="70" t="str">
        <f>IF(COUNTIFS(Log[Date],tbDailyTotals[[#This Row],[Date]],Log[Item],"Morn meds",Log[Qty],1),"x","")</f>
        <v/>
      </c>
      <c r="J390" s="70" t="str">
        <f>IF(COUNTIFS(Log[Date],tbDailyTotals[[#This Row],[Date]],Log[Item],"Morn insulin",Log[Qty],1),"x","")</f>
        <v/>
      </c>
      <c r="K390" s="70" t="str">
        <f>IF(COUNTIFS(Log[Date],tbDailyTotals[[#This Row],[Date]],Log[Item],"Eve insulin",Log[Qty],1),"x","")</f>
        <v/>
      </c>
      <c r="L390" s="70" t="str">
        <f>IF(COUNTIFS(Log[Date],tbDailyTotals[[#This Row],[Date]],Log[Item],"Eve meds",Log[Qty],1),"x","")</f>
        <v/>
      </c>
      <c r="M390" s="150"/>
    </row>
    <row r="391" spans="2:13" s="75" customFormat="1" ht="25.15" customHeight="1">
      <c r="B391" s="91"/>
      <c r="C391" s="82">
        <f>SUMIFS(Log[Cal],Log[Date],tbDailyTotals[[#This Row],[Date]])</f>
        <v>0</v>
      </c>
      <c r="D391" s="82">
        <f>SUMIFS(Log[Sodium],Log[Date],tbDailyTotals[[#This Row],[Date]])</f>
        <v>0</v>
      </c>
      <c r="E391" s="71">
        <f>SUMIFS(Log[Net Carbs],Log[Date],tbDailyTotals[[#This Row],[Date]])</f>
        <v>0</v>
      </c>
      <c r="F391" s="71">
        <f>SUMIFS(Log[Protein],Log[Date],tbDailyTotals[[#This Row],[Date]])</f>
        <v>0</v>
      </c>
      <c r="G391" s="83">
        <f>SUMIFS(Log[Chol],Log[Date],tbDailyTotals[[#This Row],[Date]])</f>
        <v>0</v>
      </c>
      <c r="H391" s="92"/>
      <c r="I391" s="70" t="str">
        <f>IF(COUNTIFS(Log[Date],tbDailyTotals[[#This Row],[Date]],Log[Item],"Morn meds",Log[Qty],1),"x","")</f>
        <v/>
      </c>
      <c r="J391" s="70" t="str">
        <f>IF(COUNTIFS(Log[Date],tbDailyTotals[[#This Row],[Date]],Log[Item],"Morn insulin",Log[Qty],1),"x","")</f>
        <v/>
      </c>
      <c r="K391" s="70" t="str">
        <f>IF(COUNTIFS(Log[Date],tbDailyTotals[[#This Row],[Date]],Log[Item],"Eve insulin",Log[Qty],1),"x","")</f>
        <v/>
      </c>
      <c r="L391" s="70" t="str">
        <f>IF(COUNTIFS(Log[Date],tbDailyTotals[[#This Row],[Date]],Log[Item],"Eve meds",Log[Qty],1),"x","")</f>
        <v/>
      </c>
      <c r="M391" s="150"/>
    </row>
    <row r="392" spans="2:13" s="75" customFormat="1" ht="25.15" customHeight="1">
      <c r="B392" s="91"/>
      <c r="C392" s="82">
        <f>SUMIFS(Log[Cal],Log[Date],tbDailyTotals[[#This Row],[Date]])</f>
        <v>0</v>
      </c>
      <c r="D392" s="82">
        <f>SUMIFS(Log[Sodium],Log[Date],tbDailyTotals[[#This Row],[Date]])</f>
        <v>0</v>
      </c>
      <c r="E392" s="71">
        <f>SUMIFS(Log[Net Carbs],Log[Date],tbDailyTotals[[#This Row],[Date]])</f>
        <v>0</v>
      </c>
      <c r="F392" s="71">
        <f>SUMIFS(Log[Protein],Log[Date],tbDailyTotals[[#This Row],[Date]])</f>
        <v>0</v>
      </c>
      <c r="G392" s="83">
        <f>SUMIFS(Log[Chol],Log[Date],tbDailyTotals[[#This Row],[Date]])</f>
        <v>0</v>
      </c>
      <c r="H392" s="92"/>
      <c r="I392" s="70" t="str">
        <f>IF(COUNTIFS(Log[Date],tbDailyTotals[[#This Row],[Date]],Log[Item],"Morn meds",Log[Qty],1),"x","")</f>
        <v/>
      </c>
      <c r="J392" s="70" t="str">
        <f>IF(COUNTIFS(Log[Date],tbDailyTotals[[#This Row],[Date]],Log[Item],"Morn insulin",Log[Qty],1),"x","")</f>
        <v/>
      </c>
      <c r="K392" s="70" t="str">
        <f>IF(COUNTIFS(Log[Date],tbDailyTotals[[#This Row],[Date]],Log[Item],"Eve insulin",Log[Qty],1),"x","")</f>
        <v/>
      </c>
      <c r="L392" s="70" t="str">
        <f>IF(COUNTIFS(Log[Date],tbDailyTotals[[#This Row],[Date]],Log[Item],"Eve meds",Log[Qty],1),"x","")</f>
        <v/>
      </c>
      <c r="M392" s="150"/>
    </row>
    <row r="393" spans="2:13" s="75" customFormat="1" ht="25.15" customHeight="1">
      <c r="B393" s="91"/>
      <c r="C393" s="82">
        <f>SUMIFS(Log[Cal],Log[Date],tbDailyTotals[[#This Row],[Date]])</f>
        <v>0</v>
      </c>
      <c r="D393" s="82">
        <f>SUMIFS(Log[Sodium],Log[Date],tbDailyTotals[[#This Row],[Date]])</f>
        <v>0</v>
      </c>
      <c r="E393" s="71">
        <f>SUMIFS(Log[Net Carbs],Log[Date],tbDailyTotals[[#This Row],[Date]])</f>
        <v>0</v>
      </c>
      <c r="F393" s="71">
        <f>SUMIFS(Log[Protein],Log[Date],tbDailyTotals[[#This Row],[Date]])</f>
        <v>0</v>
      </c>
      <c r="G393" s="83">
        <f>SUMIFS(Log[Chol],Log[Date],tbDailyTotals[[#This Row],[Date]])</f>
        <v>0</v>
      </c>
      <c r="H393" s="92"/>
      <c r="I393" s="70" t="str">
        <f>IF(COUNTIFS(Log[Date],tbDailyTotals[[#This Row],[Date]],Log[Item],"Morn meds",Log[Qty],1),"x","")</f>
        <v/>
      </c>
      <c r="J393" s="70" t="str">
        <f>IF(COUNTIFS(Log[Date],tbDailyTotals[[#This Row],[Date]],Log[Item],"Morn insulin",Log[Qty],1),"x","")</f>
        <v/>
      </c>
      <c r="K393" s="70" t="str">
        <f>IF(COUNTIFS(Log[Date],tbDailyTotals[[#This Row],[Date]],Log[Item],"Eve insulin",Log[Qty],1),"x","")</f>
        <v/>
      </c>
      <c r="L393" s="70" t="str">
        <f>IF(COUNTIFS(Log[Date],tbDailyTotals[[#This Row],[Date]],Log[Item],"Eve meds",Log[Qty],1),"x","")</f>
        <v/>
      </c>
      <c r="M393" s="150"/>
    </row>
    <row r="394" spans="2:13" s="75" customFormat="1" ht="25.15" customHeight="1">
      <c r="B394" s="91"/>
      <c r="C394" s="82">
        <f>SUMIFS(Log[Cal],Log[Date],tbDailyTotals[[#This Row],[Date]])</f>
        <v>0</v>
      </c>
      <c r="D394" s="82">
        <f>SUMIFS(Log[Sodium],Log[Date],tbDailyTotals[[#This Row],[Date]])</f>
        <v>0</v>
      </c>
      <c r="E394" s="71">
        <f>SUMIFS(Log[Net Carbs],Log[Date],tbDailyTotals[[#This Row],[Date]])</f>
        <v>0</v>
      </c>
      <c r="F394" s="71">
        <f>SUMIFS(Log[Protein],Log[Date],tbDailyTotals[[#This Row],[Date]])</f>
        <v>0</v>
      </c>
      <c r="G394" s="83">
        <f>SUMIFS(Log[Chol],Log[Date],tbDailyTotals[[#This Row],[Date]])</f>
        <v>0</v>
      </c>
      <c r="H394" s="92"/>
      <c r="I394" s="70" t="str">
        <f>IF(COUNTIFS(Log[Date],tbDailyTotals[[#This Row],[Date]],Log[Item],"Morn meds",Log[Qty],1),"x","")</f>
        <v/>
      </c>
      <c r="J394" s="70" t="str">
        <f>IF(COUNTIFS(Log[Date],tbDailyTotals[[#This Row],[Date]],Log[Item],"Morn insulin",Log[Qty],1),"x","")</f>
        <v/>
      </c>
      <c r="K394" s="70" t="str">
        <f>IF(COUNTIFS(Log[Date],tbDailyTotals[[#This Row],[Date]],Log[Item],"Eve insulin",Log[Qty],1),"x","")</f>
        <v/>
      </c>
      <c r="L394" s="70" t="str">
        <f>IF(COUNTIFS(Log[Date],tbDailyTotals[[#This Row],[Date]],Log[Item],"Eve meds",Log[Qty],1),"x","")</f>
        <v/>
      </c>
      <c r="M394" s="150"/>
    </row>
    <row r="395" spans="2:13" s="75" customFormat="1" ht="25.15" customHeight="1">
      <c r="B395" s="91"/>
      <c r="C395" s="82">
        <f>SUMIFS(Log[Cal],Log[Date],tbDailyTotals[[#This Row],[Date]])</f>
        <v>0</v>
      </c>
      <c r="D395" s="82">
        <f>SUMIFS(Log[Sodium],Log[Date],tbDailyTotals[[#This Row],[Date]])</f>
        <v>0</v>
      </c>
      <c r="E395" s="71">
        <f>SUMIFS(Log[Net Carbs],Log[Date],tbDailyTotals[[#This Row],[Date]])</f>
        <v>0</v>
      </c>
      <c r="F395" s="71">
        <f>SUMIFS(Log[Protein],Log[Date],tbDailyTotals[[#This Row],[Date]])</f>
        <v>0</v>
      </c>
      <c r="G395" s="83">
        <f>SUMIFS(Log[Chol],Log[Date],tbDailyTotals[[#This Row],[Date]])</f>
        <v>0</v>
      </c>
      <c r="H395" s="92"/>
      <c r="I395" s="70" t="str">
        <f>IF(COUNTIFS(Log[Date],tbDailyTotals[[#This Row],[Date]],Log[Item],"Morn meds",Log[Qty],1),"x","")</f>
        <v/>
      </c>
      <c r="J395" s="70" t="str">
        <f>IF(COUNTIFS(Log[Date],tbDailyTotals[[#This Row],[Date]],Log[Item],"Morn insulin",Log[Qty],1),"x","")</f>
        <v/>
      </c>
      <c r="K395" s="70" t="str">
        <f>IF(COUNTIFS(Log[Date],tbDailyTotals[[#This Row],[Date]],Log[Item],"Eve insulin",Log[Qty],1),"x","")</f>
        <v/>
      </c>
      <c r="L395" s="70" t="str">
        <f>IF(COUNTIFS(Log[Date],tbDailyTotals[[#This Row],[Date]],Log[Item],"Eve meds",Log[Qty],1),"x","")</f>
        <v/>
      </c>
      <c r="M395" s="150"/>
    </row>
    <row r="396" spans="2:13" s="75" customFormat="1" ht="25.15" customHeight="1">
      <c r="B396" s="91"/>
      <c r="C396" s="82">
        <f>SUMIFS(Log[Cal],Log[Date],tbDailyTotals[[#This Row],[Date]])</f>
        <v>0</v>
      </c>
      <c r="D396" s="82">
        <f>SUMIFS(Log[Sodium],Log[Date],tbDailyTotals[[#This Row],[Date]])</f>
        <v>0</v>
      </c>
      <c r="E396" s="71">
        <f>SUMIFS(Log[Net Carbs],Log[Date],tbDailyTotals[[#This Row],[Date]])</f>
        <v>0</v>
      </c>
      <c r="F396" s="71">
        <f>SUMIFS(Log[Protein],Log[Date],tbDailyTotals[[#This Row],[Date]])</f>
        <v>0</v>
      </c>
      <c r="G396" s="83">
        <f>SUMIFS(Log[Chol],Log[Date],tbDailyTotals[[#This Row],[Date]])</f>
        <v>0</v>
      </c>
      <c r="H396" s="92"/>
      <c r="I396" s="70" t="str">
        <f>IF(COUNTIFS(Log[Date],tbDailyTotals[[#This Row],[Date]],Log[Item],"Morn meds",Log[Qty],1),"x","")</f>
        <v/>
      </c>
      <c r="J396" s="70" t="str">
        <f>IF(COUNTIFS(Log[Date],tbDailyTotals[[#This Row],[Date]],Log[Item],"Morn insulin",Log[Qty],1),"x","")</f>
        <v/>
      </c>
      <c r="K396" s="70" t="str">
        <f>IF(COUNTIFS(Log[Date],tbDailyTotals[[#This Row],[Date]],Log[Item],"Eve insulin",Log[Qty],1),"x","")</f>
        <v/>
      </c>
      <c r="L396" s="70" t="str">
        <f>IF(COUNTIFS(Log[Date],tbDailyTotals[[#This Row],[Date]],Log[Item],"Eve meds",Log[Qty],1),"x","")</f>
        <v/>
      </c>
      <c r="M396" s="150"/>
    </row>
    <row r="397" spans="2:13" s="75" customFormat="1" ht="25.15" customHeight="1">
      <c r="B397" s="91"/>
      <c r="C397" s="82">
        <f>SUMIFS(Log[Cal],Log[Date],tbDailyTotals[[#This Row],[Date]])</f>
        <v>0</v>
      </c>
      <c r="D397" s="82">
        <f>SUMIFS(Log[Sodium],Log[Date],tbDailyTotals[[#This Row],[Date]])</f>
        <v>0</v>
      </c>
      <c r="E397" s="71">
        <f>SUMIFS(Log[Net Carbs],Log[Date],tbDailyTotals[[#This Row],[Date]])</f>
        <v>0</v>
      </c>
      <c r="F397" s="71">
        <f>SUMIFS(Log[Protein],Log[Date],tbDailyTotals[[#This Row],[Date]])</f>
        <v>0</v>
      </c>
      <c r="G397" s="83">
        <f>SUMIFS(Log[Chol],Log[Date],tbDailyTotals[[#This Row],[Date]])</f>
        <v>0</v>
      </c>
      <c r="H397" s="92"/>
      <c r="I397" s="70" t="str">
        <f>IF(COUNTIFS(Log[Date],tbDailyTotals[[#This Row],[Date]],Log[Item],"Morn meds",Log[Qty],1),"x","")</f>
        <v/>
      </c>
      <c r="J397" s="70" t="str">
        <f>IF(COUNTIFS(Log[Date],tbDailyTotals[[#This Row],[Date]],Log[Item],"Morn insulin",Log[Qty],1),"x","")</f>
        <v/>
      </c>
      <c r="K397" s="70" t="str">
        <f>IF(COUNTIFS(Log[Date],tbDailyTotals[[#This Row],[Date]],Log[Item],"Eve insulin",Log[Qty],1),"x","")</f>
        <v/>
      </c>
      <c r="L397" s="70" t="str">
        <f>IF(COUNTIFS(Log[Date],tbDailyTotals[[#This Row],[Date]],Log[Item],"Eve meds",Log[Qty],1),"x","")</f>
        <v/>
      </c>
      <c r="M397" s="150"/>
    </row>
    <row r="398" spans="2:13" s="75" customFormat="1" ht="25.15" customHeight="1">
      <c r="B398" s="91"/>
      <c r="C398" s="82">
        <f>SUMIFS(Log[Cal],Log[Date],tbDailyTotals[[#This Row],[Date]])</f>
        <v>0</v>
      </c>
      <c r="D398" s="82">
        <f>SUMIFS(Log[Sodium],Log[Date],tbDailyTotals[[#This Row],[Date]])</f>
        <v>0</v>
      </c>
      <c r="E398" s="71">
        <f>SUMIFS(Log[Net Carbs],Log[Date],tbDailyTotals[[#This Row],[Date]])</f>
        <v>0</v>
      </c>
      <c r="F398" s="71">
        <f>SUMIFS(Log[Protein],Log[Date],tbDailyTotals[[#This Row],[Date]])</f>
        <v>0</v>
      </c>
      <c r="G398" s="83">
        <f>SUMIFS(Log[Chol],Log[Date],tbDailyTotals[[#This Row],[Date]])</f>
        <v>0</v>
      </c>
      <c r="H398" s="92"/>
      <c r="I398" s="70" t="str">
        <f>IF(COUNTIFS(Log[Date],tbDailyTotals[[#This Row],[Date]],Log[Item],"Morn meds",Log[Qty],1),"x","")</f>
        <v/>
      </c>
      <c r="J398" s="70" t="str">
        <f>IF(COUNTIFS(Log[Date],tbDailyTotals[[#This Row],[Date]],Log[Item],"Morn insulin",Log[Qty],1),"x","")</f>
        <v/>
      </c>
      <c r="K398" s="70" t="str">
        <f>IF(COUNTIFS(Log[Date],tbDailyTotals[[#This Row],[Date]],Log[Item],"Eve insulin",Log[Qty],1),"x","")</f>
        <v/>
      </c>
      <c r="L398" s="70" t="str">
        <f>IF(COUNTIFS(Log[Date],tbDailyTotals[[#This Row],[Date]],Log[Item],"Eve meds",Log[Qty],1),"x","")</f>
        <v/>
      </c>
      <c r="M398" s="150"/>
    </row>
    <row r="399" spans="2:13" s="75" customFormat="1" ht="25.15" customHeight="1">
      <c r="B399" s="91"/>
      <c r="C399" s="82">
        <f>SUMIFS(Log[Cal],Log[Date],tbDailyTotals[[#This Row],[Date]])</f>
        <v>0</v>
      </c>
      <c r="D399" s="82">
        <f>SUMIFS(Log[Sodium],Log[Date],tbDailyTotals[[#This Row],[Date]])</f>
        <v>0</v>
      </c>
      <c r="E399" s="71">
        <f>SUMIFS(Log[Net Carbs],Log[Date],tbDailyTotals[[#This Row],[Date]])</f>
        <v>0</v>
      </c>
      <c r="F399" s="71">
        <f>SUMIFS(Log[Protein],Log[Date],tbDailyTotals[[#This Row],[Date]])</f>
        <v>0</v>
      </c>
      <c r="G399" s="83">
        <f>SUMIFS(Log[Chol],Log[Date],tbDailyTotals[[#This Row],[Date]])</f>
        <v>0</v>
      </c>
      <c r="H399" s="92"/>
      <c r="I399" s="70" t="str">
        <f>IF(COUNTIFS(Log[Date],tbDailyTotals[[#This Row],[Date]],Log[Item],"Morn meds",Log[Qty],1),"x","")</f>
        <v/>
      </c>
      <c r="J399" s="70" t="str">
        <f>IF(COUNTIFS(Log[Date],tbDailyTotals[[#This Row],[Date]],Log[Item],"Morn insulin",Log[Qty],1),"x","")</f>
        <v/>
      </c>
      <c r="K399" s="70" t="str">
        <f>IF(COUNTIFS(Log[Date],tbDailyTotals[[#This Row],[Date]],Log[Item],"Eve insulin",Log[Qty],1),"x","")</f>
        <v/>
      </c>
      <c r="L399" s="70" t="str">
        <f>IF(COUNTIFS(Log[Date],tbDailyTotals[[#This Row],[Date]],Log[Item],"Eve meds",Log[Qty],1),"x","")</f>
        <v/>
      </c>
      <c r="M399" s="150"/>
    </row>
    <row r="400" spans="2:13" s="75" customFormat="1" ht="25.15" customHeight="1">
      <c r="B400" s="91"/>
      <c r="C400" s="82">
        <f>SUMIFS(Log[Cal],Log[Date],tbDailyTotals[[#This Row],[Date]])</f>
        <v>0</v>
      </c>
      <c r="D400" s="82">
        <f>SUMIFS(Log[Sodium],Log[Date],tbDailyTotals[[#This Row],[Date]])</f>
        <v>0</v>
      </c>
      <c r="E400" s="71">
        <f>SUMIFS(Log[Net Carbs],Log[Date],tbDailyTotals[[#This Row],[Date]])</f>
        <v>0</v>
      </c>
      <c r="F400" s="71">
        <f>SUMIFS(Log[Protein],Log[Date],tbDailyTotals[[#This Row],[Date]])</f>
        <v>0</v>
      </c>
      <c r="G400" s="83">
        <f>SUMIFS(Log[Chol],Log[Date],tbDailyTotals[[#This Row],[Date]])</f>
        <v>0</v>
      </c>
      <c r="H400" s="92"/>
      <c r="I400" s="70" t="str">
        <f>IF(COUNTIFS(Log[Date],tbDailyTotals[[#This Row],[Date]],Log[Item],"Morn meds",Log[Qty],1),"x","")</f>
        <v/>
      </c>
      <c r="J400" s="70" t="str">
        <f>IF(COUNTIFS(Log[Date],tbDailyTotals[[#This Row],[Date]],Log[Item],"Morn insulin",Log[Qty],1),"x","")</f>
        <v/>
      </c>
      <c r="K400" s="70" t="str">
        <f>IF(COUNTIFS(Log[Date],tbDailyTotals[[#This Row],[Date]],Log[Item],"Eve insulin",Log[Qty],1),"x","")</f>
        <v/>
      </c>
      <c r="L400" s="70" t="str">
        <f>IF(COUNTIFS(Log[Date],tbDailyTotals[[#This Row],[Date]],Log[Item],"Eve meds",Log[Qty],1),"x","")</f>
        <v/>
      </c>
      <c r="M400" s="150"/>
    </row>
    <row r="401" spans="2:13" s="75" customFormat="1" ht="25.15" customHeight="1">
      <c r="B401" s="91"/>
      <c r="C401" s="82">
        <f>SUMIFS(Log[Cal],Log[Date],tbDailyTotals[[#This Row],[Date]])</f>
        <v>0</v>
      </c>
      <c r="D401" s="82">
        <f>SUMIFS(Log[Sodium],Log[Date],tbDailyTotals[[#This Row],[Date]])</f>
        <v>0</v>
      </c>
      <c r="E401" s="71">
        <f>SUMIFS(Log[Net Carbs],Log[Date],tbDailyTotals[[#This Row],[Date]])</f>
        <v>0</v>
      </c>
      <c r="F401" s="71">
        <f>SUMIFS(Log[Protein],Log[Date],tbDailyTotals[[#This Row],[Date]])</f>
        <v>0</v>
      </c>
      <c r="G401" s="83">
        <f>SUMIFS(Log[Chol],Log[Date],tbDailyTotals[[#This Row],[Date]])</f>
        <v>0</v>
      </c>
      <c r="H401" s="92"/>
      <c r="I401" s="70" t="str">
        <f>IF(COUNTIFS(Log[Date],tbDailyTotals[[#This Row],[Date]],Log[Item],"Morn meds",Log[Qty],1),"x","")</f>
        <v/>
      </c>
      <c r="J401" s="70" t="str">
        <f>IF(COUNTIFS(Log[Date],tbDailyTotals[[#This Row],[Date]],Log[Item],"Morn insulin",Log[Qty],1),"x","")</f>
        <v/>
      </c>
      <c r="K401" s="70" t="str">
        <f>IF(COUNTIFS(Log[Date],tbDailyTotals[[#This Row],[Date]],Log[Item],"Eve insulin",Log[Qty],1),"x","")</f>
        <v/>
      </c>
      <c r="L401" s="70" t="str">
        <f>IF(COUNTIFS(Log[Date],tbDailyTotals[[#This Row],[Date]],Log[Item],"Eve meds",Log[Qty],1),"x","")</f>
        <v/>
      </c>
      <c r="M401" s="150"/>
    </row>
    <row r="402" spans="2:13" s="75" customFormat="1" ht="25.15" customHeight="1">
      <c r="B402" s="91"/>
      <c r="C402" s="82">
        <f>SUMIFS(Log[Cal],Log[Date],tbDailyTotals[[#This Row],[Date]])</f>
        <v>0</v>
      </c>
      <c r="D402" s="82">
        <f>SUMIFS(Log[Sodium],Log[Date],tbDailyTotals[[#This Row],[Date]])</f>
        <v>0</v>
      </c>
      <c r="E402" s="71">
        <f>SUMIFS(Log[Net Carbs],Log[Date],tbDailyTotals[[#This Row],[Date]])</f>
        <v>0</v>
      </c>
      <c r="F402" s="71">
        <f>SUMIFS(Log[Protein],Log[Date],tbDailyTotals[[#This Row],[Date]])</f>
        <v>0</v>
      </c>
      <c r="G402" s="83">
        <f>SUMIFS(Log[Chol],Log[Date],tbDailyTotals[[#This Row],[Date]])</f>
        <v>0</v>
      </c>
      <c r="H402" s="92"/>
      <c r="I402" s="70" t="str">
        <f>IF(COUNTIFS(Log[Date],tbDailyTotals[[#This Row],[Date]],Log[Item],"Morn meds",Log[Qty],1),"x","")</f>
        <v/>
      </c>
      <c r="J402" s="70" t="str">
        <f>IF(COUNTIFS(Log[Date],tbDailyTotals[[#This Row],[Date]],Log[Item],"Morn insulin",Log[Qty],1),"x","")</f>
        <v/>
      </c>
      <c r="K402" s="70" t="str">
        <f>IF(COUNTIFS(Log[Date],tbDailyTotals[[#This Row],[Date]],Log[Item],"Eve insulin",Log[Qty],1),"x","")</f>
        <v/>
      </c>
      <c r="L402" s="70" t="str">
        <f>IF(COUNTIFS(Log[Date],tbDailyTotals[[#This Row],[Date]],Log[Item],"Eve meds",Log[Qty],1),"x","")</f>
        <v/>
      </c>
      <c r="M402" s="150"/>
    </row>
    <row r="403" spans="2:13" s="75" customFormat="1" ht="25.15" customHeight="1">
      <c r="B403" s="91"/>
      <c r="C403" s="82">
        <f>SUMIFS(Log[Cal],Log[Date],tbDailyTotals[[#This Row],[Date]])</f>
        <v>0</v>
      </c>
      <c r="D403" s="82">
        <f>SUMIFS(Log[Sodium],Log[Date],tbDailyTotals[[#This Row],[Date]])</f>
        <v>0</v>
      </c>
      <c r="E403" s="71">
        <f>SUMIFS(Log[Net Carbs],Log[Date],tbDailyTotals[[#This Row],[Date]])</f>
        <v>0</v>
      </c>
      <c r="F403" s="71">
        <f>SUMIFS(Log[Protein],Log[Date],tbDailyTotals[[#This Row],[Date]])</f>
        <v>0</v>
      </c>
      <c r="G403" s="83">
        <f>SUMIFS(Log[Chol],Log[Date],tbDailyTotals[[#This Row],[Date]])</f>
        <v>0</v>
      </c>
      <c r="H403" s="92"/>
      <c r="I403" s="70" t="str">
        <f>IF(COUNTIFS(Log[Date],tbDailyTotals[[#This Row],[Date]],Log[Item],"Morn meds",Log[Qty],1),"x","")</f>
        <v/>
      </c>
      <c r="J403" s="70" t="str">
        <f>IF(COUNTIFS(Log[Date],tbDailyTotals[[#This Row],[Date]],Log[Item],"Morn insulin",Log[Qty],1),"x","")</f>
        <v/>
      </c>
      <c r="K403" s="70" t="str">
        <f>IF(COUNTIFS(Log[Date],tbDailyTotals[[#This Row],[Date]],Log[Item],"Eve insulin",Log[Qty],1),"x","")</f>
        <v/>
      </c>
      <c r="L403" s="70" t="str">
        <f>IF(COUNTIFS(Log[Date],tbDailyTotals[[#This Row],[Date]],Log[Item],"Eve meds",Log[Qty],1),"x","")</f>
        <v/>
      </c>
      <c r="M403" s="150"/>
    </row>
    <row r="404" spans="2:13" s="75" customFormat="1" ht="25.15" customHeight="1">
      <c r="B404" s="91"/>
      <c r="C404" s="82">
        <f>SUMIFS(Log[Cal],Log[Date],tbDailyTotals[[#This Row],[Date]])</f>
        <v>0</v>
      </c>
      <c r="D404" s="82">
        <f>SUMIFS(Log[Sodium],Log[Date],tbDailyTotals[[#This Row],[Date]])</f>
        <v>0</v>
      </c>
      <c r="E404" s="71">
        <f>SUMIFS(Log[Net Carbs],Log[Date],tbDailyTotals[[#This Row],[Date]])</f>
        <v>0</v>
      </c>
      <c r="F404" s="71">
        <f>SUMIFS(Log[Protein],Log[Date],tbDailyTotals[[#This Row],[Date]])</f>
        <v>0</v>
      </c>
      <c r="G404" s="83">
        <f>SUMIFS(Log[Chol],Log[Date],tbDailyTotals[[#This Row],[Date]])</f>
        <v>0</v>
      </c>
      <c r="H404" s="92"/>
      <c r="I404" s="70" t="str">
        <f>IF(COUNTIFS(Log[Date],tbDailyTotals[[#This Row],[Date]],Log[Item],"Morn meds",Log[Qty],1),"x","")</f>
        <v/>
      </c>
      <c r="J404" s="70" t="str">
        <f>IF(COUNTIFS(Log[Date],tbDailyTotals[[#This Row],[Date]],Log[Item],"Morn insulin",Log[Qty],1),"x","")</f>
        <v/>
      </c>
      <c r="K404" s="70" t="str">
        <f>IF(COUNTIFS(Log[Date],tbDailyTotals[[#This Row],[Date]],Log[Item],"Eve insulin",Log[Qty],1),"x","")</f>
        <v/>
      </c>
      <c r="L404" s="70" t="str">
        <f>IF(COUNTIFS(Log[Date],tbDailyTotals[[#This Row],[Date]],Log[Item],"Eve meds",Log[Qty],1),"x","")</f>
        <v/>
      </c>
      <c r="M404" s="150"/>
    </row>
    <row r="405" spans="2:13" s="75" customFormat="1" ht="25.15" customHeight="1">
      <c r="B405" s="91"/>
      <c r="C405" s="82">
        <f>SUMIFS(Log[Cal],Log[Date],tbDailyTotals[[#This Row],[Date]])</f>
        <v>0</v>
      </c>
      <c r="D405" s="82">
        <f>SUMIFS(Log[Sodium],Log[Date],tbDailyTotals[[#This Row],[Date]])</f>
        <v>0</v>
      </c>
      <c r="E405" s="71">
        <f>SUMIFS(Log[Net Carbs],Log[Date],tbDailyTotals[[#This Row],[Date]])</f>
        <v>0</v>
      </c>
      <c r="F405" s="71">
        <f>SUMIFS(Log[Protein],Log[Date],tbDailyTotals[[#This Row],[Date]])</f>
        <v>0</v>
      </c>
      <c r="G405" s="83">
        <f>SUMIFS(Log[Chol],Log[Date],tbDailyTotals[[#This Row],[Date]])</f>
        <v>0</v>
      </c>
      <c r="H405" s="92"/>
      <c r="I405" s="70" t="str">
        <f>IF(COUNTIFS(Log[Date],tbDailyTotals[[#This Row],[Date]],Log[Item],"Morn meds",Log[Qty],1),"x","")</f>
        <v/>
      </c>
      <c r="J405" s="70" t="str">
        <f>IF(COUNTIFS(Log[Date],tbDailyTotals[[#This Row],[Date]],Log[Item],"Morn insulin",Log[Qty],1),"x","")</f>
        <v/>
      </c>
      <c r="K405" s="70" t="str">
        <f>IF(COUNTIFS(Log[Date],tbDailyTotals[[#This Row],[Date]],Log[Item],"Eve insulin",Log[Qty],1),"x","")</f>
        <v/>
      </c>
      <c r="L405" s="70" t="str">
        <f>IF(COUNTIFS(Log[Date],tbDailyTotals[[#This Row],[Date]],Log[Item],"Eve meds",Log[Qty],1),"x","")</f>
        <v/>
      </c>
      <c r="M405" s="150"/>
    </row>
    <row r="406" spans="2:13" s="75" customFormat="1" ht="25.15" customHeight="1">
      <c r="B406" s="91"/>
      <c r="C406" s="82">
        <f>SUMIFS(Log[Cal],Log[Date],tbDailyTotals[[#This Row],[Date]])</f>
        <v>0</v>
      </c>
      <c r="D406" s="82">
        <f>SUMIFS(Log[Sodium],Log[Date],tbDailyTotals[[#This Row],[Date]])</f>
        <v>0</v>
      </c>
      <c r="E406" s="71">
        <f>SUMIFS(Log[Net Carbs],Log[Date],tbDailyTotals[[#This Row],[Date]])</f>
        <v>0</v>
      </c>
      <c r="F406" s="71">
        <f>SUMIFS(Log[Protein],Log[Date],tbDailyTotals[[#This Row],[Date]])</f>
        <v>0</v>
      </c>
      <c r="G406" s="83">
        <f>SUMIFS(Log[Chol],Log[Date],tbDailyTotals[[#This Row],[Date]])</f>
        <v>0</v>
      </c>
      <c r="H406" s="92"/>
      <c r="I406" s="70" t="str">
        <f>IF(COUNTIFS(Log[Date],tbDailyTotals[[#This Row],[Date]],Log[Item],"Morn meds",Log[Qty],1),"x","")</f>
        <v/>
      </c>
      <c r="J406" s="70" t="str">
        <f>IF(COUNTIFS(Log[Date],tbDailyTotals[[#This Row],[Date]],Log[Item],"Morn insulin",Log[Qty],1),"x","")</f>
        <v/>
      </c>
      <c r="K406" s="70" t="str">
        <f>IF(COUNTIFS(Log[Date],tbDailyTotals[[#This Row],[Date]],Log[Item],"Eve insulin",Log[Qty],1),"x","")</f>
        <v/>
      </c>
      <c r="L406" s="70" t="str">
        <f>IF(COUNTIFS(Log[Date],tbDailyTotals[[#This Row],[Date]],Log[Item],"Eve meds",Log[Qty],1),"x","")</f>
        <v/>
      </c>
      <c r="M406" s="150"/>
    </row>
    <row r="407" spans="2:13" s="75" customFormat="1" ht="25.15" customHeight="1">
      <c r="B407" s="91"/>
      <c r="C407" s="82">
        <f>SUMIFS(Log[Cal],Log[Date],tbDailyTotals[[#This Row],[Date]])</f>
        <v>0</v>
      </c>
      <c r="D407" s="82">
        <f>SUMIFS(Log[Sodium],Log[Date],tbDailyTotals[[#This Row],[Date]])</f>
        <v>0</v>
      </c>
      <c r="E407" s="71">
        <f>SUMIFS(Log[Net Carbs],Log[Date],tbDailyTotals[[#This Row],[Date]])</f>
        <v>0</v>
      </c>
      <c r="F407" s="71">
        <f>SUMIFS(Log[Protein],Log[Date],tbDailyTotals[[#This Row],[Date]])</f>
        <v>0</v>
      </c>
      <c r="G407" s="83">
        <f>SUMIFS(Log[Chol],Log[Date],tbDailyTotals[[#This Row],[Date]])</f>
        <v>0</v>
      </c>
      <c r="H407" s="92"/>
      <c r="I407" s="70" t="str">
        <f>IF(COUNTIFS(Log[Date],tbDailyTotals[[#This Row],[Date]],Log[Item],"Morn meds",Log[Qty],1),"x","")</f>
        <v/>
      </c>
      <c r="J407" s="70" t="str">
        <f>IF(COUNTIFS(Log[Date],tbDailyTotals[[#This Row],[Date]],Log[Item],"Morn insulin",Log[Qty],1),"x","")</f>
        <v/>
      </c>
      <c r="K407" s="70" t="str">
        <f>IF(COUNTIFS(Log[Date],tbDailyTotals[[#This Row],[Date]],Log[Item],"Eve insulin",Log[Qty],1),"x","")</f>
        <v/>
      </c>
      <c r="L407" s="70" t="str">
        <f>IF(COUNTIFS(Log[Date],tbDailyTotals[[#This Row],[Date]],Log[Item],"Eve meds",Log[Qty],1),"x","")</f>
        <v/>
      </c>
      <c r="M407" s="150"/>
    </row>
    <row r="408" spans="2:13" s="75" customFormat="1" ht="25.15" customHeight="1">
      <c r="B408" s="91"/>
      <c r="C408" s="82">
        <f>SUMIFS(Log[Cal],Log[Date],tbDailyTotals[[#This Row],[Date]])</f>
        <v>0</v>
      </c>
      <c r="D408" s="82">
        <f>SUMIFS(Log[Sodium],Log[Date],tbDailyTotals[[#This Row],[Date]])</f>
        <v>0</v>
      </c>
      <c r="E408" s="71">
        <f>SUMIFS(Log[Net Carbs],Log[Date],tbDailyTotals[[#This Row],[Date]])</f>
        <v>0</v>
      </c>
      <c r="F408" s="71">
        <f>SUMIFS(Log[Protein],Log[Date],tbDailyTotals[[#This Row],[Date]])</f>
        <v>0</v>
      </c>
      <c r="G408" s="83">
        <f>SUMIFS(Log[Chol],Log[Date],tbDailyTotals[[#This Row],[Date]])</f>
        <v>0</v>
      </c>
      <c r="H408" s="92"/>
      <c r="I408" s="70" t="str">
        <f>IF(COUNTIFS(Log[Date],tbDailyTotals[[#This Row],[Date]],Log[Item],"Morn meds",Log[Qty],1),"x","")</f>
        <v/>
      </c>
      <c r="J408" s="70" t="str">
        <f>IF(COUNTIFS(Log[Date],tbDailyTotals[[#This Row],[Date]],Log[Item],"Morn insulin",Log[Qty],1),"x","")</f>
        <v/>
      </c>
      <c r="K408" s="70" t="str">
        <f>IF(COUNTIFS(Log[Date],tbDailyTotals[[#This Row],[Date]],Log[Item],"Eve insulin",Log[Qty],1),"x","")</f>
        <v/>
      </c>
      <c r="L408" s="70" t="str">
        <f>IF(COUNTIFS(Log[Date],tbDailyTotals[[#This Row],[Date]],Log[Item],"Eve meds",Log[Qty],1),"x","")</f>
        <v/>
      </c>
      <c r="M408" s="150"/>
    </row>
    <row r="409" spans="2:13" s="75" customFormat="1" ht="25.15" customHeight="1">
      <c r="B409" s="91"/>
      <c r="C409" s="82">
        <f>SUMIFS(Log[Cal],Log[Date],tbDailyTotals[[#This Row],[Date]])</f>
        <v>0</v>
      </c>
      <c r="D409" s="82">
        <f>SUMIFS(Log[Sodium],Log[Date],tbDailyTotals[[#This Row],[Date]])</f>
        <v>0</v>
      </c>
      <c r="E409" s="71">
        <f>SUMIFS(Log[Net Carbs],Log[Date],tbDailyTotals[[#This Row],[Date]])</f>
        <v>0</v>
      </c>
      <c r="F409" s="71">
        <f>SUMIFS(Log[Protein],Log[Date],tbDailyTotals[[#This Row],[Date]])</f>
        <v>0</v>
      </c>
      <c r="G409" s="83">
        <f>SUMIFS(Log[Chol],Log[Date],tbDailyTotals[[#This Row],[Date]])</f>
        <v>0</v>
      </c>
      <c r="H409" s="92"/>
      <c r="I409" s="70" t="str">
        <f>IF(COUNTIFS(Log[Date],tbDailyTotals[[#This Row],[Date]],Log[Item],"Morn meds",Log[Qty],1),"x","")</f>
        <v/>
      </c>
      <c r="J409" s="70" t="str">
        <f>IF(COUNTIFS(Log[Date],tbDailyTotals[[#This Row],[Date]],Log[Item],"Morn insulin",Log[Qty],1),"x","")</f>
        <v/>
      </c>
      <c r="K409" s="70" t="str">
        <f>IF(COUNTIFS(Log[Date],tbDailyTotals[[#This Row],[Date]],Log[Item],"Eve insulin",Log[Qty],1),"x","")</f>
        <v/>
      </c>
      <c r="L409" s="70" t="str">
        <f>IF(COUNTIFS(Log[Date],tbDailyTotals[[#This Row],[Date]],Log[Item],"Eve meds",Log[Qty],1),"x","")</f>
        <v/>
      </c>
      <c r="M409" s="150"/>
    </row>
    <row r="410" spans="2:13" s="75" customFormat="1" ht="25.15" customHeight="1">
      <c r="B410" s="91"/>
      <c r="C410" s="82">
        <f>SUMIFS(Log[Cal],Log[Date],tbDailyTotals[[#This Row],[Date]])</f>
        <v>0</v>
      </c>
      <c r="D410" s="82">
        <f>SUMIFS(Log[Sodium],Log[Date],tbDailyTotals[[#This Row],[Date]])</f>
        <v>0</v>
      </c>
      <c r="E410" s="71">
        <f>SUMIFS(Log[Net Carbs],Log[Date],tbDailyTotals[[#This Row],[Date]])</f>
        <v>0</v>
      </c>
      <c r="F410" s="71">
        <f>SUMIFS(Log[Protein],Log[Date],tbDailyTotals[[#This Row],[Date]])</f>
        <v>0</v>
      </c>
      <c r="G410" s="83">
        <f>SUMIFS(Log[Chol],Log[Date],tbDailyTotals[[#This Row],[Date]])</f>
        <v>0</v>
      </c>
      <c r="H410" s="92"/>
      <c r="I410" s="70" t="str">
        <f>IF(COUNTIFS(Log[Date],tbDailyTotals[[#This Row],[Date]],Log[Item],"Morn meds",Log[Qty],1),"x","")</f>
        <v/>
      </c>
      <c r="J410" s="70" t="str">
        <f>IF(COUNTIFS(Log[Date],tbDailyTotals[[#This Row],[Date]],Log[Item],"Morn insulin",Log[Qty],1),"x","")</f>
        <v/>
      </c>
      <c r="K410" s="70" t="str">
        <f>IF(COUNTIFS(Log[Date],tbDailyTotals[[#This Row],[Date]],Log[Item],"Eve insulin",Log[Qty],1),"x","")</f>
        <v/>
      </c>
      <c r="L410" s="70" t="str">
        <f>IF(COUNTIFS(Log[Date],tbDailyTotals[[#This Row],[Date]],Log[Item],"Eve meds",Log[Qty],1),"x","")</f>
        <v/>
      </c>
      <c r="M410" s="150"/>
    </row>
    <row r="411" spans="2:13" s="75" customFormat="1" ht="25.15" customHeight="1">
      <c r="B411" s="91"/>
      <c r="C411" s="82">
        <f>SUMIFS(Log[Cal],Log[Date],tbDailyTotals[[#This Row],[Date]])</f>
        <v>0</v>
      </c>
      <c r="D411" s="82">
        <f>SUMIFS(Log[Sodium],Log[Date],tbDailyTotals[[#This Row],[Date]])</f>
        <v>0</v>
      </c>
      <c r="E411" s="71">
        <f>SUMIFS(Log[Net Carbs],Log[Date],tbDailyTotals[[#This Row],[Date]])</f>
        <v>0</v>
      </c>
      <c r="F411" s="71">
        <f>SUMIFS(Log[Protein],Log[Date],tbDailyTotals[[#This Row],[Date]])</f>
        <v>0</v>
      </c>
      <c r="G411" s="83">
        <f>SUMIFS(Log[Chol],Log[Date],tbDailyTotals[[#This Row],[Date]])</f>
        <v>0</v>
      </c>
      <c r="H411" s="92"/>
      <c r="I411" s="70" t="str">
        <f>IF(COUNTIFS(Log[Date],tbDailyTotals[[#This Row],[Date]],Log[Item],"Morn meds",Log[Qty],1),"x","")</f>
        <v/>
      </c>
      <c r="J411" s="70" t="str">
        <f>IF(COUNTIFS(Log[Date],tbDailyTotals[[#This Row],[Date]],Log[Item],"Morn insulin",Log[Qty],1),"x","")</f>
        <v/>
      </c>
      <c r="K411" s="70" t="str">
        <f>IF(COUNTIFS(Log[Date],tbDailyTotals[[#This Row],[Date]],Log[Item],"Eve insulin",Log[Qty],1),"x","")</f>
        <v/>
      </c>
      <c r="L411" s="70" t="str">
        <f>IF(COUNTIFS(Log[Date],tbDailyTotals[[#This Row],[Date]],Log[Item],"Eve meds",Log[Qty],1),"x","")</f>
        <v/>
      </c>
      <c r="M411" s="150"/>
    </row>
    <row r="412" spans="2:13" s="75" customFormat="1" ht="25.15" customHeight="1">
      <c r="B412" s="91"/>
      <c r="C412" s="82">
        <f>SUMIFS(Log[Cal],Log[Date],tbDailyTotals[[#This Row],[Date]])</f>
        <v>0</v>
      </c>
      <c r="D412" s="82">
        <f>SUMIFS(Log[Sodium],Log[Date],tbDailyTotals[[#This Row],[Date]])</f>
        <v>0</v>
      </c>
      <c r="E412" s="71">
        <f>SUMIFS(Log[Net Carbs],Log[Date],tbDailyTotals[[#This Row],[Date]])</f>
        <v>0</v>
      </c>
      <c r="F412" s="71">
        <f>SUMIFS(Log[Protein],Log[Date],tbDailyTotals[[#This Row],[Date]])</f>
        <v>0</v>
      </c>
      <c r="G412" s="83">
        <f>SUMIFS(Log[Chol],Log[Date],tbDailyTotals[[#This Row],[Date]])</f>
        <v>0</v>
      </c>
      <c r="H412" s="92"/>
      <c r="I412" s="70" t="str">
        <f>IF(COUNTIFS(Log[Date],tbDailyTotals[[#This Row],[Date]],Log[Item],"Morn meds",Log[Qty],1),"x","")</f>
        <v/>
      </c>
      <c r="J412" s="70" t="str">
        <f>IF(COUNTIFS(Log[Date],tbDailyTotals[[#This Row],[Date]],Log[Item],"Morn insulin",Log[Qty],1),"x","")</f>
        <v/>
      </c>
      <c r="K412" s="70" t="str">
        <f>IF(COUNTIFS(Log[Date],tbDailyTotals[[#This Row],[Date]],Log[Item],"Eve insulin",Log[Qty],1),"x","")</f>
        <v/>
      </c>
      <c r="L412" s="70" t="str">
        <f>IF(COUNTIFS(Log[Date],tbDailyTotals[[#This Row],[Date]],Log[Item],"Eve meds",Log[Qty],1),"x","")</f>
        <v/>
      </c>
      <c r="M412" s="150"/>
    </row>
    <row r="413" spans="2:13" s="75" customFormat="1" ht="25.15" customHeight="1">
      <c r="B413" s="91"/>
      <c r="C413" s="82">
        <f>SUMIFS(Log[Cal],Log[Date],tbDailyTotals[[#This Row],[Date]])</f>
        <v>0</v>
      </c>
      <c r="D413" s="82">
        <f>SUMIFS(Log[Sodium],Log[Date],tbDailyTotals[[#This Row],[Date]])</f>
        <v>0</v>
      </c>
      <c r="E413" s="71">
        <f>SUMIFS(Log[Net Carbs],Log[Date],tbDailyTotals[[#This Row],[Date]])</f>
        <v>0</v>
      </c>
      <c r="F413" s="71">
        <f>SUMIFS(Log[Protein],Log[Date],tbDailyTotals[[#This Row],[Date]])</f>
        <v>0</v>
      </c>
      <c r="G413" s="83">
        <f>SUMIFS(Log[Chol],Log[Date],tbDailyTotals[[#This Row],[Date]])</f>
        <v>0</v>
      </c>
      <c r="H413" s="92"/>
      <c r="I413" s="70" t="str">
        <f>IF(COUNTIFS(Log[Date],tbDailyTotals[[#This Row],[Date]],Log[Item],"Morn meds",Log[Qty],1),"x","")</f>
        <v/>
      </c>
      <c r="J413" s="70" t="str">
        <f>IF(COUNTIFS(Log[Date],tbDailyTotals[[#This Row],[Date]],Log[Item],"Morn insulin",Log[Qty],1),"x","")</f>
        <v/>
      </c>
      <c r="K413" s="70" t="str">
        <f>IF(COUNTIFS(Log[Date],tbDailyTotals[[#This Row],[Date]],Log[Item],"Eve insulin",Log[Qty],1),"x","")</f>
        <v/>
      </c>
      <c r="L413" s="70" t="str">
        <f>IF(COUNTIFS(Log[Date],tbDailyTotals[[#This Row],[Date]],Log[Item],"Eve meds",Log[Qty],1),"x","")</f>
        <v/>
      </c>
      <c r="M413" s="150"/>
    </row>
    <row r="414" spans="2:13" s="75" customFormat="1" ht="25.15" customHeight="1">
      <c r="B414" s="91"/>
      <c r="C414" s="82">
        <f>SUMIFS(Log[Cal],Log[Date],tbDailyTotals[[#This Row],[Date]])</f>
        <v>0</v>
      </c>
      <c r="D414" s="82">
        <f>SUMIFS(Log[Sodium],Log[Date],tbDailyTotals[[#This Row],[Date]])</f>
        <v>0</v>
      </c>
      <c r="E414" s="71">
        <f>SUMIFS(Log[Net Carbs],Log[Date],tbDailyTotals[[#This Row],[Date]])</f>
        <v>0</v>
      </c>
      <c r="F414" s="71">
        <f>SUMIFS(Log[Protein],Log[Date],tbDailyTotals[[#This Row],[Date]])</f>
        <v>0</v>
      </c>
      <c r="G414" s="83">
        <f>SUMIFS(Log[Chol],Log[Date],tbDailyTotals[[#This Row],[Date]])</f>
        <v>0</v>
      </c>
      <c r="H414" s="92"/>
      <c r="I414" s="70" t="str">
        <f>IF(COUNTIFS(Log[Date],tbDailyTotals[[#This Row],[Date]],Log[Item],"Morn meds",Log[Qty],1),"x","")</f>
        <v/>
      </c>
      <c r="J414" s="70" t="str">
        <f>IF(COUNTIFS(Log[Date],tbDailyTotals[[#This Row],[Date]],Log[Item],"Morn insulin",Log[Qty],1),"x","")</f>
        <v/>
      </c>
      <c r="K414" s="70" t="str">
        <f>IF(COUNTIFS(Log[Date],tbDailyTotals[[#This Row],[Date]],Log[Item],"Eve insulin",Log[Qty],1),"x","")</f>
        <v/>
      </c>
      <c r="L414" s="70" t="str">
        <f>IF(COUNTIFS(Log[Date],tbDailyTotals[[#This Row],[Date]],Log[Item],"Eve meds",Log[Qty],1),"x","")</f>
        <v/>
      </c>
      <c r="M414" s="150"/>
    </row>
    <row r="415" spans="2:13" s="75" customFormat="1" ht="25.15" customHeight="1">
      <c r="B415" s="91"/>
      <c r="C415" s="82">
        <f>SUMIFS(Log[Cal],Log[Date],tbDailyTotals[[#This Row],[Date]])</f>
        <v>0</v>
      </c>
      <c r="D415" s="82">
        <f>SUMIFS(Log[Sodium],Log[Date],tbDailyTotals[[#This Row],[Date]])</f>
        <v>0</v>
      </c>
      <c r="E415" s="71">
        <f>SUMIFS(Log[Net Carbs],Log[Date],tbDailyTotals[[#This Row],[Date]])</f>
        <v>0</v>
      </c>
      <c r="F415" s="71">
        <f>SUMIFS(Log[Protein],Log[Date],tbDailyTotals[[#This Row],[Date]])</f>
        <v>0</v>
      </c>
      <c r="G415" s="83">
        <f>SUMIFS(Log[Chol],Log[Date],tbDailyTotals[[#This Row],[Date]])</f>
        <v>0</v>
      </c>
      <c r="H415" s="92"/>
      <c r="I415" s="70" t="str">
        <f>IF(COUNTIFS(Log[Date],tbDailyTotals[[#This Row],[Date]],Log[Item],"Morn meds",Log[Qty],1),"x","")</f>
        <v/>
      </c>
      <c r="J415" s="70" t="str">
        <f>IF(COUNTIFS(Log[Date],tbDailyTotals[[#This Row],[Date]],Log[Item],"Morn insulin",Log[Qty],1),"x","")</f>
        <v/>
      </c>
      <c r="K415" s="70" t="str">
        <f>IF(COUNTIFS(Log[Date],tbDailyTotals[[#This Row],[Date]],Log[Item],"Eve insulin",Log[Qty],1),"x","")</f>
        <v/>
      </c>
      <c r="L415" s="70" t="str">
        <f>IF(COUNTIFS(Log[Date],tbDailyTotals[[#This Row],[Date]],Log[Item],"Eve meds",Log[Qty],1),"x","")</f>
        <v/>
      </c>
      <c r="M415" s="150"/>
    </row>
    <row r="416" spans="2:13" s="75" customFormat="1" ht="25.15" customHeight="1">
      <c r="B416" s="91"/>
      <c r="C416" s="82">
        <f>SUMIFS(Log[Cal],Log[Date],tbDailyTotals[[#This Row],[Date]])</f>
        <v>0</v>
      </c>
      <c r="D416" s="82">
        <f>SUMIFS(Log[Sodium],Log[Date],tbDailyTotals[[#This Row],[Date]])</f>
        <v>0</v>
      </c>
      <c r="E416" s="71">
        <f>SUMIFS(Log[Net Carbs],Log[Date],tbDailyTotals[[#This Row],[Date]])</f>
        <v>0</v>
      </c>
      <c r="F416" s="71">
        <f>SUMIFS(Log[Protein],Log[Date],tbDailyTotals[[#This Row],[Date]])</f>
        <v>0</v>
      </c>
      <c r="G416" s="83">
        <f>SUMIFS(Log[Chol],Log[Date],tbDailyTotals[[#This Row],[Date]])</f>
        <v>0</v>
      </c>
      <c r="H416" s="92"/>
      <c r="I416" s="70" t="str">
        <f>IF(COUNTIFS(Log[Date],tbDailyTotals[[#This Row],[Date]],Log[Item],"Morn meds",Log[Qty],1),"x","")</f>
        <v/>
      </c>
      <c r="J416" s="70" t="str">
        <f>IF(COUNTIFS(Log[Date],tbDailyTotals[[#This Row],[Date]],Log[Item],"Morn insulin",Log[Qty],1),"x","")</f>
        <v/>
      </c>
      <c r="K416" s="70" t="str">
        <f>IF(COUNTIFS(Log[Date],tbDailyTotals[[#This Row],[Date]],Log[Item],"Eve insulin",Log[Qty],1),"x","")</f>
        <v/>
      </c>
      <c r="L416" s="70" t="str">
        <f>IF(COUNTIFS(Log[Date],tbDailyTotals[[#This Row],[Date]],Log[Item],"Eve meds",Log[Qty],1),"x","")</f>
        <v/>
      </c>
      <c r="M416" s="150"/>
    </row>
    <row r="417" spans="2:13" s="75" customFormat="1" ht="25.15" customHeight="1">
      <c r="B417" s="91"/>
      <c r="C417" s="82">
        <f>SUMIFS(Log[Cal],Log[Date],tbDailyTotals[[#This Row],[Date]])</f>
        <v>0</v>
      </c>
      <c r="D417" s="82">
        <f>SUMIFS(Log[Sodium],Log[Date],tbDailyTotals[[#This Row],[Date]])</f>
        <v>0</v>
      </c>
      <c r="E417" s="71">
        <f>SUMIFS(Log[Net Carbs],Log[Date],tbDailyTotals[[#This Row],[Date]])</f>
        <v>0</v>
      </c>
      <c r="F417" s="71">
        <f>SUMIFS(Log[Protein],Log[Date],tbDailyTotals[[#This Row],[Date]])</f>
        <v>0</v>
      </c>
      <c r="G417" s="83">
        <f>SUMIFS(Log[Chol],Log[Date],tbDailyTotals[[#This Row],[Date]])</f>
        <v>0</v>
      </c>
      <c r="H417" s="92"/>
      <c r="I417" s="70" t="str">
        <f>IF(COUNTIFS(Log[Date],tbDailyTotals[[#This Row],[Date]],Log[Item],"Morn meds",Log[Qty],1),"x","")</f>
        <v/>
      </c>
      <c r="J417" s="70" t="str">
        <f>IF(COUNTIFS(Log[Date],tbDailyTotals[[#This Row],[Date]],Log[Item],"Morn insulin",Log[Qty],1),"x","")</f>
        <v/>
      </c>
      <c r="K417" s="70" t="str">
        <f>IF(COUNTIFS(Log[Date],tbDailyTotals[[#This Row],[Date]],Log[Item],"Eve insulin",Log[Qty],1),"x","")</f>
        <v/>
      </c>
      <c r="L417" s="70" t="str">
        <f>IF(COUNTIFS(Log[Date],tbDailyTotals[[#This Row],[Date]],Log[Item],"Eve meds",Log[Qty],1),"x","")</f>
        <v/>
      </c>
      <c r="M417" s="150"/>
    </row>
    <row r="418" spans="2:13" s="75" customFormat="1" ht="25.15" customHeight="1">
      <c r="B418" s="91"/>
      <c r="C418" s="82">
        <f>SUMIFS(Log[Cal],Log[Date],tbDailyTotals[[#This Row],[Date]])</f>
        <v>0</v>
      </c>
      <c r="D418" s="82">
        <f>SUMIFS(Log[Sodium],Log[Date],tbDailyTotals[[#This Row],[Date]])</f>
        <v>0</v>
      </c>
      <c r="E418" s="71">
        <f>SUMIFS(Log[Net Carbs],Log[Date],tbDailyTotals[[#This Row],[Date]])</f>
        <v>0</v>
      </c>
      <c r="F418" s="71">
        <f>SUMIFS(Log[Protein],Log[Date],tbDailyTotals[[#This Row],[Date]])</f>
        <v>0</v>
      </c>
      <c r="G418" s="83">
        <f>SUMIFS(Log[Chol],Log[Date],tbDailyTotals[[#This Row],[Date]])</f>
        <v>0</v>
      </c>
      <c r="H418" s="92"/>
      <c r="I418" s="70" t="str">
        <f>IF(COUNTIFS(Log[Date],tbDailyTotals[[#This Row],[Date]],Log[Item],"Morn meds",Log[Qty],1),"x","")</f>
        <v/>
      </c>
      <c r="J418" s="70" t="str">
        <f>IF(COUNTIFS(Log[Date],tbDailyTotals[[#This Row],[Date]],Log[Item],"Morn insulin",Log[Qty],1),"x","")</f>
        <v/>
      </c>
      <c r="K418" s="70" t="str">
        <f>IF(COUNTIFS(Log[Date],tbDailyTotals[[#This Row],[Date]],Log[Item],"Eve insulin",Log[Qty],1),"x","")</f>
        <v/>
      </c>
      <c r="L418" s="70" t="str">
        <f>IF(COUNTIFS(Log[Date],tbDailyTotals[[#This Row],[Date]],Log[Item],"Eve meds",Log[Qty],1),"x","")</f>
        <v/>
      </c>
      <c r="M418" s="150"/>
    </row>
    <row r="419" spans="2:13" s="75" customFormat="1" ht="25.15" customHeight="1">
      <c r="B419" s="91"/>
      <c r="C419" s="82">
        <f>SUMIFS(Log[Cal],Log[Date],tbDailyTotals[[#This Row],[Date]])</f>
        <v>0</v>
      </c>
      <c r="D419" s="82">
        <f>SUMIFS(Log[Sodium],Log[Date],tbDailyTotals[[#This Row],[Date]])</f>
        <v>0</v>
      </c>
      <c r="E419" s="71">
        <f>SUMIFS(Log[Net Carbs],Log[Date],tbDailyTotals[[#This Row],[Date]])</f>
        <v>0</v>
      </c>
      <c r="F419" s="71">
        <f>SUMIFS(Log[Protein],Log[Date],tbDailyTotals[[#This Row],[Date]])</f>
        <v>0</v>
      </c>
      <c r="G419" s="83">
        <f>SUMIFS(Log[Chol],Log[Date],tbDailyTotals[[#This Row],[Date]])</f>
        <v>0</v>
      </c>
      <c r="H419" s="92"/>
      <c r="I419" s="70" t="str">
        <f>IF(COUNTIFS(Log[Date],tbDailyTotals[[#This Row],[Date]],Log[Item],"Morn meds",Log[Qty],1),"x","")</f>
        <v/>
      </c>
      <c r="J419" s="70" t="str">
        <f>IF(COUNTIFS(Log[Date],tbDailyTotals[[#This Row],[Date]],Log[Item],"Morn insulin",Log[Qty],1),"x","")</f>
        <v/>
      </c>
      <c r="K419" s="70" t="str">
        <f>IF(COUNTIFS(Log[Date],tbDailyTotals[[#This Row],[Date]],Log[Item],"Eve insulin",Log[Qty],1),"x","")</f>
        <v/>
      </c>
      <c r="L419" s="70" t="str">
        <f>IF(COUNTIFS(Log[Date],tbDailyTotals[[#This Row],[Date]],Log[Item],"Eve meds",Log[Qty],1),"x","")</f>
        <v/>
      </c>
      <c r="M419" s="150"/>
    </row>
    <row r="420" spans="2:13" s="75" customFormat="1" ht="25.15" customHeight="1">
      <c r="B420" s="91"/>
      <c r="C420" s="82">
        <f>SUMIFS(Log[Cal],Log[Date],tbDailyTotals[[#This Row],[Date]])</f>
        <v>0</v>
      </c>
      <c r="D420" s="82">
        <f>SUMIFS(Log[Sodium],Log[Date],tbDailyTotals[[#This Row],[Date]])</f>
        <v>0</v>
      </c>
      <c r="E420" s="71">
        <f>SUMIFS(Log[Net Carbs],Log[Date],tbDailyTotals[[#This Row],[Date]])</f>
        <v>0</v>
      </c>
      <c r="F420" s="71">
        <f>SUMIFS(Log[Protein],Log[Date],tbDailyTotals[[#This Row],[Date]])</f>
        <v>0</v>
      </c>
      <c r="G420" s="83">
        <f>SUMIFS(Log[Chol],Log[Date],tbDailyTotals[[#This Row],[Date]])</f>
        <v>0</v>
      </c>
      <c r="H420" s="92"/>
      <c r="I420" s="70" t="str">
        <f>IF(COUNTIFS(Log[Date],tbDailyTotals[[#This Row],[Date]],Log[Item],"Morn meds",Log[Qty],1),"x","")</f>
        <v/>
      </c>
      <c r="J420" s="70" t="str">
        <f>IF(COUNTIFS(Log[Date],tbDailyTotals[[#This Row],[Date]],Log[Item],"Morn insulin",Log[Qty],1),"x","")</f>
        <v/>
      </c>
      <c r="K420" s="70" t="str">
        <f>IF(COUNTIFS(Log[Date],tbDailyTotals[[#This Row],[Date]],Log[Item],"Eve insulin",Log[Qty],1),"x","")</f>
        <v/>
      </c>
      <c r="L420" s="70" t="str">
        <f>IF(COUNTIFS(Log[Date],tbDailyTotals[[#This Row],[Date]],Log[Item],"Eve meds",Log[Qty],1),"x","")</f>
        <v/>
      </c>
      <c r="M420" s="150"/>
    </row>
    <row r="421" spans="2:13" s="75" customFormat="1" ht="25.15" customHeight="1">
      <c r="B421" s="91"/>
      <c r="C421" s="82">
        <f>SUMIFS(Log[Cal],Log[Date],tbDailyTotals[[#This Row],[Date]])</f>
        <v>0</v>
      </c>
      <c r="D421" s="82">
        <f>SUMIFS(Log[Sodium],Log[Date],tbDailyTotals[[#This Row],[Date]])</f>
        <v>0</v>
      </c>
      <c r="E421" s="71">
        <f>SUMIFS(Log[Net Carbs],Log[Date],tbDailyTotals[[#This Row],[Date]])</f>
        <v>0</v>
      </c>
      <c r="F421" s="71">
        <f>SUMIFS(Log[Protein],Log[Date],tbDailyTotals[[#This Row],[Date]])</f>
        <v>0</v>
      </c>
      <c r="G421" s="83">
        <f>SUMIFS(Log[Chol],Log[Date],tbDailyTotals[[#This Row],[Date]])</f>
        <v>0</v>
      </c>
      <c r="H421" s="92"/>
      <c r="I421" s="70" t="str">
        <f>IF(COUNTIFS(Log[Date],tbDailyTotals[[#This Row],[Date]],Log[Item],"Morn meds",Log[Qty],1),"x","")</f>
        <v/>
      </c>
      <c r="J421" s="70" t="str">
        <f>IF(COUNTIFS(Log[Date],tbDailyTotals[[#This Row],[Date]],Log[Item],"Morn insulin",Log[Qty],1),"x","")</f>
        <v/>
      </c>
      <c r="K421" s="70" t="str">
        <f>IF(COUNTIFS(Log[Date],tbDailyTotals[[#This Row],[Date]],Log[Item],"Eve insulin",Log[Qty],1),"x","")</f>
        <v/>
      </c>
      <c r="L421" s="70" t="str">
        <f>IF(COUNTIFS(Log[Date],tbDailyTotals[[#This Row],[Date]],Log[Item],"Eve meds",Log[Qty],1),"x","")</f>
        <v/>
      </c>
      <c r="M421" s="150"/>
    </row>
    <row r="422" spans="2:13" s="75" customFormat="1" ht="25.15" customHeight="1">
      <c r="B422" s="91"/>
      <c r="C422" s="82">
        <f>SUMIFS(Log[Cal],Log[Date],tbDailyTotals[[#This Row],[Date]])</f>
        <v>0</v>
      </c>
      <c r="D422" s="82">
        <f>SUMIFS(Log[Sodium],Log[Date],tbDailyTotals[[#This Row],[Date]])</f>
        <v>0</v>
      </c>
      <c r="E422" s="71">
        <f>SUMIFS(Log[Net Carbs],Log[Date],tbDailyTotals[[#This Row],[Date]])</f>
        <v>0</v>
      </c>
      <c r="F422" s="71">
        <f>SUMIFS(Log[Protein],Log[Date],tbDailyTotals[[#This Row],[Date]])</f>
        <v>0</v>
      </c>
      <c r="G422" s="83">
        <f>SUMIFS(Log[Chol],Log[Date],tbDailyTotals[[#This Row],[Date]])</f>
        <v>0</v>
      </c>
      <c r="H422" s="92"/>
      <c r="I422" s="70" t="str">
        <f>IF(COUNTIFS(Log[Date],tbDailyTotals[[#This Row],[Date]],Log[Item],"Morn meds",Log[Qty],1),"x","")</f>
        <v/>
      </c>
      <c r="J422" s="70" t="str">
        <f>IF(COUNTIFS(Log[Date],tbDailyTotals[[#This Row],[Date]],Log[Item],"Morn insulin",Log[Qty],1),"x","")</f>
        <v/>
      </c>
      <c r="K422" s="70" t="str">
        <f>IF(COUNTIFS(Log[Date],tbDailyTotals[[#This Row],[Date]],Log[Item],"Eve insulin",Log[Qty],1),"x","")</f>
        <v/>
      </c>
      <c r="L422" s="70" t="str">
        <f>IF(COUNTIFS(Log[Date],tbDailyTotals[[#This Row],[Date]],Log[Item],"Eve meds",Log[Qty],1),"x","")</f>
        <v/>
      </c>
      <c r="M422" s="150"/>
    </row>
    <row r="423" spans="2:13" s="75" customFormat="1" ht="25.15" customHeight="1">
      <c r="B423" s="91"/>
      <c r="C423" s="82">
        <f>SUMIFS(Log[Cal],Log[Date],tbDailyTotals[[#This Row],[Date]])</f>
        <v>0</v>
      </c>
      <c r="D423" s="82">
        <f>SUMIFS(Log[Sodium],Log[Date],tbDailyTotals[[#This Row],[Date]])</f>
        <v>0</v>
      </c>
      <c r="E423" s="71">
        <f>SUMIFS(Log[Net Carbs],Log[Date],tbDailyTotals[[#This Row],[Date]])</f>
        <v>0</v>
      </c>
      <c r="F423" s="71">
        <f>SUMIFS(Log[Protein],Log[Date],tbDailyTotals[[#This Row],[Date]])</f>
        <v>0</v>
      </c>
      <c r="G423" s="83">
        <f>SUMIFS(Log[Chol],Log[Date],tbDailyTotals[[#This Row],[Date]])</f>
        <v>0</v>
      </c>
      <c r="H423" s="92"/>
      <c r="I423" s="70" t="str">
        <f>IF(COUNTIFS(Log[Date],tbDailyTotals[[#This Row],[Date]],Log[Item],"Morn meds",Log[Qty],1),"x","")</f>
        <v/>
      </c>
      <c r="J423" s="70" t="str">
        <f>IF(COUNTIFS(Log[Date],tbDailyTotals[[#This Row],[Date]],Log[Item],"Morn insulin",Log[Qty],1),"x","")</f>
        <v/>
      </c>
      <c r="K423" s="70" t="str">
        <f>IF(COUNTIFS(Log[Date],tbDailyTotals[[#This Row],[Date]],Log[Item],"Eve insulin",Log[Qty],1),"x","")</f>
        <v/>
      </c>
      <c r="L423" s="70" t="str">
        <f>IF(COUNTIFS(Log[Date],tbDailyTotals[[#This Row],[Date]],Log[Item],"Eve meds",Log[Qty],1),"x","")</f>
        <v/>
      </c>
      <c r="M423" s="150"/>
    </row>
    <row r="424" spans="2:13" s="75" customFormat="1" ht="25.15" customHeight="1">
      <c r="B424" s="91"/>
      <c r="C424" s="82">
        <f>SUMIFS(Log[Cal],Log[Date],tbDailyTotals[[#This Row],[Date]])</f>
        <v>0</v>
      </c>
      <c r="D424" s="82">
        <f>SUMIFS(Log[Sodium],Log[Date],tbDailyTotals[[#This Row],[Date]])</f>
        <v>0</v>
      </c>
      <c r="E424" s="71">
        <f>SUMIFS(Log[Net Carbs],Log[Date],tbDailyTotals[[#This Row],[Date]])</f>
        <v>0</v>
      </c>
      <c r="F424" s="71">
        <f>SUMIFS(Log[Protein],Log[Date],tbDailyTotals[[#This Row],[Date]])</f>
        <v>0</v>
      </c>
      <c r="G424" s="83">
        <f>SUMIFS(Log[Chol],Log[Date],tbDailyTotals[[#This Row],[Date]])</f>
        <v>0</v>
      </c>
      <c r="H424" s="92"/>
      <c r="I424" s="70" t="str">
        <f>IF(COUNTIFS(Log[Date],tbDailyTotals[[#This Row],[Date]],Log[Item],"Morn meds",Log[Qty],1),"x","")</f>
        <v/>
      </c>
      <c r="J424" s="70" t="str">
        <f>IF(COUNTIFS(Log[Date],tbDailyTotals[[#This Row],[Date]],Log[Item],"Morn insulin",Log[Qty],1),"x","")</f>
        <v/>
      </c>
      <c r="K424" s="70" t="str">
        <f>IF(COUNTIFS(Log[Date],tbDailyTotals[[#This Row],[Date]],Log[Item],"Eve insulin",Log[Qty],1),"x","")</f>
        <v/>
      </c>
      <c r="L424" s="70" t="str">
        <f>IF(COUNTIFS(Log[Date],tbDailyTotals[[#This Row],[Date]],Log[Item],"Eve meds",Log[Qty],1),"x","")</f>
        <v/>
      </c>
      <c r="M424" s="150"/>
    </row>
    <row r="425" spans="2:13" s="75" customFormat="1" ht="25.15" customHeight="1">
      <c r="B425" s="91"/>
      <c r="C425" s="82">
        <f>SUMIFS(Log[Cal],Log[Date],tbDailyTotals[[#This Row],[Date]])</f>
        <v>0</v>
      </c>
      <c r="D425" s="82">
        <f>SUMIFS(Log[Sodium],Log[Date],tbDailyTotals[[#This Row],[Date]])</f>
        <v>0</v>
      </c>
      <c r="E425" s="71">
        <f>SUMIFS(Log[Net Carbs],Log[Date],tbDailyTotals[[#This Row],[Date]])</f>
        <v>0</v>
      </c>
      <c r="F425" s="71">
        <f>SUMIFS(Log[Protein],Log[Date],tbDailyTotals[[#This Row],[Date]])</f>
        <v>0</v>
      </c>
      <c r="G425" s="83">
        <f>SUMIFS(Log[Chol],Log[Date],tbDailyTotals[[#This Row],[Date]])</f>
        <v>0</v>
      </c>
      <c r="H425" s="92"/>
      <c r="I425" s="70" t="str">
        <f>IF(COUNTIFS(Log[Date],tbDailyTotals[[#This Row],[Date]],Log[Item],"Morn meds",Log[Qty],1),"x","")</f>
        <v/>
      </c>
      <c r="J425" s="70" t="str">
        <f>IF(COUNTIFS(Log[Date],tbDailyTotals[[#This Row],[Date]],Log[Item],"Morn insulin",Log[Qty],1),"x","")</f>
        <v/>
      </c>
      <c r="K425" s="70" t="str">
        <f>IF(COUNTIFS(Log[Date],tbDailyTotals[[#This Row],[Date]],Log[Item],"Eve insulin",Log[Qty],1),"x","")</f>
        <v/>
      </c>
      <c r="L425" s="70" t="str">
        <f>IF(COUNTIFS(Log[Date],tbDailyTotals[[#This Row],[Date]],Log[Item],"Eve meds",Log[Qty],1),"x","")</f>
        <v/>
      </c>
      <c r="M425" s="150"/>
    </row>
    <row r="426" spans="2:13" s="75" customFormat="1" ht="25.15" customHeight="1">
      <c r="B426" s="91"/>
      <c r="C426" s="82">
        <f>SUMIFS(Log[Cal],Log[Date],tbDailyTotals[[#This Row],[Date]])</f>
        <v>0</v>
      </c>
      <c r="D426" s="82">
        <f>SUMIFS(Log[Sodium],Log[Date],tbDailyTotals[[#This Row],[Date]])</f>
        <v>0</v>
      </c>
      <c r="E426" s="71">
        <f>SUMIFS(Log[Net Carbs],Log[Date],tbDailyTotals[[#This Row],[Date]])</f>
        <v>0</v>
      </c>
      <c r="F426" s="71">
        <f>SUMIFS(Log[Protein],Log[Date],tbDailyTotals[[#This Row],[Date]])</f>
        <v>0</v>
      </c>
      <c r="G426" s="83">
        <f>SUMIFS(Log[Chol],Log[Date],tbDailyTotals[[#This Row],[Date]])</f>
        <v>0</v>
      </c>
      <c r="H426" s="92"/>
      <c r="I426" s="70" t="str">
        <f>IF(COUNTIFS(Log[Date],tbDailyTotals[[#This Row],[Date]],Log[Item],"Morn meds",Log[Qty],1),"x","")</f>
        <v/>
      </c>
      <c r="J426" s="70" t="str">
        <f>IF(COUNTIFS(Log[Date],tbDailyTotals[[#This Row],[Date]],Log[Item],"Morn insulin",Log[Qty],1),"x","")</f>
        <v/>
      </c>
      <c r="K426" s="70" t="str">
        <f>IF(COUNTIFS(Log[Date],tbDailyTotals[[#This Row],[Date]],Log[Item],"Eve insulin",Log[Qty],1),"x","")</f>
        <v/>
      </c>
      <c r="L426" s="70" t="str">
        <f>IF(COUNTIFS(Log[Date],tbDailyTotals[[#This Row],[Date]],Log[Item],"Eve meds",Log[Qty],1),"x","")</f>
        <v/>
      </c>
      <c r="M426" s="150"/>
    </row>
    <row r="427" spans="2:13" s="75" customFormat="1" ht="25.15" customHeight="1">
      <c r="B427" s="91"/>
      <c r="C427" s="82">
        <f>SUMIFS(Log[Cal],Log[Date],tbDailyTotals[[#This Row],[Date]])</f>
        <v>0</v>
      </c>
      <c r="D427" s="82">
        <f>SUMIFS(Log[Sodium],Log[Date],tbDailyTotals[[#This Row],[Date]])</f>
        <v>0</v>
      </c>
      <c r="E427" s="71">
        <f>SUMIFS(Log[Net Carbs],Log[Date],tbDailyTotals[[#This Row],[Date]])</f>
        <v>0</v>
      </c>
      <c r="F427" s="71">
        <f>SUMIFS(Log[Protein],Log[Date],tbDailyTotals[[#This Row],[Date]])</f>
        <v>0</v>
      </c>
      <c r="G427" s="83">
        <f>SUMIFS(Log[Chol],Log[Date],tbDailyTotals[[#This Row],[Date]])</f>
        <v>0</v>
      </c>
      <c r="H427" s="92"/>
      <c r="I427" s="70" t="str">
        <f>IF(COUNTIFS(Log[Date],tbDailyTotals[[#This Row],[Date]],Log[Item],"Morn meds",Log[Qty],1),"x","")</f>
        <v/>
      </c>
      <c r="J427" s="70" t="str">
        <f>IF(COUNTIFS(Log[Date],tbDailyTotals[[#This Row],[Date]],Log[Item],"Morn insulin",Log[Qty],1),"x","")</f>
        <v/>
      </c>
      <c r="K427" s="70" t="str">
        <f>IF(COUNTIFS(Log[Date],tbDailyTotals[[#This Row],[Date]],Log[Item],"Eve insulin",Log[Qty],1),"x","")</f>
        <v/>
      </c>
      <c r="L427" s="70" t="str">
        <f>IF(COUNTIFS(Log[Date],tbDailyTotals[[#This Row],[Date]],Log[Item],"Eve meds",Log[Qty],1),"x","")</f>
        <v/>
      </c>
      <c r="M427" s="150"/>
    </row>
    <row r="428" spans="2:13" s="75" customFormat="1" ht="25.15" customHeight="1">
      <c r="B428" s="91"/>
      <c r="C428" s="82">
        <f>SUMIFS(Log[Cal],Log[Date],tbDailyTotals[[#This Row],[Date]])</f>
        <v>0</v>
      </c>
      <c r="D428" s="82">
        <f>SUMIFS(Log[Sodium],Log[Date],tbDailyTotals[[#This Row],[Date]])</f>
        <v>0</v>
      </c>
      <c r="E428" s="71">
        <f>SUMIFS(Log[Net Carbs],Log[Date],tbDailyTotals[[#This Row],[Date]])</f>
        <v>0</v>
      </c>
      <c r="F428" s="71">
        <f>SUMIFS(Log[Protein],Log[Date],tbDailyTotals[[#This Row],[Date]])</f>
        <v>0</v>
      </c>
      <c r="G428" s="83">
        <f>SUMIFS(Log[Chol],Log[Date],tbDailyTotals[[#This Row],[Date]])</f>
        <v>0</v>
      </c>
      <c r="H428" s="92"/>
      <c r="I428" s="70" t="str">
        <f>IF(COUNTIFS(Log[Date],tbDailyTotals[[#This Row],[Date]],Log[Item],"Morn meds",Log[Qty],1),"x","")</f>
        <v/>
      </c>
      <c r="J428" s="70" t="str">
        <f>IF(COUNTIFS(Log[Date],tbDailyTotals[[#This Row],[Date]],Log[Item],"Morn insulin",Log[Qty],1),"x","")</f>
        <v/>
      </c>
      <c r="K428" s="70" t="str">
        <f>IF(COUNTIFS(Log[Date],tbDailyTotals[[#This Row],[Date]],Log[Item],"Eve insulin",Log[Qty],1),"x","")</f>
        <v/>
      </c>
      <c r="L428" s="70" t="str">
        <f>IF(COUNTIFS(Log[Date],tbDailyTotals[[#This Row],[Date]],Log[Item],"Eve meds",Log[Qty],1),"x","")</f>
        <v/>
      </c>
      <c r="M428" s="150"/>
    </row>
    <row r="429" spans="2:13" s="75" customFormat="1" ht="25.15" customHeight="1">
      <c r="B429" s="91"/>
      <c r="C429" s="82">
        <f>SUMIFS(Log[Cal],Log[Date],tbDailyTotals[[#This Row],[Date]])</f>
        <v>0</v>
      </c>
      <c r="D429" s="82">
        <f>SUMIFS(Log[Sodium],Log[Date],tbDailyTotals[[#This Row],[Date]])</f>
        <v>0</v>
      </c>
      <c r="E429" s="71">
        <f>SUMIFS(Log[Net Carbs],Log[Date],tbDailyTotals[[#This Row],[Date]])</f>
        <v>0</v>
      </c>
      <c r="F429" s="71">
        <f>SUMIFS(Log[Protein],Log[Date],tbDailyTotals[[#This Row],[Date]])</f>
        <v>0</v>
      </c>
      <c r="G429" s="83">
        <f>SUMIFS(Log[Chol],Log[Date],tbDailyTotals[[#This Row],[Date]])</f>
        <v>0</v>
      </c>
      <c r="H429" s="92"/>
      <c r="I429" s="70" t="str">
        <f>IF(COUNTIFS(Log[Date],tbDailyTotals[[#This Row],[Date]],Log[Item],"Morn meds",Log[Qty],1),"x","")</f>
        <v/>
      </c>
      <c r="J429" s="70" t="str">
        <f>IF(COUNTIFS(Log[Date],tbDailyTotals[[#This Row],[Date]],Log[Item],"Morn insulin",Log[Qty],1),"x","")</f>
        <v/>
      </c>
      <c r="K429" s="70" t="str">
        <f>IF(COUNTIFS(Log[Date],tbDailyTotals[[#This Row],[Date]],Log[Item],"Eve insulin",Log[Qty],1),"x","")</f>
        <v/>
      </c>
      <c r="L429" s="70" t="str">
        <f>IF(COUNTIFS(Log[Date],tbDailyTotals[[#This Row],[Date]],Log[Item],"Eve meds",Log[Qty],1),"x","")</f>
        <v/>
      </c>
      <c r="M429" s="150"/>
    </row>
    <row r="430" spans="2:13" s="75" customFormat="1" ht="25.15" customHeight="1">
      <c r="B430" s="91"/>
      <c r="C430" s="82">
        <f>SUMIFS(Log[Cal],Log[Date],tbDailyTotals[[#This Row],[Date]])</f>
        <v>0</v>
      </c>
      <c r="D430" s="82">
        <f>SUMIFS(Log[Sodium],Log[Date],tbDailyTotals[[#This Row],[Date]])</f>
        <v>0</v>
      </c>
      <c r="E430" s="71">
        <f>SUMIFS(Log[Net Carbs],Log[Date],tbDailyTotals[[#This Row],[Date]])</f>
        <v>0</v>
      </c>
      <c r="F430" s="71">
        <f>SUMIFS(Log[Protein],Log[Date],tbDailyTotals[[#This Row],[Date]])</f>
        <v>0</v>
      </c>
      <c r="G430" s="83">
        <f>SUMIFS(Log[Chol],Log[Date],tbDailyTotals[[#This Row],[Date]])</f>
        <v>0</v>
      </c>
      <c r="H430" s="92"/>
      <c r="I430" s="70" t="str">
        <f>IF(COUNTIFS(Log[Date],tbDailyTotals[[#This Row],[Date]],Log[Item],"Morn meds",Log[Qty],1),"x","")</f>
        <v/>
      </c>
      <c r="J430" s="70" t="str">
        <f>IF(COUNTIFS(Log[Date],tbDailyTotals[[#This Row],[Date]],Log[Item],"Morn insulin",Log[Qty],1),"x","")</f>
        <v/>
      </c>
      <c r="K430" s="70" t="str">
        <f>IF(COUNTIFS(Log[Date],tbDailyTotals[[#This Row],[Date]],Log[Item],"Eve insulin",Log[Qty],1),"x","")</f>
        <v/>
      </c>
      <c r="L430" s="70" t="str">
        <f>IF(COUNTIFS(Log[Date],tbDailyTotals[[#This Row],[Date]],Log[Item],"Eve meds",Log[Qty],1),"x","")</f>
        <v/>
      </c>
      <c r="M430" s="150"/>
    </row>
    <row r="431" spans="2:13" s="75" customFormat="1" ht="25.15" customHeight="1">
      <c r="B431" s="91"/>
      <c r="C431" s="82">
        <f>SUMIFS(Log[Cal],Log[Date],tbDailyTotals[[#This Row],[Date]])</f>
        <v>0</v>
      </c>
      <c r="D431" s="82">
        <f>SUMIFS(Log[Sodium],Log[Date],tbDailyTotals[[#This Row],[Date]])</f>
        <v>0</v>
      </c>
      <c r="E431" s="71">
        <f>SUMIFS(Log[Net Carbs],Log[Date],tbDailyTotals[[#This Row],[Date]])</f>
        <v>0</v>
      </c>
      <c r="F431" s="71">
        <f>SUMIFS(Log[Protein],Log[Date],tbDailyTotals[[#This Row],[Date]])</f>
        <v>0</v>
      </c>
      <c r="G431" s="83">
        <f>SUMIFS(Log[Chol],Log[Date],tbDailyTotals[[#This Row],[Date]])</f>
        <v>0</v>
      </c>
      <c r="H431" s="92"/>
      <c r="I431" s="70" t="str">
        <f>IF(COUNTIFS(Log[Date],tbDailyTotals[[#This Row],[Date]],Log[Item],"Morn meds",Log[Qty],1),"x","")</f>
        <v/>
      </c>
      <c r="J431" s="70" t="str">
        <f>IF(COUNTIFS(Log[Date],tbDailyTotals[[#This Row],[Date]],Log[Item],"Morn insulin",Log[Qty],1),"x","")</f>
        <v/>
      </c>
      <c r="K431" s="70" t="str">
        <f>IF(COUNTIFS(Log[Date],tbDailyTotals[[#This Row],[Date]],Log[Item],"Eve insulin",Log[Qty],1),"x","")</f>
        <v/>
      </c>
      <c r="L431" s="70" t="str">
        <f>IF(COUNTIFS(Log[Date],tbDailyTotals[[#This Row],[Date]],Log[Item],"Eve meds",Log[Qty],1),"x","")</f>
        <v/>
      </c>
      <c r="M431" s="150"/>
    </row>
    <row r="432" spans="2:13" s="75" customFormat="1" ht="25.15" customHeight="1">
      <c r="B432" s="91"/>
      <c r="C432" s="82">
        <f>SUMIFS(Log[Cal],Log[Date],tbDailyTotals[[#This Row],[Date]])</f>
        <v>0</v>
      </c>
      <c r="D432" s="82">
        <f>SUMIFS(Log[Sodium],Log[Date],tbDailyTotals[[#This Row],[Date]])</f>
        <v>0</v>
      </c>
      <c r="E432" s="71">
        <f>SUMIFS(Log[Net Carbs],Log[Date],tbDailyTotals[[#This Row],[Date]])</f>
        <v>0</v>
      </c>
      <c r="F432" s="71">
        <f>SUMIFS(Log[Protein],Log[Date],tbDailyTotals[[#This Row],[Date]])</f>
        <v>0</v>
      </c>
      <c r="G432" s="83">
        <f>SUMIFS(Log[Chol],Log[Date],tbDailyTotals[[#This Row],[Date]])</f>
        <v>0</v>
      </c>
      <c r="H432" s="92"/>
      <c r="I432" s="70" t="str">
        <f>IF(COUNTIFS(Log[Date],tbDailyTotals[[#This Row],[Date]],Log[Item],"Morn meds",Log[Qty],1),"x","")</f>
        <v/>
      </c>
      <c r="J432" s="70" t="str">
        <f>IF(COUNTIFS(Log[Date],tbDailyTotals[[#This Row],[Date]],Log[Item],"Morn insulin",Log[Qty],1),"x","")</f>
        <v/>
      </c>
      <c r="K432" s="70" t="str">
        <f>IF(COUNTIFS(Log[Date],tbDailyTotals[[#This Row],[Date]],Log[Item],"Eve insulin",Log[Qty],1),"x","")</f>
        <v/>
      </c>
      <c r="L432" s="70" t="str">
        <f>IF(COUNTIFS(Log[Date],tbDailyTotals[[#This Row],[Date]],Log[Item],"Eve meds",Log[Qty],1),"x","")</f>
        <v/>
      </c>
      <c r="M432" s="150"/>
    </row>
    <row r="433" spans="2:13" s="75" customFormat="1" ht="25.15" customHeight="1">
      <c r="B433" s="91"/>
      <c r="C433" s="82">
        <f>SUMIFS(Log[Cal],Log[Date],tbDailyTotals[[#This Row],[Date]])</f>
        <v>0</v>
      </c>
      <c r="D433" s="82">
        <f>SUMIFS(Log[Sodium],Log[Date],tbDailyTotals[[#This Row],[Date]])</f>
        <v>0</v>
      </c>
      <c r="E433" s="71">
        <f>SUMIFS(Log[Net Carbs],Log[Date],tbDailyTotals[[#This Row],[Date]])</f>
        <v>0</v>
      </c>
      <c r="F433" s="71">
        <f>SUMIFS(Log[Protein],Log[Date],tbDailyTotals[[#This Row],[Date]])</f>
        <v>0</v>
      </c>
      <c r="G433" s="83">
        <f>SUMIFS(Log[Chol],Log[Date],tbDailyTotals[[#This Row],[Date]])</f>
        <v>0</v>
      </c>
      <c r="H433" s="92"/>
      <c r="I433" s="70" t="str">
        <f>IF(COUNTIFS(Log[Date],tbDailyTotals[[#This Row],[Date]],Log[Item],"Morn meds",Log[Qty],1),"x","")</f>
        <v/>
      </c>
      <c r="J433" s="70" t="str">
        <f>IF(COUNTIFS(Log[Date],tbDailyTotals[[#This Row],[Date]],Log[Item],"Morn insulin",Log[Qty],1),"x","")</f>
        <v/>
      </c>
      <c r="K433" s="70" t="str">
        <f>IF(COUNTIFS(Log[Date],tbDailyTotals[[#This Row],[Date]],Log[Item],"Eve insulin",Log[Qty],1),"x","")</f>
        <v/>
      </c>
      <c r="L433" s="70" t="str">
        <f>IF(COUNTIFS(Log[Date],tbDailyTotals[[#This Row],[Date]],Log[Item],"Eve meds",Log[Qty],1),"x","")</f>
        <v/>
      </c>
      <c r="M433" s="150"/>
    </row>
    <row r="434" spans="2:13" s="75" customFormat="1" ht="25.15" customHeight="1">
      <c r="B434" s="91"/>
      <c r="C434" s="82">
        <f>SUMIFS(Log[Cal],Log[Date],tbDailyTotals[[#This Row],[Date]])</f>
        <v>0</v>
      </c>
      <c r="D434" s="82">
        <f>SUMIFS(Log[Sodium],Log[Date],tbDailyTotals[[#This Row],[Date]])</f>
        <v>0</v>
      </c>
      <c r="E434" s="71">
        <f>SUMIFS(Log[Net Carbs],Log[Date],tbDailyTotals[[#This Row],[Date]])</f>
        <v>0</v>
      </c>
      <c r="F434" s="71">
        <f>SUMIFS(Log[Protein],Log[Date],tbDailyTotals[[#This Row],[Date]])</f>
        <v>0</v>
      </c>
      <c r="G434" s="83">
        <f>SUMIFS(Log[Chol],Log[Date],tbDailyTotals[[#This Row],[Date]])</f>
        <v>0</v>
      </c>
      <c r="H434" s="92"/>
      <c r="I434" s="70" t="str">
        <f>IF(COUNTIFS(Log[Date],tbDailyTotals[[#This Row],[Date]],Log[Item],"Morn meds",Log[Qty],1),"x","")</f>
        <v/>
      </c>
      <c r="J434" s="70" t="str">
        <f>IF(COUNTIFS(Log[Date],tbDailyTotals[[#This Row],[Date]],Log[Item],"Morn insulin",Log[Qty],1),"x","")</f>
        <v/>
      </c>
      <c r="K434" s="70" t="str">
        <f>IF(COUNTIFS(Log[Date],tbDailyTotals[[#This Row],[Date]],Log[Item],"Eve insulin",Log[Qty],1),"x","")</f>
        <v/>
      </c>
      <c r="L434" s="70" t="str">
        <f>IF(COUNTIFS(Log[Date],tbDailyTotals[[#This Row],[Date]],Log[Item],"Eve meds",Log[Qty],1),"x","")</f>
        <v/>
      </c>
      <c r="M434" s="150"/>
    </row>
    <row r="435" spans="2:13" s="75" customFormat="1" ht="25.15" customHeight="1">
      <c r="B435" s="91"/>
      <c r="C435" s="82">
        <f>SUMIFS(Log[Cal],Log[Date],tbDailyTotals[[#This Row],[Date]])</f>
        <v>0</v>
      </c>
      <c r="D435" s="82">
        <f>SUMIFS(Log[Sodium],Log[Date],tbDailyTotals[[#This Row],[Date]])</f>
        <v>0</v>
      </c>
      <c r="E435" s="71">
        <f>SUMIFS(Log[Net Carbs],Log[Date],tbDailyTotals[[#This Row],[Date]])</f>
        <v>0</v>
      </c>
      <c r="F435" s="71">
        <f>SUMIFS(Log[Protein],Log[Date],tbDailyTotals[[#This Row],[Date]])</f>
        <v>0</v>
      </c>
      <c r="G435" s="83">
        <f>SUMIFS(Log[Chol],Log[Date],tbDailyTotals[[#This Row],[Date]])</f>
        <v>0</v>
      </c>
      <c r="H435" s="92"/>
      <c r="I435" s="70" t="str">
        <f>IF(COUNTIFS(Log[Date],tbDailyTotals[[#This Row],[Date]],Log[Item],"Morn meds",Log[Qty],1),"x","")</f>
        <v/>
      </c>
      <c r="J435" s="70" t="str">
        <f>IF(COUNTIFS(Log[Date],tbDailyTotals[[#This Row],[Date]],Log[Item],"Morn insulin",Log[Qty],1),"x","")</f>
        <v/>
      </c>
      <c r="K435" s="70" t="str">
        <f>IF(COUNTIFS(Log[Date],tbDailyTotals[[#This Row],[Date]],Log[Item],"Eve insulin",Log[Qty],1),"x","")</f>
        <v/>
      </c>
      <c r="L435" s="70" t="str">
        <f>IF(COUNTIFS(Log[Date],tbDailyTotals[[#This Row],[Date]],Log[Item],"Eve meds",Log[Qty],1),"x","")</f>
        <v/>
      </c>
      <c r="M435" s="150"/>
    </row>
    <row r="436" spans="2:13" s="75" customFormat="1" ht="25.15" customHeight="1">
      <c r="B436" s="91"/>
      <c r="C436" s="82">
        <f>SUMIFS(Log[Cal],Log[Date],tbDailyTotals[[#This Row],[Date]])</f>
        <v>0</v>
      </c>
      <c r="D436" s="82">
        <f>SUMIFS(Log[Sodium],Log[Date],tbDailyTotals[[#This Row],[Date]])</f>
        <v>0</v>
      </c>
      <c r="E436" s="71">
        <f>SUMIFS(Log[Net Carbs],Log[Date],tbDailyTotals[[#This Row],[Date]])</f>
        <v>0</v>
      </c>
      <c r="F436" s="71">
        <f>SUMIFS(Log[Protein],Log[Date],tbDailyTotals[[#This Row],[Date]])</f>
        <v>0</v>
      </c>
      <c r="G436" s="83">
        <f>SUMIFS(Log[Chol],Log[Date],tbDailyTotals[[#This Row],[Date]])</f>
        <v>0</v>
      </c>
      <c r="H436" s="92"/>
      <c r="I436" s="70" t="str">
        <f>IF(COUNTIFS(Log[Date],tbDailyTotals[[#This Row],[Date]],Log[Item],"Morn meds",Log[Qty],1),"x","")</f>
        <v/>
      </c>
      <c r="J436" s="70" t="str">
        <f>IF(COUNTIFS(Log[Date],tbDailyTotals[[#This Row],[Date]],Log[Item],"Morn insulin",Log[Qty],1),"x","")</f>
        <v/>
      </c>
      <c r="K436" s="70" t="str">
        <f>IF(COUNTIFS(Log[Date],tbDailyTotals[[#This Row],[Date]],Log[Item],"Eve insulin",Log[Qty],1),"x","")</f>
        <v/>
      </c>
      <c r="L436" s="70" t="str">
        <f>IF(COUNTIFS(Log[Date],tbDailyTotals[[#This Row],[Date]],Log[Item],"Eve meds",Log[Qty],1),"x","")</f>
        <v/>
      </c>
      <c r="M436" s="150"/>
    </row>
    <row r="437" spans="2:13" s="75" customFormat="1" ht="25.15" customHeight="1">
      <c r="B437" s="91"/>
      <c r="C437" s="82">
        <f>SUMIFS(Log[Cal],Log[Date],tbDailyTotals[[#This Row],[Date]])</f>
        <v>0</v>
      </c>
      <c r="D437" s="82">
        <f>SUMIFS(Log[Sodium],Log[Date],tbDailyTotals[[#This Row],[Date]])</f>
        <v>0</v>
      </c>
      <c r="E437" s="71">
        <f>SUMIFS(Log[Net Carbs],Log[Date],tbDailyTotals[[#This Row],[Date]])</f>
        <v>0</v>
      </c>
      <c r="F437" s="71">
        <f>SUMIFS(Log[Protein],Log[Date],tbDailyTotals[[#This Row],[Date]])</f>
        <v>0</v>
      </c>
      <c r="G437" s="83">
        <f>SUMIFS(Log[Chol],Log[Date],tbDailyTotals[[#This Row],[Date]])</f>
        <v>0</v>
      </c>
      <c r="H437" s="92"/>
      <c r="I437" s="70" t="str">
        <f>IF(COUNTIFS(Log[Date],tbDailyTotals[[#This Row],[Date]],Log[Item],"Morn meds",Log[Qty],1),"x","")</f>
        <v/>
      </c>
      <c r="J437" s="70" t="str">
        <f>IF(COUNTIFS(Log[Date],tbDailyTotals[[#This Row],[Date]],Log[Item],"Morn insulin",Log[Qty],1),"x","")</f>
        <v/>
      </c>
      <c r="K437" s="70" t="str">
        <f>IF(COUNTIFS(Log[Date],tbDailyTotals[[#This Row],[Date]],Log[Item],"Eve insulin",Log[Qty],1),"x","")</f>
        <v/>
      </c>
      <c r="L437" s="70" t="str">
        <f>IF(COUNTIFS(Log[Date],tbDailyTotals[[#This Row],[Date]],Log[Item],"Eve meds",Log[Qty],1),"x","")</f>
        <v/>
      </c>
      <c r="M437" s="150"/>
    </row>
    <row r="438" spans="2:13" s="75" customFormat="1" ht="25.15" customHeight="1">
      <c r="B438" s="91"/>
      <c r="C438" s="82">
        <f>SUMIFS(Log[Cal],Log[Date],tbDailyTotals[[#This Row],[Date]])</f>
        <v>0</v>
      </c>
      <c r="D438" s="82">
        <f>SUMIFS(Log[Sodium],Log[Date],tbDailyTotals[[#This Row],[Date]])</f>
        <v>0</v>
      </c>
      <c r="E438" s="71">
        <f>SUMIFS(Log[Net Carbs],Log[Date],tbDailyTotals[[#This Row],[Date]])</f>
        <v>0</v>
      </c>
      <c r="F438" s="71">
        <f>SUMIFS(Log[Protein],Log[Date],tbDailyTotals[[#This Row],[Date]])</f>
        <v>0</v>
      </c>
      <c r="G438" s="83">
        <f>SUMIFS(Log[Chol],Log[Date],tbDailyTotals[[#This Row],[Date]])</f>
        <v>0</v>
      </c>
      <c r="H438" s="92"/>
      <c r="I438" s="70" t="str">
        <f>IF(COUNTIFS(Log[Date],tbDailyTotals[[#This Row],[Date]],Log[Item],"Morn meds",Log[Qty],1),"x","")</f>
        <v/>
      </c>
      <c r="J438" s="70" t="str">
        <f>IF(COUNTIFS(Log[Date],tbDailyTotals[[#This Row],[Date]],Log[Item],"Morn insulin",Log[Qty],1),"x","")</f>
        <v/>
      </c>
      <c r="K438" s="70" t="str">
        <f>IF(COUNTIFS(Log[Date],tbDailyTotals[[#This Row],[Date]],Log[Item],"Eve insulin",Log[Qty],1),"x","")</f>
        <v/>
      </c>
      <c r="L438" s="70" t="str">
        <f>IF(COUNTIFS(Log[Date],tbDailyTotals[[#This Row],[Date]],Log[Item],"Eve meds",Log[Qty],1),"x","")</f>
        <v/>
      </c>
      <c r="M438" s="150"/>
    </row>
    <row r="439" spans="2:13" s="75" customFormat="1" ht="25.15" customHeight="1">
      <c r="B439" s="91"/>
      <c r="C439" s="82">
        <f>SUMIFS(Log[Cal],Log[Date],tbDailyTotals[[#This Row],[Date]])</f>
        <v>0</v>
      </c>
      <c r="D439" s="82">
        <f>SUMIFS(Log[Sodium],Log[Date],tbDailyTotals[[#This Row],[Date]])</f>
        <v>0</v>
      </c>
      <c r="E439" s="71">
        <f>SUMIFS(Log[Net Carbs],Log[Date],tbDailyTotals[[#This Row],[Date]])</f>
        <v>0</v>
      </c>
      <c r="F439" s="71">
        <f>SUMIFS(Log[Protein],Log[Date],tbDailyTotals[[#This Row],[Date]])</f>
        <v>0</v>
      </c>
      <c r="G439" s="83">
        <f>SUMIFS(Log[Chol],Log[Date],tbDailyTotals[[#This Row],[Date]])</f>
        <v>0</v>
      </c>
      <c r="H439" s="92"/>
      <c r="I439" s="70" t="str">
        <f>IF(COUNTIFS(Log[Date],tbDailyTotals[[#This Row],[Date]],Log[Item],"Morn meds",Log[Qty],1),"x","")</f>
        <v/>
      </c>
      <c r="J439" s="70" t="str">
        <f>IF(COUNTIFS(Log[Date],tbDailyTotals[[#This Row],[Date]],Log[Item],"Morn insulin",Log[Qty],1),"x","")</f>
        <v/>
      </c>
      <c r="K439" s="70" t="str">
        <f>IF(COUNTIFS(Log[Date],tbDailyTotals[[#This Row],[Date]],Log[Item],"Eve insulin",Log[Qty],1),"x","")</f>
        <v/>
      </c>
      <c r="L439" s="70" t="str">
        <f>IF(COUNTIFS(Log[Date],tbDailyTotals[[#This Row],[Date]],Log[Item],"Eve meds",Log[Qty],1),"x","")</f>
        <v/>
      </c>
      <c r="M439" s="150"/>
    </row>
    <row r="440" spans="2:13" s="75" customFormat="1" ht="25.15" customHeight="1">
      <c r="B440" s="91"/>
      <c r="C440" s="82">
        <f>SUMIFS(Log[Cal],Log[Date],tbDailyTotals[[#This Row],[Date]])</f>
        <v>0</v>
      </c>
      <c r="D440" s="82">
        <f>SUMIFS(Log[Sodium],Log[Date],tbDailyTotals[[#This Row],[Date]])</f>
        <v>0</v>
      </c>
      <c r="E440" s="71">
        <f>SUMIFS(Log[Net Carbs],Log[Date],tbDailyTotals[[#This Row],[Date]])</f>
        <v>0</v>
      </c>
      <c r="F440" s="71">
        <f>SUMIFS(Log[Protein],Log[Date],tbDailyTotals[[#This Row],[Date]])</f>
        <v>0</v>
      </c>
      <c r="G440" s="83">
        <f>SUMIFS(Log[Chol],Log[Date],tbDailyTotals[[#This Row],[Date]])</f>
        <v>0</v>
      </c>
      <c r="H440" s="92"/>
      <c r="I440" s="70" t="str">
        <f>IF(COUNTIFS(Log[Date],tbDailyTotals[[#This Row],[Date]],Log[Item],"Morn meds",Log[Qty],1),"x","")</f>
        <v/>
      </c>
      <c r="J440" s="70" t="str">
        <f>IF(COUNTIFS(Log[Date],tbDailyTotals[[#This Row],[Date]],Log[Item],"Morn insulin",Log[Qty],1),"x","")</f>
        <v/>
      </c>
      <c r="K440" s="70" t="str">
        <f>IF(COUNTIFS(Log[Date],tbDailyTotals[[#This Row],[Date]],Log[Item],"Eve insulin",Log[Qty],1),"x","")</f>
        <v/>
      </c>
      <c r="L440" s="70" t="str">
        <f>IF(COUNTIFS(Log[Date],tbDailyTotals[[#This Row],[Date]],Log[Item],"Eve meds",Log[Qty],1),"x","")</f>
        <v/>
      </c>
      <c r="M440" s="150"/>
    </row>
    <row r="441" spans="2:13" ht="14.25">
      <c r="C441" s="74"/>
      <c r="F441" s="73"/>
      <c r="G441" s="73"/>
    </row>
    <row r="442" spans="2:13" ht="14.25">
      <c r="C442" s="74"/>
      <c r="F442" s="73"/>
      <c r="G442" s="73"/>
    </row>
    <row r="443" spans="2:13" ht="14.25">
      <c r="C443" s="74"/>
      <c r="F443" s="73"/>
      <c r="G443" s="73"/>
    </row>
    <row r="444" spans="2:13" ht="14.25">
      <c r="C444" s="74"/>
      <c r="F444" s="73"/>
      <c r="G444" s="73"/>
    </row>
    <row r="445" spans="2:13" ht="14.25">
      <c r="C445" s="74"/>
      <c r="F445" s="73"/>
      <c r="G445" s="73"/>
    </row>
    <row r="446" spans="2:13" ht="14.25">
      <c r="C446" s="74"/>
      <c r="F446" s="73"/>
      <c r="G446" s="73"/>
    </row>
    <row r="447" spans="2:13" ht="14.25">
      <c r="C447" s="74"/>
      <c r="F447" s="73"/>
      <c r="G447" s="73"/>
    </row>
    <row r="448" spans="2:13" ht="14.25">
      <c r="C448" s="74"/>
      <c r="F448" s="73"/>
      <c r="G448" s="73"/>
    </row>
    <row r="449" spans="3:7" ht="14.25">
      <c r="C449" s="74"/>
      <c r="F449" s="73"/>
      <c r="G449" s="73"/>
    </row>
    <row r="450" spans="3:7" ht="14.25">
      <c r="C450" s="74"/>
      <c r="F450" s="73"/>
      <c r="G450" s="73"/>
    </row>
    <row r="451" spans="3:7" ht="14.25">
      <c r="C451" s="74"/>
      <c r="F451" s="73"/>
      <c r="G451" s="73"/>
    </row>
    <row r="452" spans="3:7" ht="14.25">
      <c r="C452" s="74"/>
      <c r="F452" s="73"/>
      <c r="G452" s="73"/>
    </row>
    <row r="453" spans="3:7" ht="14.25">
      <c r="C453" s="74"/>
      <c r="F453" s="73"/>
      <c r="G453" s="73"/>
    </row>
    <row r="454" spans="3:7" ht="14.25">
      <c r="C454" s="74"/>
      <c r="F454" s="73"/>
      <c r="G454" s="73"/>
    </row>
    <row r="455" spans="3:7" ht="14.25">
      <c r="C455" s="74"/>
      <c r="F455" s="73"/>
      <c r="G455" s="73"/>
    </row>
    <row r="456" spans="3:7" ht="14.25">
      <c r="C456" s="74"/>
      <c r="F456" s="73"/>
      <c r="G456" s="73"/>
    </row>
    <row r="457" spans="3:7" ht="14.25">
      <c r="C457" s="74"/>
      <c r="F457" s="73"/>
      <c r="G457" s="73"/>
    </row>
    <row r="458" spans="3:7" ht="14.25">
      <c r="C458" s="74"/>
      <c r="F458" s="73"/>
      <c r="G458" s="73"/>
    </row>
    <row r="459" spans="3:7" ht="14.25">
      <c r="C459" s="74"/>
      <c r="F459" s="73"/>
      <c r="G459" s="73"/>
    </row>
    <row r="460" spans="3:7" ht="14.25">
      <c r="C460" s="74"/>
      <c r="F460" s="73"/>
      <c r="G460" s="73"/>
    </row>
    <row r="461" spans="3:7" ht="14.25">
      <c r="C461" s="74"/>
      <c r="F461" s="73"/>
      <c r="G461" s="73"/>
    </row>
    <row r="462" spans="3:7" ht="14.25">
      <c r="C462" s="74"/>
      <c r="F462" s="73"/>
      <c r="G462" s="73"/>
    </row>
    <row r="463" spans="3:7" ht="14.25">
      <c r="C463" s="74"/>
      <c r="F463" s="73"/>
      <c r="G463" s="73"/>
    </row>
    <row r="464" spans="3:7" ht="14.25">
      <c r="C464" s="74"/>
      <c r="F464" s="73"/>
      <c r="G464" s="73"/>
    </row>
    <row r="465" spans="3:7" ht="14.25">
      <c r="C465" s="74"/>
      <c r="F465" s="73"/>
      <c r="G465" s="73"/>
    </row>
    <row r="466" spans="3:7" ht="14.25">
      <c r="C466" s="74"/>
      <c r="F466" s="73"/>
      <c r="G466" s="73"/>
    </row>
    <row r="467" spans="3:7" ht="14.25">
      <c r="C467" s="74"/>
      <c r="F467" s="73"/>
      <c r="G467" s="73"/>
    </row>
    <row r="468" spans="3:7" ht="14.25">
      <c r="C468" s="74"/>
      <c r="F468" s="73"/>
      <c r="G468" s="73"/>
    </row>
    <row r="469" spans="3:7" ht="14.25">
      <c r="C469" s="74"/>
      <c r="F469" s="73"/>
      <c r="G469" s="73"/>
    </row>
    <row r="470" spans="3:7" ht="14.25">
      <c r="C470" s="74"/>
      <c r="F470" s="73"/>
      <c r="G470" s="73"/>
    </row>
    <row r="471" spans="3:7" ht="14.25">
      <c r="C471" s="74"/>
      <c r="F471" s="73"/>
      <c r="G471" s="73"/>
    </row>
    <row r="472" spans="3:7" ht="14.25">
      <c r="C472" s="74"/>
      <c r="F472" s="73"/>
      <c r="G472" s="73"/>
    </row>
    <row r="473" spans="3:7" ht="14.25">
      <c r="C473" s="74"/>
      <c r="F473" s="73"/>
      <c r="G473" s="73"/>
    </row>
    <row r="474" spans="3:7" ht="14.25">
      <c r="C474" s="74"/>
      <c r="F474" s="73"/>
      <c r="G474" s="73"/>
    </row>
    <row r="475" spans="3:7" ht="14.25">
      <c r="C475" s="74"/>
      <c r="F475" s="73"/>
      <c r="G475" s="73"/>
    </row>
    <row r="476" spans="3:7" ht="14.25">
      <c r="C476" s="74"/>
      <c r="F476" s="73"/>
      <c r="G476" s="73"/>
    </row>
    <row r="477" spans="3:7" ht="14.25">
      <c r="C477" s="74"/>
      <c r="F477" s="73"/>
      <c r="G477" s="73"/>
    </row>
    <row r="478" spans="3:7" ht="14.25">
      <c r="C478" s="74"/>
      <c r="F478" s="73"/>
      <c r="G478" s="73"/>
    </row>
    <row r="479" spans="3:7" ht="14.25">
      <c r="C479" s="74"/>
      <c r="F479" s="73"/>
      <c r="G479" s="73"/>
    </row>
    <row r="480" spans="3:7" ht="14.25">
      <c r="C480" s="74"/>
      <c r="F480" s="73"/>
      <c r="G480" s="73"/>
    </row>
    <row r="481" spans="3:7" ht="14.25">
      <c r="C481" s="74"/>
      <c r="F481" s="73"/>
      <c r="G481" s="73"/>
    </row>
    <row r="482" spans="3:7" ht="14.25">
      <c r="C482" s="74"/>
      <c r="F482" s="73"/>
      <c r="G482" s="73"/>
    </row>
    <row r="483" spans="3:7" ht="14.25">
      <c r="C483" s="74"/>
      <c r="F483" s="73"/>
      <c r="G483" s="73"/>
    </row>
    <row r="484" spans="3:7" ht="14.25">
      <c r="C484" s="74"/>
      <c r="F484" s="73"/>
      <c r="G484" s="73"/>
    </row>
    <row r="485" spans="3:7" ht="14.25">
      <c r="C485" s="74"/>
      <c r="F485" s="73"/>
      <c r="G485" s="73"/>
    </row>
    <row r="486" spans="3:7" ht="14.25">
      <c r="C486" s="74"/>
      <c r="F486" s="73"/>
      <c r="G486" s="73"/>
    </row>
    <row r="487" spans="3:7" ht="14.25">
      <c r="C487" s="74"/>
      <c r="F487" s="73"/>
      <c r="G487" s="73"/>
    </row>
    <row r="488" spans="3:7" ht="14.25">
      <c r="C488" s="74"/>
      <c r="F488" s="73"/>
      <c r="G488" s="73"/>
    </row>
    <row r="489" spans="3:7" ht="14.25">
      <c r="C489" s="74"/>
      <c r="F489" s="73"/>
      <c r="G489" s="73"/>
    </row>
    <row r="490" spans="3:7" ht="14.25">
      <c r="C490" s="74"/>
      <c r="F490" s="73"/>
      <c r="G490" s="73"/>
    </row>
    <row r="491" spans="3:7" ht="14.25">
      <c r="C491" s="74"/>
      <c r="F491" s="73"/>
      <c r="G491" s="73"/>
    </row>
    <row r="492" spans="3:7" ht="14.25">
      <c r="C492" s="74"/>
      <c r="F492" s="73"/>
      <c r="G492" s="73"/>
    </row>
    <row r="493" spans="3:7" ht="14.25">
      <c r="C493" s="74"/>
      <c r="F493" s="73"/>
      <c r="G493" s="73"/>
    </row>
    <row r="494" spans="3:7" ht="14.25">
      <c r="C494" s="74"/>
      <c r="F494" s="73"/>
      <c r="G494" s="73"/>
    </row>
    <row r="495" spans="3:7" ht="14.25">
      <c r="C495" s="74"/>
      <c r="F495" s="73"/>
      <c r="G495" s="73"/>
    </row>
    <row r="496" spans="3:7" ht="14.25">
      <c r="C496" s="74"/>
      <c r="F496" s="73"/>
      <c r="G496" s="73"/>
    </row>
    <row r="497" spans="3:7" ht="14.25">
      <c r="C497" s="74"/>
      <c r="F497" s="73"/>
      <c r="G497" s="73"/>
    </row>
    <row r="498" spans="3:7" ht="14.25">
      <c r="C498" s="74"/>
      <c r="F498" s="73"/>
      <c r="G498" s="73"/>
    </row>
    <row r="499" spans="3:7" ht="14.25">
      <c r="C499" s="74"/>
      <c r="F499" s="73"/>
      <c r="G499" s="73"/>
    </row>
    <row r="500" spans="3:7" ht="14.25">
      <c r="C500" s="74"/>
      <c r="F500" s="73"/>
      <c r="G500" s="73"/>
    </row>
    <row r="501" spans="3:7" ht="14.25">
      <c r="C501" s="74"/>
      <c r="F501" s="73"/>
      <c r="G501" s="73"/>
    </row>
    <row r="502" spans="3:7" ht="14.25">
      <c r="C502" s="74"/>
      <c r="F502" s="73"/>
      <c r="G502" s="73"/>
    </row>
    <row r="503" spans="3:7" ht="14.25">
      <c r="C503" s="74"/>
      <c r="F503" s="73"/>
      <c r="G503" s="73"/>
    </row>
    <row r="504" spans="3:7" ht="14.25">
      <c r="C504" s="74"/>
      <c r="F504" s="73"/>
      <c r="G504" s="73"/>
    </row>
    <row r="505" spans="3:7" ht="14.25">
      <c r="C505" s="74"/>
      <c r="F505" s="73"/>
      <c r="G505" s="73"/>
    </row>
    <row r="506" spans="3:7" ht="14.25">
      <c r="C506" s="74"/>
      <c r="F506" s="73"/>
      <c r="G506" s="73"/>
    </row>
    <row r="507" spans="3:7" ht="14.25">
      <c r="C507" s="74"/>
      <c r="F507" s="73"/>
      <c r="G507" s="73"/>
    </row>
    <row r="508" spans="3:7" ht="14.25">
      <c r="C508" s="74"/>
      <c r="F508" s="73"/>
      <c r="G508" s="73"/>
    </row>
    <row r="509" spans="3:7" ht="14.25">
      <c r="C509" s="74"/>
      <c r="F509" s="73"/>
      <c r="G509" s="73"/>
    </row>
    <row r="510" spans="3:7" ht="14.25">
      <c r="C510" s="74"/>
      <c r="F510" s="73"/>
      <c r="G510" s="73"/>
    </row>
    <row r="511" spans="3:7" ht="14.25">
      <c r="C511" s="74"/>
      <c r="F511" s="73"/>
      <c r="G511" s="73"/>
    </row>
    <row r="512" spans="3:7" ht="14.25">
      <c r="C512" s="74"/>
      <c r="F512" s="73"/>
      <c r="G512" s="73"/>
    </row>
    <row r="513" spans="3:7" ht="14.25">
      <c r="C513" s="74"/>
      <c r="F513" s="73"/>
      <c r="G513" s="73"/>
    </row>
    <row r="514" spans="3:7" ht="14.25">
      <c r="C514" s="74"/>
      <c r="F514" s="73"/>
      <c r="G514" s="73"/>
    </row>
    <row r="515" spans="3:7" ht="14.25">
      <c r="C515" s="74"/>
      <c r="F515" s="73"/>
      <c r="G515" s="73"/>
    </row>
    <row r="516" spans="3:7" ht="14.25">
      <c r="C516" s="74"/>
      <c r="F516" s="73"/>
      <c r="G516" s="73"/>
    </row>
    <row r="517" spans="3:7" ht="14.25">
      <c r="C517" s="74"/>
      <c r="F517" s="73"/>
      <c r="G517" s="73"/>
    </row>
    <row r="518" spans="3:7" ht="14.25">
      <c r="C518" s="74"/>
      <c r="F518" s="73"/>
      <c r="G518" s="73"/>
    </row>
    <row r="519" spans="3:7" ht="14.25">
      <c r="C519" s="74"/>
      <c r="F519" s="73"/>
      <c r="G519" s="73"/>
    </row>
    <row r="520" spans="3:7" ht="14.25">
      <c r="C520" s="74"/>
      <c r="F520" s="73"/>
      <c r="G520" s="73"/>
    </row>
    <row r="521" spans="3:7" ht="14.25">
      <c r="C521" s="74"/>
      <c r="F521" s="73"/>
      <c r="G521" s="73"/>
    </row>
    <row r="522" spans="3:7" ht="14.25">
      <c r="C522" s="74"/>
      <c r="F522" s="73"/>
      <c r="G522" s="73"/>
    </row>
    <row r="523" spans="3:7" ht="14.25">
      <c r="C523" s="74"/>
      <c r="F523" s="73"/>
      <c r="G523" s="73"/>
    </row>
    <row r="524" spans="3:7" ht="14.25">
      <c r="C524" s="74"/>
      <c r="F524" s="73"/>
      <c r="G524" s="73"/>
    </row>
    <row r="525" spans="3:7" ht="14.25">
      <c r="C525" s="74"/>
      <c r="F525" s="73"/>
      <c r="G525" s="73"/>
    </row>
    <row r="526" spans="3:7" ht="14.25">
      <c r="C526" s="74"/>
      <c r="F526" s="73"/>
      <c r="G526" s="73"/>
    </row>
    <row r="527" spans="3:7" ht="14.25">
      <c r="C527" s="74"/>
      <c r="F527" s="73"/>
      <c r="G527" s="73"/>
    </row>
    <row r="528" spans="3:7" ht="14.25">
      <c r="C528" s="74"/>
      <c r="F528" s="73"/>
      <c r="G528" s="73"/>
    </row>
    <row r="529" spans="3:7" ht="14.25">
      <c r="C529" s="74"/>
      <c r="F529" s="73"/>
      <c r="G529" s="73"/>
    </row>
    <row r="530" spans="3:7" ht="14.25">
      <c r="C530" s="74"/>
      <c r="F530" s="73"/>
      <c r="G530" s="73"/>
    </row>
    <row r="531" spans="3:7" ht="14.25">
      <c r="C531" s="74"/>
      <c r="F531" s="73"/>
      <c r="G531" s="73"/>
    </row>
    <row r="532" spans="3:7" ht="14.25">
      <c r="C532" s="74"/>
      <c r="F532" s="73"/>
      <c r="G532" s="73"/>
    </row>
    <row r="533" spans="3:7" ht="14.25">
      <c r="C533" s="74"/>
      <c r="F533" s="73"/>
      <c r="G533" s="73"/>
    </row>
    <row r="534" spans="3:7" ht="14.25">
      <c r="C534" s="74"/>
      <c r="F534" s="73"/>
      <c r="G534" s="73"/>
    </row>
    <row r="535" spans="3:7" ht="14.25">
      <c r="C535" s="74"/>
      <c r="F535" s="73"/>
      <c r="G535" s="73"/>
    </row>
    <row r="536" spans="3:7" ht="14.25">
      <c r="C536" s="74"/>
      <c r="F536" s="73"/>
      <c r="G536" s="73"/>
    </row>
    <row r="537" spans="3:7" ht="14.25">
      <c r="C537" s="74"/>
      <c r="F537" s="73"/>
      <c r="G537" s="73"/>
    </row>
    <row r="538" spans="3:7" ht="14.25">
      <c r="C538" s="74"/>
      <c r="F538" s="73"/>
      <c r="G538" s="73"/>
    </row>
    <row r="539" spans="3:7" ht="14.25">
      <c r="C539" s="74"/>
      <c r="F539" s="73"/>
      <c r="G539" s="73"/>
    </row>
    <row r="540" spans="3:7" ht="14.25">
      <c r="C540" s="74"/>
      <c r="F540" s="73"/>
      <c r="G540" s="73"/>
    </row>
    <row r="541" spans="3:7" ht="14.25">
      <c r="C541" s="74"/>
      <c r="F541" s="73"/>
      <c r="G541" s="73"/>
    </row>
    <row r="542" spans="3:7" ht="14.25">
      <c r="C542" s="74"/>
      <c r="F542" s="73"/>
      <c r="G542" s="73"/>
    </row>
    <row r="543" spans="3:7" ht="14.25">
      <c r="C543" s="74"/>
      <c r="F543" s="73"/>
      <c r="G543" s="73"/>
    </row>
    <row r="544" spans="3:7" ht="14.25">
      <c r="C544" s="74"/>
      <c r="F544" s="73"/>
      <c r="G544" s="73"/>
    </row>
    <row r="545" spans="3:7" ht="14.25">
      <c r="C545" s="74"/>
      <c r="F545" s="73"/>
      <c r="G545" s="73"/>
    </row>
    <row r="546" spans="3:7" ht="14.25">
      <c r="C546" s="74"/>
      <c r="F546" s="73"/>
      <c r="G546" s="73"/>
    </row>
    <row r="547" spans="3:7" ht="14.25">
      <c r="C547" s="74"/>
      <c r="F547" s="73"/>
      <c r="G547" s="73"/>
    </row>
    <row r="548" spans="3:7" ht="14.25">
      <c r="C548" s="74"/>
      <c r="F548" s="73"/>
      <c r="G548" s="73"/>
    </row>
    <row r="549" spans="3:7" ht="14.25">
      <c r="C549" s="74"/>
      <c r="F549" s="73"/>
      <c r="G549" s="73"/>
    </row>
    <row r="550" spans="3:7" ht="14.25">
      <c r="C550" s="74"/>
      <c r="F550" s="73"/>
      <c r="G550" s="73"/>
    </row>
    <row r="551" spans="3:7" ht="14.25">
      <c r="C551" s="74"/>
      <c r="F551" s="73"/>
      <c r="G551" s="73"/>
    </row>
    <row r="552" spans="3:7" ht="14.25">
      <c r="C552" s="74"/>
      <c r="F552" s="73"/>
      <c r="G552" s="73"/>
    </row>
    <row r="553" spans="3:7" ht="14.25">
      <c r="C553" s="74"/>
      <c r="F553" s="73"/>
      <c r="G553" s="73"/>
    </row>
    <row r="554" spans="3:7" ht="14.25">
      <c r="C554" s="74"/>
      <c r="F554" s="73"/>
      <c r="G554" s="73"/>
    </row>
    <row r="555" spans="3:7" ht="14.25">
      <c r="C555" s="74"/>
      <c r="F555" s="73"/>
      <c r="G555" s="73"/>
    </row>
    <row r="556" spans="3:7" ht="14.25">
      <c r="C556" s="74"/>
      <c r="F556" s="73"/>
      <c r="G556" s="73"/>
    </row>
    <row r="557" spans="3:7" ht="14.25">
      <c r="C557" s="74"/>
      <c r="F557" s="73"/>
      <c r="G557" s="73"/>
    </row>
    <row r="558" spans="3:7" ht="14.25">
      <c r="C558" s="74"/>
      <c r="F558" s="73"/>
      <c r="G558" s="73"/>
    </row>
    <row r="559" spans="3:7" ht="14.25">
      <c r="C559" s="74"/>
      <c r="F559" s="73"/>
      <c r="G559" s="73"/>
    </row>
    <row r="560" spans="3:7" ht="14.25">
      <c r="C560" s="74"/>
      <c r="F560" s="73"/>
      <c r="G560" s="73"/>
    </row>
    <row r="561" spans="3:7" ht="14.25">
      <c r="C561" s="74"/>
      <c r="F561" s="73"/>
      <c r="G561" s="73"/>
    </row>
    <row r="562" spans="3:7" ht="14.25">
      <c r="C562" s="74"/>
      <c r="F562" s="73"/>
      <c r="G562" s="73"/>
    </row>
    <row r="563" spans="3:7" ht="14.25">
      <c r="C563" s="74"/>
      <c r="F563" s="73"/>
      <c r="G563" s="73"/>
    </row>
    <row r="564" spans="3:7" ht="14.25">
      <c r="C564" s="74"/>
      <c r="F564" s="73"/>
      <c r="G564" s="73"/>
    </row>
    <row r="565" spans="3:7" ht="14.25">
      <c r="C565" s="74"/>
      <c r="F565" s="73"/>
      <c r="G565" s="73"/>
    </row>
    <row r="566" spans="3:7" ht="14.25">
      <c r="C566" s="74"/>
      <c r="F566" s="73"/>
      <c r="G566" s="73"/>
    </row>
    <row r="567" spans="3:7" ht="14.25">
      <c r="C567" s="74"/>
      <c r="F567" s="73"/>
      <c r="G567" s="73"/>
    </row>
    <row r="568" spans="3:7" ht="14.25">
      <c r="C568" s="74"/>
      <c r="F568" s="73"/>
      <c r="G568" s="73"/>
    </row>
    <row r="569" spans="3:7" ht="14.25">
      <c r="C569" s="74"/>
      <c r="F569" s="73"/>
      <c r="G569" s="73"/>
    </row>
    <row r="570" spans="3:7" ht="14.25">
      <c r="C570" s="74"/>
      <c r="F570" s="73"/>
      <c r="G570" s="73"/>
    </row>
    <row r="571" spans="3:7" ht="14.25">
      <c r="C571" s="74"/>
      <c r="F571" s="73"/>
      <c r="G571" s="73"/>
    </row>
    <row r="572" spans="3:7" ht="14.25">
      <c r="C572" s="74"/>
      <c r="F572" s="73"/>
      <c r="G572" s="73"/>
    </row>
    <row r="573" spans="3:7" ht="14.25">
      <c r="C573" s="74"/>
      <c r="F573" s="73"/>
      <c r="G573" s="73"/>
    </row>
    <row r="574" spans="3:7" ht="14.25">
      <c r="C574" s="74"/>
      <c r="F574" s="73"/>
      <c r="G574" s="73"/>
    </row>
    <row r="575" spans="3:7" ht="14.25">
      <c r="C575" s="74"/>
      <c r="F575" s="73"/>
      <c r="G575" s="73"/>
    </row>
    <row r="576" spans="3:7" ht="14.25">
      <c r="C576" s="74"/>
      <c r="F576" s="73"/>
      <c r="G576" s="73"/>
    </row>
    <row r="577" spans="3:7" ht="14.25">
      <c r="C577" s="74"/>
      <c r="F577" s="73"/>
      <c r="G577" s="73"/>
    </row>
    <row r="578" spans="3:7" ht="14.25">
      <c r="C578" s="74"/>
      <c r="F578" s="73"/>
      <c r="G578" s="73"/>
    </row>
    <row r="579" spans="3:7" ht="14.25">
      <c r="C579" s="74"/>
      <c r="F579" s="73"/>
      <c r="G579" s="73"/>
    </row>
    <row r="580" spans="3:7" ht="14.25">
      <c r="C580" s="74"/>
      <c r="F580" s="73"/>
      <c r="G580" s="73"/>
    </row>
    <row r="581" spans="3:7" ht="14.25">
      <c r="C581" s="74"/>
      <c r="F581" s="73"/>
      <c r="G581" s="73"/>
    </row>
    <row r="582" spans="3:7" ht="14.25">
      <c r="C582" s="74"/>
      <c r="F582" s="73"/>
      <c r="G582" s="73"/>
    </row>
    <row r="583" spans="3:7" ht="14.25">
      <c r="C583" s="74"/>
      <c r="F583" s="73"/>
      <c r="G583" s="73"/>
    </row>
    <row r="584" spans="3:7" ht="14.25">
      <c r="C584" s="74"/>
      <c r="F584" s="73"/>
      <c r="G584" s="73"/>
    </row>
    <row r="585" spans="3:7" ht="14.25">
      <c r="C585" s="74"/>
      <c r="F585" s="73"/>
      <c r="G585" s="73"/>
    </row>
    <row r="586" spans="3:7" ht="14.25">
      <c r="C586" s="74"/>
      <c r="F586" s="73"/>
      <c r="G586" s="73"/>
    </row>
    <row r="587" spans="3:7" ht="14.25">
      <c r="C587" s="74"/>
      <c r="F587" s="73"/>
      <c r="G587" s="73"/>
    </row>
    <row r="588" spans="3:7" ht="14.25">
      <c r="C588" s="74"/>
      <c r="F588" s="73"/>
      <c r="G588" s="73"/>
    </row>
    <row r="589" spans="3:7" ht="14.25">
      <c r="C589" s="74"/>
      <c r="F589" s="73"/>
      <c r="G589" s="73"/>
    </row>
    <row r="590" spans="3:7" ht="14.25">
      <c r="C590" s="74"/>
      <c r="F590" s="73"/>
      <c r="G590" s="73"/>
    </row>
    <row r="591" spans="3:7" ht="14.25">
      <c r="C591" s="74"/>
      <c r="F591" s="73"/>
      <c r="G591" s="73"/>
    </row>
    <row r="592" spans="3:7" ht="14.25">
      <c r="C592" s="74"/>
      <c r="F592" s="73"/>
      <c r="G592" s="73"/>
    </row>
    <row r="593" spans="3:7" ht="14.25">
      <c r="C593" s="74"/>
      <c r="F593" s="73"/>
      <c r="G593" s="73"/>
    </row>
    <row r="594" spans="3:7" ht="14.25">
      <c r="C594" s="74"/>
      <c r="F594" s="73"/>
      <c r="G594" s="73"/>
    </row>
    <row r="595" spans="3:7" ht="14.25">
      <c r="C595" s="74"/>
      <c r="F595" s="73"/>
      <c r="G595" s="73"/>
    </row>
    <row r="596" spans="3:7" ht="14.25">
      <c r="C596" s="74"/>
      <c r="F596" s="73"/>
      <c r="G596" s="73"/>
    </row>
    <row r="597" spans="3:7" ht="14.25">
      <c r="C597" s="74"/>
      <c r="F597" s="73"/>
      <c r="G597" s="73"/>
    </row>
    <row r="598" spans="3:7" ht="14.25">
      <c r="C598" s="74"/>
      <c r="F598" s="73"/>
      <c r="G598" s="73"/>
    </row>
    <row r="599" spans="3:7" ht="14.25">
      <c r="C599" s="74"/>
      <c r="F599" s="73"/>
      <c r="G599" s="73"/>
    </row>
    <row r="600" spans="3:7" ht="14.25">
      <c r="C600" s="74"/>
      <c r="F600" s="73"/>
      <c r="G600" s="73"/>
    </row>
    <row r="601" spans="3:7" ht="14.25">
      <c r="C601" s="74"/>
      <c r="F601" s="73"/>
      <c r="G601" s="73"/>
    </row>
    <row r="602" spans="3:7" ht="14.25">
      <c r="C602" s="74"/>
      <c r="F602" s="73"/>
      <c r="G602" s="73"/>
    </row>
    <row r="603" spans="3:7" ht="14.25">
      <c r="C603" s="74"/>
      <c r="F603" s="73"/>
      <c r="G603" s="73"/>
    </row>
    <row r="604" spans="3:7" ht="14.25">
      <c r="C604" s="74"/>
      <c r="F604" s="73"/>
      <c r="G604" s="73"/>
    </row>
    <row r="605" spans="3:7" ht="14.25">
      <c r="C605" s="74"/>
      <c r="F605" s="73"/>
      <c r="G605" s="73"/>
    </row>
    <row r="606" spans="3:7" ht="14.25">
      <c r="C606" s="74"/>
      <c r="F606" s="73"/>
      <c r="G606" s="73"/>
    </row>
    <row r="607" spans="3:7" ht="14.25">
      <c r="C607" s="74"/>
      <c r="F607" s="73"/>
      <c r="G607" s="73"/>
    </row>
    <row r="608" spans="3:7" ht="14.25">
      <c r="C608" s="74"/>
      <c r="F608" s="73"/>
      <c r="G608" s="73"/>
    </row>
    <row r="609" spans="3:7" ht="14.25">
      <c r="C609" s="74"/>
      <c r="F609" s="73"/>
      <c r="G609" s="73"/>
    </row>
    <row r="610" spans="3:7" ht="14.25">
      <c r="C610" s="74"/>
      <c r="F610" s="73"/>
      <c r="G610" s="73"/>
    </row>
    <row r="611" spans="3:7" ht="14.25">
      <c r="C611" s="74"/>
      <c r="F611" s="73"/>
      <c r="G611" s="73"/>
    </row>
    <row r="612" spans="3:7" ht="14.25">
      <c r="C612" s="74"/>
      <c r="F612" s="73"/>
      <c r="G612" s="73"/>
    </row>
    <row r="613" spans="3:7" ht="14.25">
      <c r="C613" s="74"/>
      <c r="F613" s="73"/>
      <c r="G613" s="73"/>
    </row>
    <row r="614" spans="3:7" ht="14.25">
      <c r="C614" s="74"/>
      <c r="F614" s="73"/>
      <c r="G614" s="73"/>
    </row>
    <row r="615" spans="3:7" ht="14.25">
      <c r="C615" s="74"/>
      <c r="F615" s="73"/>
      <c r="G615" s="73"/>
    </row>
    <row r="616" spans="3:7" ht="14.25">
      <c r="C616" s="74"/>
      <c r="F616" s="73"/>
      <c r="G616" s="73"/>
    </row>
    <row r="617" spans="3:7" ht="14.25">
      <c r="C617" s="74"/>
      <c r="F617" s="73"/>
      <c r="G617" s="73"/>
    </row>
    <row r="618" spans="3:7" ht="14.25">
      <c r="C618" s="74"/>
      <c r="F618" s="73"/>
      <c r="G618" s="73"/>
    </row>
    <row r="619" spans="3:7" ht="14.25">
      <c r="C619" s="74"/>
      <c r="F619" s="73"/>
      <c r="G619" s="73"/>
    </row>
    <row r="620" spans="3:7" ht="14.25">
      <c r="C620" s="74"/>
      <c r="F620" s="73"/>
      <c r="G620" s="73"/>
    </row>
    <row r="621" spans="3:7" ht="14.25">
      <c r="C621" s="74"/>
      <c r="F621" s="73"/>
      <c r="G621" s="73"/>
    </row>
    <row r="622" spans="3:7" ht="14.25">
      <c r="C622" s="74"/>
      <c r="F622" s="73"/>
      <c r="G622" s="73"/>
    </row>
    <row r="623" spans="3:7" ht="14.25">
      <c r="C623" s="74"/>
      <c r="F623" s="73"/>
      <c r="G623" s="73"/>
    </row>
    <row r="624" spans="3:7" ht="14.25">
      <c r="C624" s="74"/>
      <c r="F624" s="73"/>
      <c r="G624" s="73"/>
    </row>
    <row r="625" spans="3:7" ht="14.25">
      <c r="C625" s="74"/>
      <c r="F625" s="73"/>
      <c r="G625" s="73"/>
    </row>
    <row r="626" spans="3:7" ht="14.25">
      <c r="C626" s="74"/>
      <c r="F626" s="73"/>
      <c r="G626" s="73"/>
    </row>
    <row r="627" spans="3:7" ht="14.25">
      <c r="C627" s="74"/>
      <c r="F627" s="73"/>
      <c r="G627" s="73"/>
    </row>
    <row r="628" spans="3:7" ht="14.25">
      <c r="C628" s="74"/>
      <c r="F628" s="73"/>
      <c r="G628" s="73"/>
    </row>
    <row r="629" spans="3:7" ht="14.25">
      <c r="C629" s="74"/>
      <c r="F629" s="73"/>
      <c r="G629" s="73"/>
    </row>
    <row r="630" spans="3:7" ht="14.25">
      <c r="C630" s="74"/>
      <c r="F630" s="73"/>
      <c r="G630" s="73"/>
    </row>
    <row r="631" spans="3:7" ht="14.25">
      <c r="C631" s="74"/>
      <c r="F631" s="73"/>
      <c r="G631" s="73"/>
    </row>
    <row r="632" spans="3:7" ht="14.25">
      <c r="C632" s="74"/>
      <c r="F632" s="73"/>
      <c r="G632" s="73"/>
    </row>
    <row r="633" spans="3:7" ht="14.25">
      <c r="C633" s="74"/>
      <c r="F633" s="73"/>
      <c r="G633" s="73"/>
    </row>
    <row r="634" spans="3:7" ht="14.25">
      <c r="C634" s="74"/>
      <c r="F634" s="73"/>
      <c r="G634" s="73"/>
    </row>
    <row r="635" spans="3:7" ht="14.25">
      <c r="C635" s="74"/>
      <c r="F635" s="73"/>
      <c r="G635" s="73"/>
    </row>
    <row r="636" spans="3:7" ht="14.25">
      <c r="C636" s="74"/>
      <c r="F636" s="73"/>
      <c r="G636" s="73"/>
    </row>
    <row r="637" spans="3:7" ht="14.25">
      <c r="C637" s="74"/>
      <c r="F637" s="73"/>
      <c r="G637" s="73"/>
    </row>
    <row r="638" spans="3:7" ht="14.25">
      <c r="C638" s="74"/>
      <c r="F638" s="73"/>
      <c r="G638" s="73"/>
    </row>
    <row r="639" spans="3:7" ht="14.25">
      <c r="C639" s="74"/>
      <c r="F639" s="73"/>
      <c r="G639" s="73"/>
    </row>
    <row r="640" spans="3:7" ht="14.25">
      <c r="C640" s="74"/>
      <c r="F640" s="73"/>
      <c r="G640" s="73"/>
    </row>
    <row r="641" spans="3:7" ht="14.25">
      <c r="C641" s="74"/>
      <c r="F641" s="73"/>
      <c r="G641" s="73"/>
    </row>
    <row r="642" spans="3:7" ht="14.25">
      <c r="C642" s="74"/>
      <c r="F642" s="73"/>
      <c r="G642" s="73"/>
    </row>
    <row r="643" spans="3:7" ht="14.25">
      <c r="C643" s="74"/>
      <c r="F643" s="73"/>
      <c r="G643" s="73"/>
    </row>
    <row r="644" spans="3:7" ht="14.25">
      <c r="C644" s="74"/>
      <c r="F644" s="73"/>
      <c r="G644" s="73"/>
    </row>
    <row r="645" spans="3:7" ht="14.25">
      <c r="C645" s="74"/>
      <c r="F645" s="73"/>
      <c r="G645" s="73"/>
    </row>
    <row r="646" spans="3:7" ht="14.25">
      <c r="C646" s="74"/>
      <c r="F646" s="73"/>
      <c r="G646" s="73"/>
    </row>
    <row r="647" spans="3:7" ht="14.25">
      <c r="C647" s="74"/>
      <c r="F647" s="73"/>
      <c r="G647" s="73"/>
    </row>
    <row r="648" spans="3:7" ht="14.25">
      <c r="C648" s="74"/>
      <c r="F648" s="73"/>
      <c r="G648" s="73"/>
    </row>
    <row r="649" spans="3:7" ht="14.25">
      <c r="C649" s="74"/>
      <c r="F649" s="73"/>
      <c r="G649" s="73"/>
    </row>
    <row r="650" spans="3:7" ht="14.25">
      <c r="C650" s="74"/>
      <c r="F650" s="73"/>
      <c r="G650" s="73"/>
    </row>
    <row r="651" spans="3:7" ht="14.25">
      <c r="C651" s="74"/>
      <c r="F651" s="73"/>
      <c r="G651" s="73"/>
    </row>
    <row r="652" spans="3:7" ht="14.25">
      <c r="C652" s="74"/>
      <c r="F652" s="73"/>
      <c r="G652" s="73"/>
    </row>
    <row r="653" spans="3:7" ht="14.25">
      <c r="C653" s="74"/>
      <c r="F653" s="73"/>
      <c r="G653" s="73"/>
    </row>
    <row r="654" spans="3:7" ht="14.25">
      <c r="C654" s="74"/>
      <c r="F654" s="73"/>
      <c r="G654" s="73"/>
    </row>
    <row r="655" spans="3:7" ht="14.25">
      <c r="C655" s="74"/>
      <c r="F655" s="73"/>
      <c r="G655" s="73"/>
    </row>
    <row r="656" spans="3:7" ht="14.25">
      <c r="C656" s="74"/>
      <c r="F656" s="73"/>
      <c r="G656" s="73"/>
    </row>
    <row r="657" spans="3:7" ht="14.25">
      <c r="C657" s="74"/>
      <c r="F657" s="73"/>
      <c r="G657" s="73"/>
    </row>
    <row r="658" spans="3:7" ht="14.25">
      <c r="C658" s="74"/>
      <c r="F658" s="73"/>
      <c r="G658" s="73"/>
    </row>
    <row r="659" spans="3:7" ht="14.25">
      <c r="C659" s="74"/>
      <c r="F659" s="73"/>
      <c r="G659" s="73"/>
    </row>
    <row r="660" spans="3:7" ht="14.25">
      <c r="C660" s="74"/>
      <c r="F660" s="73"/>
      <c r="G660" s="73"/>
    </row>
    <row r="661" spans="3:7" ht="14.25">
      <c r="C661" s="74"/>
      <c r="F661" s="73"/>
      <c r="G661" s="73"/>
    </row>
    <row r="662" spans="3:7" ht="14.25">
      <c r="C662" s="74"/>
      <c r="F662" s="73"/>
      <c r="G662" s="73"/>
    </row>
    <row r="663" spans="3:7" ht="14.25">
      <c r="C663" s="74"/>
      <c r="F663" s="73"/>
      <c r="G663" s="73"/>
    </row>
    <row r="664" spans="3:7" ht="14.25">
      <c r="C664" s="74"/>
      <c r="F664" s="73"/>
      <c r="G664" s="73"/>
    </row>
    <row r="665" spans="3:7" ht="14.25">
      <c r="C665" s="74"/>
      <c r="F665" s="73"/>
      <c r="G665" s="73"/>
    </row>
    <row r="666" spans="3:7" ht="14.25">
      <c r="C666" s="74"/>
      <c r="F666" s="73"/>
      <c r="G666" s="73"/>
    </row>
    <row r="667" spans="3:7" ht="14.25">
      <c r="C667" s="74"/>
      <c r="F667" s="73"/>
      <c r="G667" s="73"/>
    </row>
    <row r="668" spans="3:7" ht="14.25">
      <c r="C668" s="74"/>
      <c r="F668" s="73"/>
      <c r="G668" s="73"/>
    </row>
    <row r="669" spans="3:7" ht="14.25">
      <c r="C669" s="74"/>
      <c r="F669" s="73"/>
      <c r="G669" s="73"/>
    </row>
    <row r="670" spans="3:7" ht="14.25">
      <c r="C670" s="74"/>
      <c r="F670" s="73"/>
      <c r="G670" s="73"/>
    </row>
    <row r="671" spans="3:7" ht="14.25">
      <c r="C671" s="74"/>
      <c r="F671" s="73"/>
      <c r="G671" s="73"/>
    </row>
    <row r="672" spans="3:7" ht="14.25">
      <c r="C672" s="74"/>
      <c r="F672" s="73"/>
      <c r="G672" s="73"/>
    </row>
    <row r="673" spans="3:7" ht="14.25">
      <c r="C673" s="74"/>
      <c r="F673" s="73"/>
      <c r="G673" s="73"/>
    </row>
    <row r="674" spans="3:7" ht="14.25">
      <c r="C674" s="74"/>
      <c r="F674" s="73"/>
      <c r="G674" s="73"/>
    </row>
    <row r="675" spans="3:7" ht="14.25">
      <c r="C675" s="74"/>
      <c r="F675" s="73"/>
      <c r="G675" s="73"/>
    </row>
    <row r="676" spans="3:7" ht="14.25">
      <c r="C676" s="74"/>
      <c r="F676" s="73"/>
      <c r="G676" s="73"/>
    </row>
    <row r="677" spans="3:7" ht="14.25">
      <c r="C677" s="74"/>
      <c r="F677" s="73"/>
      <c r="G677" s="73"/>
    </row>
    <row r="678" spans="3:7" ht="14.25">
      <c r="C678" s="74"/>
      <c r="F678" s="73"/>
      <c r="G678" s="73"/>
    </row>
    <row r="679" spans="3:7" ht="14.25">
      <c r="C679" s="74"/>
      <c r="F679" s="73"/>
      <c r="G679" s="73"/>
    </row>
    <row r="680" spans="3:7" ht="14.25">
      <c r="C680" s="74"/>
      <c r="F680" s="73"/>
      <c r="G680" s="73"/>
    </row>
    <row r="681" spans="3:7" ht="14.25">
      <c r="C681" s="74"/>
      <c r="F681" s="73"/>
      <c r="G681" s="73"/>
    </row>
    <row r="682" spans="3:7" ht="14.25">
      <c r="C682" s="74"/>
      <c r="F682" s="73"/>
      <c r="G682" s="73"/>
    </row>
    <row r="683" spans="3:7" ht="14.25">
      <c r="C683" s="74"/>
      <c r="F683" s="73"/>
      <c r="G683" s="73"/>
    </row>
    <row r="684" spans="3:7" ht="14.25">
      <c r="C684" s="74"/>
      <c r="F684" s="73"/>
      <c r="G684" s="73"/>
    </row>
    <row r="685" spans="3:7" ht="14.25">
      <c r="C685" s="74"/>
      <c r="F685" s="73"/>
      <c r="G685" s="73"/>
    </row>
    <row r="686" spans="3:7" ht="14.25">
      <c r="C686" s="74"/>
      <c r="F686" s="73"/>
      <c r="G686" s="73"/>
    </row>
    <row r="687" spans="3:7" ht="14.25">
      <c r="C687" s="74"/>
      <c r="F687" s="73"/>
      <c r="G687" s="73"/>
    </row>
    <row r="688" spans="3:7" ht="14.25">
      <c r="C688" s="74"/>
      <c r="F688" s="73"/>
      <c r="G688" s="73"/>
    </row>
    <row r="689" spans="3:7" ht="14.25">
      <c r="C689" s="74"/>
      <c r="F689" s="73"/>
      <c r="G689" s="73"/>
    </row>
    <row r="690" spans="3:7" ht="14.25">
      <c r="C690" s="74"/>
      <c r="F690" s="73"/>
      <c r="G690" s="73"/>
    </row>
    <row r="691" spans="3:7" ht="14.25">
      <c r="C691" s="74"/>
      <c r="F691" s="73"/>
      <c r="G691" s="73"/>
    </row>
    <row r="692" spans="3:7" ht="14.25">
      <c r="C692" s="74"/>
      <c r="F692" s="73"/>
      <c r="G692" s="73"/>
    </row>
    <row r="693" spans="3:7" ht="14.25">
      <c r="C693" s="74"/>
      <c r="F693" s="73"/>
      <c r="G693" s="73"/>
    </row>
    <row r="694" spans="3:7" ht="14.25">
      <c r="C694" s="74"/>
      <c r="F694" s="73"/>
      <c r="G694" s="73"/>
    </row>
    <row r="695" spans="3:7" ht="14.25">
      <c r="C695" s="74"/>
      <c r="F695" s="73"/>
      <c r="G695" s="73"/>
    </row>
    <row r="696" spans="3:7" ht="14.25">
      <c r="C696" s="74"/>
      <c r="F696" s="73"/>
      <c r="G696" s="73"/>
    </row>
    <row r="697" spans="3:7" ht="14.25">
      <c r="C697" s="74"/>
      <c r="F697" s="73"/>
      <c r="G697" s="73"/>
    </row>
    <row r="698" spans="3:7" ht="14.25">
      <c r="C698" s="74"/>
      <c r="F698" s="73"/>
      <c r="G698" s="73"/>
    </row>
    <row r="699" spans="3:7" ht="14.25">
      <c r="C699" s="74"/>
      <c r="F699" s="73"/>
      <c r="G699" s="73"/>
    </row>
    <row r="700" spans="3:7" ht="14.25">
      <c r="C700" s="74"/>
      <c r="F700" s="73"/>
      <c r="G700" s="73"/>
    </row>
    <row r="701" spans="3:7" ht="14.25">
      <c r="C701" s="74"/>
      <c r="F701" s="73"/>
      <c r="G701" s="73"/>
    </row>
    <row r="702" spans="3:7" ht="14.25">
      <c r="C702" s="74"/>
      <c r="F702" s="73"/>
      <c r="G702" s="73"/>
    </row>
    <row r="703" spans="3:7" ht="14.25">
      <c r="C703" s="74"/>
      <c r="F703" s="73"/>
      <c r="G703" s="73"/>
    </row>
    <row r="704" spans="3:7" ht="14.25">
      <c r="C704" s="74"/>
      <c r="F704" s="73"/>
      <c r="G704" s="73"/>
    </row>
    <row r="705" spans="3:7" ht="14.25">
      <c r="C705" s="74"/>
      <c r="F705" s="73"/>
      <c r="G705" s="73"/>
    </row>
    <row r="706" spans="3:7" ht="14.25">
      <c r="C706" s="74"/>
      <c r="F706" s="73"/>
      <c r="G706" s="73"/>
    </row>
    <row r="707" spans="3:7" ht="14.25">
      <c r="C707" s="74"/>
      <c r="F707" s="73"/>
      <c r="G707" s="73"/>
    </row>
    <row r="708" spans="3:7" ht="14.25">
      <c r="C708" s="74"/>
      <c r="F708" s="73"/>
      <c r="G708" s="73"/>
    </row>
    <row r="709" spans="3:7" ht="14.25">
      <c r="C709" s="74"/>
      <c r="F709" s="73"/>
      <c r="G709" s="73"/>
    </row>
    <row r="710" spans="3:7" ht="14.25">
      <c r="C710" s="74"/>
      <c r="F710" s="73"/>
      <c r="G710" s="73"/>
    </row>
    <row r="711" spans="3:7" ht="14.25">
      <c r="C711" s="74"/>
      <c r="F711" s="73"/>
      <c r="G711" s="73"/>
    </row>
    <row r="712" spans="3:7" ht="14.25">
      <c r="C712" s="74"/>
      <c r="F712" s="73"/>
      <c r="G712" s="73"/>
    </row>
    <row r="713" spans="3:7" ht="14.25">
      <c r="C713" s="74"/>
      <c r="F713" s="73"/>
      <c r="G713" s="73"/>
    </row>
    <row r="714" spans="3:7" ht="14.25">
      <c r="C714" s="74"/>
      <c r="F714" s="73"/>
      <c r="G714" s="73"/>
    </row>
    <row r="715" spans="3:7" ht="14.25">
      <c r="C715" s="74"/>
      <c r="F715" s="73"/>
      <c r="G715" s="73"/>
    </row>
    <row r="716" spans="3:7" ht="14.25">
      <c r="C716" s="74"/>
      <c r="F716" s="73"/>
      <c r="G716" s="73"/>
    </row>
    <row r="717" spans="3:7" ht="14.25">
      <c r="C717" s="74"/>
      <c r="F717" s="73"/>
      <c r="G717" s="73"/>
    </row>
    <row r="718" spans="3:7" ht="14.25">
      <c r="C718" s="74"/>
      <c r="F718" s="73"/>
      <c r="G718" s="73"/>
    </row>
    <row r="719" spans="3:7" ht="14.25">
      <c r="C719" s="74"/>
      <c r="F719" s="73"/>
      <c r="G719" s="73"/>
    </row>
    <row r="720" spans="3:7" ht="14.25">
      <c r="C720" s="74"/>
      <c r="F720" s="73"/>
      <c r="G720" s="73"/>
    </row>
    <row r="721" spans="3:7" ht="14.25">
      <c r="C721" s="74"/>
      <c r="F721" s="73"/>
      <c r="G721" s="73"/>
    </row>
    <row r="722" spans="3:7" ht="14.25">
      <c r="C722" s="74"/>
      <c r="F722" s="73"/>
      <c r="G722" s="73"/>
    </row>
    <row r="723" spans="3:7" ht="14.25">
      <c r="C723" s="74"/>
      <c r="F723" s="73"/>
      <c r="G723" s="73"/>
    </row>
    <row r="724" spans="3:7" ht="14.25">
      <c r="C724" s="74"/>
      <c r="F724" s="73"/>
      <c r="G724" s="73"/>
    </row>
    <row r="725" spans="3:7" ht="14.25">
      <c r="C725" s="74"/>
      <c r="F725" s="73"/>
      <c r="G725" s="73"/>
    </row>
    <row r="726" spans="3:7" ht="14.25">
      <c r="C726" s="74"/>
      <c r="F726" s="73"/>
      <c r="G726" s="73"/>
    </row>
    <row r="727" spans="3:7" ht="14.25">
      <c r="C727" s="74"/>
      <c r="F727" s="73"/>
      <c r="G727" s="73"/>
    </row>
    <row r="728" spans="3:7" ht="14.25">
      <c r="C728" s="74"/>
      <c r="F728" s="73"/>
      <c r="G728" s="73"/>
    </row>
    <row r="729" spans="3:7" ht="14.25">
      <c r="C729" s="74"/>
      <c r="F729" s="73"/>
      <c r="G729" s="73"/>
    </row>
    <row r="730" spans="3:7" ht="14.25">
      <c r="C730" s="74"/>
      <c r="F730" s="73"/>
      <c r="G730" s="73"/>
    </row>
    <row r="731" spans="3:7" ht="14.25">
      <c r="C731" s="74"/>
      <c r="F731" s="73"/>
      <c r="G731" s="73"/>
    </row>
    <row r="732" spans="3:7" ht="14.25">
      <c r="C732" s="74"/>
      <c r="F732" s="73"/>
      <c r="G732" s="73"/>
    </row>
    <row r="733" spans="3:7" ht="14.25">
      <c r="C733" s="74"/>
      <c r="F733" s="73"/>
      <c r="G733" s="73"/>
    </row>
    <row r="734" spans="3:7" ht="14.25">
      <c r="C734" s="74"/>
      <c r="F734" s="73"/>
      <c r="G734" s="73"/>
    </row>
    <row r="735" spans="3:7" ht="14.25">
      <c r="C735" s="74"/>
      <c r="F735" s="73"/>
      <c r="G735" s="73"/>
    </row>
    <row r="736" spans="3:7" ht="14.25">
      <c r="C736" s="74"/>
      <c r="F736" s="73"/>
      <c r="G736" s="73"/>
    </row>
    <row r="737" spans="3:7" ht="14.25">
      <c r="C737" s="74"/>
      <c r="F737" s="73"/>
      <c r="G737" s="73"/>
    </row>
    <row r="738" spans="3:7" ht="14.25">
      <c r="C738" s="74"/>
      <c r="F738" s="73"/>
      <c r="G738" s="73"/>
    </row>
    <row r="739" spans="3:7" ht="14.25">
      <c r="C739" s="74"/>
      <c r="F739" s="73"/>
      <c r="G739" s="73"/>
    </row>
    <row r="740" spans="3:7" ht="14.25">
      <c r="C740" s="74"/>
      <c r="F740" s="73"/>
      <c r="G740" s="73"/>
    </row>
    <row r="741" spans="3:7" ht="14.25">
      <c r="C741" s="74"/>
      <c r="F741" s="73"/>
      <c r="G741" s="73"/>
    </row>
    <row r="742" spans="3:7" ht="14.25">
      <c r="C742" s="74"/>
      <c r="F742" s="73"/>
      <c r="G742" s="73"/>
    </row>
    <row r="743" spans="3:7" ht="14.25">
      <c r="C743" s="74"/>
      <c r="F743" s="73"/>
      <c r="G743" s="73"/>
    </row>
    <row r="744" spans="3:7" ht="14.25">
      <c r="C744" s="74"/>
      <c r="F744" s="73"/>
      <c r="G744" s="73"/>
    </row>
    <row r="745" spans="3:7" ht="14.25">
      <c r="C745" s="74"/>
      <c r="F745" s="73"/>
      <c r="G745" s="73"/>
    </row>
    <row r="746" spans="3:7" ht="14.25">
      <c r="C746" s="74"/>
      <c r="F746" s="73"/>
      <c r="G746" s="73"/>
    </row>
    <row r="747" spans="3:7" ht="14.25">
      <c r="C747" s="74"/>
      <c r="F747" s="73"/>
      <c r="G747" s="73"/>
    </row>
    <row r="748" spans="3:7" ht="14.25">
      <c r="C748" s="74"/>
      <c r="F748" s="73"/>
      <c r="G748" s="73"/>
    </row>
    <row r="749" spans="3:7" ht="14.25">
      <c r="C749" s="74"/>
      <c r="F749" s="73"/>
      <c r="G749" s="73"/>
    </row>
    <row r="750" spans="3:7" ht="14.25">
      <c r="C750" s="74"/>
      <c r="F750" s="73"/>
      <c r="G750" s="73"/>
    </row>
    <row r="751" spans="3:7" ht="14.25">
      <c r="C751" s="74"/>
      <c r="F751" s="73"/>
      <c r="G751" s="73"/>
    </row>
    <row r="752" spans="3:7" ht="14.25">
      <c r="C752" s="74"/>
      <c r="F752" s="73"/>
      <c r="G752" s="73"/>
    </row>
    <row r="753" spans="3:7" ht="14.25">
      <c r="C753" s="74"/>
      <c r="F753" s="73"/>
      <c r="G753" s="73"/>
    </row>
    <row r="754" spans="3:7" ht="14.25">
      <c r="C754" s="74"/>
      <c r="F754" s="73"/>
      <c r="G754" s="73"/>
    </row>
    <row r="755" spans="3:7" ht="14.25">
      <c r="C755" s="74"/>
      <c r="F755" s="73"/>
      <c r="G755" s="73"/>
    </row>
    <row r="756" spans="3:7" ht="14.25">
      <c r="C756" s="74"/>
      <c r="F756" s="73"/>
      <c r="G756" s="73"/>
    </row>
    <row r="757" spans="3:7" ht="14.25">
      <c r="C757" s="74"/>
      <c r="F757" s="73"/>
      <c r="G757" s="73"/>
    </row>
    <row r="758" spans="3:7" ht="14.25">
      <c r="C758" s="74"/>
      <c r="F758" s="73"/>
      <c r="G758" s="73"/>
    </row>
    <row r="759" spans="3:7" ht="14.25">
      <c r="C759" s="74"/>
      <c r="F759" s="73"/>
      <c r="G759" s="73"/>
    </row>
    <row r="760" spans="3:7" ht="14.25">
      <c r="C760" s="74"/>
      <c r="F760" s="73"/>
      <c r="G760" s="73"/>
    </row>
    <row r="761" spans="3:7" ht="14.25">
      <c r="C761" s="74"/>
      <c r="F761" s="73"/>
      <c r="G761" s="73"/>
    </row>
    <row r="762" spans="3:7" ht="14.25">
      <c r="C762" s="74"/>
      <c r="F762" s="73"/>
      <c r="G762" s="73"/>
    </row>
    <row r="763" spans="3:7" ht="14.25">
      <c r="C763" s="74"/>
      <c r="F763" s="73"/>
      <c r="G763" s="73"/>
    </row>
    <row r="764" spans="3:7" ht="14.25">
      <c r="C764" s="74"/>
      <c r="F764" s="73"/>
      <c r="G764" s="73"/>
    </row>
    <row r="765" spans="3:7" ht="14.25">
      <c r="C765" s="74"/>
      <c r="F765" s="73"/>
      <c r="G765" s="73"/>
    </row>
    <row r="766" spans="3:7" ht="14.25">
      <c r="C766" s="74"/>
      <c r="F766" s="73"/>
      <c r="G766" s="73"/>
    </row>
    <row r="767" spans="3:7" ht="14.25"/>
    <row r="768" spans="3:7" ht="14.25"/>
  </sheetData>
  <conditionalFormatting sqref="C3:C440">
    <cfRule type="expression" dxfId="144" priority="11">
      <formula>C3&gt;Calories_Red</formula>
    </cfRule>
  </conditionalFormatting>
  <conditionalFormatting sqref="C3:C440">
    <cfRule type="expression" dxfId="143" priority="10">
      <formula>C3&lt;Calories_Grn</formula>
    </cfRule>
  </conditionalFormatting>
  <conditionalFormatting sqref="D3:D440">
    <cfRule type="expression" dxfId="142" priority="9">
      <formula>D3&gt;Sodium_Red</formula>
    </cfRule>
  </conditionalFormatting>
  <conditionalFormatting sqref="D3:D440">
    <cfRule type="expression" dxfId="141" priority="8">
      <formula>D3&lt;Sodium_Grn</formula>
    </cfRule>
  </conditionalFormatting>
  <conditionalFormatting sqref="E3:E440">
    <cfRule type="expression" dxfId="140" priority="7">
      <formula>E3&lt;Carbs_Grn</formula>
    </cfRule>
  </conditionalFormatting>
  <conditionalFormatting sqref="E3:E440">
    <cfRule type="expression" dxfId="139" priority="6">
      <formula>E3&gt;Carbs_Red</formula>
    </cfRule>
  </conditionalFormatting>
  <conditionalFormatting sqref="G3:G440">
    <cfRule type="expression" dxfId="138" priority="5">
      <formula>G3&gt;Chol_Red</formula>
    </cfRule>
  </conditionalFormatting>
  <conditionalFormatting sqref="G3:G440">
    <cfRule type="expression" dxfId="137" priority="4">
      <formula>G3&lt;Chol_Grn</formula>
    </cfRule>
  </conditionalFormatting>
  <conditionalFormatting sqref="H3:H440">
    <cfRule type="expression" dxfId="136" priority="1">
      <formula>H3&gt;Glu_Red</formula>
    </cfRule>
    <cfRule type="expression" dxfId="135" priority="2">
      <formula>H3&lt;Glu_Grn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FEB8-3A8D-42E6-864E-96F8BED261E3}">
  <dimension ref="A1:V1243"/>
  <sheetViews>
    <sheetView showGridLines="0" workbookViewId="0">
      <selection activeCell="B3" sqref="B3"/>
    </sheetView>
  </sheetViews>
  <sheetFormatPr defaultColWidth="8.5703125" defaultRowHeight="15.95"/>
  <cols>
    <col min="1" max="1" width="1.140625" style="61" customWidth="1"/>
    <col min="2" max="2" width="27" style="57" customWidth="1"/>
    <col min="3" max="3" width="8.5703125" style="116" customWidth="1"/>
    <col min="4" max="4" width="8.5703125" style="58" customWidth="1"/>
    <col min="5" max="5" width="8.5703125" style="59" customWidth="1"/>
    <col min="6" max="8" width="8.5703125" style="60" customWidth="1"/>
    <col min="9" max="11" width="8.5703125" style="59" customWidth="1"/>
    <col min="12" max="12" width="1.140625" style="61" customWidth="1"/>
    <col min="13" max="13" width="26.7109375" style="61" customWidth="1"/>
    <col min="14" max="16384" width="8.5703125" style="61"/>
  </cols>
  <sheetData>
    <row r="1" spans="1:22" ht="6" customHeight="1">
      <c r="A1" s="73"/>
      <c r="B1" s="78"/>
      <c r="C1" s="79"/>
      <c r="D1" s="76"/>
      <c r="E1" s="99"/>
      <c r="F1" s="71"/>
      <c r="G1" s="71"/>
      <c r="H1" s="71"/>
      <c r="I1" s="99"/>
      <c r="J1" s="99"/>
      <c r="K1" s="99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24.75" customHeight="1">
      <c r="A2" s="73"/>
      <c r="B2" s="121" t="s">
        <v>429</v>
      </c>
      <c r="C2" s="122"/>
      <c r="D2" s="123"/>
      <c r="E2" s="124"/>
      <c r="F2" s="125"/>
      <c r="G2" s="125"/>
      <c r="H2" s="125"/>
      <c r="I2" s="126"/>
      <c r="J2" s="127" t="s">
        <v>430</v>
      </c>
      <c r="K2" s="126"/>
      <c r="L2" s="73"/>
      <c r="M2" s="142" t="s">
        <v>431</v>
      </c>
      <c r="N2" s="79"/>
      <c r="O2" s="76"/>
      <c r="P2" s="99"/>
      <c r="Q2" s="71"/>
      <c r="R2" s="71"/>
      <c r="S2" s="71"/>
      <c r="T2" s="143"/>
      <c r="U2" s="144" t="s">
        <v>430</v>
      </c>
      <c r="V2" s="143">
        <v>3522.5</v>
      </c>
    </row>
    <row r="3" spans="1:22" ht="6" customHeight="1">
      <c r="A3" s="73"/>
      <c r="B3" s="128"/>
      <c r="C3" s="122"/>
      <c r="D3" s="123"/>
      <c r="E3" s="124"/>
      <c r="F3" s="125"/>
      <c r="G3" s="125"/>
      <c r="H3" s="125"/>
      <c r="I3" s="124"/>
      <c r="J3" s="124"/>
      <c r="K3" s="124"/>
      <c r="L3" s="73"/>
      <c r="M3" s="78"/>
      <c r="N3" s="79"/>
      <c r="O3" s="76"/>
      <c r="P3" s="99"/>
      <c r="Q3" s="71"/>
      <c r="R3" s="71"/>
      <c r="S3" s="71"/>
      <c r="T3" s="99"/>
      <c r="U3" s="99"/>
      <c r="V3" s="99"/>
    </row>
    <row r="4" spans="1:22" s="63" customFormat="1" ht="25.15" customHeight="1">
      <c r="A4" s="102"/>
      <c r="B4" s="129" t="s">
        <v>1</v>
      </c>
      <c r="C4" s="130" t="s">
        <v>2</v>
      </c>
      <c r="D4" s="123" t="s">
        <v>3</v>
      </c>
      <c r="E4" s="131" t="s">
        <v>4</v>
      </c>
      <c r="F4" s="132" t="s">
        <v>5</v>
      </c>
      <c r="G4" s="132" t="s">
        <v>6</v>
      </c>
      <c r="H4" s="132" t="s">
        <v>7</v>
      </c>
      <c r="I4" s="133" t="s">
        <v>8</v>
      </c>
      <c r="J4" s="133" t="s">
        <v>9</v>
      </c>
      <c r="K4" s="133" t="s">
        <v>10</v>
      </c>
      <c r="L4" s="102"/>
      <c r="M4" s="101" t="s">
        <v>1</v>
      </c>
      <c r="N4" s="115" t="s">
        <v>2</v>
      </c>
      <c r="O4" s="76" t="s">
        <v>3</v>
      </c>
      <c r="P4" s="62" t="s">
        <v>4</v>
      </c>
      <c r="Q4" s="72" t="s">
        <v>5</v>
      </c>
      <c r="R4" s="72" t="s">
        <v>6</v>
      </c>
      <c r="S4" s="72" t="s">
        <v>7</v>
      </c>
      <c r="T4" s="70" t="s">
        <v>8</v>
      </c>
      <c r="U4" s="70" t="s">
        <v>9</v>
      </c>
      <c r="V4" s="70" t="s">
        <v>10</v>
      </c>
    </row>
    <row r="5" spans="1:22" s="66" customFormat="1" ht="25.15" customHeight="1">
      <c r="A5" s="75"/>
      <c r="B5" s="134" t="s">
        <v>36</v>
      </c>
      <c r="C5" s="122">
        <v>1</v>
      </c>
      <c r="D5" s="123" t="str">
        <f>IF(ISBLANK(tbScratch1[[#This Row],[Item]]),"",_xlfn.XLOOKUP(tbScratch1[[#This Row],[Item]],Calories[Name],Calories[Unit]))</f>
        <v>ea</v>
      </c>
      <c r="E5" s="135">
        <f>IF(ISBLANK(tbScratch1[[#This Row],[Item]]),"",_xlfn.XLOOKUP(tbScratch1[[#This Row],[Item]],Calories[Name],Calories[Cals])*tbScratch1[[#This Row],[Qty]])</f>
        <v>240</v>
      </c>
      <c r="F5" s="125">
        <f>IF(ISBLANK(tbScratch1[[#This Row],[Item]]),"",_xlfn.XLOOKUP(tbScratch1[[#This Row],[Item]],Calories[Name],Calories[Carbs])*tbScratch1[[#This Row],[Qty]])</f>
        <v>13</v>
      </c>
      <c r="G5" s="125">
        <f>IF(ISBLANK(tbScratch1[[#This Row],[Item]]),"",_xlfn.XLOOKUP(tbScratch1[[#This Row],[Item]],Calories[Name],Calories[Fibre])*tbScratch1[[#This Row],[Qty]])</f>
        <v>10</v>
      </c>
      <c r="H5" s="125">
        <f>IF(ISBLANK(tbScratch1[[#This Row],[Item]]),"",(tbScratch1[[#This Row],[Carbs]]-tbScratch1[[#This Row],[Fibre]]))</f>
        <v>3</v>
      </c>
      <c r="I5" s="136">
        <f>IF(ISBLANK(tbScratch1[[#This Row],[Item]]),"",_xlfn.XLOOKUP(tbScratch1[[#This Row],[Item]],Calories[Name],Calories[Sodium])*tbScratch1[[#This Row],[Qty]])</f>
        <v>11</v>
      </c>
      <c r="J5" s="125">
        <f>IF(ISBLANK(tbScratch1[[#This Row],[Item]]),"",_xlfn.XLOOKUP(tbScratch1[[#This Row],[Item]],Calories[Name],Calories[Protein])*tbScratch1[[#This Row],[Qty]])</f>
        <v>3</v>
      </c>
      <c r="K5" s="137">
        <f>IF(ISBLANK(tbScratch1[[#This Row],[Item]]),"",_xlfn.XLOOKUP(tbScratch1[[#This Row],[Item]],Calories[Name],Calories[Chol.])*tbScratch1[[#This Row],[Qty]])</f>
        <v>0</v>
      </c>
      <c r="L5" s="75"/>
      <c r="M5" s="78" t="s">
        <v>157</v>
      </c>
      <c r="N5" s="79">
        <v>3100</v>
      </c>
      <c r="O5" s="76" t="str">
        <f>IF(ISBLANK(tbScratch2[[#This Row],[Item]]),"",_xlfn.XLOOKUP(tbScratch2[[#This Row],[Item]],Calories[Name],Calories[Unit]))</f>
        <v>g</v>
      </c>
      <c r="P5" s="65">
        <f>IF(ISBLANK(tbScratch2[[#This Row],[Item]]),"",_xlfn.XLOOKUP(tbScratch2[[#This Row],[Item]],Calories[Name],Calories[Cals])*tbScratch2[[#This Row],[Qty]])</f>
        <v>702.66666666666663</v>
      </c>
      <c r="Q5" s="71">
        <f>IF(ISBLANK(tbScratch2[[#This Row],[Item]]),"",_xlfn.XLOOKUP(tbScratch2[[#This Row],[Item]],Calories[Name],Calories[Carbs])*tbScratch2[[#This Row],[Qty]])</f>
        <v>169.46666666666664</v>
      </c>
      <c r="R5" s="71">
        <f>IF(ISBLANK(tbScratch2[[#This Row],[Item]]),"",_xlfn.XLOOKUP(tbScratch2[[#This Row],[Item]],Calories[Name],Calories[Fibre])*tbScratch2[[#This Row],[Qty]])</f>
        <v>57.86666666666666</v>
      </c>
      <c r="S5" s="71">
        <f>IF(ISBLANK(tbScratch2[[#This Row],[Item]]),"",(tbScratch2[[#This Row],[Carbs]]-tbScratch2[[#This Row],[Fibre]]))</f>
        <v>111.59999999999998</v>
      </c>
      <c r="T5" s="145">
        <f>IF(ISBLANK(tbScratch2[[#This Row],[Item]]),"",_xlfn.XLOOKUP(tbScratch2[[#This Row],[Item]],Calories[Name],Calories[Sodium])*tbScratch2[[#This Row],[Qty]])</f>
        <v>248</v>
      </c>
      <c r="U5" s="71">
        <f>IF(ISBLANK(tbScratch2[[#This Row],[Item]]),"",_xlfn.XLOOKUP(tbScratch2[[#This Row],[Item]],Calories[Name],Calories[Protein])*tbScratch2[[#This Row],[Qty]])</f>
        <v>39.266666666666666</v>
      </c>
      <c r="V5" s="88">
        <f>IF(ISBLANK(tbScratch2[[#This Row],[Item]]),"",_xlfn.XLOOKUP(tbScratch2[[#This Row],[Item]],Calories[Name],Calories[Chol.])*tbScratch2[[#This Row],[Qty]])</f>
        <v>0</v>
      </c>
    </row>
    <row r="6" spans="1:22" s="66" customFormat="1" ht="25.15" customHeight="1">
      <c r="A6" s="75"/>
      <c r="B6" s="128" t="s">
        <v>100</v>
      </c>
      <c r="C6" s="122">
        <v>0.5</v>
      </c>
      <c r="D6" s="123" t="str">
        <f>IF(ISBLANK(tbScratch1[[#This Row],[Item]]),"",_xlfn.XLOOKUP(tbScratch1[[#This Row],[Item]],Calories[Name],Calories[Unit]))</f>
        <v>can</v>
      </c>
      <c r="E6" s="135">
        <f>IF(ISBLANK(tbScratch1[[#This Row],[Item]]),"",_xlfn.XLOOKUP(tbScratch1[[#This Row],[Item]],Calories[Name],Calories[Cals])*tbScratch1[[#This Row],[Qty]])</f>
        <v>120</v>
      </c>
      <c r="F6" s="125">
        <f>IF(ISBLANK(tbScratch1[[#This Row],[Item]]),"",_xlfn.XLOOKUP(tbScratch1[[#This Row],[Item]],Calories[Name],Calories[Carbs])*tbScratch1[[#This Row],[Qty]])</f>
        <v>0</v>
      </c>
      <c r="G6" s="125">
        <f>IF(ISBLANK(tbScratch1[[#This Row],[Item]]),"",_xlfn.XLOOKUP(tbScratch1[[#This Row],[Item]],Calories[Name],Calories[Fibre])*tbScratch1[[#This Row],[Qty]])</f>
        <v>0</v>
      </c>
      <c r="H6" s="125">
        <f>IF(ISBLANK(tbScratch1[[#This Row],[Item]]),"",(tbScratch1[[#This Row],[Carbs]]-tbScratch1[[#This Row],[Fibre]]))</f>
        <v>0</v>
      </c>
      <c r="I6" s="136">
        <f>IF(ISBLANK(tbScratch1[[#This Row],[Item]]),"",_xlfn.XLOOKUP(tbScratch1[[#This Row],[Item]],Calories[Name],Calories[Sodium])*tbScratch1[[#This Row],[Qty]])</f>
        <v>280</v>
      </c>
      <c r="J6" s="125">
        <f>IF(ISBLANK(tbScratch1[[#This Row],[Item]]),"",_xlfn.XLOOKUP(tbScratch1[[#This Row],[Item]],Calories[Name],Calories[Protein])*tbScratch1[[#This Row],[Qty]])</f>
        <v>18</v>
      </c>
      <c r="K6" s="137">
        <f>IF(ISBLANK(tbScratch1[[#This Row],[Item]]),"",_xlfn.XLOOKUP(tbScratch1[[#This Row],[Item]],Calories[Name],Calories[Chol.])*tbScratch1[[#This Row],[Qty]])</f>
        <v>35</v>
      </c>
      <c r="L6" s="75"/>
      <c r="M6" s="78" t="s">
        <v>359</v>
      </c>
      <c r="N6" s="79">
        <f>N5*0.025</f>
        <v>77.5</v>
      </c>
      <c r="O6" s="76" t="str">
        <f>IF(ISBLANK(tbScratch2[[#This Row],[Item]]),"",_xlfn.XLOOKUP(tbScratch2[[#This Row],[Item]],Calories[Name],Calories[Unit]))</f>
        <v>g</v>
      </c>
      <c r="P6" s="65">
        <f>IF(ISBLANK(tbScratch2[[#This Row],[Item]]),"",_xlfn.XLOOKUP(tbScratch2[[#This Row],[Item]],Calories[Name],Calories[Cals])*tbScratch2[[#This Row],[Qty]])</f>
        <v>0</v>
      </c>
      <c r="Q6" s="71">
        <f>IF(ISBLANK(tbScratch2[[#This Row],[Item]]),"",_xlfn.XLOOKUP(tbScratch2[[#This Row],[Item]],Calories[Name],Calories[Carbs])*tbScratch2[[#This Row],[Qty]])</f>
        <v>0</v>
      </c>
      <c r="R6" s="71">
        <f>IF(ISBLANK(tbScratch2[[#This Row],[Item]]),"",_xlfn.XLOOKUP(tbScratch2[[#This Row],[Item]],Calories[Name],Calories[Fibre])*tbScratch2[[#This Row],[Qty]])</f>
        <v>0</v>
      </c>
      <c r="S6" s="71">
        <f>IF(ISBLANK(tbScratch2[[#This Row],[Item]]),"",(tbScratch2[[#This Row],[Carbs]]-tbScratch2[[#This Row],[Fibre]]))</f>
        <v>0</v>
      </c>
      <c r="T6" s="145">
        <f>IF(ISBLANK(tbScratch2[[#This Row],[Item]]),"",_xlfn.XLOOKUP(tbScratch2[[#This Row],[Item]],Calories[Name],Calories[Sodium])*tbScratch2[[#This Row],[Qty]])</f>
        <v>30037.449999999997</v>
      </c>
      <c r="U6" s="71">
        <f>IF(ISBLANK(tbScratch2[[#This Row],[Item]]),"",_xlfn.XLOOKUP(tbScratch2[[#This Row],[Item]],Calories[Name],Calories[Protein])*tbScratch2[[#This Row],[Qty]])</f>
        <v>0</v>
      </c>
      <c r="V6" s="88">
        <f>IF(ISBLANK(tbScratch2[[#This Row],[Item]]),"",_xlfn.XLOOKUP(tbScratch2[[#This Row],[Item]],Calories[Name],Calories[Chol.])*tbScratch2[[#This Row],[Qty]])</f>
        <v>0</v>
      </c>
    </row>
    <row r="7" spans="1:22" s="66" customFormat="1" ht="25.15" customHeight="1">
      <c r="A7" s="75"/>
      <c r="B7" s="128" t="s">
        <v>60</v>
      </c>
      <c r="C7" s="122">
        <v>3</v>
      </c>
      <c r="D7" s="123" t="str">
        <f>IF(ISBLANK(tbScratch1[[#This Row],[Item]]),"",_xlfn.XLOOKUP(tbScratch1[[#This Row],[Item]],Calories[Name],Calories[Unit]))</f>
        <v>tbsp</v>
      </c>
      <c r="E7" s="135">
        <f>IF(ISBLANK(tbScratch1[[#This Row],[Item]]),"",_xlfn.XLOOKUP(tbScratch1[[#This Row],[Item]],Calories[Name],Calories[Cals])*tbScratch1[[#This Row],[Qty]])</f>
        <v>15</v>
      </c>
      <c r="F7" s="125">
        <f>IF(ISBLANK(tbScratch1[[#This Row],[Item]]),"",_xlfn.XLOOKUP(tbScratch1[[#This Row],[Item]],Calories[Name],Calories[Carbs])*tbScratch1[[#This Row],[Qty]])</f>
        <v>3</v>
      </c>
      <c r="G7" s="125">
        <f>IF(ISBLANK(tbScratch1[[#This Row],[Item]]),"",_xlfn.XLOOKUP(tbScratch1[[#This Row],[Item]],Calories[Name],Calories[Fibre])*tbScratch1[[#This Row],[Qty]])</f>
        <v>1.5</v>
      </c>
      <c r="H7" s="125">
        <f>IF(ISBLANK(tbScratch1[[#This Row],[Item]]),"",(tbScratch1[[#This Row],[Carbs]]-tbScratch1[[#This Row],[Fibre]]))</f>
        <v>1.5</v>
      </c>
      <c r="I7" s="136">
        <f>IF(ISBLANK(tbScratch1[[#This Row],[Item]]),"",_xlfn.XLOOKUP(tbScratch1[[#This Row],[Item]],Calories[Name],Calories[Sodium])*tbScratch1[[#This Row],[Qty]])</f>
        <v>420</v>
      </c>
      <c r="J7" s="125">
        <f>IF(ISBLANK(tbScratch1[[#This Row],[Item]]),"",_xlfn.XLOOKUP(tbScratch1[[#This Row],[Item]],Calories[Name],Calories[Protein])*tbScratch1[[#This Row],[Qty]])</f>
        <v>1.5</v>
      </c>
      <c r="K7" s="137">
        <f>IF(ISBLANK(tbScratch1[[#This Row],[Item]]),"",_xlfn.XLOOKUP(tbScratch1[[#This Row],[Item]],Calories[Name],Calories[Chol.])*tbScratch1[[#This Row],[Qty]])</f>
        <v>0</v>
      </c>
      <c r="L7" s="75"/>
      <c r="M7" s="78" t="s">
        <v>164</v>
      </c>
      <c r="N7" s="79">
        <v>15</v>
      </c>
      <c r="O7" s="76" t="str">
        <f>IF(ISBLANK(tbScratch2[[#This Row],[Item]]),"",_xlfn.XLOOKUP(tbScratch2[[#This Row],[Item]],Calories[Name],Calories[Unit]))</f>
        <v>g</v>
      </c>
      <c r="P7" s="65">
        <f>IF(ISBLANK(tbScratch2[[#This Row],[Item]]),"",_xlfn.XLOOKUP(tbScratch2[[#This Row],[Item]],Calories[Name],Calories[Cals])*tbScratch2[[#This Row],[Qty]])</f>
        <v>49.999999999999993</v>
      </c>
      <c r="Q7" s="71">
        <f>IF(ISBLANK(tbScratch2[[#This Row],[Item]]),"",_xlfn.XLOOKUP(tbScratch2[[#This Row],[Item]],Calories[Name],Calories[Carbs])*tbScratch2[[#This Row],[Qty]])</f>
        <v>7.1428571428571423</v>
      </c>
      <c r="R7" s="71">
        <f>IF(ISBLANK(tbScratch2[[#This Row],[Item]]),"",_xlfn.XLOOKUP(tbScratch2[[#This Row],[Item]],Calories[Name],Calories[Fibre])*tbScratch2[[#This Row],[Qty]])</f>
        <v>5.7142857142857135</v>
      </c>
      <c r="S7" s="71">
        <f>IF(ISBLANK(tbScratch2[[#This Row],[Item]]),"",(tbScratch2[[#This Row],[Carbs]]-tbScratch2[[#This Row],[Fibre]]))</f>
        <v>1.4285714285714288</v>
      </c>
      <c r="T7" s="145">
        <f>IF(ISBLANK(tbScratch2[[#This Row],[Item]]),"",_xlfn.XLOOKUP(tbScratch2[[#This Row],[Item]],Calories[Name],Calories[Sodium])*tbScratch2[[#This Row],[Qty]])</f>
        <v>2.8571428571428568</v>
      </c>
      <c r="U7" s="71">
        <f>IF(ISBLANK(tbScratch2[[#This Row],[Item]]),"",_xlfn.XLOOKUP(tbScratch2[[#This Row],[Item]],Calories[Name],Calories[Protein])*tbScratch2[[#This Row],[Qty]])</f>
        <v>2.8571428571428568</v>
      </c>
      <c r="V7" s="88">
        <f>IF(ISBLANK(tbScratch2[[#This Row],[Item]]),"",_xlfn.XLOOKUP(tbScratch2[[#This Row],[Item]],Calories[Name],Calories[Chol.])*tbScratch2[[#This Row],[Qty]])</f>
        <v>0</v>
      </c>
    </row>
    <row r="8" spans="1:22" s="66" customFormat="1" ht="25.15" customHeight="1">
      <c r="A8" s="75"/>
      <c r="B8" s="128" t="s">
        <v>76</v>
      </c>
      <c r="C8" s="122">
        <v>0.75</v>
      </c>
      <c r="D8" s="123" t="str">
        <f>IF(ISBLANK(tbScratch1[[#This Row],[Item]]),"",_xlfn.XLOOKUP(tbScratch1[[#This Row],[Item]],Calories[Name],Calories[Unit]))</f>
        <v>ea</v>
      </c>
      <c r="E8" s="135">
        <f>IF(ISBLANK(tbScratch1[[#This Row],[Item]]),"",_xlfn.XLOOKUP(tbScratch1[[#This Row],[Item]],Calories[Name],Calories[Cals])*tbScratch1[[#This Row],[Qty]])</f>
        <v>3.5999999999999996</v>
      </c>
      <c r="F8" s="125">
        <f>IF(ISBLANK(tbScratch1[[#This Row],[Item]]),"",_xlfn.XLOOKUP(tbScratch1[[#This Row],[Item]],Calories[Name],Calories[Carbs])*tbScratch1[[#This Row],[Qty]])</f>
        <v>0.82500000000000007</v>
      </c>
      <c r="G8" s="125">
        <f>IF(ISBLANK(tbScratch1[[#This Row],[Item]]),"",_xlfn.XLOOKUP(tbScratch1[[#This Row],[Item]],Calories[Name],Calories[Fibre])*tbScratch1[[#This Row],[Qty]])</f>
        <v>0.30000000000000004</v>
      </c>
      <c r="H8" s="125">
        <f>IF(ISBLANK(tbScratch1[[#This Row],[Item]]),"",(tbScratch1[[#This Row],[Carbs]]-tbScratch1[[#This Row],[Fibre]]))</f>
        <v>0.52500000000000002</v>
      </c>
      <c r="I8" s="136">
        <f>IF(ISBLANK(tbScratch1[[#This Row],[Item]]),"",_xlfn.XLOOKUP(tbScratch1[[#This Row],[Item]],Calories[Name],Calories[Sodium])*tbScratch1[[#This Row],[Qty]])</f>
        <v>1.7999999999999998</v>
      </c>
      <c r="J8" s="125">
        <f>IF(ISBLANK(tbScratch1[[#This Row],[Item]]),"",_xlfn.XLOOKUP(tbScratch1[[#This Row],[Item]],Calories[Name],Calories[Protein])*tbScratch1[[#This Row],[Qty]])</f>
        <v>0.22499999999999998</v>
      </c>
      <c r="K8" s="137">
        <f>IF(ISBLANK(tbScratch1[[#This Row],[Item]]),"",_xlfn.XLOOKUP(tbScratch1[[#This Row],[Item]],Calories[Name],Calories[Chol.])*tbScratch1[[#This Row],[Qty]])</f>
        <v>0</v>
      </c>
      <c r="L8" s="75"/>
      <c r="M8" s="78" t="s">
        <v>404</v>
      </c>
      <c r="N8" s="79">
        <v>330</v>
      </c>
      <c r="O8" s="76" t="str">
        <f>IF(ISBLANK(tbScratch2[[#This Row],[Item]]),"",_xlfn.XLOOKUP(tbScratch2[[#This Row],[Item]],Calories[Name],Calories[Unit]))</f>
        <v>g</v>
      </c>
      <c r="P8" s="65">
        <f>IF(ISBLANK(tbScratch2[[#This Row],[Item]]),"",_xlfn.XLOOKUP(tbScratch2[[#This Row],[Item]],Calories[Name],Calories[Cals])*tbScratch2[[#This Row],[Qty]])</f>
        <v>0</v>
      </c>
      <c r="Q8" s="71">
        <f>IF(ISBLANK(tbScratch2[[#This Row],[Item]]),"",_xlfn.XLOOKUP(tbScratch2[[#This Row],[Item]],Calories[Name],Calories[Carbs])*tbScratch2[[#This Row],[Qty]])</f>
        <v>0</v>
      </c>
      <c r="R8" s="71">
        <f>IF(ISBLANK(tbScratch2[[#This Row],[Item]]),"",_xlfn.XLOOKUP(tbScratch2[[#This Row],[Item]],Calories[Name],Calories[Fibre])*tbScratch2[[#This Row],[Qty]])</f>
        <v>0</v>
      </c>
      <c r="S8" s="71">
        <f>IF(ISBLANK(tbScratch2[[#This Row],[Item]]),"",(tbScratch2[[#This Row],[Carbs]]-tbScratch2[[#This Row],[Fibre]]))</f>
        <v>0</v>
      </c>
      <c r="T8" s="145">
        <f>IF(ISBLANK(tbScratch2[[#This Row],[Item]]),"",_xlfn.XLOOKUP(tbScratch2[[#This Row],[Item]],Calories[Name],Calories[Sodium])*tbScratch2[[#This Row],[Qty]])</f>
        <v>0</v>
      </c>
      <c r="U8" s="71">
        <f>IF(ISBLANK(tbScratch2[[#This Row],[Item]]),"",_xlfn.XLOOKUP(tbScratch2[[#This Row],[Item]],Calories[Name],Calories[Protein])*tbScratch2[[#This Row],[Qty]])</f>
        <v>0</v>
      </c>
      <c r="V8" s="88">
        <f>IF(ISBLANK(tbScratch2[[#This Row],[Item]]),"",_xlfn.XLOOKUP(tbScratch2[[#This Row],[Item]],Calories[Name],Calories[Chol.])*tbScratch2[[#This Row],[Qty]])</f>
        <v>0</v>
      </c>
    </row>
    <row r="9" spans="1:22" s="66" customFormat="1" ht="25.15" customHeight="1">
      <c r="A9" s="75"/>
      <c r="B9" s="128" t="s">
        <v>51</v>
      </c>
      <c r="C9" s="122">
        <v>0.25</v>
      </c>
      <c r="D9" s="123" t="str">
        <f>IF(ISBLANK(tbScratch1[[#This Row],[Item]]),"",_xlfn.XLOOKUP(tbScratch1[[#This Row],[Item]],Calories[Name],Calories[Unit]))</f>
        <v>c</v>
      </c>
      <c r="E9" s="135">
        <f>IF(ISBLANK(tbScratch1[[#This Row],[Item]]),"",_xlfn.XLOOKUP(tbScratch1[[#This Row],[Item]],Calories[Name],Calories[Cals])*tbScratch1[[#This Row],[Qty]])</f>
        <v>11.55</v>
      </c>
      <c r="F9" s="125">
        <f>IF(ISBLANK(tbScratch1[[#This Row],[Item]]),"",_xlfn.XLOOKUP(tbScratch1[[#This Row],[Item]],Calories[Name],Calories[Carbs])*tbScratch1[[#This Row],[Qty]])</f>
        <v>2.25</v>
      </c>
      <c r="G9" s="125">
        <f>IF(ISBLANK(tbScratch1[[#This Row],[Item]]),"",_xlfn.XLOOKUP(tbScratch1[[#This Row],[Item]],Calories[Name],Calories[Fibre])*tbScratch1[[#This Row],[Qty]])</f>
        <v>0.77500000000000002</v>
      </c>
      <c r="H9" s="125">
        <f>IF(ISBLANK(tbScratch1[[#This Row],[Item]]),"",(tbScratch1[[#This Row],[Carbs]]-tbScratch1[[#This Row],[Fibre]]))</f>
        <v>1.4750000000000001</v>
      </c>
      <c r="I9" s="136">
        <f>IF(ISBLANK(tbScratch1[[#This Row],[Item]]),"",_xlfn.XLOOKUP(tbScratch1[[#This Row],[Item]],Calories[Name],Calories[Sodium])*tbScratch1[[#This Row],[Qty]])</f>
        <v>1.5</v>
      </c>
      <c r="J9" s="125">
        <f>IF(ISBLANK(tbScratch1[[#This Row],[Item]]),"",_xlfn.XLOOKUP(tbScratch1[[#This Row],[Item]],Calories[Name],Calories[Protein])*tbScratch1[[#This Row],[Qty]])</f>
        <v>0.375</v>
      </c>
      <c r="K9" s="137">
        <f>IF(ISBLANK(tbScratch1[[#This Row],[Item]]),"",_xlfn.XLOOKUP(tbScratch1[[#This Row],[Item]],Calories[Name],Calories[Chol.])*tbScratch1[[#This Row],[Qty]])</f>
        <v>0</v>
      </c>
      <c r="L9" s="75"/>
      <c r="M9" s="78"/>
      <c r="N9" s="79"/>
      <c r="O9" s="76" t="str">
        <f>IF(ISBLANK(tbScratch2[[#This Row],[Item]]),"",_xlfn.XLOOKUP(tbScratch2[[#This Row],[Item]],Calories[Name],Calories[Unit]))</f>
        <v/>
      </c>
      <c r="P9" s="65" t="str">
        <f>IF(ISBLANK(tbScratch2[[#This Row],[Item]]),"",_xlfn.XLOOKUP(tbScratch2[[#This Row],[Item]],Calories[Name],Calories[Cals])*tbScratch2[[#This Row],[Qty]])</f>
        <v/>
      </c>
      <c r="Q9" s="71" t="str">
        <f>IF(ISBLANK(tbScratch2[[#This Row],[Item]]),"",_xlfn.XLOOKUP(tbScratch2[[#This Row],[Item]],Calories[Name],Calories[Carbs])*tbScratch2[[#This Row],[Qty]])</f>
        <v/>
      </c>
      <c r="R9" s="71" t="str">
        <f>IF(ISBLANK(tbScratch2[[#This Row],[Item]]),"",_xlfn.XLOOKUP(tbScratch2[[#This Row],[Item]],Calories[Name],Calories[Fibre])*tbScratch2[[#This Row],[Qty]])</f>
        <v/>
      </c>
      <c r="S9" s="71" t="str">
        <f>IF(ISBLANK(tbScratch2[[#This Row],[Item]]),"",(tbScratch2[[#This Row],[Carbs]]-tbScratch2[[#This Row],[Fibre]]))</f>
        <v/>
      </c>
      <c r="T9" s="145" t="str">
        <f>IF(ISBLANK(tbScratch2[[#This Row],[Item]]),"",_xlfn.XLOOKUP(tbScratch2[[#This Row],[Item]],Calories[Name],Calories[Sodium])*tbScratch2[[#This Row],[Qty]])</f>
        <v/>
      </c>
      <c r="U9" s="71" t="str">
        <f>IF(ISBLANK(tbScratch2[[#This Row],[Item]]),"",_xlfn.XLOOKUP(tbScratch2[[#This Row],[Item]],Calories[Name],Calories[Protein])*tbScratch2[[#This Row],[Qty]])</f>
        <v/>
      </c>
      <c r="V9" s="88" t="str">
        <f>IF(ISBLANK(tbScratch2[[#This Row],[Item]]),"",_xlfn.XLOOKUP(tbScratch2[[#This Row],[Item]],Calories[Name],Calories[Chol.])*tbScratch2[[#This Row],[Qty]])</f>
        <v/>
      </c>
    </row>
    <row r="10" spans="1:22" s="66" customFormat="1" ht="25.15" customHeight="1">
      <c r="A10" s="75"/>
      <c r="B10" s="128" t="s">
        <v>35</v>
      </c>
      <c r="C10" s="122">
        <v>2</v>
      </c>
      <c r="D10" s="123" t="str">
        <f>IF(ISBLANK(tbScratch1[[#This Row],[Item]]),"",_xlfn.XLOOKUP(tbScratch1[[#This Row],[Item]],Calories[Name],Calories[Unit]))</f>
        <v>tbsp</v>
      </c>
      <c r="E10" s="135">
        <f>IF(ISBLANK(tbScratch1[[#This Row],[Item]]),"",_xlfn.XLOOKUP(tbScratch1[[#This Row],[Item]],Calories[Name],Calories[Cals])*tbScratch1[[#This Row],[Qty]])</f>
        <v>180</v>
      </c>
      <c r="F10" s="125">
        <f>IF(ISBLANK(tbScratch1[[#This Row],[Item]]),"",_xlfn.XLOOKUP(tbScratch1[[#This Row],[Item]],Calories[Name],Calories[Carbs])*tbScratch1[[#This Row],[Qty]])</f>
        <v>0</v>
      </c>
      <c r="G10" s="125">
        <f>IF(ISBLANK(tbScratch1[[#This Row],[Item]]),"",_xlfn.XLOOKUP(tbScratch1[[#This Row],[Item]],Calories[Name],Calories[Fibre])*tbScratch1[[#This Row],[Qty]])</f>
        <v>0</v>
      </c>
      <c r="H10" s="125">
        <f>IF(ISBLANK(tbScratch1[[#This Row],[Item]]),"",(tbScratch1[[#This Row],[Carbs]]-tbScratch1[[#This Row],[Fibre]]))</f>
        <v>0</v>
      </c>
      <c r="I10" s="136">
        <f>IF(ISBLANK(tbScratch1[[#This Row],[Item]]),"",_xlfn.XLOOKUP(tbScratch1[[#This Row],[Item]],Calories[Name],Calories[Sodium])*tbScratch1[[#This Row],[Qty]])</f>
        <v>180</v>
      </c>
      <c r="J10" s="125">
        <f>IF(ISBLANK(tbScratch1[[#This Row],[Item]]),"",_xlfn.XLOOKUP(tbScratch1[[#This Row],[Item]],Calories[Name],Calories[Protein])*tbScratch1[[#This Row],[Qty]])</f>
        <v>0</v>
      </c>
      <c r="K10" s="137">
        <f>IF(ISBLANK(tbScratch1[[#This Row],[Item]]),"",_xlfn.XLOOKUP(tbScratch1[[#This Row],[Item]],Calories[Name],Calories[Chol.])*tbScratch1[[#This Row],[Qty]])</f>
        <v>10</v>
      </c>
      <c r="L10" s="75"/>
      <c r="M10" s="78"/>
      <c r="N10" s="79"/>
      <c r="O10" s="76" t="str">
        <f>IF(ISBLANK(tbScratch2[[#This Row],[Item]]),"",_xlfn.XLOOKUP(tbScratch2[[#This Row],[Item]],Calories[Name],Calories[Unit]))</f>
        <v/>
      </c>
      <c r="P10" s="65" t="str">
        <f>IF(ISBLANK(tbScratch2[[#This Row],[Item]]),"",_xlfn.XLOOKUP(tbScratch2[[#This Row],[Item]],Calories[Name],Calories[Cals])*tbScratch2[[#This Row],[Qty]])</f>
        <v/>
      </c>
      <c r="Q10" s="71" t="str">
        <f>IF(ISBLANK(tbScratch2[[#This Row],[Item]]),"",_xlfn.XLOOKUP(tbScratch2[[#This Row],[Item]],Calories[Name],Calories[Carbs])*tbScratch2[[#This Row],[Qty]])</f>
        <v/>
      </c>
      <c r="R10" s="71" t="str">
        <f>IF(ISBLANK(tbScratch2[[#This Row],[Item]]),"",_xlfn.XLOOKUP(tbScratch2[[#This Row],[Item]],Calories[Name],Calories[Fibre])*tbScratch2[[#This Row],[Qty]])</f>
        <v/>
      </c>
      <c r="S10" s="71" t="str">
        <f>IF(ISBLANK(tbScratch2[[#This Row],[Item]]),"",(tbScratch2[[#This Row],[Carbs]]-tbScratch2[[#This Row],[Fibre]]))</f>
        <v/>
      </c>
      <c r="T10" s="145" t="str">
        <f>IF(ISBLANK(tbScratch2[[#This Row],[Item]]),"",_xlfn.XLOOKUP(tbScratch2[[#This Row],[Item]],Calories[Name],Calories[Sodium])*tbScratch2[[#This Row],[Qty]])</f>
        <v/>
      </c>
      <c r="U10" s="71" t="str">
        <f>IF(ISBLANK(tbScratch2[[#This Row],[Item]]),"",_xlfn.XLOOKUP(tbScratch2[[#This Row],[Item]],Calories[Name],Calories[Protein])*tbScratch2[[#This Row],[Qty]])</f>
        <v/>
      </c>
      <c r="V10" s="88" t="str">
        <f>IF(ISBLANK(tbScratch2[[#This Row],[Item]]),"",_xlfn.XLOOKUP(tbScratch2[[#This Row],[Item]],Calories[Name],Calories[Chol.])*tbScratch2[[#This Row],[Qty]])</f>
        <v/>
      </c>
    </row>
    <row r="11" spans="1:22" s="66" customFormat="1" ht="25.15" customHeight="1">
      <c r="A11" s="75"/>
      <c r="B11" s="134" t="s">
        <v>80</v>
      </c>
      <c r="C11" s="122">
        <v>0.25</v>
      </c>
      <c r="D11" s="123" t="str">
        <f>IF(ISBLANK(tbScratch1[[#This Row],[Item]]),"",_xlfn.XLOOKUP(tbScratch1[[#This Row],[Item]],Calories[Name],Calories[Unit]))</f>
        <v>c</v>
      </c>
      <c r="E11" s="135">
        <f>IF(ISBLANK(tbScratch1[[#This Row],[Item]]),"",_xlfn.XLOOKUP(tbScratch1[[#This Row],[Item]],Calories[Name],Calories[Cals])*tbScratch1[[#This Row],[Qty]])</f>
        <v>156.5</v>
      </c>
      <c r="F11" s="125">
        <f>IF(ISBLANK(tbScratch1[[#This Row],[Item]]),"",_xlfn.XLOOKUP(tbScratch1[[#This Row],[Item]],Calories[Name],Calories[Carbs])*tbScratch1[[#This Row],[Qty]])</f>
        <v>27.25</v>
      </c>
      <c r="G11" s="125">
        <f>IF(ISBLANK(tbScratch1[[#This Row],[Item]]),"",_xlfn.XLOOKUP(tbScratch1[[#This Row],[Item]],Calories[Name],Calories[Fibre])*tbScratch1[[#This Row],[Qty]])</f>
        <v>3</v>
      </c>
      <c r="H11" s="125">
        <f>IF(ISBLANK(tbScratch1[[#This Row],[Item]]),"",(tbScratch1[[#This Row],[Carbs]]-tbScratch1[[#This Row],[Fibre]]))</f>
        <v>24.25</v>
      </c>
      <c r="I11" s="136">
        <f>IF(ISBLANK(tbScratch1[[#This Row],[Item]]),"",_xlfn.XLOOKUP(tbScratch1[[#This Row],[Item]],Calories[Name],Calories[Sodium])*tbScratch1[[#This Row],[Qty]])</f>
        <v>2.125</v>
      </c>
      <c r="J11" s="125">
        <f>IF(ISBLANK(tbScratch1[[#This Row],[Item]]),"",_xlfn.XLOOKUP(tbScratch1[[#This Row],[Item]],Calories[Name],Calories[Protein])*tbScratch1[[#This Row],[Qty]])</f>
        <v>6</v>
      </c>
      <c r="K11" s="137">
        <f>IF(ISBLANK(tbScratch1[[#This Row],[Item]]),"",_xlfn.XLOOKUP(tbScratch1[[#This Row],[Item]],Calories[Name],Calories[Chol.])*tbScratch1[[#This Row],[Qty]])</f>
        <v>0</v>
      </c>
      <c r="L11" s="75"/>
      <c r="M11" s="64"/>
      <c r="N11" s="79"/>
      <c r="O11" s="76" t="str">
        <f>IF(ISBLANK(tbScratch2[[#This Row],[Item]]),"",_xlfn.XLOOKUP(tbScratch2[[#This Row],[Item]],Calories[Name],Calories[Unit]))</f>
        <v/>
      </c>
      <c r="P11" s="65" t="str">
        <f>IF(ISBLANK(tbScratch2[[#This Row],[Item]]),"",_xlfn.XLOOKUP(tbScratch2[[#This Row],[Item]],Calories[Name],Calories[Cals])*tbScratch2[[#This Row],[Qty]])</f>
        <v/>
      </c>
      <c r="Q11" s="71" t="str">
        <f>IF(ISBLANK(tbScratch2[[#This Row],[Item]]),"",_xlfn.XLOOKUP(tbScratch2[[#This Row],[Item]],Calories[Name],Calories[Carbs])*tbScratch2[[#This Row],[Qty]])</f>
        <v/>
      </c>
      <c r="R11" s="71" t="str">
        <f>IF(ISBLANK(tbScratch2[[#This Row],[Item]]),"",_xlfn.XLOOKUP(tbScratch2[[#This Row],[Item]],Calories[Name],Calories[Fibre])*tbScratch2[[#This Row],[Qty]])</f>
        <v/>
      </c>
      <c r="S11" s="71" t="str">
        <f>IF(ISBLANK(tbScratch2[[#This Row],[Item]]),"",(tbScratch2[[#This Row],[Carbs]]-tbScratch2[[#This Row],[Fibre]]))</f>
        <v/>
      </c>
      <c r="T11" s="145" t="str">
        <f>IF(ISBLANK(tbScratch2[[#This Row],[Item]]),"",_xlfn.XLOOKUP(tbScratch2[[#This Row],[Item]],Calories[Name],Calories[Sodium])*tbScratch2[[#This Row],[Qty]])</f>
        <v/>
      </c>
      <c r="U11" s="71" t="str">
        <f>IF(ISBLANK(tbScratch2[[#This Row],[Item]]),"",_xlfn.XLOOKUP(tbScratch2[[#This Row],[Item]],Calories[Name],Calories[Protein])*tbScratch2[[#This Row],[Qty]])</f>
        <v/>
      </c>
      <c r="V11" s="88" t="str">
        <f>IF(ISBLANK(tbScratch2[[#This Row],[Item]]),"",_xlfn.XLOOKUP(tbScratch2[[#This Row],[Item]],Calories[Name],Calories[Chol.])*tbScratch2[[#This Row],[Qty]])</f>
        <v/>
      </c>
    </row>
    <row r="12" spans="1:22" s="66" customFormat="1" ht="25.15" customHeight="1">
      <c r="A12" s="75"/>
      <c r="B12" s="128"/>
      <c r="C12" s="122"/>
      <c r="D12" s="123" t="str">
        <f>IF(ISBLANK(tbScratch1[[#This Row],[Item]]),"",_xlfn.XLOOKUP(tbScratch1[[#This Row],[Item]],Calories[Name],Calories[Unit]))</f>
        <v/>
      </c>
      <c r="E12" s="135" t="str">
        <f>IF(ISBLANK(tbScratch1[[#This Row],[Item]]),"",_xlfn.XLOOKUP(tbScratch1[[#This Row],[Item]],Calories[Name],Calories[Cals])*tbScratch1[[#This Row],[Qty]])</f>
        <v/>
      </c>
      <c r="F12" s="125" t="str">
        <f>IF(ISBLANK(tbScratch1[[#This Row],[Item]]),"",_xlfn.XLOOKUP(tbScratch1[[#This Row],[Item]],Calories[Name],Calories[Carbs])*tbScratch1[[#This Row],[Qty]])</f>
        <v/>
      </c>
      <c r="G12" s="125" t="str">
        <f>IF(ISBLANK(tbScratch1[[#This Row],[Item]]),"",_xlfn.XLOOKUP(tbScratch1[[#This Row],[Item]],Calories[Name],Calories[Fibre])*tbScratch1[[#This Row],[Qty]])</f>
        <v/>
      </c>
      <c r="H12" s="125" t="str">
        <f>IF(ISBLANK(tbScratch1[[#This Row],[Item]]),"",(tbScratch1[[#This Row],[Carbs]]-tbScratch1[[#This Row],[Fibre]]))</f>
        <v/>
      </c>
      <c r="I12" s="136" t="str">
        <f>IF(ISBLANK(tbScratch1[[#This Row],[Item]]),"",_xlfn.XLOOKUP(tbScratch1[[#This Row],[Item]],Calories[Name],Calories[Sodium])*tbScratch1[[#This Row],[Qty]])</f>
        <v/>
      </c>
      <c r="J12" s="125" t="str">
        <f>IF(ISBLANK(tbScratch1[[#This Row],[Item]]),"",_xlfn.XLOOKUP(tbScratch1[[#This Row],[Item]],Calories[Name],Calories[Protein])*tbScratch1[[#This Row],[Qty]])</f>
        <v/>
      </c>
      <c r="K12" s="137" t="str">
        <f>IF(ISBLANK(tbScratch1[[#This Row],[Item]]),"",_xlfn.XLOOKUP(tbScratch1[[#This Row],[Item]],Calories[Name],Calories[Chol.])*tbScratch1[[#This Row],[Qty]])</f>
        <v/>
      </c>
      <c r="L12" s="75"/>
      <c r="M12" s="78"/>
      <c r="N12" s="79"/>
      <c r="O12" s="76" t="str">
        <f>IF(ISBLANK(tbScratch2[[#This Row],[Item]]),"",_xlfn.XLOOKUP(tbScratch2[[#This Row],[Item]],Calories[Name],Calories[Unit]))</f>
        <v/>
      </c>
      <c r="P12" s="65" t="str">
        <f>IF(ISBLANK(tbScratch2[[#This Row],[Item]]),"",_xlfn.XLOOKUP(tbScratch2[[#This Row],[Item]],Calories[Name],Calories[Cals])*tbScratch2[[#This Row],[Qty]])</f>
        <v/>
      </c>
      <c r="Q12" s="71" t="str">
        <f>IF(ISBLANK(tbScratch2[[#This Row],[Item]]),"",_xlfn.XLOOKUP(tbScratch2[[#This Row],[Item]],Calories[Name],Calories[Carbs])*tbScratch2[[#This Row],[Qty]])</f>
        <v/>
      </c>
      <c r="R12" s="71" t="str">
        <f>IF(ISBLANK(tbScratch2[[#This Row],[Item]]),"",_xlfn.XLOOKUP(tbScratch2[[#This Row],[Item]],Calories[Name],Calories[Fibre])*tbScratch2[[#This Row],[Qty]])</f>
        <v/>
      </c>
      <c r="S12" s="71" t="str">
        <f>IF(ISBLANK(tbScratch2[[#This Row],[Item]]),"",(tbScratch2[[#This Row],[Carbs]]-tbScratch2[[#This Row],[Fibre]]))</f>
        <v/>
      </c>
      <c r="T12" s="145" t="str">
        <f>IF(ISBLANK(tbScratch2[[#This Row],[Item]]),"",_xlfn.XLOOKUP(tbScratch2[[#This Row],[Item]],Calories[Name],Calories[Sodium])*tbScratch2[[#This Row],[Qty]])</f>
        <v/>
      </c>
      <c r="U12" s="71" t="str">
        <f>IF(ISBLANK(tbScratch2[[#This Row],[Item]]),"",_xlfn.XLOOKUP(tbScratch2[[#This Row],[Item]],Calories[Name],Calories[Protein])*tbScratch2[[#This Row],[Qty]])</f>
        <v/>
      </c>
      <c r="V12" s="88" t="str">
        <f>IF(ISBLANK(tbScratch2[[#This Row],[Item]]),"",_xlfn.XLOOKUP(tbScratch2[[#This Row],[Item]],Calories[Name],Calories[Chol.])*tbScratch2[[#This Row],[Qty]])</f>
        <v/>
      </c>
    </row>
    <row r="13" spans="1:22" s="66" customFormat="1" ht="25.15" customHeight="1">
      <c r="A13" s="75"/>
      <c r="B13" s="134"/>
      <c r="C13" s="122"/>
      <c r="D13" s="123" t="str">
        <f>IF(ISBLANK(tbScratch1[[#This Row],[Item]]),"",_xlfn.XLOOKUP(tbScratch1[[#This Row],[Item]],Calories[Name],Calories[Unit]))</f>
        <v/>
      </c>
      <c r="E13" s="135" t="str">
        <f>IF(ISBLANK(tbScratch1[[#This Row],[Item]]),"",_xlfn.XLOOKUP(tbScratch1[[#This Row],[Item]],Calories[Name],Calories[Cals])*tbScratch1[[#This Row],[Qty]])</f>
        <v/>
      </c>
      <c r="F13" s="125" t="str">
        <f>IF(ISBLANK(tbScratch1[[#This Row],[Item]]),"",_xlfn.XLOOKUP(tbScratch1[[#This Row],[Item]],Calories[Name],Calories[Carbs])*tbScratch1[[#This Row],[Qty]])</f>
        <v/>
      </c>
      <c r="G13" s="125" t="str">
        <f>IF(ISBLANK(tbScratch1[[#This Row],[Item]]),"",_xlfn.XLOOKUP(tbScratch1[[#This Row],[Item]],Calories[Name],Calories[Fibre])*tbScratch1[[#This Row],[Qty]])</f>
        <v/>
      </c>
      <c r="H13" s="125" t="str">
        <f>IF(ISBLANK(tbScratch1[[#This Row],[Item]]),"",(tbScratch1[[#This Row],[Carbs]]-tbScratch1[[#This Row],[Fibre]]))</f>
        <v/>
      </c>
      <c r="I13" s="136" t="str">
        <f>IF(ISBLANK(tbScratch1[[#This Row],[Item]]),"",_xlfn.XLOOKUP(tbScratch1[[#This Row],[Item]],Calories[Name],Calories[Sodium])*tbScratch1[[#This Row],[Qty]])</f>
        <v/>
      </c>
      <c r="J13" s="125" t="str">
        <f>IF(ISBLANK(tbScratch1[[#This Row],[Item]]),"",_xlfn.XLOOKUP(tbScratch1[[#This Row],[Item]],Calories[Name],Calories[Protein])*tbScratch1[[#This Row],[Qty]])</f>
        <v/>
      </c>
      <c r="K13" s="137" t="str">
        <f>IF(ISBLANK(tbScratch1[[#This Row],[Item]]),"",_xlfn.XLOOKUP(tbScratch1[[#This Row],[Item]],Calories[Name],Calories[Chol.])*tbScratch1[[#This Row],[Qty]])</f>
        <v/>
      </c>
      <c r="L13" s="75"/>
      <c r="M13" s="64"/>
      <c r="N13" s="79"/>
      <c r="O13" s="76" t="str">
        <f>IF(ISBLANK(tbScratch2[[#This Row],[Item]]),"",_xlfn.XLOOKUP(tbScratch2[[#This Row],[Item]],Calories[Name],Calories[Unit]))</f>
        <v/>
      </c>
      <c r="P13" s="65" t="str">
        <f>IF(ISBLANK(tbScratch2[[#This Row],[Item]]),"",_xlfn.XLOOKUP(tbScratch2[[#This Row],[Item]],Calories[Name],Calories[Cals])*tbScratch2[[#This Row],[Qty]])</f>
        <v/>
      </c>
      <c r="Q13" s="71" t="str">
        <f>IF(ISBLANK(tbScratch2[[#This Row],[Item]]),"",_xlfn.XLOOKUP(tbScratch2[[#This Row],[Item]],Calories[Name],Calories[Carbs])*tbScratch2[[#This Row],[Qty]])</f>
        <v/>
      </c>
      <c r="R13" s="71" t="str">
        <f>IF(ISBLANK(tbScratch2[[#This Row],[Item]]),"",_xlfn.XLOOKUP(tbScratch2[[#This Row],[Item]],Calories[Name],Calories[Fibre])*tbScratch2[[#This Row],[Qty]])</f>
        <v/>
      </c>
      <c r="S13" s="71" t="str">
        <f>IF(ISBLANK(tbScratch2[[#This Row],[Item]]),"",(tbScratch2[[#This Row],[Carbs]]-tbScratch2[[#This Row],[Fibre]]))</f>
        <v/>
      </c>
      <c r="T13" s="145" t="str">
        <f>IF(ISBLANK(tbScratch2[[#This Row],[Item]]),"",_xlfn.XLOOKUP(tbScratch2[[#This Row],[Item]],Calories[Name],Calories[Sodium])*tbScratch2[[#This Row],[Qty]])</f>
        <v/>
      </c>
      <c r="U13" s="71" t="str">
        <f>IF(ISBLANK(tbScratch2[[#This Row],[Item]]),"",_xlfn.XLOOKUP(tbScratch2[[#This Row],[Item]],Calories[Name],Calories[Protein])*tbScratch2[[#This Row],[Qty]])</f>
        <v/>
      </c>
      <c r="V13" s="88" t="str">
        <f>IF(ISBLANK(tbScratch2[[#This Row],[Item]]),"",_xlfn.XLOOKUP(tbScratch2[[#This Row],[Item]],Calories[Name],Calories[Chol.])*tbScratch2[[#This Row],[Qty]])</f>
        <v/>
      </c>
    </row>
    <row r="14" spans="1:22" s="66" customFormat="1" ht="25.15" customHeight="1">
      <c r="A14" s="75"/>
      <c r="B14" s="128"/>
      <c r="C14" s="122"/>
      <c r="D14" s="123" t="str">
        <f>IF(ISBLANK(tbScratch1[[#This Row],[Item]]),"",_xlfn.XLOOKUP(tbScratch1[[#This Row],[Item]],Calories[Name],Calories[Unit]))</f>
        <v/>
      </c>
      <c r="E14" s="135" t="str">
        <f>IF(ISBLANK(tbScratch1[[#This Row],[Item]]),"",_xlfn.XLOOKUP(tbScratch1[[#This Row],[Item]],Calories[Name],Calories[Cals])*tbScratch1[[#This Row],[Qty]])</f>
        <v/>
      </c>
      <c r="F14" s="125" t="str">
        <f>IF(ISBLANK(tbScratch1[[#This Row],[Item]]),"",_xlfn.XLOOKUP(tbScratch1[[#This Row],[Item]],Calories[Name],Calories[Carbs])*tbScratch1[[#This Row],[Qty]])</f>
        <v/>
      </c>
      <c r="G14" s="125" t="str">
        <f>IF(ISBLANK(tbScratch1[[#This Row],[Item]]),"",_xlfn.XLOOKUP(tbScratch1[[#This Row],[Item]],Calories[Name],Calories[Fibre])*tbScratch1[[#This Row],[Qty]])</f>
        <v/>
      </c>
      <c r="H14" s="125" t="str">
        <f>IF(ISBLANK(tbScratch1[[#This Row],[Item]]),"",(tbScratch1[[#This Row],[Carbs]]-tbScratch1[[#This Row],[Fibre]]))</f>
        <v/>
      </c>
      <c r="I14" s="136" t="str">
        <f>IF(ISBLANK(tbScratch1[[#This Row],[Item]]),"",_xlfn.XLOOKUP(tbScratch1[[#This Row],[Item]],Calories[Name],Calories[Sodium])*tbScratch1[[#This Row],[Qty]])</f>
        <v/>
      </c>
      <c r="J14" s="125" t="str">
        <f>IF(ISBLANK(tbScratch1[[#This Row],[Item]]),"",_xlfn.XLOOKUP(tbScratch1[[#This Row],[Item]],Calories[Name],Calories[Protein])*tbScratch1[[#This Row],[Qty]])</f>
        <v/>
      </c>
      <c r="K14" s="137" t="str">
        <f>IF(ISBLANK(tbScratch1[[#This Row],[Item]]),"",_xlfn.XLOOKUP(tbScratch1[[#This Row],[Item]],Calories[Name],Calories[Chol.])*tbScratch1[[#This Row],[Qty]])</f>
        <v/>
      </c>
      <c r="L14" s="75"/>
      <c r="M14" s="78"/>
      <c r="N14" s="79"/>
      <c r="O14" s="76" t="str">
        <f>IF(ISBLANK(tbScratch2[[#This Row],[Item]]),"",_xlfn.XLOOKUP(tbScratch2[[#This Row],[Item]],Calories[Name],Calories[Unit]))</f>
        <v/>
      </c>
      <c r="P14" s="65" t="str">
        <f>IF(ISBLANK(tbScratch2[[#This Row],[Item]]),"",_xlfn.XLOOKUP(tbScratch2[[#This Row],[Item]],Calories[Name],Calories[Cals])*tbScratch2[[#This Row],[Qty]])</f>
        <v/>
      </c>
      <c r="Q14" s="71" t="str">
        <f>IF(ISBLANK(tbScratch2[[#This Row],[Item]]),"",_xlfn.XLOOKUP(tbScratch2[[#This Row],[Item]],Calories[Name],Calories[Carbs])*tbScratch2[[#This Row],[Qty]])</f>
        <v/>
      </c>
      <c r="R14" s="71" t="str">
        <f>IF(ISBLANK(tbScratch2[[#This Row],[Item]]),"",_xlfn.XLOOKUP(tbScratch2[[#This Row],[Item]],Calories[Name],Calories[Fibre])*tbScratch2[[#This Row],[Qty]])</f>
        <v/>
      </c>
      <c r="S14" s="71" t="str">
        <f>IF(ISBLANK(tbScratch2[[#This Row],[Item]]),"",(tbScratch2[[#This Row],[Carbs]]-tbScratch2[[#This Row],[Fibre]]))</f>
        <v/>
      </c>
      <c r="T14" s="145" t="str">
        <f>IF(ISBLANK(tbScratch2[[#This Row],[Item]]),"",_xlfn.XLOOKUP(tbScratch2[[#This Row],[Item]],Calories[Name],Calories[Sodium])*tbScratch2[[#This Row],[Qty]])</f>
        <v/>
      </c>
      <c r="U14" s="71" t="str">
        <f>IF(ISBLANK(tbScratch2[[#This Row],[Item]]),"",_xlfn.XLOOKUP(tbScratch2[[#This Row],[Item]],Calories[Name],Calories[Protein])*tbScratch2[[#This Row],[Qty]])</f>
        <v/>
      </c>
      <c r="V14" s="88" t="str">
        <f>IF(ISBLANK(tbScratch2[[#This Row],[Item]]),"",_xlfn.XLOOKUP(tbScratch2[[#This Row],[Item]],Calories[Name],Calories[Chol.])*tbScratch2[[#This Row],[Qty]])</f>
        <v/>
      </c>
    </row>
    <row r="15" spans="1:22" s="66" customFormat="1" ht="25.15" customHeight="1">
      <c r="A15" s="75"/>
      <c r="B15" s="128"/>
      <c r="C15" s="122"/>
      <c r="D15" s="123" t="str">
        <f>IF(ISBLANK(tbScratch1[[#This Row],[Item]]),"",_xlfn.XLOOKUP(tbScratch1[[#This Row],[Item]],Calories[Name],Calories[Unit]))</f>
        <v/>
      </c>
      <c r="E15" s="135" t="str">
        <f>IF(ISBLANK(tbScratch1[[#This Row],[Item]]),"",_xlfn.XLOOKUP(tbScratch1[[#This Row],[Item]],Calories[Name],Calories[Cals])*tbScratch1[[#This Row],[Qty]])</f>
        <v/>
      </c>
      <c r="F15" s="125" t="str">
        <f>IF(ISBLANK(tbScratch1[[#This Row],[Item]]),"",_xlfn.XLOOKUP(tbScratch1[[#This Row],[Item]],Calories[Name],Calories[Carbs])*tbScratch1[[#This Row],[Qty]])</f>
        <v/>
      </c>
      <c r="G15" s="125" t="str">
        <f>IF(ISBLANK(tbScratch1[[#This Row],[Item]]),"",_xlfn.XLOOKUP(tbScratch1[[#This Row],[Item]],Calories[Name],Calories[Fibre])*tbScratch1[[#This Row],[Qty]])</f>
        <v/>
      </c>
      <c r="H15" s="125" t="str">
        <f>IF(ISBLANK(tbScratch1[[#This Row],[Item]]),"",(tbScratch1[[#This Row],[Carbs]]-tbScratch1[[#This Row],[Fibre]]))</f>
        <v/>
      </c>
      <c r="I15" s="136" t="str">
        <f>IF(ISBLANK(tbScratch1[[#This Row],[Item]]),"",_xlfn.XLOOKUP(tbScratch1[[#This Row],[Item]],Calories[Name],Calories[Sodium])*tbScratch1[[#This Row],[Qty]])</f>
        <v/>
      </c>
      <c r="J15" s="125" t="str">
        <f>IF(ISBLANK(tbScratch1[[#This Row],[Item]]),"",_xlfn.XLOOKUP(tbScratch1[[#This Row],[Item]],Calories[Name],Calories[Protein])*tbScratch1[[#This Row],[Qty]])</f>
        <v/>
      </c>
      <c r="K15" s="137" t="str">
        <f>IF(ISBLANK(tbScratch1[[#This Row],[Item]]),"",_xlfn.XLOOKUP(tbScratch1[[#This Row],[Item]],Calories[Name],Calories[Chol.])*tbScratch1[[#This Row],[Qty]])</f>
        <v/>
      </c>
      <c r="L15" s="75"/>
      <c r="M15" s="78"/>
      <c r="N15" s="79"/>
      <c r="O15" s="76" t="str">
        <f>IF(ISBLANK(tbScratch2[[#This Row],[Item]]),"",_xlfn.XLOOKUP(tbScratch2[[#This Row],[Item]],Calories[Name],Calories[Unit]))</f>
        <v/>
      </c>
      <c r="P15" s="65" t="str">
        <f>IF(ISBLANK(tbScratch2[[#This Row],[Item]]),"",_xlfn.XLOOKUP(tbScratch2[[#This Row],[Item]],Calories[Name],Calories[Cals])*tbScratch2[[#This Row],[Qty]])</f>
        <v/>
      </c>
      <c r="Q15" s="71" t="str">
        <f>IF(ISBLANK(tbScratch2[[#This Row],[Item]]),"",_xlfn.XLOOKUP(tbScratch2[[#This Row],[Item]],Calories[Name],Calories[Carbs])*tbScratch2[[#This Row],[Qty]])</f>
        <v/>
      </c>
      <c r="R15" s="71" t="str">
        <f>IF(ISBLANK(tbScratch2[[#This Row],[Item]]),"",_xlfn.XLOOKUP(tbScratch2[[#This Row],[Item]],Calories[Name],Calories[Fibre])*tbScratch2[[#This Row],[Qty]])</f>
        <v/>
      </c>
      <c r="S15" s="71" t="str">
        <f>IF(ISBLANK(tbScratch2[[#This Row],[Item]]),"",(tbScratch2[[#This Row],[Carbs]]-tbScratch2[[#This Row],[Fibre]]))</f>
        <v/>
      </c>
      <c r="T15" s="145" t="str">
        <f>IF(ISBLANK(tbScratch2[[#This Row],[Item]]),"",_xlfn.XLOOKUP(tbScratch2[[#This Row],[Item]],Calories[Name],Calories[Sodium])*tbScratch2[[#This Row],[Qty]])</f>
        <v/>
      </c>
      <c r="U15" s="71" t="str">
        <f>IF(ISBLANK(tbScratch2[[#This Row],[Item]]),"",_xlfn.XLOOKUP(tbScratch2[[#This Row],[Item]],Calories[Name],Calories[Protein])*tbScratch2[[#This Row],[Qty]])</f>
        <v/>
      </c>
      <c r="V15" s="88" t="str">
        <f>IF(ISBLANK(tbScratch2[[#This Row],[Item]]),"",_xlfn.XLOOKUP(tbScratch2[[#This Row],[Item]],Calories[Name],Calories[Chol.])*tbScratch2[[#This Row],[Qty]])</f>
        <v/>
      </c>
    </row>
    <row r="16" spans="1:22" s="66" customFormat="1" ht="25.15" customHeight="1">
      <c r="A16" s="75"/>
      <c r="B16" s="128"/>
      <c r="C16" s="122"/>
      <c r="D16" s="123" t="str">
        <f>IF(ISBLANK(tbScratch1[[#This Row],[Item]]),"",_xlfn.XLOOKUP(tbScratch1[[#This Row],[Item]],Calories[Name],Calories[Unit]))</f>
        <v/>
      </c>
      <c r="E16" s="135" t="str">
        <f>IF(ISBLANK(tbScratch1[[#This Row],[Item]]),"",_xlfn.XLOOKUP(tbScratch1[[#This Row],[Item]],Calories[Name],Calories[Cals])*tbScratch1[[#This Row],[Qty]])</f>
        <v/>
      </c>
      <c r="F16" s="125" t="str">
        <f>IF(ISBLANK(tbScratch1[[#This Row],[Item]]),"",_xlfn.XLOOKUP(tbScratch1[[#This Row],[Item]],Calories[Name],Calories[Carbs])*tbScratch1[[#This Row],[Qty]])</f>
        <v/>
      </c>
      <c r="G16" s="125" t="str">
        <f>IF(ISBLANK(tbScratch1[[#This Row],[Item]]),"",_xlfn.XLOOKUP(tbScratch1[[#This Row],[Item]],Calories[Name],Calories[Fibre])*tbScratch1[[#This Row],[Qty]])</f>
        <v/>
      </c>
      <c r="H16" s="125" t="str">
        <f>IF(ISBLANK(tbScratch1[[#This Row],[Item]]),"",(tbScratch1[[#This Row],[Carbs]]-tbScratch1[[#This Row],[Fibre]]))</f>
        <v/>
      </c>
      <c r="I16" s="136" t="str">
        <f>IF(ISBLANK(tbScratch1[[#This Row],[Item]]),"",_xlfn.XLOOKUP(tbScratch1[[#This Row],[Item]],Calories[Name],Calories[Sodium])*tbScratch1[[#This Row],[Qty]])</f>
        <v/>
      </c>
      <c r="J16" s="125" t="str">
        <f>IF(ISBLANK(tbScratch1[[#This Row],[Item]]),"",_xlfn.XLOOKUP(tbScratch1[[#This Row],[Item]],Calories[Name],Calories[Protein])*tbScratch1[[#This Row],[Qty]])</f>
        <v/>
      </c>
      <c r="K16" s="137" t="str">
        <f>IF(ISBLANK(tbScratch1[[#This Row],[Item]]),"",_xlfn.XLOOKUP(tbScratch1[[#This Row],[Item]],Calories[Name],Calories[Chol.])*tbScratch1[[#This Row],[Qty]])</f>
        <v/>
      </c>
      <c r="L16" s="75"/>
      <c r="M16" s="78"/>
      <c r="N16" s="79"/>
      <c r="O16" s="76" t="str">
        <f>IF(ISBLANK(tbScratch2[[#This Row],[Item]]),"",_xlfn.XLOOKUP(tbScratch2[[#This Row],[Item]],Calories[Name],Calories[Unit]))</f>
        <v/>
      </c>
      <c r="P16" s="65" t="str">
        <f>IF(ISBLANK(tbScratch2[[#This Row],[Item]]),"",_xlfn.XLOOKUP(tbScratch2[[#This Row],[Item]],Calories[Name],Calories[Cals])*tbScratch2[[#This Row],[Qty]])</f>
        <v/>
      </c>
      <c r="Q16" s="71" t="str">
        <f>IF(ISBLANK(tbScratch2[[#This Row],[Item]]),"",_xlfn.XLOOKUP(tbScratch2[[#This Row],[Item]],Calories[Name],Calories[Carbs])*tbScratch2[[#This Row],[Qty]])</f>
        <v/>
      </c>
      <c r="R16" s="71" t="str">
        <f>IF(ISBLANK(tbScratch2[[#This Row],[Item]]),"",_xlfn.XLOOKUP(tbScratch2[[#This Row],[Item]],Calories[Name],Calories[Fibre])*tbScratch2[[#This Row],[Qty]])</f>
        <v/>
      </c>
      <c r="S16" s="71" t="str">
        <f>IF(ISBLANK(tbScratch2[[#This Row],[Item]]),"",(tbScratch2[[#This Row],[Carbs]]-tbScratch2[[#This Row],[Fibre]]))</f>
        <v/>
      </c>
      <c r="T16" s="145" t="str">
        <f>IF(ISBLANK(tbScratch2[[#This Row],[Item]]),"",_xlfn.XLOOKUP(tbScratch2[[#This Row],[Item]],Calories[Name],Calories[Sodium])*tbScratch2[[#This Row],[Qty]])</f>
        <v/>
      </c>
      <c r="U16" s="71" t="str">
        <f>IF(ISBLANK(tbScratch2[[#This Row],[Item]]),"",_xlfn.XLOOKUP(tbScratch2[[#This Row],[Item]],Calories[Name],Calories[Protein])*tbScratch2[[#This Row],[Qty]])</f>
        <v/>
      </c>
      <c r="V16" s="88" t="str">
        <f>IF(ISBLANK(tbScratch2[[#This Row],[Item]]),"",_xlfn.XLOOKUP(tbScratch2[[#This Row],[Item]],Calories[Name],Calories[Chol.])*tbScratch2[[#This Row],[Qty]])</f>
        <v/>
      </c>
    </row>
    <row r="17" spans="1:22" ht="24.75" customHeight="1">
      <c r="A17" s="73"/>
      <c r="B17" s="138" t="s">
        <v>432</v>
      </c>
      <c r="C17" s="139"/>
      <c r="D17" s="139"/>
      <c r="E17" s="139">
        <f>SUBTOTAL(109,E5:E16)</f>
        <v>726.65000000000009</v>
      </c>
      <c r="F17" s="140">
        <f>SUBTOTAL(109,F5:F16)</f>
        <v>46.325000000000003</v>
      </c>
      <c r="G17" s="140">
        <f>SUBTOTAL(109,G5:G16)</f>
        <v>15.575000000000001</v>
      </c>
      <c r="H17" s="140">
        <f>SUBTOTAL(109,H5:H16)</f>
        <v>30.75</v>
      </c>
      <c r="I17" s="140">
        <f>SUBTOTAL(109,I5:I16)</f>
        <v>896.42499999999995</v>
      </c>
      <c r="J17" s="140">
        <f>SUBTOTAL(109,J5:J16)</f>
        <v>29.1</v>
      </c>
      <c r="K17" s="141">
        <f>SUBTOTAL(109,tbScratch1[Chol])</f>
        <v>45</v>
      </c>
      <c r="L17" s="73"/>
      <c r="M17" s="146" t="s">
        <v>432</v>
      </c>
      <c r="N17" s="147">
        <f>SUBTOTAL(109,N5:N16)</f>
        <v>3522.5</v>
      </c>
      <c r="O17" s="147"/>
      <c r="P17" s="147">
        <f>SUBTOTAL(109,P5:P16)</f>
        <v>752.66666666666663</v>
      </c>
      <c r="Q17" s="148">
        <f>SUBTOTAL(109,Q5:Q16)</f>
        <v>176.60952380952378</v>
      </c>
      <c r="R17" s="148">
        <f>SUBTOTAL(109,R5:R16)</f>
        <v>63.580952380952375</v>
      </c>
      <c r="S17" s="148">
        <f>SUBTOTAL(109,S5:S16)</f>
        <v>113.02857142857141</v>
      </c>
      <c r="T17" s="148">
        <f>SUBTOTAL(109,T5:T16)</f>
        <v>30288.307142857138</v>
      </c>
      <c r="U17" s="148">
        <f>SUBTOTAL(109,U5:U16)</f>
        <v>42.12380952380952</v>
      </c>
      <c r="V17" s="149">
        <f>SUBTOTAL(109,tbScratch2[Chol])</f>
        <v>0</v>
      </c>
    </row>
    <row r="18" spans="1:22" ht="24.75" customHeight="1">
      <c r="A18" s="73"/>
      <c r="B18" s="128" t="s">
        <v>433</v>
      </c>
      <c r="C18" s="122"/>
      <c r="D18" s="123"/>
      <c r="E18" s="122" t="e">
        <f>tbScratch1[[#Totals],[Cal]]/K2</f>
        <v>#DIV/0!</v>
      </c>
      <c r="F18" s="122" t="e">
        <f>tbScratch1[[#Totals],[Carbs]]/K2</f>
        <v>#DIV/0!</v>
      </c>
      <c r="G18" s="122" t="e">
        <f>tbScratch1[[#Totals],[Fibre]]/K2</f>
        <v>#DIV/0!</v>
      </c>
      <c r="H18" s="122" t="e">
        <f>tbScratch1[[#Totals],[Net Carbs]]/K2</f>
        <v>#DIV/0!</v>
      </c>
      <c r="I18" s="122" t="e">
        <f>tbScratch1[[#Totals],[Sodium]]/K2</f>
        <v>#DIV/0!</v>
      </c>
      <c r="J18" s="122" t="e">
        <f>tbScratch1[[#Totals],[Protein]]/K2</f>
        <v>#DIV/0!</v>
      </c>
      <c r="K18" s="122" t="e">
        <f>tbScratch1[[#Totals],[Chol]]/K2</f>
        <v>#DIV/0!</v>
      </c>
      <c r="L18" s="73"/>
      <c r="M18" s="78" t="s">
        <v>433</v>
      </c>
      <c r="N18" s="79"/>
      <c r="O18" s="76"/>
      <c r="P18" s="79">
        <f>tbScratch2[[#Totals],[Cal]]/V2</f>
        <v>0.2136740004731488</v>
      </c>
      <c r="Q18" s="79">
        <f>tbScratch2[[#Totals],[Carbs]]/V2</f>
        <v>5.0137551116969138E-2</v>
      </c>
      <c r="R18" s="79">
        <f>tbScratch2[[#Totals],[Fibre]]/V2</f>
        <v>1.8049950995302308E-2</v>
      </c>
      <c r="S18" s="79">
        <f>tbScratch2[[#Totals],[Net Carbs]]/V2</f>
        <v>3.208760012166683E-2</v>
      </c>
      <c r="T18" s="79">
        <f>tbScratch2[[#Totals],[Sodium]]/V2</f>
        <v>8.5985258035080587</v>
      </c>
      <c r="U18" s="79">
        <f>tbScratch2[[#Totals],[Protein]]/V2</f>
        <v>1.1958498090506605E-2</v>
      </c>
      <c r="V18" s="79">
        <f>tbScratch2[[#Totals],[Chol]]/V2</f>
        <v>0</v>
      </c>
    </row>
    <row r="19" spans="1:22" ht="6" customHeight="1">
      <c r="A19" s="73"/>
      <c r="B19" s="78"/>
      <c r="C19" s="79"/>
      <c r="D19" s="76"/>
      <c r="E19" s="99"/>
      <c r="F19" s="71"/>
      <c r="G19" s="71"/>
      <c r="H19" s="71"/>
      <c r="I19" s="99"/>
      <c r="J19" s="99"/>
      <c r="K19" s="99"/>
      <c r="L19" s="73"/>
      <c r="M19" s="78"/>
      <c r="N19" s="79"/>
      <c r="O19" s="76"/>
      <c r="P19" s="99"/>
      <c r="Q19" s="71"/>
      <c r="R19" s="71"/>
      <c r="S19" s="71"/>
      <c r="T19" s="99"/>
      <c r="U19" s="99"/>
      <c r="V19" s="99"/>
    </row>
    <row r="20" spans="1:22" ht="24.75" customHeight="1">
      <c r="A20" s="73"/>
      <c r="B20" s="142" t="s">
        <v>434</v>
      </c>
      <c r="C20" s="79"/>
      <c r="D20" s="76"/>
      <c r="E20" s="99"/>
      <c r="F20" s="71"/>
      <c r="G20" s="71"/>
      <c r="H20" s="71"/>
      <c r="I20" s="143"/>
      <c r="J20" s="144" t="s">
        <v>430</v>
      </c>
      <c r="K20" s="143"/>
      <c r="L20" s="73"/>
      <c r="M20" s="142" t="s">
        <v>434</v>
      </c>
      <c r="N20" s="79"/>
      <c r="O20" s="76"/>
      <c r="P20" s="99"/>
      <c r="Q20" s="71"/>
      <c r="R20" s="71"/>
      <c r="S20" s="71"/>
      <c r="T20" s="143"/>
      <c r="U20" s="144" t="s">
        <v>430</v>
      </c>
      <c r="V20" s="143"/>
    </row>
    <row r="21" spans="1:22" ht="6" customHeight="1">
      <c r="A21" s="73"/>
      <c r="B21" s="78"/>
      <c r="C21" s="79"/>
      <c r="D21" s="76"/>
      <c r="E21" s="99"/>
      <c r="F21" s="71"/>
      <c r="G21" s="71"/>
      <c r="H21" s="71"/>
      <c r="I21" s="99"/>
      <c r="J21" s="99"/>
      <c r="K21" s="99"/>
      <c r="L21" s="73"/>
      <c r="M21" s="78"/>
      <c r="N21" s="79"/>
      <c r="O21" s="76"/>
      <c r="P21" s="99"/>
      <c r="Q21" s="71"/>
      <c r="R21" s="71"/>
      <c r="S21" s="71"/>
      <c r="T21" s="99"/>
      <c r="U21" s="99"/>
      <c r="V21" s="99"/>
    </row>
    <row r="22" spans="1:22" s="63" customFormat="1" ht="25.15" customHeight="1">
      <c r="A22" s="102"/>
      <c r="B22" s="101" t="s">
        <v>1</v>
      </c>
      <c r="C22" s="115" t="s">
        <v>2</v>
      </c>
      <c r="D22" s="76" t="s">
        <v>3</v>
      </c>
      <c r="E22" s="62" t="s">
        <v>4</v>
      </c>
      <c r="F22" s="72" t="s">
        <v>5</v>
      </c>
      <c r="G22" s="72" t="s">
        <v>6</v>
      </c>
      <c r="H22" s="72" t="s">
        <v>7</v>
      </c>
      <c r="I22" s="70" t="s">
        <v>8</v>
      </c>
      <c r="J22" s="70" t="s">
        <v>9</v>
      </c>
      <c r="K22" s="70" t="s">
        <v>10</v>
      </c>
      <c r="L22" s="102"/>
      <c r="M22" s="101" t="s">
        <v>1</v>
      </c>
      <c r="N22" s="115" t="s">
        <v>2</v>
      </c>
      <c r="O22" s="76" t="s">
        <v>3</v>
      </c>
      <c r="P22" s="62" t="s">
        <v>4</v>
      </c>
      <c r="Q22" s="72" t="s">
        <v>5</v>
      </c>
      <c r="R22" s="72" t="s">
        <v>6</v>
      </c>
      <c r="S22" s="72" t="s">
        <v>7</v>
      </c>
      <c r="T22" s="70" t="s">
        <v>8</v>
      </c>
      <c r="U22" s="70" t="s">
        <v>9</v>
      </c>
      <c r="V22" s="70" t="s">
        <v>10</v>
      </c>
    </row>
    <row r="23" spans="1:22" s="66" customFormat="1" ht="25.15" customHeight="1">
      <c r="A23" s="75"/>
      <c r="B23" s="64"/>
      <c r="C23" s="79"/>
      <c r="D23" s="76" t="str">
        <f>IF(ISBLANK(tbScratch3[[#This Row],[Item]]),"",_xlfn.XLOOKUP(tbScratch3[[#This Row],[Item]],Calories[Name],Calories[Unit]))</f>
        <v/>
      </c>
      <c r="E23" s="65" t="str">
        <f>IF(ISBLANK(tbScratch3[[#This Row],[Item]]),"",_xlfn.XLOOKUP(tbScratch3[[#This Row],[Item]],Calories[Name],Calories[Cals])*tbScratch3[[#This Row],[Qty]])</f>
        <v/>
      </c>
      <c r="F23" s="71" t="str">
        <f>IF(ISBLANK(tbScratch3[[#This Row],[Item]]),"",_xlfn.XLOOKUP(tbScratch3[[#This Row],[Item]],Calories[Name],Calories[Carbs])*tbScratch3[[#This Row],[Qty]])</f>
        <v/>
      </c>
      <c r="G23" s="71" t="str">
        <f>IF(ISBLANK(tbScratch3[[#This Row],[Item]]),"",_xlfn.XLOOKUP(tbScratch3[[#This Row],[Item]],Calories[Name],Calories[Fibre])*tbScratch3[[#This Row],[Qty]])</f>
        <v/>
      </c>
      <c r="H23" s="71" t="str">
        <f>IF(ISBLANK(tbScratch3[[#This Row],[Item]]),"",(tbScratch3[[#This Row],[Carbs]]-tbScratch3[[#This Row],[Fibre]]))</f>
        <v/>
      </c>
      <c r="I23" s="103" t="str">
        <f>IF(ISBLANK(tbScratch3[[#This Row],[Item]]),"",_xlfn.XLOOKUP(tbScratch3[[#This Row],[Item]],Calories[Name],Calories[Sodium])*tbScratch3[[#This Row],[Qty]])</f>
        <v/>
      </c>
      <c r="J23" s="71" t="str">
        <f>IF(ISBLANK(tbScratch3[[#This Row],[Item]]),"",_xlfn.XLOOKUP(tbScratch3[[#This Row],[Item]],Calories[Name],Calories[Protein])*tbScratch3[[#This Row],[Qty]])</f>
        <v/>
      </c>
      <c r="K23" s="88" t="str">
        <f>IF(ISBLANK(tbScratch3[[#This Row],[Item]]),"",_xlfn.XLOOKUP(tbScratch3[[#This Row],[Item]],Calories[Name],Calories[Chol.])*tbScratch3[[#This Row],[Qty]])</f>
        <v/>
      </c>
      <c r="L23" s="75"/>
      <c r="M23" s="64"/>
      <c r="N23" s="79"/>
      <c r="O23" s="76" t="str">
        <f>IF(ISBLANK(tbScratch4[[#This Row],[Item]]),"",_xlfn.XLOOKUP(tbScratch4[[#This Row],[Item]],Calories[Name],Calories[Unit]))</f>
        <v/>
      </c>
      <c r="P23" s="65" t="str">
        <f>IF(ISBLANK(tbScratch4[[#This Row],[Item]]),"",_xlfn.XLOOKUP(tbScratch4[[#This Row],[Item]],Calories[Name],Calories[Cals])*tbScratch4[[#This Row],[Qty]])</f>
        <v/>
      </c>
      <c r="Q23" s="71" t="str">
        <f>IF(ISBLANK(tbScratch4[[#This Row],[Item]]),"",_xlfn.XLOOKUP(tbScratch4[[#This Row],[Item]],Calories[Name],Calories[Carbs])*tbScratch4[[#This Row],[Qty]])</f>
        <v/>
      </c>
      <c r="R23" s="71" t="str">
        <f>IF(ISBLANK(tbScratch4[[#This Row],[Item]]),"",_xlfn.XLOOKUP(tbScratch4[[#This Row],[Item]],Calories[Name],Calories[Fibre])*tbScratch4[[#This Row],[Qty]])</f>
        <v/>
      </c>
      <c r="S23" s="71" t="str">
        <f>IF(ISBLANK(tbScratch4[[#This Row],[Item]]),"",(tbScratch4[[#This Row],[Carbs]]-tbScratch4[[#This Row],[Fibre]]))</f>
        <v/>
      </c>
      <c r="T23" s="103" t="str">
        <f>IF(ISBLANK(tbScratch4[[#This Row],[Item]]),"",_xlfn.XLOOKUP(tbScratch4[[#This Row],[Item]],Calories[Name],Calories[Sodium])*tbScratch4[[#This Row],[Qty]])</f>
        <v/>
      </c>
      <c r="U23" s="71" t="str">
        <f>IF(ISBLANK(tbScratch4[[#This Row],[Item]]),"",_xlfn.XLOOKUP(tbScratch4[[#This Row],[Item]],Calories[Name],Calories[Protein])*tbScratch4[[#This Row],[Qty]])</f>
        <v/>
      </c>
      <c r="V23" s="88" t="str">
        <f>IF(ISBLANK(tbScratch4[[#This Row],[Item]]),"",_xlfn.XLOOKUP(tbScratch4[[#This Row],[Item]],Calories[Name],Calories[Chol.])*tbScratch4[[#This Row],[Qty]])</f>
        <v/>
      </c>
    </row>
    <row r="24" spans="1:22" s="66" customFormat="1" ht="25.15" customHeight="1">
      <c r="A24" s="75"/>
      <c r="B24" s="78"/>
      <c r="C24" s="79"/>
      <c r="D24" s="76" t="str">
        <f>IF(ISBLANK(tbScratch3[[#This Row],[Item]]),"",_xlfn.XLOOKUP(tbScratch3[[#This Row],[Item]],Calories[Name],Calories[Unit]))</f>
        <v/>
      </c>
      <c r="E24" s="65" t="str">
        <f>IF(ISBLANK(tbScratch3[[#This Row],[Item]]),"",_xlfn.XLOOKUP(tbScratch3[[#This Row],[Item]],Calories[Name],Calories[Cals])*tbScratch3[[#This Row],[Qty]])</f>
        <v/>
      </c>
      <c r="F24" s="71" t="str">
        <f>IF(ISBLANK(tbScratch3[[#This Row],[Item]]),"",_xlfn.XLOOKUP(tbScratch3[[#This Row],[Item]],Calories[Name],Calories[Carbs])*tbScratch3[[#This Row],[Qty]])</f>
        <v/>
      </c>
      <c r="G24" s="71" t="str">
        <f>IF(ISBLANK(tbScratch3[[#This Row],[Item]]),"",_xlfn.XLOOKUP(tbScratch3[[#This Row],[Item]],Calories[Name],Calories[Fibre])*tbScratch3[[#This Row],[Qty]])</f>
        <v/>
      </c>
      <c r="H24" s="71" t="str">
        <f>IF(ISBLANK(tbScratch3[[#This Row],[Item]]),"",(tbScratch3[[#This Row],[Carbs]]-tbScratch3[[#This Row],[Fibre]]))</f>
        <v/>
      </c>
      <c r="I24" s="103" t="str">
        <f>IF(ISBLANK(tbScratch3[[#This Row],[Item]]),"",_xlfn.XLOOKUP(tbScratch3[[#This Row],[Item]],Calories[Name],Calories[Sodium])*tbScratch3[[#This Row],[Qty]])</f>
        <v/>
      </c>
      <c r="J24" s="71" t="str">
        <f>IF(ISBLANK(tbScratch3[[#This Row],[Item]]),"",_xlfn.XLOOKUP(tbScratch3[[#This Row],[Item]],Calories[Name],Calories[Protein])*tbScratch3[[#This Row],[Qty]])</f>
        <v/>
      </c>
      <c r="K24" s="88" t="str">
        <f>IF(ISBLANK(tbScratch3[[#This Row],[Item]]),"",_xlfn.XLOOKUP(tbScratch3[[#This Row],[Item]],Calories[Name],Calories[Chol.])*tbScratch3[[#This Row],[Qty]])</f>
        <v/>
      </c>
      <c r="L24" s="75"/>
      <c r="M24" s="78"/>
      <c r="N24" s="79"/>
      <c r="O24" s="76" t="str">
        <f>IF(ISBLANK(tbScratch4[[#This Row],[Item]]),"",_xlfn.XLOOKUP(tbScratch4[[#This Row],[Item]],Calories[Name],Calories[Unit]))</f>
        <v/>
      </c>
      <c r="P24" s="65" t="str">
        <f>IF(ISBLANK(tbScratch4[[#This Row],[Item]]),"",_xlfn.XLOOKUP(tbScratch4[[#This Row],[Item]],Calories[Name],Calories[Cals])*tbScratch4[[#This Row],[Qty]])</f>
        <v/>
      </c>
      <c r="Q24" s="71" t="str">
        <f>IF(ISBLANK(tbScratch4[[#This Row],[Item]]),"",_xlfn.XLOOKUP(tbScratch4[[#This Row],[Item]],Calories[Name],Calories[Carbs])*tbScratch4[[#This Row],[Qty]])</f>
        <v/>
      </c>
      <c r="R24" s="71" t="str">
        <f>IF(ISBLANK(tbScratch4[[#This Row],[Item]]),"",_xlfn.XLOOKUP(tbScratch4[[#This Row],[Item]],Calories[Name],Calories[Fibre])*tbScratch4[[#This Row],[Qty]])</f>
        <v/>
      </c>
      <c r="S24" s="71" t="str">
        <f>IF(ISBLANK(tbScratch4[[#This Row],[Item]]),"",(tbScratch4[[#This Row],[Carbs]]-tbScratch4[[#This Row],[Fibre]]))</f>
        <v/>
      </c>
      <c r="T24" s="103" t="str">
        <f>IF(ISBLANK(tbScratch4[[#This Row],[Item]]),"",_xlfn.XLOOKUP(tbScratch4[[#This Row],[Item]],Calories[Name],Calories[Sodium])*tbScratch4[[#This Row],[Qty]])</f>
        <v/>
      </c>
      <c r="U24" s="71" t="str">
        <f>IF(ISBLANK(tbScratch4[[#This Row],[Item]]),"",_xlfn.XLOOKUP(tbScratch4[[#This Row],[Item]],Calories[Name],Calories[Protein])*tbScratch4[[#This Row],[Qty]])</f>
        <v/>
      </c>
      <c r="V24" s="88" t="str">
        <f>IF(ISBLANK(tbScratch4[[#This Row],[Item]]),"",_xlfn.XLOOKUP(tbScratch4[[#This Row],[Item]],Calories[Name],Calories[Chol.])*tbScratch4[[#This Row],[Qty]])</f>
        <v/>
      </c>
    </row>
    <row r="25" spans="1:22" s="66" customFormat="1" ht="25.15" customHeight="1">
      <c r="A25" s="75"/>
      <c r="B25" s="78"/>
      <c r="C25" s="79"/>
      <c r="D25" s="76" t="str">
        <f>IF(ISBLANK(tbScratch3[[#This Row],[Item]]),"",_xlfn.XLOOKUP(tbScratch3[[#This Row],[Item]],Calories[Name],Calories[Unit]))</f>
        <v/>
      </c>
      <c r="E25" s="65" t="str">
        <f>IF(ISBLANK(tbScratch3[[#This Row],[Item]]),"",_xlfn.XLOOKUP(tbScratch3[[#This Row],[Item]],Calories[Name],Calories[Cals])*tbScratch3[[#This Row],[Qty]])</f>
        <v/>
      </c>
      <c r="F25" s="71" t="str">
        <f>IF(ISBLANK(tbScratch3[[#This Row],[Item]]),"",_xlfn.XLOOKUP(tbScratch3[[#This Row],[Item]],Calories[Name],Calories[Carbs])*tbScratch3[[#This Row],[Qty]])</f>
        <v/>
      </c>
      <c r="G25" s="71" t="str">
        <f>IF(ISBLANK(tbScratch3[[#This Row],[Item]]),"",_xlfn.XLOOKUP(tbScratch3[[#This Row],[Item]],Calories[Name],Calories[Fibre])*tbScratch3[[#This Row],[Qty]])</f>
        <v/>
      </c>
      <c r="H25" s="71" t="str">
        <f>IF(ISBLANK(tbScratch3[[#This Row],[Item]]),"",(tbScratch3[[#This Row],[Carbs]]-tbScratch3[[#This Row],[Fibre]]))</f>
        <v/>
      </c>
      <c r="I25" s="103" t="str">
        <f>IF(ISBLANK(tbScratch3[[#This Row],[Item]]),"",_xlfn.XLOOKUP(tbScratch3[[#This Row],[Item]],Calories[Name],Calories[Sodium])*tbScratch3[[#This Row],[Qty]])</f>
        <v/>
      </c>
      <c r="J25" s="71" t="str">
        <f>IF(ISBLANK(tbScratch3[[#This Row],[Item]]),"",_xlfn.XLOOKUP(tbScratch3[[#This Row],[Item]],Calories[Name],Calories[Protein])*tbScratch3[[#This Row],[Qty]])</f>
        <v/>
      </c>
      <c r="K25" s="88" t="str">
        <f>IF(ISBLANK(tbScratch3[[#This Row],[Item]]),"",_xlfn.XLOOKUP(tbScratch3[[#This Row],[Item]],Calories[Name],Calories[Chol.])*tbScratch3[[#This Row],[Qty]])</f>
        <v/>
      </c>
      <c r="L25" s="75"/>
      <c r="M25" s="78"/>
      <c r="N25" s="79"/>
      <c r="O25" s="76" t="str">
        <f>IF(ISBLANK(tbScratch4[[#This Row],[Item]]),"",_xlfn.XLOOKUP(tbScratch4[[#This Row],[Item]],Calories[Name],Calories[Unit]))</f>
        <v/>
      </c>
      <c r="P25" s="65" t="str">
        <f>IF(ISBLANK(tbScratch4[[#This Row],[Item]]),"",_xlfn.XLOOKUP(tbScratch4[[#This Row],[Item]],Calories[Name],Calories[Cals])*tbScratch4[[#This Row],[Qty]])</f>
        <v/>
      </c>
      <c r="Q25" s="71" t="str">
        <f>IF(ISBLANK(tbScratch4[[#This Row],[Item]]),"",_xlfn.XLOOKUP(tbScratch4[[#This Row],[Item]],Calories[Name],Calories[Carbs])*tbScratch4[[#This Row],[Qty]])</f>
        <v/>
      </c>
      <c r="R25" s="71" t="str">
        <f>IF(ISBLANK(tbScratch4[[#This Row],[Item]]),"",_xlfn.XLOOKUP(tbScratch4[[#This Row],[Item]],Calories[Name],Calories[Fibre])*tbScratch4[[#This Row],[Qty]])</f>
        <v/>
      </c>
      <c r="S25" s="71" t="str">
        <f>IF(ISBLANK(tbScratch4[[#This Row],[Item]]),"",(tbScratch4[[#This Row],[Carbs]]-tbScratch4[[#This Row],[Fibre]]))</f>
        <v/>
      </c>
      <c r="T25" s="103" t="str">
        <f>IF(ISBLANK(tbScratch4[[#This Row],[Item]]),"",_xlfn.XLOOKUP(tbScratch4[[#This Row],[Item]],Calories[Name],Calories[Sodium])*tbScratch4[[#This Row],[Qty]])</f>
        <v/>
      </c>
      <c r="U25" s="71" t="str">
        <f>IF(ISBLANK(tbScratch4[[#This Row],[Item]]),"",_xlfn.XLOOKUP(tbScratch4[[#This Row],[Item]],Calories[Name],Calories[Protein])*tbScratch4[[#This Row],[Qty]])</f>
        <v/>
      </c>
      <c r="V25" s="88" t="str">
        <f>IF(ISBLANK(tbScratch4[[#This Row],[Item]]),"",_xlfn.XLOOKUP(tbScratch4[[#This Row],[Item]],Calories[Name],Calories[Chol.])*tbScratch4[[#This Row],[Qty]])</f>
        <v/>
      </c>
    </row>
    <row r="26" spans="1:22" s="66" customFormat="1" ht="25.15" customHeight="1">
      <c r="A26" s="75"/>
      <c r="B26" s="78"/>
      <c r="C26" s="79"/>
      <c r="D26" s="76" t="str">
        <f>IF(ISBLANK(tbScratch3[[#This Row],[Item]]),"",_xlfn.XLOOKUP(tbScratch3[[#This Row],[Item]],Calories[Name],Calories[Unit]))</f>
        <v/>
      </c>
      <c r="E26" s="65" t="str">
        <f>IF(ISBLANK(tbScratch3[[#This Row],[Item]]),"",_xlfn.XLOOKUP(tbScratch3[[#This Row],[Item]],Calories[Name],Calories[Cals])*tbScratch3[[#This Row],[Qty]])</f>
        <v/>
      </c>
      <c r="F26" s="71" t="str">
        <f>IF(ISBLANK(tbScratch3[[#This Row],[Item]]),"",_xlfn.XLOOKUP(tbScratch3[[#This Row],[Item]],Calories[Name],Calories[Carbs])*tbScratch3[[#This Row],[Qty]])</f>
        <v/>
      </c>
      <c r="G26" s="71" t="str">
        <f>IF(ISBLANK(tbScratch3[[#This Row],[Item]]),"",_xlfn.XLOOKUP(tbScratch3[[#This Row],[Item]],Calories[Name],Calories[Fibre])*tbScratch3[[#This Row],[Qty]])</f>
        <v/>
      </c>
      <c r="H26" s="71" t="str">
        <f>IF(ISBLANK(tbScratch3[[#This Row],[Item]]),"",(tbScratch3[[#This Row],[Carbs]]-tbScratch3[[#This Row],[Fibre]]))</f>
        <v/>
      </c>
      <c r="I26" s="103" t="str">
        <f>IF(ISBLANK(tbScratch3[[#This Row],[Item]]),"",_xlfn.XLOOKUP(tbScratch3[[#This Row],[Item]],Calories[Name],Calories[Sodium])*tbScratch3[[#This Row],[Qty]])</f>
        <v/>
      </c>
      <c r="J26" s="71" t="str">
        <f>IF(ISBLANK(tbScratch3[[#This Row],[Item]]),"",_xlfn.XLOOKUP(tbScratch3[[#This Row],[Item]],Calories[Name],Calories[Protein])*tbScratch3[[#This Row],[Qty]])</f>
        <v/>
      </c>
      <c r="K26" s="88" t="str">
        <f>IF(ISBLANK(tbScratch3[[#This Row],[Item]]),"",_xlfn.XLOOKUP(tbScratch3[[#This Row],[Item]],Calories[Name],Calories[Chol.])*tbScratch3[[#This Row],[Qty]])</f>
        <v/>
      </c>
      <c r="L26" s="75"/>
      <c r="M26" s="78"/>
      <c r="N26" s="79"/>
      <c r="O26" s="76" t="str">
        <f>IF(ISBLANK(tbScratch4[[#This Row],[Item]]),"",_xlfn.XLOOKUP(tbScratch4[[#This Row],[Item]],Calories[Name],Calories[Unit]))</f>
        <v/>
      </c>
      <c r="P26" s="65" t="str">
        <f>IF(ISBLANK(tbScratch4[[#This Row],[Item]]),"",_xlfn.XLOOKUP(tbScratch4[[#This Row],[Item]],Calories[Name],Calories[Cals])*tbScratch4[[#This Row],[Qty]])</f>
        <v/>
      </c>
      <c r="Q26" s="71" t="str">
        <f>IF(ISBLANK(tbScratch4[[#This Row],[Item]]),"",_xlfn.XLOOKUP(tbScratch4[[#This Row],[Item]],Calories[Name],Calories[Carbs])*tbScratch4[[#This Row],[Qty]])</f>
        <v/>
      </c>
      <c r="R26" s="71" t="str">
        <f>IF(ISBLANK(tbScratch4[[#This Row],[Item]]),"",_xlfn.XLOOKUP(tbScratch4[[#This Row],[Item]],Calories[Name],Calories[Fibre])*tbScratch4[[#This Row],[Qty]])</f>
        <v/>
      </c>
      <c r="S26" s="71" t="str">
        <f>IF(ISBLANK(tbScratch4[[#This Row],[Item]]),"",(tbScratch4[[#This Row],[Carbs]]-tbScratch4[[#This Row],[Fibre]]))</f>
        <v/>
      </c>
      <c r="T26" s="103" t="str">
        <f>IF(ISBLANK(tbScratch4[[#This Row],[Item]]),"",_xlfn.XLOOKUP(tbScratch4[[#This Row],[Item]],Calories[Name],Calories[Sodium])*tbScratch4[[#This Row],[Qty]])</f>
        <v/>
      </c>
      <c r="U26" s="71" t="str">
        <f>IF(ISBLANK(tbScratch4[[#This Row],[Item]]),"",_xlfn.XLOOKUP(tbScratch4[[#This Row],[Item]],Calories[Name],Calories[Protein])*tbScratch4[[#This Row],[Qty]])</f>
        <v/>
      </c>
      <c r="V26" s="88" t="str">
        <f>IF(ISBLANK(tbScratch4[[#This Row],[Item]]),"",_xlfn.XLOOKUP(tbScratch4[[#This Row],[Item]],Calories[Name],Calories[Chol.])*tbScratch4[[#This Row],[Qty]])</f>
        <v/>
      </c>
    </row>
    <row r="27" spans="1:22" s="66" customFormat="1" ht="25.15" customHeight="1">
      <c r="A27" s="75"/>
      <c r="B27" s="78"/>
      <c r="C27" s="79"/>
      <c r="D27" s="76" t="str">
        <f>IF(ISBLANK(tbScratch3[[#This Row],[Item]]),"",_xlfn.XLOOKUP(tbScratch3[[#This Row],[Item]],Calories[Name],Calories[Unit]))</f>
        <v/>
      </c>
      <c r="E27" s="65" t="str">
        <f>IF(ISBLANK(tbScratch3[[#This Row],[Item]]),"",_xlfn.XLOOKUP(tbScratch3[[#This Row],[Item]],Calories[Name],Calories[Cals])*tbScratch3[[#This Row],[Qty]])</f>
        <v/>
      </c>
      <c r="F27" s="71" t="str">
        <f>IF(ISBLANK(tbScratch3[[#This Row],[Item]]),"",_xlfn.XLOOKUP(tbScratch3[[#This Row],[Item]],Calories[Name],Calories[Carbs])*tbScratch3[[#This Row],[Qty]])</f>
        <v/>
      </c>
      <c r="G27" s="71" t="str">
        <f>IF(ISBLANK(tbScratch3[[#This Row],[Item]]),"",_xlfn.XLOOKUP(tbScratch3[[#This Row],[Item]],Calories[Name],Calories[Fibre])*tbScratch3[[#This Row],[Qty]])</f>
        <v/>
      </c>
      <c r="H27" s="71" t="str">
        <f>IF(ISBLANK(tbScratch3[[#This Row],[Item]]),"",(tbScratch3[[#This Row],[Carbs]]-tbScratch3[[#This Row],[Fibre]]))</f>
        <v/>
      </c>
      <c r="I27" s="103" t="str">
        <f>IF(ISBLANK(tbScratch3[[#This Row],[Item]]),"",_xlfn.XLOOKUP(tbScratch3[[#This Row],[Item]],Calories[Name],Calories[Sodium])*tbScratch3[[#This Row],[Qty]])</f>
        <v/>
      </c>
      <c r="J27" s="71" t="str">
        <f>IF(ISBLANK(tbScratch3[[#This Row],[Item]]),"",_xlfn.XLOOKUP(tbScratch3[[#This Row],[Item]],Calories[Name],Calories[Protein])*tbScratch3[[#This Row],[Qty]])</f>
        <v/>
      </c>
      <c r="K27" s="88" t="str">
        <f>IF(ISBLANK(tbScratch3[[#This Row],[Item]]),"",_xlfn.XLOOKUP(tbScratch3[[#This Row],[Item]],Calories[Name],Calories[Chol.])*tbScratch3[[#This Row],[Qty]])</f>
        <v/>
      </c>
      <c r="L27" s="75"/>
      <c r="M27" s="78"/>
      <c r="N27" s="79"/>
      <c r="O27" s="76" t="str">
        <f>IF(ISBLANK(tbScratch4[[#This Row],[Item]]),"",_xlfn.XLOOKUP(tbScratch4[[#This Row],[Item]],Calories[Name],Calories[Unit]))</f>
        <v/>
      </c>
      <c r="P27" s="65" t="str">
        <f>IF(ISBLANK(tbScratch4[[#This Row],[Item]]),"",_xlfn.XLOOKUP(tbScratch4[[#This Row],[Item]],Calories[Name],Calories[Cals])*tbScratch4[[#This Row],[Qty]])</f>
        <v/>
      </c>
      <c r="Q27" s="71" t="str">
        <f>IF(ISBLANK(tbScratch4[[#This Row],[Item]]),"",_xlfn.XLOOKUP(tbScratch4[[#This Row],[Item]],Calories[Name],Calories[Carbs])*tbScratch4[[#This Row],[Qty]])</f>
        <v/>
      </c>
      <c r="R27" s="71" t="str">
        <f>IF(ISBLANK(tbScratch4[[#This Row],[Item]]),"",_xlfn.XLOOKUP(tbScratch4[[#This Row],[Item]],Calories[Name],Calories[Fibre])*tbScratch4[[#This Row],[Qty]])</f>
        <v/>
      </c>
      <c r="S27" s="71" t="str">
        <f>IF(ISBLANK(tbScratch4[[#This Row],[Item]]),"",(tbScratch4[[#This Row],[Carbs]]-tbScratch4[[#This Row],[Fibre]]))</f>
        <v/>
      </c>
      <c r="T27" s="103" t="str">
        <f>IF(ISBLANK(tbScratch4[[#This Row],[Item]]),"",_xlfn.XLOOKUP(tbScratch4[[#This Row],[Item]],Calories[Name],Calories[Sodium])*tbScratch4[[#This Row],[Qty]])</f>
        <v/>
      </c>
      <c r="U27" s="71" t="str">
        <f>IF(ISBLANK(tbScratch4[[#This Row],[Item]]),"",_xlfn.XLOOKUP(tbScratch4[[#This Row],[Item]],Calories[Name],Calories[Protein])*tbScratch4[[#This Row],[Qty]])</f>
        <v/>
      </c>
      <c r="V27" s="88" t="str">
        <f>IF(ISBLANK(tbScratch4[[#This Row],[Item]]),"",_xlfn.XLOOKUP(tbScratch4[[#This Row],[Item]],Calories[Name],Calories[Chol.])*tbScratch4[[#This Row],[Qty]])</f>
        <v/>
      </c>
    </row>
    <row r="28" spans="1:22" s="66" customFormat="1" ht="25.15" customHeight="1">
      <c r="A28" s="75"/>
      <c r="B28" s="78"/>
      <c r="C28" s="79"/>
      <c r="D28" s="76" t="str">
        <f>IF(ISBLANK(tbScratch3[[#This Row],[Item]]),"",_xlfn.XLOOKUP(tbScratch3[[#This Row],[Item]],Calories[Name],Calories[Unit]))</f>
        <v/>
      </c>
      <c r="E28" s="65" t="str">
        <f>IF(ISBLANK(tbScratch3[[#This Row],[Item]]),"",_xlfn.XLOOKUP(tbScratch3[[#This Row],[Item]],Calories[Name],Calories[Cals])*tbScratch3[[#This Row],[Qty]])</f>
        <v/>
      </c>
      <c r="F28" s="71" t="str">
        <f>IF(ISBLANK(tbScratch3[[#This Row],[Item]]),"",_xlfn.XLOOKUP(tbScratch3[[#This Row],[Item]],Calories[Name],Calories[Carbs])*tbScratch3[[#This Row],[Qty]])</f>
        <v/>
      </c>
      <c r="G28" s="71" t="str">
        <f>IF(ISBLANK(tbScratch3[[#This Row],[Item]]),"",_xlfn.XLOOKUP(tbScratch3[[#This Row],[Item]],Calories[Name],Calories[Fibre])*tbScratch3[[#This Row],[Qty]])</f>
        <v/>
      </c>
      <c r="H28" s="71" t="str">
        <f>IF(ISBLANK(tbScratch3[[#This Row],[Item]]),"",(tbScratch3[[#This Row],[Carbs]]-tbScratch3[[#This Row],[Fibre]]))</f>
        <v/>
      </c>
      <c r="I28" s="103" t="str">
        <f>IF(ISBLANK(tbScratch3[[#This Row],[Item]]),"",_xlfn.XLOOKUP(tbScratch3[[#This Row],[Item]],Calories[Name],Calories[Sodium])*tbScratch3[[#This Row],[Qty]])</f>
        <v/>
      </c>
      <c r="J28" s="71" t="str">
        <f>IF(ISBLANK(tbScratch3[[#This Row],[Item]]),"",_xlfn.XLOOKUP(tbScratch3[[#This Row],[Item]],Calories[Name],Calories[Protein])*tbScratch3[[#This Row],[Qty]])</f>
        <v/>
      </c>
      <c r="K28" s="88" t="str">
        <f>IF(ISBLANK(tbScratch3[[#This Row],[Item]]),"",_xlfn.XLOOKUP(tbScratch3[[#This Row],[Item]],Calories[Name],Calories[Chol.])*tbScratch3[[#This Row],[Qty]])</f>
        <v/>
      </c>
      <c r="L28" s="75"/>
      <c r="M28" s="78"/>
      <c r="N28" s="79"/>
      <c r="O28" s="76" t="str">
        <f>IF(ISBLANK(tbScratch4[[#This Row],[Item]]),"",_xlfn.XLOOKUP(tbScratch4[[#This Row],[Item]],Calories[Name],Calories[Unit]))</f>
        <v/>
      </c>
      <c r="P28" s="65" t="str">
        <f>IF(ISBLANK(tbScratch4[[#This Row],[Item]]),"",_xlfn.XLOOKUP(tbScratch4[[#This Row],[Item]],Calories[Name],Calories[Cals])*tbScratch4[[#This Row],[Qty]])</f>
        <v/>
      </c>
      <c r="Q28" s="71" t="str">
        <f>IF(ISBLANK(tbScratch4[[#This Row],[Item]]),"",_xlfn.XLOOKUP(tbScratch4[[#This Row],[Item]],Calories[Name],Calories[Carbs])*tbScratch4[[#This Row],[Qty]])</f>
        <v/>
      </c>
      <c r="R28" s="71" t="str">
        <f>IF(ISBLANK(tbScratch4[[#This Row],[Item]]),"",_xlfn.XLOOKUP(tbScratch4[[#This Row],[Item]],Calories[Name],Calories[Fibre])*tbScratch4[[#This Row],[Qty]])</f>
        <v/>
      </c>
      <c r="S28" s="71" t="str">
        <f>IF(ISBLANK(tbScratch4[[#This Row],[Item]]),"",(tbScratch4[[#This Row],[Carbs]]-tbScratch4[[#This Row],[Fibre]]))</f>
        <v/>
      </c>
      <c r="T28" s="103" t="str">
        <f>IF(ISBLANK(tbScratch4[[#This Row],[Item]]),"",_xlfn.XLOOKUP(tbScratch4[[#This Row],[Item]],Calories[Name],Calories[Sodium])*tbScratch4[[#This Row],[Qty]])</f>
        <v/>
      </c>
      <c r="U28" s="71" t="str">
        <f>IF(ISBLANK(tbScratch4[[#This Row],[Item]]),"",_xlfn.XLOOKUP(tbScratch4[[#This Row],[Item]],Calories[Name],Calories[Protein])*tbScratch4[[#This Row],[Qty]])</f>
        <v/>
      </c>
      <c r="V28" s="88" t="str">
        <f>IF(ISBLANK(tbScratch4[[#This Row],[Item]]),"",_xlfn.XLOOKUP(tbScratch4[[#This Row],[Item]],Calories[Name],Calories[Chol.])*tbScratch4[[#This Row],[Qty]])</f>
        <v/>
      </c>
    </row>
    <row r="29" spans="1:22" s="66" customFormat="1" ht="25.15" customHeight="1">
      <c r="A29" s="75"/>
      <c r="B29" s="64"/>
      <c r="C29" s="79"/>
      <c r="D29" s="76" t="str">
        <f>IF(ISBLANK(tbScratch3[[#This Row],[Item]]),"",_xlfn.XLOOKUP(tbScratch3[[#This Row],[Item]],Calories[Name],Calories[Unit]))</f>
        <v/>
      </c>
      <c r="E29" s="65" t="str">
        <f>IF(ISBLANK(tbScratch3[[#This Row],[Item]]),"",_xlfn.XLOOKUP(tbScratch3[[#This Row],[Item]],Calories[Name],Calories[Cals])*tbScratch3[[#This Row],[Qty]])</f>
        <v/>
      </c>
      <c r="F29" s="71" t="str">
        <f>IF(ISBLANK(tbScratch3[[#This Row],[Item]]),"",_xlfn.XLOOKUP(tbScratch3[[#This Row],[Item]],Calories[Name],Calories[Carbs])*tbScratch3[[#This Row],[Qty]])</f>
        <v/>
      </c>
      <c r="G29" s="71" t="str">
        <f>IF(ISBLANK(tbScratch3[[#This Row],[Item]]),"",_xlfn.XLOOKUP(tbScratch3[[#This Row],[Item]],Calories[Name],Calories[Fibre])*tbScratch3[[#This Row],[Qty]])</f>
        <v/>
      </c>
      <c r="H29" s="71" t="str">
        <f>IF(ISBLANK(tbScratch3[[#This Row],[Item]]),"",(tbScratch3[[#This Row],[Carbs]]-tbScratch3[[#This Row],[Fibre]]))</f>
        <v/>
      </c>
      <c r="I29" s="103" t="str">
        <f>IF(ISBLANK(tbScratch3[[#This Row],[Item]]),"",_xlfn.XLOOKUP(tbScratch3[[#This Row],[Item]],Calories[Name],Calories[Sodium])*tbScratch3[[#This Row],[Qty]])</f>
        <v/>
      </c>
      <c r="J29" s="71" t="str">
        <f>IF(ISBLANK(tbScratch3[[#This Row],[Item]]),"",_xlfn.XLOOKUP(tbScratch3[[#This Row],[Item]],Calories[Name],Calories[Protein])*tbScratch3[[#This Row],[Qty]])</f>
        <v/>
      </c>
      <c r="K29" s="88" t="str">
        <f>IF(ISBLANK(tbScratch3[[#This Row],[Item]]),"",_xlfn.XLOOKUP(tbScratch3[[#This Row],[Item]],Calories[Name],Calories[Chol.])*tbScratch3[[#This Row],[Qty]])</f>
        <v/>
      </c>
      <c r="L29" s="75"/>
      <c r="M29" s="64"/>
      <c r="N29" s="79"/>
      <c r="O29" s="76" t="str">
        <f>IF(ISBLANK(tbScratch4[[#This Row],[Item]]),"",_xlfn.XLOOKUP(tbScratch4[[#This Row],[Item]],Calories[Name],Calories[Unit]))</f>
        <v/>
      </c>
      <c r="P29" s="65" t="str">
        <f>IF(ISBLANK(tbScratch4[[#This Row],[Item]]),"",_xlfn.XLOOKUP(tbScratch4[[#This Row],[Item]],Calories[Name],Calories[Cals])*tbScratch4[[#This Row],[Qty]])</f>
        <v/>
      </c>
      <c r="Q29" s="71" t="str">
        <f>IF(ISBLANK(tbScratch4[[#This Row],[Item]]),"",_xlfn.XLOOKUP(tbScratch4[[#This Row],[Item]],Calories[Name],Calories[Carbs])*tbScratch4[[#This Row],[Qty]])</f>
        <v/>
      </c>
      <c r="R29" s="71" t="str">
        <f>IF(ISBLANK(tbScratch4[[#This Row],[Item]]),"",_xlfn.XLOOKUP(tbScratch4[[#This Row],[Item]],Calories[Name],Calories[Fibre])*tbScratch4[[#This Row],[Qty]])</f>
        <v/>
      </c>
      <c r="S29" s="71" t="str">
        <f>IF(ISBLANK(tbScratch4[[#This Row],[Item]]),"",(tbScratch4[[#This Row],[Carbs]]-tbScratch4[[#This Row],[Fibre]]))</f>
        <v/>
      </c>
      <c r="T29" s="103" t="str">
        <f>IF(ISBLANK(tbScratch4[[#This Row],[Item]]),"",_xlfn.XLOOKUP(tbScratch4[[#This Row],[Item]],Calories[Name],Calories[Sodium])*tbScratch4[[#This Row],[Qty]])</f>
        <v/>
      </c>
      <c r="U29" s="71" t="str">
        <f>IF(ISBLANK(tbScratch4[[#This Row],[Item]]),"",_xlfn.XLOOKUP(tbScratch4[[#This Row],[Item]],Calories[Name],Calories[Protein])*tbScratch4[[#This Row],[Qty]])</f>
        <v/>
      </c>
      <c r="V29" s="88" t="str">
        <f>IF(ISBLANK(tbScratch4[[#This Row],[Item]]),"",_xlfn.XLOOKUP(tbScratch4[[#This Row],[Item]],Calories[Name],Calories[Chol.])*tbScratch4[[#This Row],[Qty]])</f>
        <v/>
      </c>
    </row>
    <row r="30" spans="1:22" s="66" customFormat="1" ht="25.15" customHeight="1">
      <c r="A30" s="75"/>
      <c r="B30" s="78"/>
      <c r="C30" s="79"/>
      <c r="D30" s="76" t="str">
        <f>IF(ISBLANK(tbScratch3[[#This Row],[Item]]),"",_xlfn.XLOOKUP(tbScratch3[[#This Row],[Item]],Calories[Name],Calories[Unit]))</f>
        <v/>
      </c>
      <c r="E30" s="65" t="str">
        <f>IF(ISBLANK(tbScratch3[[#This Row],[Item]]),"",_xlfn.XLOOKUP(tbScratch3[[#This Row],[Item]],Calories[Name],Calories[Cals])*tbScratch3[[#This Row],[Qty]])</f>
        <v/>
      </c>
      <c r="F30" s="71" t="str">
        <f>IF(ISBLANK(tbScratch3[[#This Row],[Item]]),"",_xlfn.XLOOKUP(tbScratch3[[#This Row],[Item]],Calories[Name],Calories[Carbs])*tbScratch3[[#This Row],[Qty]])</f>
        <v/>
      </c>
      <c r="G30" s="71" t="str">
        <f>IF(ISBLANK(tbScratch3[[#This Row],[Item]]),"",_xlfn.XLOOKUP(tbScratch3[[#This Row],[Item]],Calories[Name],Calories[Fibre])*tbScratch3[[#This Row],[Qty]])</f>
        <v/>
      </c>
      <c r="H30" s="71" t="str">
        <f>IF(ISBLANK(tbScratch3[[#This Row],[Item]]),"",(tbScratch3[[#This Row],[Carbs]]-tbScratch3[[#This Row],[Fibre]]))</f>
        <v/>
      </c>
      <c r="I30" s="103" t="str">
        <f>IF(ISBLANK(tbScratch3[[#This Row],[Item]]),"",_xlfn.XLOOKUP(tbScratch3[[#This Row],[Item]],Calories[Name],Calories[Sodium])*tbScratch3[[#This Row],[Qty]])</f>
        <v/>
      </c>
      <c r="J30" s="71" t="str">
        <f>IF(ISBLANK(tbScratch3[[#This Row],[Item]]),"",_xlfn.XLOOKUP(tbScratch3[[#This Row],[Item]],Calories[Name],Calories[Protein])*tbScratch3[[#This Row],[Qty]])</f>
        <v/>
      </c>
      <c r="K30" s="88" t="str">
        <f>IF(ISBLANK(tbScratch3[[#This Row],[Item]]),"",_xlfn.XLOOKUP(tbScratch3[[#This Row],[Item]],Calories[Name],Calories[Chol.])*tbScratch3[[#This Row],[Qty]])</f>
        <v/>
      </c>
      <c r="L30" s="75"/>
      <c r="M30" s="78"/>
      <c r="N30" s="79"/>
      <c r="O30" s="76" t="str">
        <f>IF(ISBLANK(tbScratch4[[#This Row],[Item]]),"",_xlfn.XLOOKUP(tbScratch4[[#This Row],[Item]],Calories[Name],Calories[Unit]))</f>
        <v/>
      </c>
      <c r="P30" s="65" t="str">
        <f>IF(ISBLANK(tbScratch4[[#This Row],[Item]]),"",_xlfn.XLOOKUP(tbScratch4[[#This Row],[Item]],Calories[Name],Calories[Cals])*tbScratch4[[#This Row],[Qty]])</f>
        <v/>
      </c>
      <c r="Q30" s="71" t="str">
        <f>IF(ISBLANK(tbScratch4[[#This Row],[Item]]),"",_xlfn.XLOOKUP(tbScratch4[[#This Row],[Item]],Calories[Name],Calories[Carbs])*tbScratch4[[#This Row],[Qty]])</f>
        <v/>
      </c>
      <c r="R30" s="71" t="str">
        <f>IF(ISBLANK(tbScratch4[[#This Row],[Item]]),"",_xlfn.XLOOKUP(tbScratch4[[#This Row],[Item]],Calories[Name],Calories[Fibre])*tbScratch4[[#This Row],[Qty]])</f>
        <v/>
      </c>
      <c r="S30" s="71" t="str">
        <f>IF(ISBLANK(tbScratch4[[#This Row],[Item]]),"",(tbScratch4[[#This Row],[Carbs]]-tbScratch4[[#This Row],[Fibre]]))</f>
        <v/>
      </c>
      <c r="T30" s="103" t="str">
        <f>IF(ISBLANK(tbScratch4[[#This Row],[Item]]),"",_xlfn.XLOOKUP(tbScratch4[[#This Row],[Item]],Calories[Name],Calories[Sodium])*tbScratch4[[#This Row],[Qty]])</f>
        <v/>
      </c>
      <c r="U30" s="71" t="str">
        <f>IF(ISBLANK(tbScratch4[[#This Row],[Item]]),"",_xlfn.XLOOKUP(tbScratch4[[#This Row],[Item]],Calories[Name],Calories[Protein])*tbScratch4[[#This Row],[Qty]])</f>
        <v/>
      </c>
      <c r="V30" s="88" t="str">
        <f>IF(ISBLANK(tbScratch4[[#This Row],[Item]]),"",_xlfn.XLOOKUP(tbScratch4[[#This Row],[Item]],Calories[Name],Calories[Chol.])*tbScratch4[[#This Row],[Qty]])</f>
        <v/>
      </c>
    </row>
    <row r="31" spans="1:22" s="66" customFormat="1" ht="25.15" customHeight="1">
      <c r="A31" s="75"/>
      <c r="B31" s="64"/>
      <c r="C31" s="79"/>
      <c r="D31" s="76" t="str">
        <f>IF(ISBLANK(tbScratch3[[#This Row],[Item]]),"",_xlfn.XLOOKUP(tbScratch3[[#This Row],[Item]],Calories[Name],Calories[Unit]))</f>
        <v/>
      </c>
      <c r="E31" s="65" t="str">
        <f>IF(ISBLANK(tbScratch3[[#This Row],[Item]]),"",_xlfn.XLOOKUP(tbScratch3[[#This Row],[Item]],Calories[Name],Calories[Cals])*tbScratch3[[#This Row],[Qty]])</f>
        <v/>
      </c>
      <c r="F31" s="71" t="str">
        <f>IF(ISBLANK(tbScratch3[[#This Row],[Item]]),"",_xlfn.XLOOKUP(tbScratch3[[#This Row],[Item]],Calories[Name],Calories[Carbs])*tbScratch3[[#This Row],[Qty]])</f>
        <v/>
      </c>
      <c r="G31" s="71" t="str">
        <f>IF(ISBLANK(tbScratch3[[#This Row],[Item]]),"",_xlfn.XLOOKUP(tbScratch3[[#This Row],[Item]],Calories[Name],Calories[Fibre])*tbScratch3[[#This Row],[Qty]])</f>
        <v/>
      </c>
      <c r="H31" s="71" t="str">
        <f>IF(ISBLANK(tbScratch3[[#This Row],[Item]]),"",(tbScratch3[[#This Row],[Carbs]]-tbScratch3[[#This Row],[Fibre]]))</f>
        <v/>
      </c>
      <c r="I31" s="103" t="str">
        <f>IF(ISBLANK(tbScratch3[[#This Row],[Item]]),"",_xlfn.XLOOKUP(tbScratch3[[#This Row],[Item]],Calories[Name],Calories[Sodium])*tbScratch3[[#This Row],[Qty]])</f>
        <v/>
      </c>
      <c r="J31" s="71" t="str">
        <f>IF(ISBLANK(tbScratch3[[#This Row],[Item]]),"",_xlfn.XLOOKUP(tbScratch3[[#This Row],[Item]],Calories[Name],Calories[Protein])*tbScratch3[[#This Row],[Qty]])</f>
        <v/>
      </c>
      <c r="K31" s="88" t="str">
        <f>IF(ISBLANK(tbScratch3[[#This Row],[Item]]),"",_xlfn.XLOOKUP(tbScratch3[[#This Row],[Item]],Calories[Name],Calories[Chol.])*tbScratch3[[#This Row],[Qty]])</f>
        <v/>
      </c>
      <c r="L31" s="75"/>
      <c r="M31" s="64"/>
      <c r="N31" s="79"/>
      <c r="O31" s="76" t="str">
        <f>IF(ISBLANK(tbScratch4[[#This Row],[Item]]),"",_xlfn.XLOOKUP(tbScratch4[[#This Row],[Item]],Calories[Name],Calories[Unit]))</f>
        <v/>
      </c>
      <c r="P31" s="65" t="str">
        <f>IF(ISBLANK(tbScratch4[[#This Row],[Item]]),"",_xlfn.XLOOKUP(tbScratch4[[#This Row],[Item]],Calories[Name],Calories[Cals])*tbScratch4[[#This Row],[Qty]])</f>
        <v/>
      </c>
      <c r="Q31" s="71" t="str">
        <f>IF(ISBLANK(tbScratch4[[#This Row],[Item]]),"",_xlfn.XLOOKUP(tbScratch4[[#This Row],[Item]],Calories[Name],Calories[Carbs])*tbScratch4[[#This Row],[Qty]])</f>
        <v/>
      </c>
      <c r="R31" s="71" t="str">
        <f>IF(ISBLANK(tbScratch4[[#This Row],[Item]]),"",_xlfn.XLOOKUP(tbScratch4[[#This Row],[Item]],Calories[Name],Calories[Fibre])*tbScratch4[[#This Row],[Qty]])</f>
        <v/>
      </c>
      <c r="S31" s="71" t="str">
        <f>IF(ISBLANK(tbScratch4[[#This Row],[Item]]),"",(tbScratch4[[#This Row],[Carbs]]-tbScratch4[[#This Row],[Fibre]]))</f>
        <v/>
      </c>
      <c r="T31" s="103" t="str">
        <f>IF(ISBLANK(tbScratch4[[#This Row],[Item]]),"",_xlfn.XLOOKUP(tbScratch4[[#This Row],[Item]],Calories[Name],Calories[Sodium])*tbScratch4[[#This Row],[Qty]])</f>
        <v/>
      </c>
      <c r="U31" s="71" t="str">
        <f>IF(ISBLANK(tbScratch4[[#This Row],[Item]]),"",_xlfn.XLOOKUP(tbScratch4[[#This Row],[Item]],Calories[Name],Calories[Protein])*tbScratch4[[#This Row],[Qty]])</f>
        <v/>
      </c>
      <c r="V31" s="88" t="str">
        <f>IF(ISBLANK(tbScratch4[[#This Row],[Item]]),"",_xlfn.XLOOKUP(tbScratch4[[#This Row],[Item]],Calories[Name],Calories[Chol.])*tbScratch4[[#This Row],[Qty]])</f>
        <v/>
      </c>
    </row>
    <row r="32" spans="1:22" s="66" customFormat="1" ht="25.15" customHeight="1">
      <c r="A32" s="75"/>
      <c r="B32" s="78"/>
      <c r="C32" s="79"/>
      <c r="D32" s="76" t="str">
        <f>IF(ISBLANK(tbScratch3[[#This Row],[Item]]),"",_xlfn.XLOOKUP(tbScratch3[[#This Row],[Item]],Calories[Name],Calories[Unit]))</f>
        <v/>
      </c>
      <c r="E32" s="65" t="str">
        <f>IF(ISBLANK(tbScratch3[[#This Row],[Item]]),"",_xlfn.XLOOKUP(tbScratch3[[#This Row],[Item]],Calories[Name],Calories[Cals])*tbScratch3[[#This Row],[Qty]])</f>
        <v/>
      </c>
      <c r="F32" s="71" t="str">
        <f>IF(ISBLANK(tbScratch3[[#This Row],[Item]]),"",_xlfn.XLOOKUP(tbScratch3[[#This Row],[Item]],Calories[Name],Calories[Carbs])*tbScratch3[[#This Row],[Qty]])</f>
        <v/>
      </c>
      <c r="G32" s="71" t="str">
        <f>IF(ISBLANK(tbScratch3[[#This Row],[Item]]),"",_xlfn.XLOOKUP(tbScratch3[[#This Row],[Item]],Calories[Name],Calories[Fibre])*tbScratch3[[#This Row],[Qty]])</f>
        <v/>
      </c>
      <c r="H32" s="71" t="str">
        <f>IF(ISBLANK(tbScratch3[[#This Row],[Item]]),"",(tbScratch3[[#This Row],[Carbs]]-tbScratch3[[#This Row],[Fibre]]))</f>
        <v/>
      </c>
      <c r="I32" s="103" t="str">
        <f>IF(ISBLANK(tbScratch3[[#This Row],[Item]]),"",_xlfn.XLOOKUP(tbScratch3[[#This Row],[Item]],Calories[Name],Calories[Sodium])*tbScratch3[[#This Row],[Qty]])</f>
        <v/>
      </c>
      <c r="J32" s="71" t="str">
        <f>IF(ISBLANK(tbScratch3[[#This Row],[Item]]),"",_xlfn.XLOOKUP(tbScratch3[[#This Row],[Item]],Calories[Name],Calories[Protein])*tbScratch3[[#This Row],[Qty]])</f>
        <v/>
      </c>
      <c r="K32" s="88" t="str">
        <f>IF(ISBLANK(tbScratch3[[#This Row],[Item]]),"",_xlfn.XLOOKUP(tbScratch3[[#This Row],[Item]],Calories[Name],Calories[Chol.])*tbScratch3[[#This Row],[Qty]])</f>
        <v/>
      </c>
      <c r="L32" s="75"/>
      <c r="M32" s="78"/>
      <c r="N32" s="79"/>
      <c r="O32" s="76" t="str">
        <f>IF(ISBLANK(tbScratch4[[#This Row],[Item]]),"",_xlfn.XLOOKUP(tbScratch4[[#This Row],[Item]],Calories[Name],Calories[Unit]))</f>
        <v/>
      </c>
      <c r="P32" s="65" t="str">
        <f>IF(ISBLANK(tbScratch4[[#This Row],[Item]]),"",_xlfn.XLOOKUP(tbScratch4[[#This Row],[Item]],Calories[Name],Calories[Cals])*tbScratch4[[#This Row],[Qty]])</f>
        <v/>
      </c>
      <c r="Q32" s="71" t="str">
        <f>IF(ISBLANK(tbScratch4[[#This Row],[Item]]),"",_xlfn.XLOOKUP(tbScratch4[[#This Row],[Item]],Calories[Name],Calories[Carbs])*tbScratch4[[#This Row],[Qty]])</f>
        <v/>
      </c>
      <c r="R32" s="71" t="str">
        <f>IF(ISBLANK(tbScratch4[[#This Row],[Item]]),"",_xlfn.XLOOKUP(tbScratch4[[#This Row],[Item]],Calories[Name],Calories[Fibre])*tbScratch4[[#This Row],[Qty]])</f>
        <v/>
      </c>
      <c r="S32" s="71" t="str">
        <f>IF(ISBLANK(tbScratch4[[#This Row],[Item]]),"",(tbScratch4[[#This Row],[Carbs]]-tbScratch4[[#This Row],[Fibre]]))</f>
        <v/>
      </c>
      <c r="T32" s="103" t="str">
        <f>IF(ISBLANK(tbScratch4[[#This Row],[Item]]),"",_xlfn.XLOOKUP(tbScratch4[[#This Row],[Item]],Calories[Name],Calories[Sodium])*tbScratch4[[#This Row],[Qty]])</f>
        <v/>
      </c>
      <c r="U32" s="71" t="str">
        <f>IF(ISBLANK(tbScratch4[[#This Row],[Item]]),"",_xlfn.XLOOKUP(tbScratch4[[#This Row],[Item]],Calories[Name],Calories[Protein])*tbScratch4[[#This Row],[Qty]])</f>
        <v/>
      </c>
      <c r="V32" s="88" t="str">
        <f>IF(ISBLANK(tbScratch4[[#This Row],[Item]]),"",_xlfn.XLOOKUP(tbScratch4[[#This Row],[Item]],Calories[Name],Calories[Chol.])*tbScratch4[[#This Row],[Qty]])</f>
        <v/>
      </c>
    </row>
    <row r="33" spans="1:22" s="66" customFormat="1" ht="25.15" customHeight="1">
      <c r="A33" s="75"/>
      <c r="B33" s="78"/>
      <c r="C33" s="79"/>
      <c r="D33" s="76" t="str">
        <f>IF(ISBLANK(tbScratch3[[#This Row],[Item]]),"",_xlfn.XLOOKUP(tbScratch3[[#This Row],[Item]],Calories[Name],Calories[Unit]))</f>
        <v/>
      </c>
      <c r="E33" s="65" t="str">
        <f>IF(ISBLANK(tbScratch3[[#This Row],[Item]]),"",_xlfn.XLOOKUP(tbScratch3[[#This Row],[Item]],Calories[Name],Calories[Cals])*tbScratch3[[#This Row],[Qty]])</f>
        <v/>
      </c>
      <c r="F33" s="71" t="str">
        <f>IF(ISBLANK(tbScratch3[[#This Row],[Item]]),"",_xlfn.XLOOKUP(tbScratch3[[#This Row],[Item]],Calories[Name],Calories[Carbs])*tbScratch3[[#This Row],[Qty]])</f>
        <v/>
      </c>
      <c r="G33" s="71" t="str">
        <f>IF(ISBLANK(tbScratch3[[#This Row],[Item]]),"",_xlfn.XLOOKUP(tbScratch3[[#This Row],[Item]],Calories[Name],Calories[Fibre])*tbScratch3[[#This Row],[Qty]])</f>
        <v/>
      </c>
      <c r="H33" s="71" t="str">
        <f>IF(ISBLANK(tbScratch3[[#This Row],[Item]]),"",(tbScratch3[[#This Row],[Carbs]]-tbScratch3[[#This Row],[Fibre]]))</f>
        <v/>
      </c>
      <c r="I33" s="103" t="str">
        <f>IF(ISBLANK(tbScratch3[[#This Row],[Item]]),"",_xlfn.XLOOKUP(tbScratch3[[#This Row],[Item]],Calories[Name],Calories[Sodium])*tbScratch3[[#This Row],[Qty]])</f>
        <v/>
      </c>
      <c r="J33" s="71" t="str">
        <f>IF(ISBLANK(tbScratch3[[#This Row],[Item]]),"",_xlfn.XLOOKUP(tbScratch3[[#This Row],[Item]],Calories[Name],Calories[Protein])*tbScratch3[[#This Row],[Qty]])</f>
        <v/>
      </c>
      <c r="K33" s="88" t="str">
        <f>IF(ISBLANK(tbScratch3[[#This Row],[Item]]),"",_xlfn.XLOOKUP(tbScratch3[[#This Row],[Item]],Calories[Name],Calories[Chol.])*tbScratch3[[#This Row],[Qty]])</f>
        <v/>
      </c>
      <c r="L33" s="75"/>
      <c r="M33" s="78"/>
      <c r="N33" s="79"/>
      <c r="O33" s="76" t="str">
        <f>IF(ISBLANK(tbScratch4[[#This Row],[Item]]),"",_xlfn.XLOOKUP(tbScratch4[[#This Row],[Item]],Calories[Name],Calories[Unit]))</f>
        <v/>
      </c>
      <c r="P33" s="65" t="str">
        <f>IF(ISBLANK(tbScratch4[[#This Row],[Item]]),"",_xlfn.XLOOKUP(tbScratch4[[#This Row],[Item]],Calories[Name],Calories[Cals])*tbScratch4[[#This Row],[Qty]])</f>
        <v/>
      </c>
      <c r="Q33" s="71" t="str">
        <f>IF(ISBLANK(tbScratch4[[#This Row],[Item]]),"",_xlfn.XLOOKUP(tbScratch4[[#This Row],[Item]],Calories[Name],Calories[Carbs])*tbScratch4[[#This Row],[Qty]])</f>
        <v/>
      </c>
      <c r="R33" s="71" t="str">
        <f>IF(ISBLANK(tbScratch4[[#This Row],[Item]]),"",_xlfn.XLOOKUP(tbScratch4[[#This Row],[Item]],Calories[Name],Calories[Fibre])*tbScratch4[[#This Row],[Qty]])</f>
        <v/>
      </c>
      <c r="S33" s="71" t="str">
        <f>IF(ISBLANK(tbScratch4[[#This Row],[Item]]),"",(tbScratch4[[#This Row],[Carbs]]-tbScratch4[[#This Row],[Fibre]]))</f>
        <v/>
      </c>
      <c r="T33" s="103" t="str">
        <f>IF(ISBLANK(tbScratch4[[#This Row],[Item]]),"",_xlfn.XLOOKUP(tbScratch4[[#This Row],[Item]],Calories[Name],Calories[Sodium])*tbScratch4[[#This Row],[Qty]])</f>
        <v/>
      </c>
      <c r="U33" s="71" t="str">
        <f>IF(ISBLANK(tbScratch4[[#This Row],[Item]]),"",_xlfn.XLOOKUP(tbScratch4[[#This Row],[Item]],Calories[Name],Calories[Protein])*tbScratch4[[#This Row],[Qty]])</f>
        <v/>
      </c>
      <c r="V33" s="88" t="str">
        <f>IF(ISBLANK(tbScratch4[[#This Row],[Item]]),"",_xlfn.XLOOKUP(tbScratch4[[#This Row],[Item]],Calories[Name],Calories[Chol.])*tbScratch4[[#This Row],[Qty]])</f>
        <v/>
      </c>
    </row>
    <row r="34" spans="1:22" s="66" customFormat="1" ht="25.15" customHeight="1">
      <c r="A34" s="75"/>
      <c r="B34" s="78"/>
      <c r="C34" s="79"/>
      <c r="D34" s="76" t="str">
        <f>IF(ISBLANK(tbScratch3[[#This Row],[Item]]),"",_xlfn.XLOOKUP(tbScratch3[[#This Row],[Item]],Calories[Name],Calories[Unit]))</f>
        <v/>
      </c>
      <c r="E34" s="65" t="str">
        <f>IF(ISBLANK(tbScratch3[[#This Row],[Item]]),"",_xlfn.XLOOKUP(tbScratch3[[#This Row],[Item]],Calories[Name],Calories[Cals])*tbScratch3[[#This Row],[Qty]])</f>
        <v/>
      </c>
      <c r="F34" s="71" t="str">
        <f>IF(ISBLANK(tbScratch3[[#This Row],[Item]]),"",_xlfn.XLOOKUP(tbScratch3[[#This Row],[Item]],Calories[Name],Calories[Carbs])*tbScratch3[[#This Row],[Qty]])</f>
        <v/>
      </c>
      <c r="G34" s="71" t="str">
        <f>IF(ISBLANK(tbScratch3[[#This Row],[Item]]),"",_xlfn.XLOOKUP(tbScratch3[[#This Row],[Item]],Calories[Name],Calories[Fibre])*tbScratch3[[#This Row],[Qty]])</f>
        <v/>
      </c>
      <c r="H34" s="71" t="str">
        <f>IF(ISBLANK(tbScratch3[[#This Row],[Item]]),"",(tbScratch3[[#This Row],[Carbs]]-tbScratch3[[#This Row],[Fibre]]))</f>
        <v/>
      </c>
      <c r="I34" s="103" t="str">
        <f>IF(ISBLANK(tbScratch3[[#This Row],[Item]]),"",_xlfn.XLOOKUP(tbScratch3[[#This Row],[Item]],Calories[Name],Calories[Sodium])*tbScratch3[[#This Row],[Qty]])</f>
        <v/>
      </c>
      <c r="J34" s="71" t="str">
        <f>IF(ISBLANK(tbScratch3[[#This Row],[Item]]),"",_xlfn.XLOOKUP(tbScratch3[[#This Row],[Item]],Calories[Name],Calories[Protein])*tbScratch3[[#This Row],[Qty]])</f>
        <v/>
      </c>
      <c r="K34" s="88" t="str">
        <f>IF(ISBLANK(tbScratch3[[#This Row],[Item]]),"",_xlfn.XLOOKUP(tbScratch3[[#This Row],[Item]],Calories[Name],Calories[Chol.])*tbScratch3[[#This Row],[Qty]])</f>
        <v/>
      </c>
      <c r="L34" s="75"/>
      <c r="M34" s="78"/>
      <c r="N34" s="79"/>
      <c r="O34" s="76" t="str">
        <f>IF(ISBLANK(tbScratch4[[#This Row],[Item]]),"",_xlfn.XLOOKUP(tbScratch4[[#This Row],[Item]],Calories[Name],Calories[Unit]))</f>
        <v/>
      </c>
      <c r="P34" s="65" t="str">
        <f>IF(ISBLANK(tbScratch4[[#This Row],[Item]]),"",_xlfn.XLOOKUP(tbScratch4[[#This Row],[Item]],Calories[Name],Calories[Cals])*tbScratch4[[#This Row],[Qty]])</f>
        <v/>
      </c>
      <c r="Q34" s="71" t="str">
        <f>IF(ISBLANK(tbScratch4[[#This Row],[Item]]),"",_xlfn.XLOOKUP(tbScratch4[[#This Row],[Item]],Calories[Name],Calories[Carbs])*tbScratch4[[#This Row],[Qty]])</f>
        <v/>
      </c>
      <c r="R34" s="71" t="str">
        <f>IF(ISBLANK(tbScratch4[[#This Row],[Item]]),"",_xlfn.XLOOKUP(tbScratch4[[#This Row],[Item]],Calories[Name],Calories[Fibre])*tbScratch4[[#This Row],[Qty]])</f>
        <v/>
      </c>
      <c r="S34" s="71" t="str">
        <f>IF(ISBLANK(tbScratch4[[#This Row],[Item]]),"",(tbScratch4[[#This Row],[Carbs]]-tbScratch4[[#This Row],[Fibre]]))</f>
        <v/>
      </c>
      <c r="T34" s="103" t="str">
        <f>IF(ISBLANK(tbScratch4[[#This Row],[Item]]),"",_xlfn.XLOOKUP(tbScratch4[[#This Row],[Item]],Calories[Name],Calories[Sodium])*tbScratch4[[#This Row],[Qty]])</f>
        <v/>
      </c>
      <c r="U34" s="71" t="str">
        <f>IF(ISBLANK(tbScratch4[[#This Row],[Item]]),"",_xlfn.XLOOKUP(tbScratch4[[#This Row],[Item]],Calories[Name],Calories[Protein])*tbScratch4[[#This Row],[Qty]])</f>
        <v/>
      </c>
      <c r="V34" s="88" t="str">
        <f>IF(ISBLANK(tbScratch4[[#This Row],[Item]]),"",_xlfn.XLOOKUP(tbScratch4[[#This Row],[Item]],Calories[Name],Calories[Chol.])*tbScratch4[[#This Row],[Qty]])</f>
        <v/>
      </c>
    </row>
    <row r="35" spans="1:22" ht="24.75" customHeight="1">
      <c r="A35" s="73"/>
      <c r="B35" s="146" t="s">
        <v>432</v>
      </c>
      <c r="C35" s="147"/>
      <c r="D35" s="147"/>
      <c r="E35" s="147">
        <f>SUBTOTAL(109,E23:E34)</f>
        <v>0</v>
      </c>
      <c r="F35" s="148">
        <f>SUBTOTAL(109,F23:F34)</f>
        <v>0</v>
      </c>
      <c r="G35" s="148">
        <f>SUBTOTAL(109,G23:G34)</f>
        <v>0</v>
      </c>
      <c r="H35" s="148">
        <f>SUBTOTAL(109,H23:H34)</f>
        <v>0</v>
      </c>
      <c r="I35" s="148">
        <f>SUBTOTAL(109,I23:I34)</f>
        <v>0</v>
      </c>
      <c r="J35" s="148">
        <f>SUBTOTAL(109,J23:J34)</f>
        <v>0</v>
      </c>
      <c r="K35" s="149">
        <f>SUBTOTAL(109,tbScratch3[Chol])</f>
        <v>0</v>
      </c>
      <c r="L35" s="73"/>
      <c r="M35" s="146" t="s">
        <v>432</v>
      </c>
      <c r="N35" s="147"/>
      <c r="O35" s="147"/>
      <c r="P35" s="147">
        <f>SUBTOTAL(109,P23:P34)</f>
        <v>0</v>
      </c>
      <c r="Q35" s="148">
        <f>SUBTOTAL(109,Q23:Q34)</f>
        <v>0</v>
      </c>
      <c r="R35" s="148">
        <f>SUBTOTAL(109,R23:R34)</f>
        <v>0</v>
      </c>
      <c r="S35" s="148">
        <f>SUBTOTAL(109,S23:S34)</f>
        <v>0</v>
      </c>
      <c r="T35" s="148">
        <f>SUBTOTAL(109,T23:T34)</f>
        <v>0</v>
      </c>
      <c r="U35" s="148">
        <f>SUBTOTAL(109,U23:U34)</f>
        <v>0</v>
      </c>
      <c r="V35" s="149">
        <f>SUBTOTAL(109,tbScratch4[Chol])</f>
        <v>0</v>
      </c>
    </row>
    <row r="36" spans="1:22" ht="24.75" customHeight="1">
      <c r="A36" s="73"/>
      <c r="B36" s="78" t="s">
        <v>433</v>
      </c>
      <c r="C36" s="79"/>
      <c r="D36" s="76"/>
      <c r="E36" s="79" t="e">
        <f>tbScratch3[[#Totals],[Cal]]/K20</f>
        <v>#DIV/0!</v>
      </c>
      <c r="F36" s="79" t="e">
        <f>tbScratch3[[#Totals],[Carbs]]/K20</f>
        <v>#DIV/0!</v>
      </c>
      <c r="G36" s="79" t="e">
        <f>tbScratch3[[#Totals],[Fibre]]/K20</f>
        <v>#DIV/0!</v>
      </c>
      <c r="H36" s="79" t="e">
        <f>tbScratch3[[#Totals],[Net Carbs]]/K20</f>
        <v>#DIV/0!</v>
      </c>
      <c r="I36" s="79" t="e">
        <f>tbScratch3[[#Totals],[Sodium]]/K20</f>
        <v>#DIV/0!</v>
      </c>
      <c r="J36" s="79" t="e">
        <f>tbScratch3[[#Totals],[Protein]]/K20</f>
        <v>#DIV/0!</v>
      </c>
      <c r="K36" s="79" t="e">
        <f>tbScratch3[[#Totals],[Chol]]/K20</f>
        <v>#DIV/0!</v>
      </c>
      <c r="L36" s="73"/>
      <c r="M36" s="78" t="s">
        <v>433</v>
      </c>
      <c r="N36" s="79"/>
      <c r="O36" s="76"/>
      <c r="P36" s="79" t="e">
        <f>tbScratch4[[#Totals],[Cal]]/V20</f>
        <v>#DIV/0!</v>
      </c>
      <c r="Q36" s="79" t="e">
        <f>tbScratch4[[#Totals],[Carbs]]/V20</f>
        <v>#DIV/0!</v>
      </c>
      <c r="R36" s="79" t="e">
        <f>tbScratch4[[#Totals],[Fibre]]/V20</f>
        <v>#DIV/0!</v>
      </c>
      <c r="S36" s="79" t="e">
        <f>tbScratch4[[#Totals],[Net Carbs]]/V20</f>
        <v>#DIV/0!</v>
      </c>
      <c r="T36" s="79" t="e">
        <f>tbScratch4[[#Totals],[Sodium]]/V20</f>
        <v>#DIV/0!</v>
      </c>
      <c r="U36" s="79" t="e">
        <f>tbScratch4[[#Totals],[Protein]]/V20</f>
        <v>#DIV/0!</v>
      </c>
      <c r="V36" s="79" t="e">
        <f>tbScratch4[[#Totals],[Chol]]/V20</f>
        <v>#DIV/0!</v>
      </c>
    </row>
    <row r="37" spans="1:22" ht="14.25">
      <c r="A37" s="73"/>
      <c r="B37" s="78"/>
      <c r="C37" s="79"/>
      <c r="D37" s="76"/>
      <c r="E37" s="99"/>
      <c r="F37" s="71"/>
      <c r="G37" s="71"/>
      <c r="H37" s="71"/>
      <c r="I37" s="99"/>
      <c r="J37" s="99"/>
      <c r="K37" s="99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pans="1:22" ht="14.25">
      <c r="A38" s="73"/>
      <c r="B38" s="78"/>
      <c r="C38" s="79"/>
      <c r="D38" s="76"/>
      <c r="E38" s="99"/>
      <c r="F38" s="71"/>
      <c r="G38" s="71"/>
      <c r="H38" s="71"/>
      <c r="I38" s="99"/>
      <c r="J38" s="99"/>
      <c r="K38" s="99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1:22" ht="14.25">
      <c r="A39" s="73"/>
      <c r="B39" s="78"/>
      <c r="C39" s="79"/>
      <c r="D39" s="76"/>
      <c r="E39" s="99"/>
      <c r="F39" s="71"/>
      <c r="G39" s="71"/>
      <c r="H39" s="71"/>
      <c r="I39" s="99"/>
      <c r="J39" s="99"/>
      <c r="K39" s="99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4.25">
      <c r="A40" s="73"/>
      <c r="B40" s="78"/>
      <c r="C40" s="79"/>
      <c r="D40" s="76"/>
      <c r="E40" s="99"/>
      <c r="F40" s="71"/>
      <c r="G40" s="71"/>
      <c r="H40" s="71"/>
      <c r="I40" s="99"/>
      <c r="J40" s="99"/>
      <c r="K40" s="99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4.25">
      <c r="A41" s="73"/>
      <c r="B41" s="78"/>
      <c r="C41" s="79"/>
      <c r="D41" s="76"/>
      <c r="E41" s="99"/>
      <c r="F41" s="71"/>
      <c r="G41" s="71"/>
      <c r="H41" s="71"/>
      <c r="I41" s="99"/>
      <c r="J41" s="99"/>
      <c r="K41" s="99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4.25">
      <c r="A42" s="73"/>
      <c r="B42" s="78"/>
      <c r="C42" s="79"/>
      <c r="D42" s="76"/>
      <c r="E42" s="99"/>
      <c r="F42" s="71"/>
      <c r="G42" s="71"/>
      <c r="H42" s="71"/>
      <c r="I42" s="99"/>
      <c r="J42" s="99"/>
      <c r="K42" s="99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4.25">
      <c r="A43" s="73"/>
      <c r="B43" s="78"/>
      <c r="C43" s="79"/>
      <c r="D43" s="76"/>
      <c r="E43" s="99"/>
      <c r="F43" s="71"/>
      <c r="G43" s="71"/>
      <c r="H43" s="71"/>
      <c r="I43" s="99"/>
      <c r="J43" s="99"/>
      <c r="K43" s="99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4.25">
      <c r="A44" s="73"/>
      <c r="B44" s="78"/>
      <c r="C44" s="79"/>
      <c r="D44" s="76"/>
      <c r="E44" s="99"/>
      <c r="F44" s="71"/>
      <c r="G44" s="71"/>
      <c r="H44" s="71"/>
      <c r="I44" s="99"/>
      <c r="J44" s="99"/>
      <c r="K44" s="99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4.25">
      <c r="A45" s="73"/>
      <c r="B45" s="78"/>
      <c r="C45" s="79"/>
      <c r="D45" s="76"/>
      <c r="E45" s="99"/>
      <c r="F45" s="71"/>
      <c r="G45" s="71"/>
      <c r="H45" s="71"/>
      <c r="I45" s="99"/>
      <c r="J45" s="99"/>
      <c r="K45" s="99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4.25">
      <c r="A46" s="73"/>
      <c r="B46" s="78"/>
      <c r="C46" s="79"/>
      <c r="D46" s="76"/>
      <c r="E46" s="99"/>
      <c r="F46" s="71"/>
      <c r="G46" s="71"/>
      <c r="H46" s="71"/>
      <c r="I46" s="99"/>
      <c r="J46" s="99"/>
      <c r="K46" s="99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ht="14.25">
      <c r="A47" s="73"/>
      <c r="B47" s="78"/>
      <c r="C47" s="79"/>
      <c r="D47" s="76"/>
      <c r="E47" s="99"/>
      <c r="F47" s="71"/>
      <c r="G47" s="71"/>
      <c r="H47" s="71"/>
      <c r="I47" s="99"/>
      <c r="J47" s="99"/>
      <c r="K47" s="99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 spans="1:22" ht="14.25">
      <c r="A48" s="73"/>
      <c r="B48" s="78"/>
      <c r="C48" s="79"/>
      <c r="D48" s="76"/>
      <c r="E48" s="99"/>
      <c r="F48" s="71"/>
      <c r="G48" s="71"/>
      <c r="H48" s="71"/>
      <c r="I48" s="99"/>
      <c r="J48" s="99"/>
      <c r="K48" s="99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</row>
    <row r="49" spans="1:22" ht="14.25">
      <c r="A49" s="73"/>
      <c r="B49" s="78"/>
      <c r="C49" s="79"/>
      <c r="D49" s="76"/>
      <c r="E49" s="99"/>
      <c r="F49" s="71"/>
      <c r="G49" s="71"/>
      <c r="H49" s="71"/>
      <c r="I49" s="99"/>
      <c r="J49" s="99"/>
      <c r="K49" s="99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  <row r="50" spans="1:22" ht="14.25">
      <c r="A50" s="73"/>
      <c r="B50" s="78"/>
      <c r="C50" s="79"/>
      <c r="D50" s="76"/>
      <c r="E50" s="99"/>
      <c r="F50" s="71"/>
      <c r="G50" s="71"/>
      <c r="H50" s="71"/>
      <c r="I50" s="99"/>
      <c r="J50" s="99"/>
      <c r="K50" s="99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 spans="1:22" ht="14.25">
      <c r="A51" s="73"/>
      <c r="B51" s="78"/>
      <c r="C51" s="79"/>
      <c r="D51" s="76"/>
      <c r="E51" s="99"/>
      <c r="F51" s="71"/>
      <c r="G51" s="71"/>
      <c r="H51" s="71"/>
      <c r="I51" s="99"/>
      <c r="J51" s="99"/>
      <c r="K51" s="99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ht="14.25">
      <c r="A52" s="73"/>
      <c r="B52" s="78"/>
      <c r="C52" s="79"/>
      <c r="D52" s="76"/>
      <c r="E52" s="99"/>
      <c r="F52" s="71"/>
      <c r="G52" s="71"/>
      <c r="H52" s="71"/>
      <c r="I52" s="99"/>
      <c r="J52" s="99"/>
      <c r="K52" s="99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4.25">
      <c r="A53" s="73"/>
      <c r="B53" s="78"/>
      <c r="C53" s="79"/>
      <c r="D53" s="76"/>
      <c r="E53" s="99"/>
      <c r="F53" s="71"/>
      <c r="G53" s="71"/>
      <c r="H53" s="71"/>
      <c r="I53" s="99"/>
      <c r="J53" s="99"/>
      <c r="K53" s="99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4.25">
      <c r="A54" s="73"/>
      <c r="B54" s="78"/>
      <c r="C54" s="79"/>
      <c r="D54" s="76"/>
      <c r="E54" s="99"/>
      <c r="F54" s="71"/>
      <c r="G54" s="71"/>
      <c r="H54" s="71"/>
      <c r="I54" s="99"/>
      <c r="J54" s="99"/>
      <c r="K54" s="99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4.25">
      <c r="A55" s="73"/>
      <c r="B55" s="78"/>
      <c r="C55" s="79"/>
      <c r="D55" s="76"/>
      <c r="E55" s="99"/>
      <c r="F55" s="71"/>
      <c r="G55" s="71"/>
      <c r="H55" s="71"/>
      <c r="I55" s="99"/>
      <c r="J55" s="99"/>
      <c r="K55" s="99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4.25">
      <c r="A56" s="73"/>
      <c r="B56" s="78"/>
      <c r="C56" s="79"/>
      <c r="D56" s="76"/>
      <c r="E56" s="99"/>
      <c r="F56" s="71"/>
      <c r="G56" s="71"/>
      <c r="H56" s="71"/>
      <c r="I56" s="99"/>
      <c r="J56" s="99"/>
      <c r="K56" s="99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4.25">
      <c r="A57" s="73"/>
      <c r="B57" s="78"/>
      <c r="C57" s="79"/>
      <c r="D57" s="76"/>
      <c r="E57" s="99"/>
      <c r="F57" s="71"/>
      <c r="G57" s="71"/>
      <c r="H57" s="71"/>
      <c r="I57" s="99"/>
      <c r="J57" s="99"/>
      <c r="K57" s="99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4.25">
      <c r="A58" s="73"/>
      <c r="B58" s="78"/>
      <c r="C58" s="79"/>
      <c r="D58" s="76"/>
      <c r="E58" s="99"/>
      <c r="F58" s="71"/>
      <c r="G58" s="71"/>
      <c r="H58" s="71"/>
      <c r="I58" s="99"/>
      <c r="J58" s="99"/>
      <c r="K58" s="99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4.25">
      <c r="A59" s="73"/>
      <c r="B59" s="78"/>
      <c r="C59" s="79"/>
      <c r="D59" s="76"/>
      <c r="E59" s="99"/>
      <c r="F59" s="71"/>
      <c r="G59" s="71"/>
      <c r="H59" s="71"/>
      <c r="I59" s="99"/>
      <c r="J59" s="99"/>
      <c r="K59" s="99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 spans="1:22" ht="14.25">
      <c r="A60" s="73"/>
      <c r="B60" s="78"/>
      <c r="C60" s="79"/>
      <c r="D60" s="76"/>
      <c r="E60" s="99"/>
      <c r="F60" s="71"/>
      <c r="G60" s="71"/>
      <c r="H60" s="71"/>
      <c r="I60" s="99"/>
      <c r="J60" s="99"/>
      <c r="K60" s="99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</row>
    <row r="61" spans="1:22" ht="14.25">
      <c r="A61" s="73"/>
      <c r="B61" s="78"/>
      <c r="C61" s="79"/>
      <c r="D61" s="76"/>
      <c r="E61" s="99"/>
      <c r="F61" s="71"/>
      <c r="G61" s="71"/>
      <c r="H61" s="71"/>
      <c r="I61" s="99"/>
      <c r="J61" s="99"/>
      <c r="K61" s="99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</row>
    <row r="62" spans="1:22" ht="14.25">
      <c r="A62" s="73"/>
      <c r="B62" s="78"/>
      <c r="C62" s="79"/>
      <c r="D62" s="76"/>
      <c r="E62" s="99"/>
      <c r="F62" s="71"/>
      <c r="G62" s="71"/>
      <c r="H62" s="71"/>
      <c r="I62" s="99"/>
      <c r="J62" s="99"/>
      <c r="K62" s="99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</row>
    <row r="63" spans="1:22" ht="14.25">
      <c r="A63" s="73"/>
      <c r="B63" s="78"/>
      <c r="C63" s="79"/>
      <c r="D63" s="76"/>
      <c r="E63" s="99"/>
      <c r="F63" s="71"/>
      <c r="G63" s="71"/>
      <c r="H63" s="71"/>
      <c r="I63" s="99"/>
      <c r="J63" s="99"/>
      <c r="K63" s="99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</row>
    <row r="64" spans="1:22" ht="14.25">
      <c r="A64" s="73"/>
      <c r="B64" s="78"/>
      <c r="C64" s="79"/>
      <c r="D64" s="76"/>
      <c r="E64" s="99"/>
      <c r="F64" s="71"/>
      <c r="G64" s="71"/>
      <c r="H64" s="71"/>
      <c r="I64" s="99"/>
      <c r="J64" s="99"/>
      <c r="K64" s="99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</row>
    <row r="65" spans="1:22" ht="14.25">
      <c r="A65" s="73"/>
      <c r="B65" s="78"/>
      <c r="C65" s="79"/>
      <c r="D65" s="76"/>
      <c r="E65" s="99"/>
      <c r="F65" s="71"/>
      <c r="G65" s="71"/>
      <c r="H65" s="71"/>
      <c r="I65" s="99"/>
      <c r="J65" s="99"/>
      <c r="K65" s="99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</row>
    <row r="66" spans="1:22" ht="14.25">
      <c r="A66" s="73"/>
      <c r="B66" s="78"/>
      <c r="C66" s="79"/>
      <c r="D66" s="76"/>
      <c r="E66" s="99"/>
      <c r="F66" s="71"/>
      <c r="G66" s="71"/>
      <c r="H66" s="71"/>
      <c r="I66" s="99"/>
      <c r="J66" s="99"/>
      <c r="K66" s="99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</row>
    <row r="67" spans="1:22" ht="14.25">
      <c r="A67" s="73"/>
      <c r="B67" s="78"/>
      <c r="C67" s="79"/>
      <c r="D67" s="76"/>
      <c r="E67" s="99"/>
      <c r="F67" s="71"/>
      <c r="G67" s="71"/>
      <c r="H67" s="71"/>
      <c r="I67" s="99"/>
      <c r="J67" s="99"/>
      <c r="K67" s="99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</row>
    <row r="68" spans="1:22" ht="14.25">
      <c r="A68" s="73"/>
      <c r="B68" s="78"/>
      <c r="C68" s="79"/>
      <c r="D68" s="76"/>
      <c r="E68" s="99"/>
      <c r="F68" s="71"/>
      <c r="G68" s="71"/>
      <c r="H68" s="71"/>
      <c r="I68" s="99"/>
      <c r="J68" s="99"/>
      <c r="K68" s="99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</row>
    <row r="69" spans="1:22" ht="14.25">
      <c r="A69" s="73"/>
      <c r="B69" s="78"/>
      <c r="C69" s="79"/>
      <c r="D69" s="76"/>
      <c r="E69" s="99"/>
      <c r="F69" s="71"/>
      <c r="G69" s="71"/>
      <c r="H69" s="71"/>
      <c r="I69" s="99"/>
      <c r="J69" s="99"/>
      <c r="K69" s="99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</row>
    <row r="70" spans="1:22" ht="14.25">
      <c r="A70" s="73"/>
      <c r="B70" s="78"/>
      <c r="C70" s="79"/>
      <c r="D70" s="76"/>
      <c r="E70" s="99"/>
      <c r="F70" s="71"/>
      <c r="G70" s="71"/>
      <c r="H70" s="71"/>
      <c r="I70" s="99"/>
      <c r="J70" s="99"/>
      <c r="K70" s="99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</row>
    <row r="71" spans="1:22" ht="14.25">
      <c r="A71" s="73"/>
      <c r="B71" s="78"/>
      <c r="C71" s="79"/>
      <c r="D71" s="76"/>
      <c r="E71" s="99"/>
      <c r="F71" s="71"/>
      <c r="G71" s="71"/>
      <c r="H71" s="71"/>
      <c r="I71" s="99"/>
      <c r="J71" s="99"/>
      <c r="K71" s="99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 spans="1:22" ht="14.25">
      <c r="A72" s="73"/>
      <c r="B72" s="78"/>
      <c r="C72" s="79"/>
      <c r="D72" s="76"/>
      <c r="E72" s="99"/>
      <c r="F72" s="71"/>
      <c r="G72" s="71"/>
      <c r="H72" s="71"/>
      <c r="I72" s="99"/>
      <c r="J72" s="99"/>
      <c r="K72" s="99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4.25">
      <c r="A73" s="73"/>
      <c r="B73" s="78"/>
      <c r="C73" s="79"/>
      <c r="D73" s="76"/>
      <c r="E73" s="99"/>
      <c r="F73" s="71"/>
      <c r="G73" s="71"/>
      <c r="H73" s="71"/>
      <c r="I73" s="99"/>
      <c r="J73" s="99"/>
      <c r="K73" s="99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4.25">
      <c r="A74" s="73"/>
      <c r="B74" s="78"/>
      <c r="C74" s="79"/>
      <c r="D74" s="76"/>
      <c r="E74" s="99"/>
      <c r="F74" s="71"/>
      <c r="G74" s="71"/>
      <c r="H74" s="71"/>
      <c r="I74" s="99"/>
      <c r="J74" s="99"/>
      <c r="K74" s="99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4.25">
      <c r="A75" s="73"/>
      <c r="B75" s="78"/>
      <c r="C75" s="79"/>
      <c r="D75" s="76"/>
      <c r="E75" s="99"/>
      <c r="F75" s="71"/>
      <c r="G75" s="71"/>
      <c r="H75" s="71"/>
      <c r="I75" s="99"/>
      <c r="J75" s="99"/>
      <c r="K75" s="99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4.25">
      <c r="A76" s="73"/>
      <c r="B76" s="78"/>
      <c r="C76" s="79"/>
      <c r="D76" s="76"/>
      <c r="E76" s="99"/>
      <c r="F76" s="71"/>
      <c r="G76" s="71"/>
      <c r="H76" s="71"/>
      <c r="I76" s="99"/>
      <c r="J76" s="99"/>
      <c r="K76" s="99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</row>
    <row r="77" spans="1:22" ht="14.25">
      <c r="A77" s="73"/>
      <c r="B77" s="78"/>
      <c r="C77" s="79"/>
      <c r="D77" s="76"/>
      <c r="E77" s="99"/>
      <c r="F77" s="71"/>
      <c r="G77" s="71"/>
      <c r="H77" s="71"/>
      <c r="I77" s="99"/>
      <c r="J77" s="99"/>
      <c r="K77" s="99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4.25">
      <c r="A78" s="73"/>
      <c r="B78" s="78"/>
      <c r="C78" s="79"/>
      <c r="D78" s="76"/>
      <c r="E78" s="99"/>
      <c r="F78" s="71"/>
      <c r="G78" s="71"/>
      <c r="H78" s="71"/>
      <c r="I78" s="99"/>
      <c r="J78" s="99"/>
      <c r="K78" s="99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ht="14.25">
      <c r="A79" s="73"/>
      <c r="B79" s="78"/>
      <c r="C79" s="79"/>
      <c r="D79" s="76"/>
      <c r="E79" s="99"/>
      <c r="F79" s="71"/>
      <c r="G79" s="71"/>
      <c r="H79" s="71"/>
      <c r="I79" s="99"/>
      <c r="J79" s="99"/>
      <c r="K79" s="99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 spans="1:22" ht="14.25">
      <c r="A80" s="73"/>
      <c r="B80" s="78"/>
      <c r="C80" s="79"/>
      <c r="D80" s="76"/>
      <c r="E80" s="99"/>
      <c r="F80" s="71"/>
      <c r="G80" s="71"/>
      <c r="H80" s="71"/>
      <c r="I80" s="99"/>
      <c r="J80" s="99"/>
      <c r="K80" s="99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</row>
    <row r="81" spans="1:22" ht="14.25">
      <c r="A81" s="73"/>
      <c r="B81" s="78"/>
      <c r="C81" s="79"/>
      <c r="D81" s="76"/>
      <c r="E81" s="99"/>
      <c r="F81" s="71"/>
      <c r="G81" s="71"/>
      <c r="H81" s="71"/>
      <c r="I81" s="99"/>
      <c r="J81" s="99"/>
      <c r="K81" s="99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</row>
    <row r="82" spans="1:22" ht="14.25">
      <c r="A82" s="73"/>
      <c r="B82" s="78"/>
      <c r="C82" s="79"/>
      <c r="D82" s="76"/>
      <c r="E82" s="99"/>
      <c r="F82" s="71"/>
      <c r="G82" s="71"/>
      <c r="H82" s="71"/>
      <c r="I82" s="99"/>
      <c r="J82" s="99"/>
      <c r="K82" s="99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</row>
    <row r="83" spans="1:22" ht="14.25">
      <c r="A83" s="73"/>
      <c r="B83" s="78"/>
      <c r="C83" s="79"/>
      <c r="D83" s="76"/>
      <c r="E83" s="99"/>
      <c r="F83" s="71"/>
      <c r="G83" s="71"/>
      <c r="H83" s="71"/>
      <c r="I83" s="99"/>
      <c r="J83" s="99"/>
      <c r="K83" s="99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</row>
    <row r="84" spans="1:22" ht="14.25">
      <c r="A84" s="73"/>
      <c r="B84" s="78"/>
      <c r="C84" s="79"/>
      <c r="D84" s="76"/>
      <c r="E84" s="99"/>
      <c r="F84" s="71"/>
      <c r="G84" s="71"/>
      <c r="H84" s="71"/>
      <c r="I84" s="99"/>
      <c r="J84" s="99"/>
      <c r="K84" s="99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  <row r="85" spans="1:22" ht="14.25">
      <c r="A85" s="73"/>
      <c r="B85" s="78"/>
      <c r="C85" s="79"/>
      <c r="D85" s="76"/>
      <c r="E85" s="99"/>
      <c r="F85" s="71"/>
      <c r="G85" s="71"/>
      <c r="H85" s="71"/>
      <c r="I85" s="99"/>
      <c r="J85" s="99"/>
      <c r="K85" s="99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</row>
    <row r="86" spans="1:22" ht="14.25">
      <c r="A86" s="73"/>
      <c r="B86" s="78"/>
      <c r="C86" s="79"/>
      <c r="D86" s="76"/>
      <c r="E86" s="99"/>
      <c r="F86" s="71"/>
      <c r="G86" s="71"/>
      <c r="H86" s="71"/>
      <c r="I86" s="99"/>
      <c r="J86" s="99"/>
      <c r="K86" s="99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</row>
    <row r="87" spans="1:22" ht="14.25">
      <c r="A87" s="73"/>
      <c r="B87" s="78"/>
      <c r="C87" s="79"/>
      <c r="D87" s="76"/>
      <c r="E87" s="99"/>
      <c r="F87" s="71"/>
      <c r="G87" s="71"/>
      <c r="H87" s="71"/>
      <c r="I87" s="99"/>
      <c r="J87" s="99"/>
      <c r="K87" s="99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</row>
    <row r="88" spans="1:22" ht="14.25">
      <c r="A88" s="73"/>
      <c r="B88" s="78"/>
      <c r="C88" s="79"/>
      <c r="D88" s="76"/>
      <c r="E88" s="99"/>
      <c r="F88" s="71"/>
      <c r="G88" s="71"/>
      <c r="H88" s="71"/>
      <c r="I88" s="99"/>
      <c r="J88" s="99"/>
      <c r="K88" s="99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</row>
    <row r="89" spans="1:22" ht="14.25">
      <c r="A89" s="73"/>
      <c r="B89" s="78"/>
      <c r="C89" s="79"/>
      <c r="D89" s="76"/>
      <c r="E89" s="99"/>
      <c r="F89" s="71"/>
      <c r="G89" s="71"/>
      <c r="H89" s="71"/>
      <c r="I89" s="99"/>
      <c r="J89" s="99"/>
      <c r="K89" s="99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</row>
    <row r="90" spans="1:22" ht="14.25">
      <c r="A90" s="73"/>
      <c r="B90" s="78"/>
      <c r="C90" s="79"/>
      <c r="D90" s="76"/>
      <c r="E90" s="99"/>
      <c r="F90" s="71"/>
      <c r="G90" s="71"/>
      <c r="H90" s="71"/>
      <c r="I90" s="99"/>
      <c r="J90" s="99"/>
      <c r="K90" s="99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</row>
    <row r="91" spans="1:22" ht="14.25">
      <c r="A91" s="73"/>
      <c r="B91" s="78"/>
      <c r="C91" s="79"/>
      <c r="D91" s="76"/>
      <c r="E91" s="99"/>
      <c r="F91" s="71"/>
      <c r="G91" s="71"/>
      <c r="H91" s="71"/>
      <c r="I91" s="99"/>
      <c r="J91" s="99"/>
      <c r="K91" s="99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</row>
    <row r="92" spans="1:22" ht="14.25">
      <c r="A92" s="73"/>
      <c r="B92" s="78"/>
      <c r="C92" s="79"/>
      <c r="D92" s="76"/>
      <c r="E92" s="99"/>
      <c r="F92" s="71"/>
      <c r="G92" s="71"/>
      <c r="H92" s="71"/>
      <c r="I92" s="99"/>
      <c r="J92" s="99"/>
      <c r="K92" s="99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</row>
    <row r="93" spans="1:22" ht="14.25">
      <c r="A93" s="73"/>
      <c r="B93" s="78"/>
      <c r="C93" s="79"/>
      <c r="D93" s="76"/>
      <c r="E93" s="99"/>
      <c r="F93" s="71"/>
      <c r="G93" s="71"/>
      <c r="H93" s="71"/>
      <c r="I93" s="99"/>
      <c r="J93" s="99"/>
      <c r="K93" s="99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</row>
    <row r="94" spans="1:22" ht="14.25">
      <c r="A94" s="73"/>
      <c r="B94" s="78"/>
      <c r="C94" s="79"/>
      <c r="D94" s="76"/>
      <c r="E94" s="99"/>
      <c r="F94" s="71"/>
      <c r="G94" s="71"/>
      <c r="H94" s="71"/>
      <c r="I94" s="99"/>
      <c r="J94" s="99"/>
      <c r="K94" s="99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</row>
    <row r="95" spans="1:22" ht="14.25">
      <c r="A95" s="73"/>
      <c r="B95" s="78"/>
      <c r="C95" s="79"/>
      <c r="D95" s="76"/>
      <c r="E95" s="99"/>
      <c r="F95" s="71"/>
      <c r="G95" s="71"/>
      <c r="H95" s="71"/>
      <c r="I95" s="99"/>
      <c r="J95" s="99"/>
      <c r="K95" s="99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</row>
    <row r="96" spans="1:22" ht="14.25">
      <c r="A96" s="73"/>
      <c r="B96" s="78"/>
      <c r="C96" s="79"/>
      <c r="D96" s="76"/>
      <c r="E96" s="99"/>
      <c r="F96" s="71"/>
      <c r="G96" s="71"/>
      <c r="H96" s="71"/>
      <c r="I96" s="99"/>
      <c r="J96" s="99"/>
      <c r="K96" s="99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</row>
    <row r="97" spans="1:22" ht="14.25">
      <c r="A97" s="73"/>
      <c r="B97" s="78"/>
      <c r="C97" s="79"/>
      <c r="D97" s="76"/>
      <c r="E97" s="99"/>
      <c r="F97" s="71"/>
      <c r="G97" s="71"/>
      <c r="H97" s="71"/>
      <c r="I97" s="99"/>
      <c r="J97" s="99"/>
      <c r="K97" s="99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</row>
    <row r="98" spans="1:22" ht="14.25">
      <c r="A98" s="73"/>
      <c r="B98" s="78"/>
      <c r="C98" s="79"/>
      <c r="D98" s="76"/>
      <c r="E98" s="99"/>
      <c r="F98" s="71"/>
      <c r="G98" s="71"/>
      <c r="H98" s="71"/>
      <c r="I98" s="99"/>
      <c r="J98" s="99"/>
      <c r="K98" s="99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</row>
    <row r="99" spans="1:22" ht="14.25">
      <c r="A99" s="73"/>
      <c r="B99" s="78"/>
      <c r="C99" s="79"/>
      <c r="D99" s="76"/>
      <c r="E99" s="99"/>
      <c r="F99" s="71"/>
      <c r="G99" s="71"/>
      <c r="H99" s="71"/>
      <c r="I99" s="99"/>
      <c r="J99" s="99"/>
      <c r="K99" s="99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</row>
    <row r="100" spans="1:22" ht="14.25">
      <c r="A100" s="73"/>
      <c r="B100" s="78"/>
      <c r="C100" s="79"/>
      <c r="D100" s="76"/>
      <c r="E100" s="99"/>
      <c r="F100" s="71"/>
      <c r="G100" s="71"/>
      <c r="H100" s="71"/>
      <c r="I100" s="99"/>
      <c r="J100" s="99"/>
      <c r="K100" s="99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</row>
    <row r="101" spans="1:22" ht="14.25">
      <c r="A101" s="73"/>
      <c r="B101" s="78"/>
      <c r="C101" s="79"/>
      <c r="D101" s="76"/>
      <c r="E101" s="99"/>
      <c r="F101" s="71"/>
      <c r="G101" s="71"/>
      <c r="H101" s="71"/>
      <c r="I101" s="99"/>
      <c r="J101" s="99"/>
      <c r="K101" s="99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</row>
    <row r="102" spans="1:22" ht="14.25">
      <c r="A102" s="73"/>
      <c r="B102" s="78"/>
      <c r="C102" s="79"/>
      <c r="D102" s="76"/>
      <c r="E102" s="99"/>
      <c r="F102" s="71"/>
      <c r="G102" s="71"/>
      <c r="H102" s="71"/>
      <c r="I102" s="99"/>
      <c r="J102" s="99"/>
      <c r="K102" s="99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</row>
    <row r="103" spans="1:22" ht="14.25">
      <c r="A103" s="73"/>
      <c r="B103" s="78"/>
      <c r="C103" s="79"/>
      <c r="D103" s="76"/>
      <c r="E103" s="99"/>
      <c r="F103" s="71"/>
      <c r="G103" s="71"/>
      <c r="H103" s="71"/>
      <c r="I103" s="99"/>
      <c r="J103" s="99"/>
      <c r="K103" s="99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</row>
    <row r="104" spans="1:22" ht="14.25">
      <c r="A104" s="73"/>
      <c r="B104" s="78"/>
      <c r="C104" s="79"/>
      <c r="D104" s="76"/>
      <c r="E104" s="99"/>
      <c r="F104" s="71"/>
      <c r="G104" s="71"/>
      <c r="H104" s="71"/>
      <c r="I104" s="99"/>
      <c r="J104" s="99"/>
      <c r="K104" s="99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</row>
    <row r="105" spans="1:22" ht="14.25">
      <c r="A105" s="73"/>
      <c r="B105" s="78"/>
      <c r="C105" s="79"/>
      <c r="D105" s="76"/>
      <c r="E105" s="99"/>
      <c r="F105" s="71"/>
      <c r="G105" s="71"/>
      <c r="H105" s="71"/>
      <c r="I105" s="99"/>
      <c r="J105" s="99"/>
      <c r="K105" s="99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</row>
    <row r="106" spans="1:22" ht="14.25">
      <c r="A106" s="73"/>
      <c r="B106" s="78"/>
      <c r="C106" s="79"/>
      <c r="D106" s="76"/>
      <c r="E106" s="99"/>
      <c r="F106" s="71"/>
      <c r="G106" s="71"/>
      <c r="H106" s="71"/>
      <c r="I106" s="99"/>
      <c r="J106" s="99"/>
      <c r="K106" s="99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</row>
    <row r="107" spans="1:22" ht="14.25">
      <c r="A107" s="73"/>
      <c r="B107" s="78"/>
      <c r="C107" s="79"/>
      <c r="D107" s="76"/>
      <c r="E107" s="99"/>
      <c r="F107" s="71"/>
      <c r="G107" s="71"/>
      <c r="H107" s="71"/>
      <c r="I107" s="99"/>
      <c r="J107" s="99"/>
      <c r="K107" s="99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</row>
    <row r="108" spans="1:22" ht="14.25">
      <c r="A108" s="73"/>
      <c r="B108" s="78"/>
      <c r="C108" s="79"/>
      <c r="D108" s="76"/>
      <c r="E108" s="99"/>
      <c r="F108" s="71"/>
      <c r="G108" s="71"/>
      <c r="H108" s="71"/>
      <c r="I108" s="99"/>
      <c r="J108" s="99"/>
      <c r="K108" s="99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</row>
    <row r="109" spans="1:22" ht="14.25">
      <c r="A109" s="73"/>
      <c r="B109" s="78"/>
      <c r="C109" s="79"/>
      <c r="D109" s="76"/>
      <c r="E109" s="99"/>
      <c r="F109" s="71"/>
      <c r="G109" s="71"/>
      <c r="H109" s="71"/>
      <c r="I109" s="99"/>
      <c r="J109" s="99"/>
      <c r="K109" s="99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</row>
    <row r="110" spans="1:22" ht="14.25">
      <c r="A110" s="73"/>
      <c r="B110" s="78"/>
      <c r="C110" s="79"/>
      <c r="D110" s="76"/>
      <c r="E110" s="99"/>
      <c r="F110" s="71"/>
      <c r="G110" s="71"/>
      <c r="H110" s="71"/>
      <c r="I110" s="99"/>
      <c r="J110" s="99"/>
      <c r="K110" s="99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</row>
    <row r="111" spans="1:22" ht="14.25">
      <c r="A111" s="73"/>
      <c r="B111" s="78"/>
      <c r="C111" s="79"/>
      <c r="D111" s="76"/>
      <c r="E111" s="99"/>
      <c r="F111" s="71"/>
      <c r="G111" s="71"/>
      <c r="H111" s="71"/>
      <c r="I111" s="99"/>
      <c r="J111" s="99"/>
      <c r="K111" s="99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</row>
    <row r="112" spans="1:22" ht="14.25">
      <c r="A112" s="73"/>
      <c r="B112" s="78"/>
      <c r="C112" s="79"/>
      <c r="D112" s="76"/>
      <c r="E112" s="99"/>
      <c r="F112" s="71"/>
      <c r="G112" s="71"/>
      <c r="H112" s="71"/>
      <c r="I112" s="99"/>
      <c r="J112" s="99"/>
      <c r="K112" s="99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</row>
    <row r="113" spans="1:22" ht="14.25">
      <c r="A113" s="73"/>
      <c r="B113" s="78"/>
      <c r="C113" s="79"/>
      <c r="D113" s="76"/>
      <c r="E113" s="99"/>
      <c r="F113" s="71"/>
      <c r="G113" s="71"/>
      <c r="H113" s="71"/>
      <c r="I113" s="99"/>
      <c r="J113" s="99"/>
      <c r="K113" s="99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</row>
    <row r="114" spans="1:22" ht="14.25">
      <c r="A114" s="73"/>
      <c r="B114" s="78"/>
      <c r="C114" s="79"/>
      <c r="D114" s="76"/>
      <c r="E114" s="99"/>
      <c r="F114" s="71"/>
      <c r="G114" s="71"/>
      <c r="H114" s="71"/>
      <c r="I114" s="99"/>
      <c r="J114" s="99"/>
      <c r="K114" s="99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</row>
    <row r="115" spans="1:22" ht="14.25">
      <c r="A115" s="73"/>
      <c r="B115" s="78"/>
      <c r="C115" s="79"/>
      <c r="D115" s="76"/>
      <c r="E115" s="99"/>
      <c r="F115" s="71"/>
      <c r="G115" s="71"/>
      <c r="H115" s="71"/>
      <c r="I115" s="99"/>
      <c r="J115" s="99"/>
      <c r="K115" s="99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</row>
    <row r="116" spans="1:22" ht="14.25">
      <c r="A116" s="73"/>
      <c r="B116" s="78"/>
      <c r="C116" s="79"/>
      <c r="D116" s="76"/>
      <c r="E116" s="99"/>
      <c r="F116" s="71"/>
      <c r="G116" s="71"/>
      <c r="H116" s="71"/>
      <c r="I116" s="99"/>
      <c r="J116" s="99"/>
      <c r="K116" s="99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14.25">
      <c r="A117" s="73"/>
      <c r="B117" s="78"/>
      <c r="C117" s="79"/>
      <c r="D117" s="76"/>
      <c r="E117" s="99"/>
      <c r="F117" s="71"/>
      <c r="G117" s="71"/>
      <c r="H117" s="71"/>
      <c r="I117" s="99"/>
      <c r="J117" s="99"/>
      <c r="K117" s="99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14.25">
      <c r="A118" s="73"/>
      <c r="B118" s="78"/>
      <c r="C118" s="79"/>
      <c r="D118" s="76"/>
      <c r="E118" s="99"/>
      <c r="F118" s="71"/>
      <c r="G118" s="71"/>
      <c r="H118" s="71"/>
      <c r="I118" s="99"/>
      <c r="J118" s="99"/>
      <c r="K118" s="99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4.25">
      <c r="A119" s="73"/>
      <c r="B119" s="78"/>
      <c r="C119" s="79"/>
      <c r="D119" s="76"/>
      <c r="E119" s="99"/>
      <c r="F119" s="71"/>
      <c r="G119" s="71"/>
      <c r="H119" s="71"/>
      <c r="I119" s="99"/>
      <c r="J119" s="99"/>
      <c r="K119" s="99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  <row r="120" spans="1:22" ht="14.25">
      <c r="A120" s="73"/>
      <c r="B120" s="78"/>
      <c r="C120" s="79"/>
      <c r="D120" s="76"/>
      <c r="E120" s="99"/>
      <c r="F120" s="71"/>
      <c r="G120" s="71"/>
      <c r="H120" s="71"/>
      <c r="I120" s="99"/>
      <c r="J120" s="99"/>
      <c r="K120" s="99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</row>
    <row r="121" spans="1:22" ht="14.25">
      <c r="A121" s="73"/>
      <c r="B121" s="78"/>
      <c r="C121" s="79"/>
      <c r="D121" s="76"/>
      <c r="E121" s="99"/>
      <c r="F121" s="71"/>
      <c r="G121" s="71"/>
      <c r="H121" s="71"/>
      <c r="I121" s="99"/>
      <c r="J121" s="99"/>
      <c r="K121" s="99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</row>
    <row r="122" spans="1:22" ht="14.25">
      <c r="A122" s="73"/>
      <c r="B122" s="78"/>
      <c r="C122" s="79"/>
      <c r="D122" s="76"/>
      <c r="E122" s="99"/>
      <c r="F122" s="71"/>
      <c r="G122" s="71"/>
      <c r="H122" s="71"/>
      <c r="I122" s="99"/>
      <c r="J122" s="99"/>
      <c r="K122" s="99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</row>
    <row r="123" spans="1:22" ht="14.25">
      <c r="A123" s="73"/>
      <c r="B123" s="78"/>
      <c r="C123" s="79"/>
      <c r="D123" s="76"/>
      <c r="E123" s="99"/>
      <c r="F123" s="71"/>
      <c r="G123" s="71"/>
      <c r="H123" s="71"/>
      <c r="I123" s="99"/>
      <c r="J123" s="99"/>
      <c r="K123" s="99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</row>
    <row r="124" spans="1:22" ht="14.25">
      <c r="A124" s="73"/>
      <c r="B124" s="78"/>
      <c r="C124" s="79"/>
      <c r="D124" s="76"/>
      <c r="E124" s="99"/>
      <c r="F124" s="71"/>
      <c r="G124" s="71"/>
      <c r="H124" s="71"/>
      <c r="I124" s="99"/>
      <c r="J124" s="99"/>
      <c r="K124" s="99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</row>
    <row r="125" spans="1:22" ht="14.25">
      <c r="A125" s="73"/>
      <c r="B125" s="78"/>
      <c r="C125" s="79"/>
      <c r="D125" s="76"/>
      <c r="E125" s="99"/>
      <c r="F125" s="71"/>
      <c r="G125" s="71"/>
      <c r="H125" s="71"/>
      <c r="I125" s="99"/>
      <c r="J125" s="99"/>
      <c r="K125" s="99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</row>
    <row r="126" spans="1:22" ht="14.25">
      <c r="A126" s="73"/>
      <c r="B126" s="78"/>
      <c r="C126" s="79"/>
      <c r="D126" s="76"/>
      <c r="E126" s="99"/>
      <c r="F126" s="71"/>
      <c r="G126" s="71"/>
      <c r="H126" s="71"/>
      <c r="I126" s="99"/>
      <c r="J126" s="99"/>
      <c r="K126" s="99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</row>
    <row r="127" spans="1:22" ht="14.25">
      <c r="A127" s="73"/>
      <c r="B127" s="78"/>
      <c r="C127" s="79"/>
      <c r="D127" s="76"/>
      <c r="E127" s="99"/>
      <c r="F127" s="71"/>
      <c r="G127" s="71"/>
      <c r="H127" s="71"/>
      <c r="I127" s="99"/>
      <c r="J127" s="99"/>
      <c r="K127" s="99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</row>
    <row r="128" spans="1:22" ht="14.25">
      <c r="A128" s="73"/>
      <c r="B128" s="78"/>
      <c r="C128" s="79"/>
      <c r="D128" s="76"/>
      <c r="E128" s="99"/>
      <c r="F128" s="71"/>
      <c r="G128" s="71"/>
      <c r="H128" s="71"/>
      <c r="I128" s="99"/>
      <c r="J128" s="99"/>
      <c r="K128" s="99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</row>
    <row r="129" spans="1:22" ht="14.25">
      <c r="A129" s="73"/>
      <c r="B129" s="78"/>
      <c r="C129" s="79"/>
      <c r="D129" s="76"/>
      <c r="E129" s="99"/>
      <c r="F129" s="71"/>
      <c r="G129" s="71"/>
      <c r="H129" s="71"/>
      <c r="I129" s="99"/>
      <c r="J129" s="99"/>
      <c r="K129" s="99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</row>
    <row r="130" spans="1:22" ht="14.25">
      <c r="A130" s="73"/>
      <c r="B130" s="78"/>
      <c r="C130" s="79"/>
      <c r="D130" s="76"/>
      <c r="E130" s="99"/>
      <c r="F130" s="71"/>
      <c r="G130" s="71"/>
      <c r="H130" s="71"/>
      <c r="I130" s="99"/>
      <c r="J130" s="99"/>
      <c r="K130" s="99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 ht="14.25">
      <c r="A131" s="73"/>
      <c r="B131" s="78"/>
      <c r="C131" s="79"/>
      <c r="D131" s="76"/>
      <c r="E131" s="99"/>
      <c r="F131" s="71"/>
      <c r="G131" s="71"/>
      <c r="H131" s="71"/>
      <c r="I131" s="99"/>
      <c r="J131" s="99"/>
      <c r="K131" s="99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 spans="1:22" ht="14.25">
      <c r="A132" s="73"/>
      <c r="B132" s="78"/>
      <c r="C132" s="79"/>
      <c r="D132" s="76"/>
      <c r="E132" s="99"/>
      <c r="F132" s="71"/>
      <c r="G132" s="71"/>
      <c r="H132" s="71"/>
      <c r="I132" s="99"/>
      <c r="J132" s="99"/>
      <c r="K132" s="99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ht="14.25">
      <c r="A133" s="73"/>
      <c r="B133" s="78"/>
      <c r="C133" s="79"/>
      <c r="D133" s="76"/>
      <c r="E133" s="99"/>
      <c r="F133" s="71"/>
      <c r="G133" s="71"/>
      <c r="H133" s="71"/>
      <c r="I133" s="99"/>
      <c r="J133" s="99"/>
      <c r="K133" s="99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 spans="1:22" ht="14.25">
      <c r="A134" s="73"/>
      <c r="B134" s="78"/>
      <c r="C134" s="79"/>
      <c r="D134" s="76"/>
      <c r="E134" s="99"/>
      <c r="F134" s="71"/>
      <c r="G134" s="71"/>
      <c r="H134" s="71"/>
      <c r="I134" s="99"/>
      <c r="J134" s="99"/>
      <c r="K134" s="99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</row>
    <row r="135" spans="1:22" ht="14.25">
      <c r="A135" s="73"/>
      <c r="B135" s="78"/>
      <c r="C135" s="79"/>
      <c r="D135" s="76"/>
      <c r="E135" s="99"/>
      <c r="F135" s="71"/>
      <c r="G135" s="71"/>
      <c r="H135" s="71"/>
      <c r="I135" s="99"/>
      <c r="J135" s="99"/>
      <c r="K135" s="99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</row>
    <row r="136" spans="1:22" ht="14.25">
      <c r="A136" s="73"/>
      <c r="B136" s="78"/>
      <c r="C136" s="79"/>
      <c r="D136" s="76"/>
      <c r="E136" s="99"/>
      <c r="F136" s="71"/>
      <c r="G136" s="71"/>
      <c r="H136" s="71"/>
      <c r="I136" s="99"/>
      <c r="J136" s="99"/>
      <c r="K136" s="99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</row>
    <row r="137" spans="1:22" ht="14.25">
      <c r="A137" s="73"/>
      <c r="B137" s="78"/>
      <c r="C137" s="79"/>
      <c r="D137" s="76"/>
      <c r="E137" s="99"/>
      <c r="F137" s="71"/>
      <c r="G137" s="71"/>
      <c r="H137" s="71"/>
      <c r="I137" s="99"/>
      <c r="J137" s="99"/>
      <c r="K137" s="99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</row>
    <row r="138" spans="1:22" ht="14.25">
      <c r="A138" s="73"/>
      <c r="B138" s="78"/>
      <c r="C138" s="79"/>
      <c r="D138" s="76"/>
      <c r="E138" s="99"/>
      <c r="F138" s="71"/>
      <c r="G138" s="71"/>
      <c r="H138" s="71"/>
      <c r="I138" s="99"/>
      <c r="J138" s="99"/>
      <c r="K138" s="99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</row>
    <row r="139" spans="1:22" ht="14.25">
      <c r="A139" s="73"/>
      <c r="B139" s="78"/>
      <c r="C139" s="79"/>
      <c r="D139" s="76"/>
      <c r="E139" s="99"/>
      <c r="F139" s="71"/>
      <c r="G139" s="71"/>
      <c r="H139" s="71"/>
      <c r="I139" s="99"/>
      <c r="J139" s="99"/>
      <c r="K139" s="99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</row>
    <row r="140" spans="1:22" ht="14.25">
      <c r="A140" s="73"/>
      <c r="B140" s="78"/>
      <c r="C140" s="79"/>
      <c r="D140" s="76"/>
      <c r="E140" s="99"/>
      <c r="F140" s="71"/>
      <c r="G140" s="71"/>
      <c r="H140" s="71"/>
      <c r="I140" s="99"/>
      <c r="J140" s="99"/>
      <c r="K140" s="99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</row>
    <row r="141" spans="1:22" ht="14.25">
      <c r="A141" s="73"/>
      <c r="B141" s="78"/>
      <c r="C141" s="79"/>
      <c r="D141" s="76"/>
      <c r="E141" s="99"/>
      <c r="F141" s="71"/>
      <c r="G141" s="71"/>
      <c r="H141" s="71"/>
      <c r="I141" s="99"/>
      <c r="J141" s="99"/>
      <c r="K141" s="99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</row>
    <row r="142" spans="1:22" ht="14.25">
      <c r="A142" s="73"/>
      <c r="B142" s="78"/>
      <c r="C142" s="79"/>
      <c r="D142" s="76"/>
      <c r="E142" s="99"/>
      <c r="F142" s="71"/>
      <c r="G142" s="71"/>
      <c r="H142" s="71"/>
      <c r="I142" s="99"/>
      <c r="J142" s="99"/>
      <c r="K142" s="99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</row>
    <row r="143" spans="1:22" ht="14.25">
      <c r="A143" s="73"/>
      <c r="B143" s="78"/>
      <c r="C143" s="79"/>
      <c r="D143" s="76"/>
      <c r="E143" s="99"/>
      <c r="F143" s="71"/>
      <c r="G143" s="71"/>
      <c r="H143" s="71"/>
      <c r="I143" s="99"/>
      <c r="J143" s="99"/>
      <c r="K143" s="99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</row>
    <row r="144" spans="1:22" ht="14.25">
      <c r="A144" s="73"/>
      <c r="B144" s="78"/>
      <c r="C144" s="79"/>
      <c r="D144" s="76"/>
      <c r="E144" s="99"/>
      <c r="F144" s="71"/>
      <c r="G144" s="71"/>
      <c r="H144" s="71"/>
      <c r="I144" s="99"/>
      <c r="J144" s="99"/>
      <c r="K144" s="99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</row>
    <row r="145" spans="1:22" ht="14.25">
      <c r="A145" s="73"/>
      <c r="B145" s="78"/>
      <c r="C145" s="79"/>
      <c r="D145" s="76"/>
      <c r="E145" s="99"/>
      <c r="F145" s="71"/>
      <c r="G145" s="71"/>
      <c r="H145" s="71"/>
      <c r="I145" s="99"/>
      <c r="J145" s="99"/>
      <c r="K145" s="99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</row>
    <row r="146" spans="1:22" ht="14.25">
      <c r="A146" s="73"/>
      <c r="B146" s="78"/>
      <c r="C146" s="79"/>
      <c r="D146" s="76"/>
      <c r="E146" s="99"/>
      <c r="F146" s="71"/>
      <c r="G146" s="71"/>
      <c r="H146" s="71"/>
      <c r="I146" s="99"/>
      <c r="J146" s="99"/>
      <c r="K146" s="99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</row>
    <row r="147" spans="1:22" ht="14.25">
      <c r="A147" s="73"/>
      <c r="B147" s="78"/>
      <c r="C147" s="79"/>
      <c r="D147" s="76"/>
      <c r="E147" s="99"/>
      <c r="F147" s="71"/>
      <c r="G147" s="71"/>
      <c r="H147" s="71"/>
      <c r="I147" s="99"/>
      <c r="J147" s="99"/>
      <c r="K147" s="99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</row>
    <row r="148" spans="1:22" ht="14.25">
      <c r="A148" s="73"/>
      <c r="B148" s="78"/>
      <c r="C148" s="79"/>
      <c r="D148" s="76"/>
      <c r="E148" s="99"/>
      <c r="F148" s="71"/>
      <c r="G148" s="71"/>
      <c r="H148" s="71"/>
      <c r="I148" s="99"/>
      <c r="J148" s="99"/>
      <c r="K148" s="99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</row>
    <row r="149" spans="1:22" ht="14.25">
      <c r="A149" s="73"/>
      <c r="B149" s="78"/>
      <c r="C149" s="79"/>
      <c r="D149" s="76"/>
      <c r="E149" s="99"/>
      <c r="F149" s="71"/>
      <c r="G149" s="71"/>
      <c r="H149" s="71"/>
      <c r="I149" s="99"/>
      <c r="J149" s="99"/>
      <c r="K149" s="99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</row>
    <row r="150" spans="1:22" ht="14.25">
      <c r="A150" s="73"/>
      <c r="B150" s="78"/>
      <c r="C150" s="79"/>
      <c r="D150" s="76"/>
      <c r="E150" s="99"/>
      <c r="F150" s="71"/>
      <c r="G150" s="71"/>
      <c r="H150" s="71"/>
      <c r="I150" s="99"/>
      <c r="J150" s="99"/>
      <c r="K150" s="99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</row>
    <row r="151" spans="1:22" ht="14.25">
      <c r="A151" s="73"/>
      <c r="B151" s="78"/>
      <c r="C151" s="79"/>
      <c r="D151" s="76"/>
      <c r="E151" s="99"/>
      <c r="F151" s="71"/>
      <c r="G151" s="71"/>
      <c r="H151" s="71"/>
      <c r="I151" s="99"/>
      <c r="J151" s="99"/>
      <c r="K151" s="99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</row>
    <row r="152" spans="1:22" ht="14.25">
      <c r="A152" s="73"/>
      <c r="B152" s="78"/>
      <c r="C152" s="79"/>
      <c r="D152" s="76"/>
      <c r="E152" s="99"/>
      <c r="F152" s="71"/>
      <c r="G152" s="71"/>
      <c r="H152" s="71"/>
      <c r="I152" s="99"/>
      <c r="J152" s="99"/>
      <c r="K152" s="99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</row>
    <row r="153" spans="1:22" ht="14.25">
      <c r="A153" s="73"/>
      <c r="B153" s="78"/>
      <c r="C153" s="79"/>
      <c r="D153" s="76"/>
      <c r="E153" s="99"/>
      <c r="F153" s="71"/>
      <c r="G153" s="71"/>
      <c r="H153" s="71"/>
      <c r="I153" s="99"/>
      <c r="J153" s="99"/>
      <c r="K153" s="99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</row>
    <row r="154" spans="1:22" ht="14.25">
      <c r="A154" s="73"/>
      <c r="B154" s="78"/>
      <c r="C154" s="79"/>
      <c r="D154" s="76"/>
      <c r="E154" s="99"/>
      <c r="F154" s="71"/>
      <c r="G154" s="71"/>
      <c r="H154" s="71"/>
      <c r="I154" s="99"/>
      <c r="J154" s="99"/>
      <c r="K154" s="99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</row>
    <row r="155" spans="1:22" ht="14.25">
      <c r="A155" s="73"/>
      <c r="B155" s="78"/>
      <c r="C155" s="79"/>
      <c r="D155" s="76"/>
      <c r="E155" s="99"/>
      <c r="F155" s="71"/>
      <c r="G155" s="71"/>
      <c r="H155" s="71"/>
      <c r="I155" s="99"/>
      <c r="J155" s="99"/>
      <c r="K155" s="99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</row>
    <row r="156" spans="1:22" ht="14.25">
      <c r="A156" s="73"/>
      <c r="B156" s="78"/>
      <c r="C156" s="79"/>
      <c r="D156" s="76"/>
      <c r="E156" s="99"/>
      <c r="F156" s="71"/>
      <c r="G156" s="71"/>
      <c r="H156" s="71"/>
      <c r="I156" s="99"/>
      <c r="J156" s="99"/>
      <c r="K156" s="99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</row>
    <row r="157" spans="1:22" ht="14.25">
      <c r="A157" s="73"/>
      <c r="B157" s="78"/>
      <c r="C157" s="79"/>
      <c r="D157" s="76"/>
      <c r="E157" s="99"/>
      <c r="F157" s="71"/>
      <c r="G157" s="71"/>
      <c r="H157" s="71"/>
      <c r="I157" s="99"/>
      <c r="J157" s="99"/>
      <c r="K157" s="99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</row>
    <row r="158" spans="1:22" ht="14.25">
      <c r="A158" s="73"/>
      <c r="B158" s="78"/>
      <c r="C158" s="79"/>
      <c r="D158" s="76"/>
      <c r="E158" s="99"/>
      <c r="F158" s="71"/>
      <c r="G158" s="71"/>
      <c r="H158" s="71"/>
      <c r="I158" s="99"/>
      <c r="J158" s="99"/>
      <c r="K158" s="99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</row>
    <row r="159" spans="1:22" ht="14.25">
      <c r="A159" s="73"/>
      <c r="B159" s="78"/>
      <c r="C159" s="79"/>
      <c r="D159" s="76"/>
      <c r="E159" s="99"/>
      <c r="F159" s="71"/>
      <c r="G159" s="71"/>
      <c r="H159" s="71"/>
      <c r="I159" s="99"/>
      <c r="J159" s="99"/>
      <c r="K159" s="99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</row>
    <row r="160" spans="1:22" ht="14.25">
      <c r="A160" s="73"/>
      <c r="B160" s="78"/>
      <c r="C160" s="79"/>
      <c r="D160" s="76"/>
      <c r="E160" s="99"/>
      <c r="F160" s="71"/>
      <c r="G160" s="71"/>
      <c r="H160" s="71"/>
      <c r="I160" s="99"/>
      <c r="J160" s="99"/>
      <c r="K160" s="99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</row>
    <row r="161" spans="1:22" ht="14.25">
      <c r="A161" s="73"/>
      <c r="B161" s="78"/>
      <c r="C161" s="79"/>
      <c r="D161" s="76"/>
      <c r="E161" s="99"/>
      <c r="F161" s="71"/>
      <c r="G161" s="71"/>
      <c r="H161" s="71"/>
      <c r="I161" s="99"/>
      <c r="J161" s="99"/>
      <c r="K161" s="99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</row>
    <row r="162" spans="1:22" ht="14.25">
      <c r="A162" s="73"/>
      <c r="B162" s="78"/>
      <c r="C162" s="79"/>
      <c r="D162" s="76"/>
      <c r="E162" s="99"/>
      <c r="F162" s="71"/>
      <c r="G162" s="71"/>
      <c r="H162" s="71"/>
      <c r="I162" s="99"/>
      <c r="J162" s="99"/>
      <c r="K162" s="99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</row>
    <row r="163" spans="1:22" ht="14.25">
      <c r="A163" s="73"/>
      <c r="B163" s="78"/>
      <c r="C163" s="79"/>
      <c r="D163" s="76"/>
      <c r="E163" s="99"/>
      <c r="F163" s="71"/>
      <c r="G163" s="71"/>
      <c r="H163" s="71"/>
      <c r="I163" s="99"/>
      <c r="J163" s="99"/>
      <c r="K163" s="99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</row>
    <row r="164" spans="1:22" ht="14.25">
      <c r="A164" s="73"/>
      <c r="B164" s="78"/>
      <c r="C164" s="79"/>
      <c r="D164" s="76"/>
      <c r="E164" s="99"/>
      <c r="F164" s="71"/>
      <c r="G164" s="71"/>
      <c r="H164" s="71"/>
      <c r="I164" s="99"/>
      <c r="J164" s="99"/>
      <c r="K164" s="99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</row>
    <row r="165" spans="1:22" ht="14.25">
      <c r="A165" s="73"/>
      <c r="B165" s="78"/>
      <c r="C165" s="79"/>
      <c r="D165" s="76"/>
      <c r="E165" s="99"/>
      <c r="F165" s="71"/>
      <c r="G165" s="71"/>
      <c r="H165" s="71"/>
      <c r="I165" s="99"/>
      <c r="J165" s="99"/>
      <c r="K165" s="99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</row>
    <row r="166" spans="1:22" ht="14.25">
      <c r="A166" s="73"/>
      <c r="B166" s="78"/>
      <c r="C166" s="79"/>
      <c r="D166" s="76"/>
      <c r="E166" s="99"/>
      <c r="F166" s="71"/>
      <c r="G166" s="71"/>
      <c r="H166" s="71"/>
      <c r="I166" s="99"/>
      <c r="J166" s="99"/>
      <c r="K166" s="99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</row>
    <row r="167" spans="1:22" ht="14.25">
      <c r="A167" s="73"/>
      <c r="B167" s="78"/>
      <c r="C167" s="79"/>
      <c r="D167" s="76"/>
      <c r="E167" s="99"/>
      <c r="F167" s="71"/>
      <c r="G167" s="71"/>
      <c r="H167" s="71"/>
      <c r="I167" s="99"/>
      <c r="J167" s="99"/>
      <c r="K167" s="99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</row>
    <row r="168" spans="1:22" ht="14.25">
      <c r="A168" s="73"/>
      <c r="B168" s="78"/>
      <c r="C168" s="79"/>
      <c r="D168" s="76"/>
      <c r="E168" s="99"/>
      <c r="F168" s="71"/>
      <c r="G168" s="71"/>
      <c r="H168" s="71"/>
      <c r="I168" s="99"/>
      <c r="J168" s="99"/>
      <c r="K168" s="99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</row>
    <row r="169" spans="1:22" ht="14.25">
      <c r="A169" s="73"/>
      <c r="B169" s="78"/>
      <c r="C169" s="79"/>
      <c r="D169" s="76"/>
      <c r="E169" s="99"/>
      <c r="F169" s="71"/>
      <c r="G169" s="71"/>
      <c r="H169" s="71"/>
      <c r="I169" s="99"/>
      <c r="J169" s="99"/>
      <c r="K169" s="99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</row>
    <row r="170" spans="1:22" ht="14.25">
      <c r="A170" s="73"/>
      <c r="B170" s="78"/>
      <c r="C170" s="79"/>
      <c r="D170" s="76"/>
      <c r="E170" s="99"/>
      <c r="F170" s="71"/>
      <c r="G170" s="71"/>
      <c r="H170" s="71"/>
      <c r="I170" s="99"/>
      <c r="J170" s="99"/>
      <c r="K170" s="99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</row>
    <row r="171" spans="1:22" ht="14.25">
      <c r="A171" s="73"/>
      <c r="B171" s="78"/>
      <c r="C171" s="79"/>
      <c r="D171" s="76"/>
      <c r="E171" s="99"/>
      <c r="F171" s="71"/>
      <c r="G171" s="71"/>
      <c r="H171" s="71"/>
      <c r="I171" s="99"/>
      <c r="J171" s="99"/>
      <c r="K171" s="99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</row>
    <row r="172" spans="1:22" ht="14.25">
      <c r="A172" s="73"/>
      <c r="B172" s="78"/>
      <c r="C172" s="79"/>
      <c r="D172" s="76"/>
      <c r="E172" s="99"/>
      <c r="F172" s="71"/>
      <c r="G172" s="71"/>
      <c r="H172" s="71"/>
      <c r="I172" s="99"/>
      <c r="J172" s="99"/>
      <c r="K172" s="99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</row>
    <row r="173" spans="1:22" ht="14.25">
      <c r="A173" s="73"/>
      <c r="B173" s="78"/>
      <c r="C173" s="79"/>
      <c r="D173" s="76"/>
      <c r="E173" s="99"/>
      <c r="F173" s="71"/>
      <c r="G173" s="71"/>
      <c r="H173" s="71"/>
      <c r="I173" s="99"/>
      <c r="J173" s="99"/>
      <c r="K173" s="99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</row>
    <row r="174" spans="1:22" ht="14.25">
      <c r="A174" s="73"/>
      <c r="B174" s="78"/>
      <c r="C174" s="79"/>
      <c r="D174" s="76"/>
      <c r="E174" s="99"/>
      <c r="F174" s="71"/>
      <c r="G174" s="71"/>
      <c r="H174" s="71"/>
      <c r="I174" s="99"/>
      <c r="J174" s="99"/>
      <c r="K174" s="99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</row>
    <row r="175" spans="1:22" ht="14.25">
      <c r="A175" s="73"/>
      <c r="B175" s="78"/>
      <c r="C175" s="79"/>
      <c r="D175" s="76"/>
      <c r="E175" s="99"/>
      <c r="F175" s="71"/>
      <c r="G175" s="71"/>
      <c r="H175" s="71"/>
      <c r="I175" s="99"/>
      <c r="J175" s="99"/>
      <c r="K175" s="99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</row>
    <row r="176" spans="1:22" ht="14.25">
      <c r="A176" s="73"/>
      <c r="B176" s="78"/>
      <c r="C176" s="79"/>
      <c r="D176" s="76"/>
      <c r="E176" s="99"/>
      <c r="F176" s="71"/>
      <c r="G176" s="71"/>
      <c r="H176" s="71"/>
      <c r="I176" s="99"/>
      <c r="J176" s="99"/>
      <c r="K176" s="99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</row>
    <row r="177" spans="1:22" ht="14.25">
      <c r="A177" s="73"/>
      <c r="B177" s="78"/>
      <c r="C177" s="79"/>
      <c r="D177" s="76"/>
      <c r="E177" s="99"/>
      <c r="F177" s="71"/>
      <c r="G177" s="71"/>
      <c r="H177" s="71"/>
      <c r="I177" s="99"/>
      <c r="J177" s="99"/>
      <c r="K177" s="99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</row>
    <row r="178" spans="1:22" ht="14.25">
      <c r="A178" s="73"/>
      <c r="B178" s="78"/>
      <c r="C178" s="79"/>
      <c r="D178" s="76"/>
      <c r="E178" s="99"/>
      <c r="F178" s="71"/>
      <c r="G178" s="71"/>
      <c r="H178" s="71"/>
      <c r="I178" s="99"/>
      <c r="J178" s="99"/>
      <c r="K178" s="99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</row>
    <row r="179" spans="1:22" ht="14.25">
      <c r="A179" s="73"/>
      <c r="B179" s="78"/>
      <c r="C179" s="79"/>
      <c r="D179" s="76"/>
      <c r="E179" s="99"/>
      <c r="F179" s="71"/>
      <c r="G179" s="71"/>
      <c r="H179" s="71"/>
      <c r="I179" s="99"/>
      <c r="J179" s="99"/>
      <c r="K179" s="99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</row>
    <row r="180" spans="1:22" ht="14.25">
      <c r="A180" s="73"/>
      <c r="B180" s="78"/>
      <c r="C180" s="79"/>
      <c r="D180" s="76"/>
      <c r="E180" s="99"/>
      <c r="F180" s="71"/>
      <c r="G180" s="71"/>
      <c r="H180" s="71"/>
      <c r="I180" s="99"/>
      <c r="J180" s="99"/>
      <c r="K180" s="99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</row>
    <row r="181" spans="1:22" ht="14.25">
      <c r="A181" s="73"/>
      <c r="B181" s="78"/>
      <c r="C181" s="79"/>
      <c r="D181" s="76"/>
      <c r="E181" s="99"/>
      <c r="F181" s="71"/>
      <c r="G181" s="71"/>
      <c r="H181" s="71"/>
      <c r="I181" s="99"/>
      <c r="J181" s="99"/>
      <c r="K181" s="99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</row>
    <row r="182" spans="1:22" ht="14.25">
      <c r="A182" s="73"/>
      <c r="B182" s="78"/>
      <c r="C182" s="79"/>
      <c r="D182" s="76"/>
      <c r="E182" s="99"/>
      <c r="F182" s="71"/>
      <c r="G182" s="71"/>
      <c r="H182" s="71"/>
      <c r="I182" s="99"/>
      <c r="J182" s="99"/>
      <c r="K182" s="99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</row>
    <row r="183" spans="1:22" ht="14.25">
      <c r="A183" s="73"/>
      <c r="B183" s="78"/>
      <c r="C183" s="79"/>
      <c r="D183" s="76"/>
      <c r="E183" s="99"/>
      <c r="F183" s="71"/>
      <c r="G183" s="71"/>
      <c r="H183" s="71"/>
      <c r="I183" s="99"/>
      <c r="J183" s="99"/>
      <c r="K183" s="99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</row>
    <row r="184" spans="1:22" ht="14.25">
      <c r="A184" s="73"/>
      <c r="B184" s="78"/>
      <c r="C184" s="79"/>
      <c r="D184" s="76"/>
      <c r="E184" s="99"/>
      <c r="F184" s="71"/>
      <c r="G184" s="71"/>
      <c r="H184" s="71"/>
      <c r="I184" s="99"/>
      <c r="J184" s="99"/>
      <c r="K184" s="99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</row>
    <row r="185" spans="1:22" ht="14.25">
      <c r="A185" s="73"/>
      <c r="B185" s="78"/>
      <c r="C185" s="79"/>
      <c r="D185" s="76"/>
      <c r="E185" s="99"/>
      <c r="F185" s="71"/>
      <c r="G185" s="71"/>
      <c r="H185" s="71"/>
      <c r="I185" s="99"/>
      <c r="J185" s="99"/>
      <c r="K185" s="99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</row>
    <row r="186" spans="1:22" ht="14.25">
      <c r="A186" s="73"/>
      <c r="B186" s="78"/>
      <c r="C186" s="79"/>
      <c r="D186" s="76"/>
      <c r="E186" s="99"/>
      <c r="F186" s="71"/>
      <c r="G186" s="71"/>
      <c r="H186" s="71"/>
      <c r="I186" s="99"/>
      <c r="J186" s="99"/>
      <c r="K186" s="99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</row>
    <row r="187" spans="1:22" ht="14.25">
      <c r="A187" s="73"/>
      <c r="B187" s="78"/>
      <c r="C187" s="79"/>
      <c r="D187" s="76"/>
      <c r="E187" s="99"/>
      <c r="F187" s="71"/>
      <c r="G187" s="71"/>
      <c r="H187" s="71"/>
      <c r="I187" s="99"/>
      <c r="J187" s="99"/>
      <c r="K187" s="99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</row>
    <row r="188" spans="1:22" ht="14.25">
      <c r="A188" s="73"/>
      <c r="B188" s="78"/>
      <c r="C188" s="79"/>
      <c r="D188" s="76"/>
      <c r="E188" s="99"/>
      <c r="F188" s="71"/>
      <c r="G188" s="71"/>
      <c r="H188" s="71"/>
      <c r="I188" s="99"/>
      <c r="J188" s="99"/>
      <c r="K188" s="99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</row>
    <row r="189" spans="1:22" ht="14.25">
      <c r="A189" s="73"/>
      <c r="B189" s="78"/>
      <c r="C189" s="79"/>
      <c r="D189" s="76"/>
      <c r="E189" s="99"/>
      <c r="F189" s="71"/>
      <c r="G189" s="71"/>
      <c r="H189" s="71"/>
      <c r="I189" s="99"/>
      <c r="J189" s="99"/>
      <c r="K189" s="99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</row>
    <row r="190" spans="1:22" ht="14.25">
      <c r="A190" s="73"/>
      <c r="B190" s="78"/>
      <c r="C190" s="79"/>
      <c r="D190" s="76"/>
      <c r="E190" s="99"/>
      <c r="F190" s="71"/>
      <c r="G190" s="71"/>
      <c r="H190" s="71"/>
      <c r="I190" s="99"/>
      <c r="J190" s="99"/>
      <c r="K190" s="99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</row>
    <row r="191" spans="1:22" ht="14.25">
      <c r="A191" s="73"/>
      <c r="B191" s="78"/>
      <c r="C191" s="79"/>
      <c r="D191" s="76"/>
      <c r="E191" s="99"/>
      <c r="F191" s="71"/>
      <c r="G191" s="71"/>
      <c r="H191" s="71"/>
      <c r="I191" s="99"/>
      <c r="J191" s="99"/>
      <c r="K191" s="99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</row>
    <row r="192" spans="1:22" ht="14.25">
      <c r="A192" s="73"/>
      <c r="B192" s="78"/>
      <c r="C192" s="79"/>
      <c r="D192" s="76"/>
      <c r="E192" s="99"/>
      <c r="F192" s="71"/>
      <c r="G192" s="71"/>
      <c r="H192" s="71"/>
      <c r="I192" s="99"/>
      <c r="J192" s="99"/>
      <c r="K192" s="99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</row>
    <row r="193" spans="1:22" ht="14.25">
      <c r="A193" s="73"/>
      <c r="B193" s="78"/>
      <c r="C193" s="79"/>
      <c r="D193" s="76"/>
      <c r="E193" s="99"/>
      <c r="F193" s="71"/>
      <c r="G193" s="71"/>
      <c r="H193" s="71"/>
      <c r="I193" s="99"/>
      <c r="J193" s="99"/>
      <c r="K193" s="99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</row>
    <row r="194" spans="1:22" ht="14.25">
      <c r="A194" s="73"/>
      <c r="B194" s="78"/>
      <c r="C194" s="79"/>
      <c r="D194" s="76"/>
      <c r="E194" s="99"/>
      <c r="F194" s="71"/>
      <c r="G194" s="71"/>
      <c r="H194" s="71"/>
      <c r="I194" s="99"/>
      <c r="J194" s="99"/>
      <c r="K194" s="99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</row>
    <row r="195" spans="1:22" ht="14.25">
      <c r="A195" s="73"/>
      <c r="B195" s="78"/>
      <c r="C195" s="79"/>
      <c r="D195" s="76"/>
      <c r="E195" s="99"/>
      <c r="F195" s="71"/>
      <c r="G195" s="71"/>
      <c r="H195" s="71"/>
      <c r="I195" s="99"/>
      <c r="J195" s="99"/>
      <c r="K195" s="99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</row>
    <row r="196" spans="1:22" ht="14.25">
      <c r="A196" s="73"/>
      <c r="B196" s="78"/>
      <c r="C196" s="79"/>
      <c r="D196" s="76"/>
      <c r="E196" s="99"/>
      <c r="F196" s="71"/>
      <c r="G196" s="71"/>
      <c r="H196" s="71"/>
      <c r="I196" s="99"/>
      <c r="J196" s="99"/>
      <c r="K196" s="99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</row>
    <row r="197" spans="1:22" ht="14.25">
      <c r="A197" s="73"/>
      <c r="B197" s="78"/>
      <c r="C197" s="79"/>
      <c r="D197" s="76"/>
      <c r="E197" s="99"/>
      <c r="F197" s="71"/>
      <c r="G197" s="71"/>
      <c r="H197" s="71"/>
      <c r="I197" s="99"/>
      <c r="J197" s="99"/>
      <c r="K197" s="99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</row>
    <row r="198" spans="1:22" ht="14.25">
      <c r="A198" s="73"/>
      <c r="B198" s="78"/>
      <c r="C198" s="79"/>
      <c r="D198" s="76"/>
      <c r="E198" s="99"/>
      <c r="F198" s="71"/>
      <c r="G198" s="71"/>
      <c r="H198" s="71"/>
      <c r="I198" s="99"/>
      <c r="J198" s="99"/>
      <c r="K198" s="99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</row>
    <row r="199" spans="1:22" ht="14.25">
      <c r="A199" s="73"/>
      <c r="B199" s="78"/>
      <c r="C199" s="79"/>
      <c r="D199" s="76"/>
      <c r="E199" s="99"/>
      <c r="F199" s="71"/>
      <c r="G199" s="71"/>
      <c r="H199" s="71"/>
      <c r="I199" s="99"/>
      <c r="J199" s="99"/>
      <c r="K199" s="99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</row>
    <row r="200" spans="1:22" ht="14.25">
      <c r="A200" s="73"/>
      <c r="B200" s="78"/>
      <c r="C200" s="79"/>
      <c r="D200" s="76"/>
      <c r="E200" s="99"/>
      <c r="F200" s="71"/>
      <c r="G200" s="71"/>
      <c r="H200" s="71"/>
      <c r="I200" s="99"/>
      <c r="J200" s="99"/>
      <c r="K200" s="99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</row>
    <row r="201" spans="1:22" ht="14.25">
      <c r="A201" s="73"/>
      <c r="B201" s="78"/>
      <c r="C201" s="79"/>
      <c r="D201" s="76"/>
      <c r="E201" s="99"/>
      <c r="F201" s="71"/>
      <c r="G201" s="71"/>
      <c r="H201" s="71"/>
      <c r="I201" s="99"/>
      <c r="J201" s="99"/>
      <c r="K201" s="99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</row>
    <row r="202" spans="1:22" ht="14.25">
      <c r="A202" s="73"/>
      <c r="B202" s="78"/>
      <c r="C202" s="79"/>
      <c r="D202" s="76"/>
      <c r="E202" s="99"/>
      <c r="F202" s="71"/>
      <c r="G202" s="71"/>
      <c r="H202" s="71"/>
      <c r="I202" s="99"/>
      <c r="J202" s="99"/>
      <c r="K202" s="99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</row>
    <row r="203" spans="1:22" ht="14.25">
      <c r="A203" s="73"/>
      <c r="B203" s="78"/>
      <c r="C203" s="79"/>
      <c r="D203" s="76"/>
      <c r="E203" s="99"/>
      <c r="F203" s="71"/>
      <c r="G203" s="71"/>
      <c r="H203" s="71"/>
      <c r="I203" s="99"/>
      <c r="J203" s="99"/>
      <c r="K203" s="99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</row>
    <row r="204" spans="1:22" ht="14.25">
      <c r="A204" s="73"/>
      <c r="B204" s="78"/>
      <c r="C204" s="79"/>
      <c r="D204" s="76"/>
      <c r="E204" s="99"/>
      <c r="F204" s="71"/>
      <c r="G204" s="71"/>
      <c r="H204" s="71"/>
      <c r="I204" s="99"/>
      <c r="J204" s="99"/>
      <c r="K204" s="99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</row>
    <row r="205" spans="1:22" ht="14.25">
      <c r="A205" s="73"/>
      <c r="B205" s="78"/>
      <c r="C205" s="79"/>
      <c r="D205" s="76"/>
      <c r="E205" s="99"/>
      <c r="F205" s="71"/>
      <c r="G205" s="71"/>
      <c r="H205" s="71"/>
      <c r="I205" s="99"/>
      <c r="J205" s="99"/>
      <c r="K205" s="99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</row>
    <row r="206" spans="1:22" ht="14.25">
      <c r="A206" s="73"/>
      <c r="B206" s="78"/>
      <c r="C206" s="79"/>
      <c r="D206" s="76"/>
      <c r="E206" s="99"/>
      <c r="F206" s="71"/>
      <c r="G206" s="71"/>
      <c r="H206" s="71"/>
      <c r="I206" s="99"/>
      <c r="J206" s="99"/>
      <c r="K206" s="99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</row>
    <row r="207" spans="1:22" ht="14.25">
      <c r="A207" s="73"/>
      <c r="B207" s="78"/>
      <c r="C207" s="79"/>
      <c r="D207" s="76"/>
      <c r="E207" s="99"/>
      <c r="F207" s="71"/>
      <c r="G207" s="71"/>
      <c r="H207" s="71"/>
      <c r="I207" s="99"/>
      <c r="J207" s="99"/>
      <c r="K207" s="99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</row>
    <row r="208" spans="1:22" ht="14.25">
      <c r="A208" s="73"/>
      <c r="B208" s="78"/>
      <c r="C208" s="79"/>
      <c r="D208" s="76"/>
      <c r="E208" s="99"/>
      <c r="F208" s="71"/>
      <c r="G208" s="71"/>
      <c r="H208" s="71"/>
      <c r="I208" s="99"/>
      <c r="J208" s="99"/>
      <c r="K208" s="99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</row>
    <row r="209" spans="1:22" ht="14.25">
      <c r="A209" s="73"/>
      <c r="B209" s="78"/>
      <c r="C209" s="79"/>
      <c r="D209" s="76"/>
      <c r="E209" s="99"/>
      <c r="F209" s="71"/>
      <c r="G209" s="71"/>
      <c r="H209" s="71"/>
      <c r="I209" s="99"/>
      <c r="J209" s="99"/>
      <c r="K209" s="99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</row>
    <row r="210" spans="1:22" ht="14.25">
      <c r="A210" s="73"/>
      <c r="B210" s="78"/>
      <c r="C210" s="79"/>
      <c r="D210" s="76"/>
      <c r="E210" s="99"/>
      <c r="F210" s="71"/>
      <c r="G210" s="71"/>
      <c r="H210" s="71"/>
      <c r="I210" s="99"/>
      <c r="J210" s="99"/>
      <c r="K210" s="99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</row>
    <row r="211" spans="1:22" ht="14.25">
      <c r="A211" s="73"/>
      <c r="B211" s="78"/>
      <c r="C211" s="79"/>
      <c r="D211" s="76"/>
      <c r="E211" s="99"/>
      <c r="F211" s="71"/>
      <c r="G211" s="71"/>
      <c r="H211" s="71"/>
      <c r="I211" s="99"/>
      <c r="J211" s="99"/>
      <c r="K211" s="99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</row>
    <row r="212" spans="1:22" ht="14.25">
      <c r="A212" s="73"/>
      <c r="B212" s="78"/>
      <c r="C212" s="79"/>
      <c r="D212" s="76"/>
      <c r="E212" s="99"/>
      <c r="F212" s="71"/>
      <c r="G212" s="71"/>
      <c r="H212" s="71"/>
      <c r="I212" s="99"/>
      <c r="J212" s="99"/>
      <c r="K212" s="99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</row>
    <row r="213" spans="1:22" ht="14.25">
      <c r="A213" s="73"/>
      <c r="B213" s="78"/>
      <c r="C213" s="79"/>
      <c r="D213" s="76"/>
      <c r="E213" s="99"/>
      <c r="F213" s="71"/>
      <c r="G213" s="71"/>
      <c r="H213" s="71"/>
      <c r="I213" s="99"/>
      <c r="J213" s="99"/>
      <c r="K213" s="99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</row>
    <row r="214" spans="1:22" ht="14.25">
      <c r="A214" s="73"/>
      <c r="B214" s="78"/>
      <c r="C214" s="79"/>
      <c r="D214" s="76"/>
      <c r="E214" s="99"/>
      <c r="F214" s="71"/>
      <c r="G214" s="71"/>
      <c r="H214" s="71"/>
      <c r="I214" s="99"/>
      <c r="J214" s="99"/>
      <c r="K214" s="99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</row>
    <row r="215" spans="1:22" ht="14.25">
      <c r="A215" s="73"/>
      <c r="B215" s="78"/>
      <c r="C215" s="79"/>
      <c r="D215" s="76"/>
      <c r="E215" s="99"/>
      <c r="F215" s="71"/>
      <c r="G215" s="71"/>
      <c r="H215" s="71"/>
      <c r="I215" s="99"/>
      <c r="J215" s="99"/>
      <c r="K215" s="99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</row>
    <row r="216" spans="1:22" ht="14.25">
      <c r="A216" s="73"/>
      <c r="B216" s="78"/>
      <c r="C216" s="79"/>
      <c r="D216" s="76"/>
      <c r="E216" s="99"/>
      <c r="F216" s="71"/>
      <c r="G216" s="71"/>
      <c r="H216" s="71"/>
      <c r="I216" s="99"/>
      <c r="J216" s="99"/>
      <c r="K216" s="99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</row>
    <row r="217" spans="1:22" ht="14.25">
      <c r="A217" s="73"/>
      <c r="B217" s="78"/>
      <c r="C217" s="79"/>
      <c r="D217" s="76"/>
      <c r="E217" s="99"/>
      <c r="F217" s="71"/>
      <c r="G217" s="71"/>
      <c r="H217" s="71"/>
      <c r="I217" s="99"/>
      <c r="J217" s="99"/>
      <c r="K217" s="99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</row>
    <row r="218" spans="1:22" ht="14.25">
      <c r="A218" s="73"/>
      <c r="B218" s="78"/>
      <c r="C218" s="79"/>
      <c r="D218" s="76"/>
      <c r="E218" s="99"/>
      <c r="F218" s="71"/>
      <c r="G218" s="71"/>
      <c r="H218" s="71"/>
      <c r="I218" s="99"/>
      <c r="J218" s="99"/>
      <c r="K218" s="99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</row>
    <row r="219" spans="1:22" ht="14.25">
      <c r="A219" s="73"/>
      <c r="B219" s="78"/>
      <c r="C219" s="79"/>
      <c r="D219" s="76"/>
      <c r="E219" s="99"/>
      <c r="F219" s="71"/>
      <c r="G219" s="71"/>
      <c r="H219" s="71"/>
      <c r="I219" s="99"/>
      <c r="J219" s="99"/>
      <c r="K219" s="99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</row>
    <row r="220" spans="1:22" ht="14.25">
      <c r="A220" s="73"/>
      <c r="B220" s="78"/>
      <c r="C220" s="79"/>
      <c r="D220" s="76"/>
      <c r="E220" s="99"/>
      <c r="F220" s="71"/>
      <c r="G220" s="71"/>
      <c r="H220" s="71"/>
      <c r="I220" s="99"/>
      <c r="J220" s="99"/>
      <c r="K220" s="99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</row>
    <row r="221" spans="1:22" ht="14.25">
      <c r="A221" s="73"/>
      <c r="B221" s="78"/>
      <c r="C221" s="79"/>
      <c r="D221" s="76"/>
      <c r="E221" s="99"/>
      <c r="F221" s="71"/>
      <c r="G221" s="71"/>
      <c r="H221" s="71"/>
      <c r="I221" s="99"/>
      <c r="J221" s="99"/>
      <c r="K221" s="99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</row>
    <row r="222" spans="1:22" ht="14.25">
      <c r="A222" s="73"/>
      <c r="B222" s="78"/>
      <c r="C222" s="79"/>
      <c r="D222" s="76"/>
      <c r="E222" s="99"/>
      <c r="F222" s="71"/>
      <c r="G222" s="71"/>
      <c r="H222" s="71"/>
      <c r="I222" s="99"/>
      <c r="J222" s="99"/>
      <c r="K222" s="99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</row>
    <row r="223" spans="1:22" ht="14.25">
      <c r="A223" s="73"/>
      <c r="B223" s="78"/>
      <c r="C223" s="79"/>
      <c r="D223" s="76"/>
      <c r="E223" s="99"/>
      <c r="F223" s="71"/>
      <c r="G223" s="71"/>
      <c r="H223" s="71"/>
      <c r="I223" s="99"/>
      <c r="J223" s="99"/>
      <c r="K223" s="99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</row>
    <row r="224" spans="1:22" ht="14.25">
      <c r="A224" s="73"/>
      <c r="B224" s="78"/>
      <c r="C224" s="79"/>
      <c r="D224" s="76"/>
      <c r="E224" s="99"/>
      <c r="F224" s="71"/>
      <c r="G224" s="71"/>
      <c r="H224" s="71"/>
      <c r="I224" s="99"/>
      <c r="J224" s="99"/>
      <c r="K224" s="99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</row>
    <row r="225" spans="1:22" ht="14.25">
      <c r="A225" s="73"/>
      <c r="B225" s="78"/>
      <c r="C225" s="79"/>
      <c r="D225" s="76"/>
      <c r="E225" s="99"/>
      <c r="F225" s="71"/>
      <c r="G225" s="71"/>
      <c r="H225" s="71"/>
      <c r="I225" s="99"/>
      <c r="J225" s="99"/>
      <c r="K225" s="99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</row>
    <row r="226" spans="1:22" ht="14.25">
      <c r="A226" s="73"/>
      <c r="B226" s="78"/>
      <c r="C226" s="79"/>
      <c r="D226" s="76"/>
      <c r="E226" s="99"/>
      <c r="F226" s="71"/>
      <c r="G226" s="71"/>
      <c r="H226" s="71"/>
      <c r="I226" s="99"/>
      <c r="J226" s="99"/>
      <c r="K226" s="99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</row>
    <row r="227" spans="1:22" ht="14.25">
      <c r="A227" s="73"/>
      <c r="B227" s="78"/>
      <c r="C227" s="79"/>
      <c r="D227" s="76"/>
      <c r="E227" s="99"/>
      <c r="F227" s="71"/>
      <c r="G227" s="71"/>
      <c r="H227" s="71"/>
      <c r="I227" s="99"/>
      <c r="J227" s="99"/>
      <c r="K227" s="99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</row>
    <row r="228" spans="1:22" ht="14.25">
      <c r="A228" s="73"/>
      <c r="B228" s="78"/>
      <c r="C228" s="79"/>
      <c r="D228" s="76"/>
      <c r="E228" s="99"/>
      <c r="F228" s="71"/>
      <c r="G228" s="71"/>
      <c r="H228" s="71"/>
      <c r="I228" s="99"/>
      <c r="J228" s="99"/>
      <c r="K228" s="99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</row>
    <row r="229" spans="1:22" ht="14.25">
      <c r="A229" s="73"/>
      <c r="B229" s="78"/>
      <c r="C229" s="79"/>
      <c r="D229" s="76"/>
      <c r="E229" s="99"/>
      <c r="F229" s="71"/>
      <c r="G229" s="71"/>
      <c r="H229" s="71"/>
      <c r="I229" s="99"/>
      <c r="J229" s="99"/>
      <c r="K229" s="99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</row>
    <row r="230" spans="1:22" ht="14.25">
      <c r="A230" s="73"/>
      <c r="B230" s="78"/>
      <c r="C230" s="79"/>
      <c r="D230" s="76"/>
      <c r="E230" s="99"/>
      <c r="F230" s="71"/>
      <c r="G230" s="71"/>
      <c r="H230" s="71"/>
      <c r="I230" s="99"/>
      <c r="J230" s="99"/>
      <c r="K230" s="99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</row>
    <row r="231" spans="1:22" ht="14.25">
      <c r="A231" s="73"/>
      <c r="B231" s="78"/>
      <c r="C231" s="79"/>
      <c r="D231" s="76"/>
      <c r="E231" s="99"/>
      <c r="F231" s="71"/>
      <c r="G231" s="71"/>
      <c r="H231" s="71"/>
      <c r="I231" s="99"/>
      <c r="J231" s="99"/>
      <c r="K231" s="99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</row>
    <row r="232" spans="1:22" ht="14.25">
      <c r="A232" s="73"/>
      <c r="B232" s="78"/>
      <c r="C232" s="79"/>
      <c r="D232" s="76"/>
      <c r="E232" s="99"/>
      <c r="F232" s="71"/>
      <c r="G232" s="71"/>
      <c r="H232" s="71"/>
      <c r="I232" s="99"/>
      <c r="J232" s="99"/>
      <c r="K232" s="99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</row>
    <row r="233" spans="1:22" ht="14.25">
      <c r="A233" s="73"/>
      <c r="B233" s="78"/>
      <c r="C233" s="79"/>
      <c r="D233" s="76"/>
      <c r="E233" s="99"/>
      <c r="F233" s="71"/>
      <c r="G233" s="71"/>
      <c r="H233" s="71"/>
      <c r="I233" s="99"/>
      <c r="J233" s="99"/>
      <c r="K233" s="99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</row>
    <row r="234" spans="1:22" ht="14.25">
      <c r="A234" s="73"/>
      <c r="B234" s="78"/>
      <c r="C234" s="79"/>
      <c r="D234" s="76"/>
      <c r="E234" s="99"/>
      <c r="F234" s="71"/>
      <c r="G234" s="71"/>
      <c r="H234" s="71"/>
      <c r="I234" s="99"/>
      <c r="J234" s="99"/>
      <c r="K234" s="99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</row>
    <row r="235" spans="1:22" ht="14.25">
      <c r="A235" s="73"/>
      <c r="B235" s="78"/>
      <c r="C235" s="79"/>
      <c r="D235" s="76"/>
      <c r="E235" s="99"/>
      <c r="F235" s="71"/>
      <c r="G235" s="71"/>
      <c r="H235" s="71"/>
      <c r="I235" s="99"/>
      <c r="J235" s="99"/>
      <c r="K235" s="99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</row>
    <row r="236" spans="1:22" ht="14.25">
      <c r="A236" s="73"/>
      <c r="B236" s="78"/>
      <c r="C236" s="79"/>
      <c r="D236" s="76"/>
      <c r="E236" s="99"/>
      <c r="F236" s="71"/>
      <c r="G236" s="71"/>
      <c r="H236" s="71"/>
      <c r="I236" s="99"/>
      <c r="J236" s="99"/>
      <c r="K236" s="99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</row>
    <row r="237" spans="1:22" ht="14.25">
      <c r="A237" s="73"/>
      <c r="B237" s="78"/>
      <c r="C237" s="79"/>
      <c r="D237" s="76"/>
      <c r="E237" s="99"/>
      <c r="F237" s="71"/>
      <c r="G237" s="71"/>
      <c r="H237" s="71"/>
      <c r="I237" s="99"/>
      <c r="J237" s="99"/>
      <c r="K237" s="99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</row>
    <row r="238" spans="1:22" ht="14.25">
      <c r="A238" s="73"/>
      <c r="B238" s="78"/>
      <c r="C238" s="79"/>
      <c r="D238" s="76"/>
      <c r="E238" s="99"/>
      <c r="F238" s="71"/>
      <c r="G238" s="71"/>
      <c r="H238" s="71"/>
      <c r="I238" s="99"/>
      <c r="J238" s="99"/>
      <c r="K238" s="99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</row>
    <row r="239" spans="1:22" ht="14.25">
      <c r="A239" s="73"/>
      <c r="B239" s="78"/>
      <c r="C239" s="79"/>
      <c r="D239" s="76"/>
      <c r="E239" s="99"/>
      <c r="F239" s="71"/>
      <c r="G239" s="71"/>
      <c r="H239" s="71"/>
      <c r="I239" s="99"/>
      <c r="J239" s="99"/>
      <c r="K239" s="99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</row>
    <row r="240" spans="1:22" ht="14.25">
      <c r="A240" s="73"/>
      <c r="B240" s="78"/>
      <c r="C240" s="79"/>
      <c r="D240" s="76"/>
      <c r="E240" s="99"/>
      <c r="F240" s="71"/>
      <c r="G240" s="71"/>
      <c r="H240" s="71"/>
      <c r="I240" s="99"/>
      <c r="J240" s="99"/>
      <c r="K240" s="99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</row>
    <row r="241" spans="1:22" ht="14.25">
      <c r="A241" s="73"/>
      <c r="B241" s="78"/>
      <c r="C241" s="79"/>
      <c r="D241" s="76"/>
      <c r="E241" s="99"/>
      <c r="F241" s="71"/>
      <c r="G241" s="71"/>
      <c r="H241" s="71"/>
      <c r="I241" s="99"/>
      <c r="J241" s="99"/>
      <c r="K241" s="99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</row>
    <row r="242" spans="1:22" ht="14.25">
      <c r="A242" s="73"/>
      <c r="B242" s="78"/>
      <c r="C242" s="79"/>
      <c r="D242" s="76"/>
      <c r="E242" s="99"/>
      <c r="F242" s="71"/>
      <c r="G242" s="71"/>
      <c r="H242" s="71"/>
      <c r="I242" s="99"/>
      <c r="J242" s="99"/>
      <c r="K242" s="99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</row>
    <row r="243" spans="1:22" ht="14.25">
      <c r="A243" s="73"/>
      <c r="B243" s="78"/>
      <c r="C243" s="79"/>
      <c r="D243" s="76"/>
      <c r="E243" s="99"/>
      <c r="F243" s="71"/>
      <c r="G243" s="71"/>
      <c r="H243" s="71"/>
      <c r="I243" s="99"/>
      <c r="J243" s="99"/>
      <c r="K243" s="99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</row>
    <row r="244" spans="1:22" ht="14.25">
      <c r="A244" s="73"/>
      <c r="B244" s="78"/>
      <c r="C244" s="79"/>
      <c r="D244" s="76"/>
      <c r="E244" s="99"/>
      <c r="F244" s="71"/>
      <c r="G244" s="71"/>
      <c r="H244" s="71"/>
      <c r="I244" s="99"/>
      <c r="J244" s="99"/>
      <c r="K244" s="99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</row>
    <row r="245" spans="1:22" ht="14.25">
      <c r="A245" s="73"/>
      <c r="B245" s="78"/>
      <c r="C245" s="79"/>
      <c r="D245" s="76"/>
      <c r="E245" s="99"/>
      <c r="F245" s="71"/>
      <c r="G245" s="71"/>
      <c r="H245" s="71"/>
      <c r="I245" s="99"/>
      <c r="J245" s="99"/>
      <c r="K245" s="99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</row>
    <row r="246" spans="1:22" ht="14.25">
      <c r="A246" s="73"/>
      <c r="B246" s="78"/>
      <c r="C246" s="79"/>
      <c r="D246" s="76"/>
      <c r="E246" s="99"/>
      <c r="F246" s="71"/>
      <c r="G246" s="71"/>
      <c r="H246" s="71"/>
      <c r="I246" s="99"/>
      <c r="J246" s="99"/>
      <c r="K246" s="99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</row>
    <row r="247" spans="1:22" ht="14.25">
      <c r="A247" s="73"/>
      <c r="B247" s="78"/>
      <c r="C247" s="79"/>
      <c r="D247" s="76"/>
      <c r="E247" s="99"/>
      <c r="F247" s="71"/>
      <c r="G247" s="71"/>
      <c r="H247" s="71"/>
      <c r="I247" s="99"/>
      <c r="J247" s="99"/>
      <c r="K247" s="99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</row>
    <row r="248" spans="1:22" ht="14.25">
      <c r="A248" s="73"/>
      <c r="B248" s="78"/>
      <c r="C248" s="79"/>
      <c r="D248" s="76"/>
      <c r="E248" s="99"/>
      <c r="F248" s="71"/>
      <c r="G248" s="71"/>
      <c r="H248" s="71"/>
      <c r="I248" s="99"/>
      <c r="J248" s="99"/>
      <c r="K248" s="99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</row>
    <row r="249" spans="1:22" ht="14.25">
      <c r="A249" s="73"/>
      <c r="B249" s="78"/>
      <c r="C249" s="79"/>
      <c r="D249" s="76"/>
      <c r="E249" s="99"/>
      <c r="F249" s="71"/>
      <c r="G249" s="71"/>
      <c r="H249" s="71"/>
      <c r="I249" s="99"/>
      <c r="J249" s="99"/>
      <c r="K249" s="99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</row>
    <row r="250" spans="1:22" ht="14.25">
      <c r="A250" s="73"/>
      <c r="B250" s="78"/>
      <c r="C250" s="79"/>
      <c r="D250" s="76"/>
      <c r="E250" s="99"/>
      <c r="F250" s="71"/>
      <c r="G250" s="71"/>
      <c r="H250" s="71"/>
      <c r="I250" s="99"/>
      <c r="J250" s="99"/>
      <c r="K250" s="99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</row>
    <row r="251" spans="1:22" ht="14.25">
      <c r="A251" s="73"/>
      <c r="B251" s="78"/>
      <c r="C251" s="79"/>
      <c r="D251" s="76"/>
      <c r="E251" s="99"/>
      <c r="F251" s="71"/>
      <c r="G251" s="71"/>
      <c r="H251" s="71"/>
      <c r="I251" s="99"/>
      <c r="J251" s="99"/>
      <c r="K251" s="99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</row>
    <row r="252" spans="1:22" ht="14.25">
      <c r="A252" s="73"/>
      <c r="B252" s="78"/>
      <c r="C252" s="79"/>
      <c r="D252" s="76"/>
      <c r="E252" s="99"/>
      <c r="F252" s="71"/>
      <c r="G252" s="71"/>
      <c r="H252" s="71"/>
      <c r="I252" s="99"/>
      <c r="J252" s="99"/>
      <c r="K252" s="99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</row>
    <row r="253" spans="1:22" ht="14.25">
      <c r="A253" s="73"/>
      <c r="B253" s="78"/>
      <c r="C253" s="79"/>
      <c r="D253" s="76"/>
      <c r="E253" s="99"/>
      <c r="F253" s="71"/>
      <c r="G253" s="71"/>
      <c r="H253" s="71"/>
      <c r="I253" s="99"/>
      <c r="J253" s="99"/>
      <c r="K253" s="99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</row>
    <row r="254" spans="1:22" ht="14.25">
      <c r="A254" s="73"/>
      <c r="B254" s="78"/>
      <c r="C254" s="79"/>
      <c r="D254" s="76"/>
      <c r="E254" s="99"/>
      <c r="F254" s="71"/>
      <c r="G254" s="71"/>
      <c r="H254" s="71"/>
      <c r="I254" s="99"/>
      <c r="J254" s="99"/>
      <c r="K254" s="99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</row>
    <row r="255" spans="1:22" ht="14.25">
      <c r="A255" s="73"/>
      <c r="B255" s="78"/>
      <c r="C255" s="79"/>
      <c r="D255" s="76"/>
      <c r="E255" s="99"/>
      <c r="F255" s="71"/>
      <c r="G255" s="71"/>
      <c r="H255" s="71"/>
      <c r="I255" s="99"/>
      <c r="J255" s="99"/>
      <c r="K255" s="99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</row>
    <row r="256" spans="1:22" ht="14.25">
      <c r="A256" s="73"/>
      <c r="B256" s="78"/>
      <c r="C256" s="79"/>
      <c r="D256" s="76"/>
      <c r="E256" s="99"/>
      <c r="F256" s="71"/>
      <c r="G256" s="71"/>
      <c r="H256" s="71"/>
      <c r="I256" s="99"/>
      <c r="J256" s="99"/>
      <c r="K256" s="99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</row>
    <row r="257" spans="1:22" ht="14.25">
      <c r="A257" s="73"/>
      <c r="B257" s="78"/>
      <c r="C257" s="79"/>
      <c r="D257" s="76"/>
      <c r="E257" s="99"/>
      <c r="F257" s="71"/>
      <c r="G257" s="71"/>
      <c r="H257" s="71"/>
      <c r="I257" s="99"/>
      <c r="J257" s="99"/>
      <c r="K257" s="99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</row>
    <row r="258" spans="1:22" ht="14.25">
      <c r="A258" s="73"/>
      <c r="B258" s="78"/>
      <c r="C258" s="79"/>
      <c r="D258" s="76"/>
      <c r="E258" s="99"/>
      <c r="F258" s="71"/>
      <c r="G258" s="71"/>
      <c r="H258" s="71"/>
      <c r="I258" s="99"/>
      <c r="J258" s="99"/>
      <c r="K258" s="99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</row>
    <row r="259" spans="1:22" ht="14.25">
      <c r="A259" s="73"/>
      <c r="B259" s="78"/>
      <c r="C259" s="79"/>
      <c r="D259" s="76"/>
      <c r="E259" s="99"/>
      <c r="F259" s="71"/>
      <c r="G259" s="71"/>
      <c r="H259" s="71"/>
      <c r="I259" s="99"/>
      <c r="J259" s="99"/>
      <c r="K259" s="99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</row>
    <row r="260" spans="1:22" ht="14.25">
      <c r="A260" s="73"/>
      <c r="B260" s="78"/>
      <c r="C260" s="79"/>
      <c r="D260" s="76"/>
      <c r="E260" s="99"/>
      <c r="F260" s="71"/>
      <c r="G260" s="71"/>
      <c r="H260" s="71"/>
      <c r="I260" s="99"/>
      <c r="J260" s="99"/>
      <c r="K260" s="99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</row>
    <row r="261" spans="1:22" ht="14.25">
      <c r="A261" s="73"/>
      <c r="B261" s="78"/>
      <c r="C261" s="79"/>
      <c r="D261" s="76"/>
      <c r="E261" s="99"/>
      <c r="F261" s="71"/>
      <c r="G261" s="71"/>
      <c r="H261" s="71"/>
      <c r="I261" s="99"/>
      <c r="J261" s="99"/>
      <c r="K261" s="99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</row>
    <row r="262" spans="1:22" ht="14.25">
      <c r="A262" s="73"/>
      <c r="B262" s="78"/>
      <c r="C262" s="79"/>
      <c r="D262" s="76"/>
      <c r="E262" s="99"/>
      <c r="F262" s="71"/>
      <c r="G262" s="71"/>
      <c r="H262" s="71"/>
      <c r="I262" s="99"/>
      <c r="J262" s="99"/>
      <c r="K262" s="99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</row>
    <row r="263" spans="1:22" ht="14.25">
      <c r="A263" s="73"/>
      <c r="B263" s="78"/>
      <c r="C263" s="79"/>
      <c r="D263" s="76"/>
      <c r="E263" s="99"/>
      <c r="F263" s="71"/>
      <c r="G263" s="71"/>
      <c r="H263" s="71"/>
      <c r="I263" s="99"/>
      <c r="J263" s="99"/>
      <c r="K263" s="99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</row>
    <row r="264" spans="1:22" ht="14.25">
      <c r="A264" s="73"/>
      <c r="B264" s="78"/>
      <c r="C264" s="79"/>
      <c r="D264" s="76"/>
      <c r="E264" s="99"/>
      <c r="F264" s="71"/>
      <c r="G264" s="71"/>
      <c r="H264" s="71"/>
      <c r="I264" s="99"/>
      <c r="J264" s="99"/>
      <c r="K264" s="99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</row>
    <row r="265" spans="1:22" ht="14.25">
      <c r="A265" s="73"/>
      <c r="B265" s="78"/>
      <c r="C265" s="79"/>
      <c r="D265" s="76"/>
      <c r="E265" s="99"/>
      <c r="F265" s="71"/>
      <c r="G265" s="71"/>
      <c r="H265" s="71"/>
      <c r="I265" s="99"/>
      <c r="J265" s="99"/>
      <c r="K265" s="99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</row>
    <row r="266" spans="1:22" ht="14.25">
      <c r="A266" s="73"/>
      <c r="B266" s="78"/>
      <c r="C266" s="79"/>
      <c r="D266" s="76"/>
      <c r="E266" s="99"/>
      <c r="F266" s="71"/>
      <c r="G266" s="71"/>
      <c r="H266" s="71"/>
      <c r="I266" s="99"/>
      <c r="J266" s="99"/>
      <c r="K266" s="99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</row>
    <row r="267" spans="1:22" ht="14.25">
      <c r="A267" s="73"/>
      <c r="B267" s="78"/>
      <c r="C267" s="79"/>
      <c r="D267" s="76"/>
      <c r="E267" s="99"/>
      <c r="F267" s="71"/>
      <c r="G267" s="71"/>
      <c r="H267" s="71"/>
      <c r="I267" s="99"/>
      <c r="J267" s="99"/>
      <c r="K267" s="99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</row>
    <row r="268" spans="1:22" ht="14.25">
      <c r="A268" s="73"/>
      <c r="B268" s="78"/>
      <c r="C268" s="79"/>
      <c r="D268" s="76"/>
      <c r="E268" s="99"/>
      <c r="F268" s="71"/>
      <c r="G268" s="71"/>
      <c r="H268" s="71"/>
      <c r="I268" s="99"/>
      <c r="J268" s="99"/>
      <c r="K268" s="99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</row>
    <row r="269" spans="1:22" ht="14.25">
      <c r="A269" s="73"/>
      <c r="B269" s="78"/>
      <c r="C269" s="79"/>
      <c r="D269" s="76"/>
      <c r="E269" s="99"/>
      <c r="F269" s="71"/>
      <c r="G269" s="71"/>
      <c r="H269" s="71"/>
      <c r="I269" s="99"/>
      <c r="J269" s="99"/>
      <c r="K269" s="99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</row>
    <row r="270" spans="1:22" ht="14.25">
      <c r="A270" s="73"/>
      <c r="B270" s="78"/>
      <c r="C270" s="79"/>
      <c r="D270" s="76"/>
      <c r="E270" s="99"/>
      <c r="F270" s="71"/>
      <c r="G270" s="71"/>
      <c r="H270" s="71"/>
      <c r="I270" s="99"/>
      <c r="J270" s="99"/>
      <c r="K270" s="99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</row>
    <row r="271" spans="1:22" ht="14.25">
      <c r="A271" s="73"/>
      <c r="B271" s="78"/>
      <c r="C271" s="79"/>
      <c r="D271" s="76"/>
      <c r="E271" s="99"/>
      <c r="F271" s="71"/>
      <c r="G271" s="71"/>
      <c r="H271" s="71"/>
      <c r="I271" s="99"/>
      <c r="J271" s="99"/>
      <c r="K271" s="99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</row>
    <row r="272" spans="1:22" ht="14.25">
      <c r="A272" s="73"/>
      <c r="B272" s="78"/>
      <c r="C272" s="79"/>
      <c r="D272" s="76"/>
      <c r="E272" s="99"/>
      <c r="F272" s="71"/>
      <c r="G272" s="71"/>
      <c r="H272" s="71"/>
      <c r="I272" s="99"/>
      <c r="J272" s="99"/>
      <c r="K272" s="99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</row>
    <row r="273" spans="1:22" ht="14.25">
      <c r="A273" s="73"/>
      <c r="B273" s="78"/>
      <c r="C273" s="79"/>
      <c r="D273" s="76"/>
      <c r="E273" s="99"/>
      <c r="F273" s="71"/>
      <c r="G273" s="71"/>
      <c r="H273" s="71"/>
      <c r="I273" s="99"/>
      <c r="J273" s="99"/>
      <c r="K273" s="99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</row>
    <row r="274" spans="1:22" ht="14.25">
      <c r="A274" s="73"/>
      <c r="B274" s="78"/>
      <c r="C274" s="79"/>
      <c r="D274" s="76"/>
      <c r="E274" s="99"/>
      <c r="F274" s="71"/>
      <c r="G274" s="71"/>
      <c r="H274" s="71"/>
      <c r="I274" s="99"/>
      <c r="J274" s="99"/>
      <c r="K274" s="99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</row>
    <row r="275" spans="1:22" ht="14.25">
      <c r="A275" s="73"/>
      <c r="B275" s="78"/>
      <c r="C275" s="79"/>
      <c r="D275" s="76"/>
      <c r="E275" s="99"/>
      <c r="F275" s="71"/>
      <c r="G275" s="71"/>
      <c r="H275" s="71"/>
      <c r="I275" s="99"/>
      <c r="J275" s="99"/>
      <c r="K275" s="99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</row>
    <row r="276" spans="1:22" ht="14.25">
      <c r="A276" s="73"/>
      <c r="B276" s="78"/>
      <c r="C276" s="79"/>
      <c r="D276" s="76"/>
      <c r="E276" s="99"/>
      <c r="F276" s="71"/>
      <c r="G276" s="71"/>
      <c r="H276" s="71"/>
      <c r="I276" s="99"/>
      <c r="J276" s="99"/>
      <c r="K276" s="99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</row>
    <row r="277" spans="1:22" ht="14.25">
      <c r="A277" s="73"/>
      <c r="B277" s="78"/>
      <c r="C277" s="79"/>
      <c r="D277" s="76"/>
      <c r="E277" s="99"/>
      <c r="F277" s="71"/>
      <c r="G277" s="71"/>
      <c r="H277" s="71"/>
      <c r="I277" s="99"/>
      <c r="J277" s="99"/>
      <c r="K277" s="99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</row>
    <row r="278" spans="1:22" ht="14.25">
      <c r="A278" s="73"/>
      <c r="B278" s="78"/>
      <c r="C278" s="79"/>
      <c r="D278" s="76"/>
      <c r="E278" s="99"/>
      <c r="F278" s="71"/>
      <c r="G278" s="71"/>
      <c r="H278" s="71"/>
      <c r="I278" s="99"/>
      <c r="J278" s="99"/>
      <c r="K278" s="99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</row>
    <row r="279" spans="1:22" ht="14.25">
      <c r="A279" s="73"/>
      <c r="B279" s="78"/>
      <c r="C279" s="79"/>
      <c r="D279" s="76"/>
      <c r="E279" s="99"/>
      <c r="F279" s="71"/>
      <c r="G279" s="71"/>
      <c r="H279" s="71"/>
      <c r="I279" s="99"/>
      <c r="J279" s="99"/>
      <c r="K279" s="99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</row>
    <row r="280" spans="1:22" ht="14.25">
      <c r="A280" s="73"/>
      <c r="B280" s="78"/>
      <c r="C280" s="79"/>
      <c r="D280" s="76"/>
      <c r="E280" s="99"/>
      <c r="F280" s="71"/>
      <c r="G280" s="71"/>
      <c r="H280" s="71"/>
      <c r="I280" s="99"/>
      <c r="J280" s="99"/>
      <c r="K280" s="99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</row>
    <row r="281" spans="1:22" ht="14.25">
      <c r="A281" s="73"/>
      <c r="B281" s="78"/>
      <c r="C281" s="79"/>
      <c r="D281" s="76"/>
      <c r="E281" s="99"/>
      <c r="F281" s="71"/>
      <c r="G281" s="71"/>
      <c r="H281" s="71"/>
      <c r="I281" s="99"/>
      <c r="J281" s="99"/>
      <c r="K281" s="99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</row>
    <row r="282" spans="1:22" ht="14.25">
      <c r="A282" s="73"/>
      <c r="B282" s="78"/>
      <c r="C282" s="79"/>
      <c r="D282" s="76"/>
      <c r="E282" s="99"/>
      <c r="F282" s="71"/>
      <c r="G282" s="71"/>
      <c r="H282" s="71"/>
      <c r="I282" s="99"/>
      <c r="J282" s="99"/>
      <c r="K282" s="99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</row>
    <row r="283" spans="1:22" ht="14.25">
      <c r="A283" s="73"/>
      <c r="B283" s="78"/>
      <c r="C283" s="79"/>
      <c r="D283" s="76"/>
      <c r="E283" s="99"/>
      <c r="F283" s="71"/>
      <c r="G283" s="71"/>
      <c r="H283" s="71"/>
      <c r="I283" s="99"/>
      <c r="J283" s="99"/>
      <c r="K283" s="99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</row>
    <row r="284" spans="1:22" ht="14.25">
      <c r="A284" s="73"/>
      <c r="B284" s="78"/>
      <c r="C284" s="79"/>
      <c r="D284" s="76"/>
      <c r="E284" s="99"/>
      <c r="F284" s="71"/>
      <c r="G284" s="71"/>
      <c r="H284" s="71"/>
      <c r="I284" s="99"/>
      <c r="J284" s="99"/>
      <c r="K284" s="99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</row>
    <row r="285" spans="1:22" ht="14.25">
      <c r="A285" s="73"/>
      <c r="B285" s="78"/>
      <c r="C285" s="79"/>
      <c r="D285" s="76"/>
      <c r="E285" s="99"/>
      <c r="F285" s="71"/>
      <c r="G285" s="71"/>
      <c r="H285" s="71"/>
      <c r="I285" s="99"/>
      <c r="J285" s="99"/>
      <c r="K285" s="99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</row>
    <row r="286" spans="1:22" ht="14.25">
      <c r="A286" s="73"/>
      <c r="B286" s="78"/>
      <c r="C286" s="79"/>
      <c r="D286" s="76"/>
      <c r="E286" s="99"/>
      <c r="F286" s="71"/>
      <c r="G286" s="71"/>
      <c r="H286" s="71"/>
      <c r="I286" s="99"/>
      <c r="J286" s="99"/>
      <c r="K286" s="99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</row>
    <row r="287" spans="1:22" ht="14.25">
      <c r="A287" s="73"/>
      <c r="B287" s="78"/>
      <c r="C287" s="79"/>
      <c r="D287" s="76"/>
      <c r="E287" s="99"/>
      <c r="F287" s="71"/>
      <c r="G287" s="71"/>
      <c r="H287" s="71"/>
      <c r="I287" s="99"/>
      <c r="J287" s="99"/>
      <c r="K287" s="99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</row>
    <row r="288" spans="1:22" ht="14.25">
      <c r="A288" s="73"/>
      <c r="B288" s="78"/>
      <c r="C288" s="79"/>
      <c r="D288" s="76"/>
      <c r="E288" s="99"/>
      <c r="F288" s="71"/>
      <c r="G288" s="71"/>
      <c r="H288" s="71"/>
      <c r="I288" s="99"/>
      <c r="J288" s="99"/>
      <c r="K288" s="99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</row>
    <row r="289" spans="1:22" ht="14.25">
      <c r="A289" s="73"/>
      <c r="B289" s="78"/>
      <c r="C289" s="79"/>
      <c r="D289" s="76"/>
      <c r="E289" s="99"/>
      <c r="F289" s="71"/>
      <c r="G289" s="71"/>
      <c r="H289" s="71"/>
      <c r="I289" s="99"/>
      <c r="J289" s="99"/>
      <c r="K289" s="99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</row>
    <row r="290" spans="1:22" ht="14.25">
      <c r="A290" s="73"/>
      <c r="B290" s="78"/>
      <c r="C290" s="79"/>
      <c r="D290" s="76"/>
      <c r="E290" s="99"/>
      <c r="F290" s="71"/>
      <c r="G290" s="71"/>
      <c r="H290" s="71"/>
      <c r="I290" s="99"/>
      <c r="J290" s="99"/>
      <c r="K290" s="99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</row>
    <row r="291" spans="1:22" ht="14.25">
      <c r="A291" s="73"/>
      <c r="B291" s="78"/>
      <c r="C291" s="79"/>
      <c r="D291" s="76"/>
      <c r="E291" s="99"/>
      <c r="F291" s="71"/>
      <c r="G291" s="71"/>
      <c r="H291" s="71"/>
      <c r="I291" s="99"/>
      <c r="J291" s="99"/>
      <c r="K291" s="99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</row>
    <row r="292" spans="1:22" ht="14.25">
      <c r="A292" s="73"/>
      <c r="B292" s="78"/>
      <c r="C292" s="79"/>
      <c r="D292" s="76"/>
      <c r="E292" s="99"/>
      <c r="F292" s="71"/>
      <c r="G292" s="71"/>
      <c r="H292" s="71"/>
      <c r="I292" s="99"/>
      <c r="J292" s="99"/>
      <c r="K292" s="99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</row>
    <row r="293" spans="1:22" ht="14.25">
      <c r="A293" s="73"/>
      <c r="B293" s="78"/>
      <c r="C293" s="79"/>
      <c r="D293" s="76"/>
      <c r="E293" s="99"/>
      <c r="F293" s="71"/>
      <c r="G293" s="71"/>
      <c r="H293" s="71"/>
      <c r="I293" s="99"/>
      <c r="J293" s="99"/>
      <c r="K293" s="99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</row>
    <row r="294" spans="1:22" ht="14.25">
      <c r="A294" s="73"/>
      <c r="B294" s="78"/>
      <c r="C294" s="79"/>
      <c r="D294" s="76"/>
      <c r="E294" s="99"/>
      <c r="F294" s="71"/>
      <c r="G294" s="71"/>
      <c r="H294" s="71"/>
      <c r="I294" s="99"/>
      <c r="J294" s="99"/>
      <c r="K294" s="99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</row>
    <row r="295" spans="1:22" ht="14.25">
      <c r="A295" s="73"/>
      <c r="B295" s="78"/>
      <c r="C295" s="79"/>
      <c r="D295" s="76"/>
      <c r="E295" s="99"/>
      <c r="F295" s="71"/>
      <c r="G295" s="71"/>
      <c r="H295" s="71"/>
      <c r="I295" s="99"/>
      <c r="J295" s="99"/>
      <c r="K295" s="99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</row>
    <row r="296" spans="1:22" ht="14.25">
      <c r="A296" s="73"/>
      <c r="B296" s="78"/>
      <c r="C296" s="79"/>
      <c r="D296" s="76"/>
      <c r="E296" s="99"/>
      <c r="F296" s="71"/>
      <c r="G296" s="71"/>
      <c r="H296" s="71"/>
      <c r="I296" s="99"/>
      <c r="J296" s="99"/>
      <c r="K296" s="99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</row>
    <row r="297" spans="1:22" ht="14.25">
      <c r="A297" s="73"/>
      <c r="B297" s="78"/>
      <c r="C297" s="79"/>
      <c r="D297" s="76"/>
      <c r="E297" s="99"/>
      <c r="F297" s="71"/>
      <c r="G297" s="71"/>
      <c r="H297" s="71"/>
      <c r="I297" s="99"/>
      <c r="J297" s="99"/>
      <c r="K297" s="99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</row>
    <row r="298" spans="1:22" ht="14.25">
      <c r="A298" s="73"/>
      <c r="B298" s="78"/>
      <c r="C298" s="79"/>
      <c r="D298" s="76"/>
      <c r="E298" s="99"/>
      <c r="F298" s="71"/>
      <c r="G298" s="71"/>
      <c r="H298" s="71"/>
      <c r="I298" s="99"/>
      <c r="J298" s="99"/>
      <c r="K298" s="99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</row>
    <row r="299" spans="1:22" ht="14.25">
      <c r="A299" s="73"/>
      <c r="B299" s="78"/>
      <c r="C299" s="79"/>
      <c r="D299" s="76"/>
      <c r="E299" s="99"/>
      <c r="F299" s="71"/>
      <c r="G299" s="71"/>
      <c r="H299" s="71"/>
      <c r="I299" s="99"/>
      <c r="J299" s="99"/>
      <c r="K299" s="99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</row>
    <row r="300" spans="1:22" ht="14.25">
      <c r="A300" s="73"/>
      <c r="B300" s="78"/>
      <c r="C300" s="79"/>
      <c r="D300" s="76"/>
      <c r="E300" s="99"/>
      <c r="F300" s="71"/>
      <c r="G300" s="71"/>
      <c r="H300" s="71"/>
      <c r="I300" s="99"/>
      <c r="J300" s="99"/>
      <c r="K300" s="99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</row>
    <row r="301" spans="1:22" ht="14.25">
      <c r="A301" s="73"/>
      <c r="B301" s="78"/>
      <c r="C301" s="79"/>
      <c r="D301" s="76"/>
      <c r="E301" s="99"/>
      <c r="F301" s="71"/>
      <c r="G301" s="71"/>
      <c r="H301" s="71"/>
      <c r="I301" s="99"/>
      <c r="J301" s="99"/>
      <c r="K301" s="99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</row>
    <row r="302" spans="1:22" ht="14.25">
      <c r="A302" s="73"/>
      <c r="B302" s="78"/>
      <c r="C302" s="79"/>
      <c r="D302" s="76"/>
      <c r="E302" s="99"/>
      <c r="F302" s="71"/>
      <c r="G302" s="71"/>
      <c r="H302" s="71"/>
      <c r="I302" s="99"/>
      <c r="J302" s="99"/>
      <c r="K302" s="99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</row>
    <row r="303" spans="1:22" ht="14.25">
      <c r="A303" s="73"/>
      <c r="B303" s="78"/>
      <c r="C303" s="79"/>
      <c r="D303" s="76"/>
      <c r="E303" s="99"/>
      <c r="F303" s="71"/>
      <c r="G303" s="71"/>
      <c r="H303" s="71"/>
      <c r="I303" s="99"/>
      <c r="J303" s="99"/>
      <c r="K303" s="99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</row>
    <row r="304" spans="1:22" ht="14.25">
      <c r="A304" s="73"/>
      <c r="B304" s="78"/>
      <c r="C304" s="79"/>
      <c r="D304" s="76"/>
      <c r="E304" s="99"/>
      <c r="F304" s="71"/>
      <c r="G304" s="71"/>
      <c r="H304" s="71"/>
      <c r="I304" s="99"/>
      <c r="J304" s="99"/>
      <c r="K304" s="99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</row>
    <row r="305" spans="1:22" ht="14.25">
      <c r="A305" s="73"/>
      <c r="B305" s="78"/>
      <c r="C305" s="79"/>
      <c r="D305" s="76"/>
      <c r="E305" s="99"/>
      <c r="F305" s="71"/>
      <c r="G305" s="71"/>
      <c r="H305" s="71"/>
      <c r="I305" s="99"/>
      <c r="J305" s="99"/>
      <c r="K305" s="99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</row>
    <row r="306" spans="1:22" ht="14.25">
      <c r="A306" s="73"/>
      <c r="B306" s="78"/>
      <c r="C306" s="79"/>
      <c r="D306" s="76"/>
      <c r="E306" s="99"/>
      <c r="F306" s="71"/>
      <c r="G306" s="71"/>
      <c r="H306" s="71"/>
      <c r="I306" s="99"/>
      <c r="J306" s="99"/>
      <c r="K306" s="99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</row>
    <row r="307" spans="1:22" ht="14.25">
      <c r="A307" s="73"/>
      <c r="B307" s="78"/>
      <c r="C307" s="79"/>
      <c r="D307" s="76"/>
      <c r="E307" s="99"/>
      <c r="F307" s="71"/>
      <c r="G307" s="71"/>
      <c r="H307" s="71"/>
      <c r="I307" s="99"/>
      <c r="J307" s="99"/>
      <c r="K307" s="99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</row>
    <row r="308" spans="1:22" ht="14.25">
      <c r="A308" s="73"/>
      <c r="B308" s="78"/>
      <c r="C308" s="79"/>
      <c r="D308" s="76"/>
      <c r="E308" s="99"/>
      <c r="F308" s="71"/>
      <c r="G308" s="71"/>
      <c r="H308" s="71"/>
      <c r="I308" s="99"/>
      <c r="J308" s="99"/>
      <c r="K308" s="99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</row>
    <row r="309" spans="1:22" ht="14.25">
      <c r="A309" s="73"/>
      <c r="B309" s="78"/>
      <c r="C309" s="79"/>
      <c r="D309" s="76"/>
      <c r="E309" s="99"/>
      <c r="F309" s="71"/>
      <c r="G309" s="71"/>
      <c r="H309" s="71"/>
      <c r="I309" s="99"/>
      <c r="J309" s="99"/>
      <c r="K309" s="99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</row>
    <row r="310" spans="1:22" ht="14.25">
      <c r="A310" s="73"/>
      <c r="B310" s="78"/>
      <c r="C310" s="79"/>
      <c r="D310" s="76"/>
      <c r="E310" s="99"/>
      <c r="F310" s="71"/>
      <c r="G310" s="71"/>
      <c r="H310" s="71"/>
      <c r="I310" s="99"/>
      <c r="J310" s="99"/>
      <c r="K310" s="99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</row>
    <row r="311" spans="1:22" ht="14.25">
      <c r="A311" s="73"/>
      <c r="B311" s="78"/>
      <c r="C311" s="79"/>
      <c r="D311" s="76"/>
      <c r="E311" s="99"/>
      <c r="F311" s="71"/>
      <c r="G311" s="71"/>
      <c r="H311" s="71"/>
      <c r="I311" s="99"/>
      <c r="J311" s="99"/>
      <c r="K311" s="99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</row>
    <row r="312" spans="1:22" ht="14.25">
      <c r="A312" s="73"/>
      <c r="B312" s="78"/>
      <c r="C312" s="79"/>
      <c r="D312" s="76"/>
      <c r="E312" s="99"/>
      <c r="F312" s="71"/>
      <c r="G312" s="71"/>
      <c r="H312" s="71"/>
      <c r="I312" s="99"/>
      <c r="J312" s="99"/>
      <c r="K312" s="99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</row>
    <row r="313" spans="1:22" ht="14.25">
      <c r="A313" s="73"/>
      <c r="B313" s="78"/>
      <c r="C313" s="79"/>
      <c r="D313" s="76"/>
      <c r="E313" s="99"/>
      <c r="F313" s="71"/>
      <c r="G313" s="71"/>
      <c r="H313" s="71"/>
      <c r="I313" s="99"/>
      <c r="J313" s="99"/>
      <c r="K313" s="99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</row>
    <row r="314" spans="1:22" ht="14.25">
      <c r="A314" s="73"/>
      <c r="B314" s="78"/>
      <c r="C314" s="79"/>
      <c r="D314" s="76"/>
      <c r="E314" s="99"/>
      <c r="F314" s="71"/>
      <c r="G314" s="71"/>
      <c r="H314" s="71"/>
      <c r="I314" s="99"/>
      <c r="J314" s="99"/>
      <c r="K314" s="99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</row>
    <row r="315" spans="1:22" ht="14.25">
      <c r="A315" s="73"/>
      <c r="B315" s="78"/>
      <c r="C315" s="79"/>
      <c r="D315" s="76"/>
      <c r="E315" s="99"/>
      <c r="F315" s="71"/>
      <c r="G315" s="71"/>
      <c r="H315" s="71"/>
      <c r="I315" s="99"/>
      <c r="J315" s="99"/>
      <c r="K315" s="99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</row>
    <row r="316" spans="1:22" ht="14.25">
      <c r="A316" s="73"/>
      <c r="B316" s="78"/>
      <c r="C316" s="79"/>
      <c r="D316" s="76"/>
      <c r="E316" s="99"/>
      <c r="F316" s="71"/>
      <c r="G316" s="71"/>
      <c r="H316" s="71"/>
      <c r="I316" s="99"/>
      <c r="J316" s="99"/>
      <c r="K316" s="99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</row>
    <row r="317" spans="1:22" ht="14.25">
      <c r="A317" s="73"/>
      <c r="B317" s="78"/>
      <c r="C317" s="79"/>
      <c r="D317" s="76"/>
      <c r="E317" s="99"/>
      <c r="F317" s="71"/>
      <c r="G317" s="71"/>
      <c r="H317" s="71"/>
      <c r="I317" s="99"/>
      <c r="J317" s="99"/>
      <c r="K317" s="99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</row>
    <row r="318" spans="1:22" ht="14.25">
      <c r="A318" s="73"/>
      <c r="B318" s="78"/>
      <c r="C318" s="79"/>
      <c r="D318" s="76"/>
      <c r="E318" s="99"/>
      <c r="F318" s="71"/>
      <c r="G318" s="71"/>
      <c r="H318" s="71"/>
      <c r="I318" s="99"/>
      <c r="J318" s="99"/>
      <c r="K318" s="99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</row>
    <row r="319" spans="1:22" ht="14.25">
      <c r="A319" s="73"/>
      <c r="B319" s="78"/>
      <c r="C319" s="79"/>
      <c r="D319" s="76"/>
      <c r="E319" s="99"/>
      <c r="F319" s="71"/>
      <c r="G319" s="71"/>
      <c r="H319" s="71"/>
      <c r="I319" s="99"/>
      <c r="J319" s="99"/>
      <c r="K319" s="99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</row>
    <row r="320" spans="1:22" ht="14.25">
      <c r="A320" s="73"/>
      <c r="B320" s="78"/>
      <c r="C320" s="79"/>
      <c r="D320" s="76"/>
      <c r="E320" s="99"/>
      <c r="F320" s="71"/>
      <c r="G320" s="71"/>
      <c r="H320" s="71"/>
      <c r="I320" s="99"/>
      <c r="J320" s="99"/>
      <c r="K320" s="99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</row>
    <row r="321" spans="1:22" ht="14.25">
      <c r="A321" s="73"/>
      <c r="B321" s="78"/>
      <c r="C321" s="79"/>
      <c r="D321" s="76"/>
      <c r="E321" s="99"/>
      <c r="F321" s="71"/>
      <c r="G321" s="71"/>
      <c r="H321" s="71"/>
      <c r="I321" s="99"/>
      <c r="J321" s="99"/>
      <c r="K321" s="99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</row>
    <row r="322" spans="1:22" ht="14.25">
      <c r="A322" s="73"/>
      <c r="B322" s="78"/>
      <c r="C322" s="79"/>
      <c r="D322" s="76"/>
      <c r="E322" s="99"/>
      <c r="F322" s="71"/>
      <c r="G322" s="71"/>
      <c r="H322" s="71"/>
      <c r="I322" s="99"/>
      <c r="J322" s="99"/>
      <c r="K322" s="99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</row>
    <row r="323" spans="1:22" ht="14.25">
      <c r="A323" s="73"/>
      <c r="B323" s="78"/>
      <c r="C323" s="79"/>
      <c r="D323" s="76"/>
      <c r="E323" s="99"/>
      <c r="F323" s="71"/>
      <c r="G323" s="71"/>
      <c r="H323" s="71"/>
      <c r="I323" s="99"/>
      <c r="J323" s="99"/>
      <c r="K323" s="99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</row>
    <row r="324" spans="1:22" ht="14.25">
      <c r="A324" s="73"/>
      <c r="B324" s="78"/>
      <c r="C324" s="79"/>
      <c r="D324" s="76"/>
      <c r="E324" s="99"/>
      <c r="F324" s="71"/>
      <c r="G324" s="71"/>
      <c r="H324" s="71"/>
      <c r="I324" s="99"/>
      <c r="J324" s="99"/>
      <c r="K324" s="99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</row>
    <row r="325" spans="1:22" ht="14.25">
      <c r="A325" s="73"/>
      <c r="B325" s="78"/>
      <c r="C325" s="79"/>
      <c r="D325" s="76"/>
      <c r="E325" s="99"/>
      <c r="F325" s="71"/>
      <c r="G325" s="71"/>
      <c r="H325" s="71"/>
      <c r="I325" s="99"/>
      <c r="J325" s="99"/>
      <c r="K325" s="99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</row>
    <row r="326" spans="1:22" ht="14.25">
      <c r="A326" s="73"/>
      <c r="B326" s="78"/>
      <c r="C326" s="79"/>
      <c r="D326" s="76"/>
      <c r="E326" s="99"/>
      <c r="F326" s="71"/>
      <c r="G326" s="71"/>
      <c r="H326" s="71"/>
      <c r="I326" s="99"/>
      <c r="J326" s="99"/>
      <c r="K326" s="99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</row>
    <row r="327" spans="1:22" ht="14.25">
      <c r="A327" s="73"/>
      <c r="B327" s="78"/>
      <c r="C327" s="79"/>
      <c r="D327" s="76"/>
      <c r="E327" s="99"/>
      <c r="F327" s="71"/>
      <c r="G327" s="71"/>
      <c r="H327" s="71"/>
      <c r="I327" s="99"/>
      <c r="J327" s="99"/>
      <c r="K327" s="99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</row>
    <row r="328" spans="1:22" ht="14.25">
      <c r="A328" s="73"/>
      <c r="B328" s="78"/>
      <c r="C328" s="79"/>
      <c r="D328" s="76"/>
      <c r="E328" s="99"/>
      <c r="F328" s="71"/>
      <c r="G328" s="71"/>
      <c r="H328" s="71"/>
      <c r="I328" s="99"/>
      <c r="J328" s="99"/>
      <c r="K328" s="99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</row>
    <row r="329" spans="1:22" ht="14.25">
      <c r="A329" s="73"/>
      <c r="B329" s="78"/>
      <c r="C329" s="79"/>
      <c r="D329" s="76"/>
      <c r="E329" s="99"/>
      <c r="F329" s="71"/>
      <c r="G329" s="71"/>
      <c r="H329" s="71"/>
      <c r="I329" s="99"/>
      <c r="J329" s="99"/>
      <c r="K329" s="99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</row>
    <row r="330" spans="1:22" ht="14.25">
      <c r="A330" s="73"/>
      <c r="B330" s="78"/>
      <c r="C330" s="79"/>
      <c r="D330" s="76"/>
      <c r="E330" s="99"/>
      <c r="F330" s="71"/>
      <c r="G330" s="71"/>
      <c r="H330" s="71"/>
      <c r="I330" s="99"/>
      <c r="J330" s="99"/>
      <c r="K330" s="99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</row>
    <row r="331" spans="1:22" ht="14.25">
      <c r="A331" s="73"/>
      <c r="B331" s="78"/>
      <c r="C331" s="79"/>
      <c r="D331" s="76"/>
      <c r="E331" s="99"/>
      <c r="F331" s="71"/>
      <c r="G331" s="71"/>
      <c r="H331" s="71"/>
      <c r="I331" s="99"/>
      <c r="J331" s="99"/>
      <c r="K331" s="99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</row>
    <row r="332" spans="1:22" ht="14.25">
      <c r="A332" s="73"/>
      <c r="B332" s="78"/>
      <c r="C332" s="79"/>
      <c r="D332" s="76"/>
      <c r="E332" s="99"/>
      <c r="F332" s="71"/>
      <c r="G332" s="71"/>
      <c r="H332" s="71"/>
      <c r="I332" s="99"/>
      <c r="J332" s="99"/>
      <c r="K332" s="99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</row>
    <row r="333" spans="1:22" ht="14.25">
      <c r="A333" s="73"/>
      <c r="B333" s="78"/>
      <c r="C333" s="79"/>
      <c r="D333" s="76"/>
      <c r="E333" s="99"/>
      <c r="F333" s="71"/>
      <c r="G333" s="71"/>
      <c r="H333" s="71"/>
      <c r="I333" s="99"/>
      <c r="J333" s="99"/>
      <c r="K333" s="99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</row>
    <row r="334" spans="1:22" ht="14.25">
      <c r="A334" s="73"/>
      <c r="B334" s="78"/>
      <c r="C334" s="79"/>
      <c r="D334" s="76"/>
      <c r="E334" s="99"/>
      <c r="F334" s="71"/>
      <c r="G334" s="71"/>
      <c r="H334" s="71"/>
      <c r="I334" s="99"/>
      <c r="J334" s="99"/>
      <c r="K334" s="99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</row>
    <row r="335" spans="1:22" ht="14.25">
      <c r="A335" s="73"/>
      <c r="B335" s="78"/>
      <c r="C335" s="79"/>
      <c r="D335" s="76"/>
      <c r="E335" s="99"/>
      <c r="F335" s="71"/>
      <c r="G335" s="71"/>
      <c r="H335" s="71"/>
      <c r="I335" s="99"/>
      <c r="J335" s="99"/>
      <c r="K335" s="99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</row>
    <row r="336" spans="1:22" ht="14.25">
      <c r="A336" s="73"/>
      <c r="B336" s="78"/>
      <c r="C336" s="79"/>
      <c r="D336" s="76"/>
      <c r="E336" s="99"/>
      <c r="F336" s="71"/>
      <c r="G336" s="71"/>
      <c r="H336" s="71"/>
      <c r="I336" s="99"/>
      <c r="J336" s="99"/>
      <c r="K336" s="99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</row>
    <row r="337" spans="1:22" ht="14.25">
      <c r="A337" s="73"/>
      <c r="B337" s="78"/>
      <c r="C337" s="79"/>
      <c r="D337" s="76"/>
      <c r="E337" s="99"/>
      <c r="F337" s="71"/>
      <c r="G337" s="71"/>
      <c r="H337" s="71"/>
      <c r="I337" s="99"/>
      <c r="J337" s="99"/>
      <c r="K337" s="99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</row>
    <row r="338" spans="1:22" ht="14.25">
      <c r="A338" s="73"/>
      <c r="B338" s="78"/>
      <c r="C338" s="79"/>
      <c r="D338" s="76"/>
      <c r="E338" s="99"/>
      <c r="F338" s="71"/>
      <c r="G338" s="71"/>
      <c r="H338" s="71"/>
      <c r="I338" s="99"/>
      <c r="J338" s="99"/>
      <c r="K338" s="99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</row>
    <row r="339" spans="1:22" ht="14.25">
      <c r="A339" s="73"/>
      <c r="B339" s="78"/>
      <c r="C339" s="79"/>
      <c r="D339" s="76"/>
      <c r="E339" s="99"/>
      <c r="F339" s="71"/>
      <c r="G339" s="71"/>
      <c r="H339" s="71"/>
      <c r="I339" s="99"/>
      <c r="J339" s="99"/>
      <c r="K339" s="99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</row>
    <row r="340" spans="1:22" ht="14.25">
      <c r="A340" s="73"/>
      <c r="B340" s="78"/>
      <c r="C340" s="79"/>
      <c r="D340" s="76"/>
      <c r="E340" s="99"/>
      <c r="F340" s="71"/>
      <c r="G340" s="71"/>
      <c r="H340" s="71"/>
      <c r="I340" s="99"/>
      <c r="J340" s="99"/>
      <c r="K340" s="99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</row>
    <row r="341" spans="1:22" ht="14.25">
      <c r="A341" s="73"/>
      <c r="B341" s="78"/>
      <c r="C341" s="79"/>
      <c r="D341" s="76"/>
      <c r="E341" s="99"/>
      <c r="F341" s="71"/>
      <c r="G341" s="71"/>
      <c r="H341" s="71"/>
      <c r="I341" s="99"/>
      <c r="J341" s="99"/>
      <c r="K341" s="99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</row>
    <row r="342" spans="1:22" ht="14.25">
      <c r="A342" s="73"/>
      <c r="B342" s="78"/>
      <c r="C342" s="79"/>
      <c r="D342" s="76"/>
      <c r="E342" s="99"/>
      <c r="F342" s="71"/>
      <c r="G342" s="71"/>
      <c r="H342" s="71"/>
      <c r="I342" s="99"/>
      <c r="J342" s="99"/>
      <c r="K342" s="99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</row>
    <row r="343" spans="1:22" ht="14.25">
      <c r="A343" s="73"/>
      <c r="B343" s="78"/>
      <c r="C343" s="79"/>
      <c r="D343" s="76"/>
      <c r="E343" s="99"/>
      <c r="F343" s="71"/>
      <c r="G343" s="71"/>
      <c r="H343" s="71"/>
      <c r="I343" s="99"/>
      <c r="J343" s="99"/>
      <c r="K343" s="99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</row>
    <row r="344" spans="1:22" ht="14.25">
      <c r="A344" s="73"/>
      <c r="B344" s="78"/>
      <c r="C344" s="79"/>
      <c r="D344" s="76"/>
      <c r="E344" s="99"/>
      <c r="F344" s="71"/>
      <c r="G344" s="71"/>
      <c r="H344" s="71"/>
      <c r="I344" s="99"/>
      <c r="J344" s="99"/>
      <c r="K344" s="99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</row>
    <row r="345" spans="1:22" ht="14.25">
      <c r="A345" s="73"/>
      <c r="B345" s="78"/>
      <c r="C345" s="79"/>
      <c r="D345" s="76"/>
      <c r="E345" s="99"/>
      <c r="F345" s="71"/>
      <c r="G345" s="71"/>
      <c r="H345" s="71"/>
      <c r="I345" s="99"/>
      <c r="J345" s="99"/>
      <c r="K345" s="99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</row>
    <row r="346" spans="1:22" ht="14.25">
      <c r="A346" s="73"/>
      <c r="B346" s="78"/>
      <c r="C346" s="79"/>
      <c r="D346" s="76"/>
      <c r="E346" s="99"/>
      <c r="F346" s="71"/>
      <c r="G346" s="71"/>
      <c r="H346" s="71"/>
      <c r="I346" s="99"/>
      <c r="J346" s="99"/>
      <c r="K346" s="99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</row>
    <row r="347" spans="1:22" ht="14.25">
      <c r="A347" s="73"/>
      <c r="B347" s="78"/>
      <c r="C347" s="79"/>
      <c r="D347" s="76"/>
      <c r="E347" s="99"/>
      <c r="F347" s="71"/>
      <c r="G347" s="71"/>
      <c r="H347" s="71"/>
      <c r="I347" s="99"/>
      <c r="J347" s="99"/>
      <c r="K347" s="99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</row>
    <row r="348" spans="1:22" ht="14.25">
      <c r="A348" s="73"/>
      <c r="B348" s="78"/>
      <c r="C348" s="79"/>
      <c r="D348" s="76"/>
      <c r="E348" s="99"/>
      <c r="F348" s="71"/>
      <c r="G348" s="71"/>
      <c r="H348" s="71"/>
      <c r="I348" s="99"/>
      <c r="J348" s="99"/>
      <c r="K348" s="99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</row>
    <row r="349" spans="1:22" ht="14.25">
      <c r="A349" s="73"/>
      <c r="B349" s="78"/>
      <c r="C349" s="79"/>
      <c r="D349" s="76"/>
      <c r="E349" s="99"/>
      <c r="F349" s="71"/>
      <c r="G349" s="71"/>
      <c r="H349" s="71"/>
      <c r="I349" s="99"/>
      <c r="J349" s="99"/>
      <c r="K349" s="99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</row>
    <row r="350" spans="1:22" ht="14.25">
      <c r="A350" s="73"/>
      <c r="B350" s="78"/>
      <c r="C350" s="79"/>
      <c r="D350" s="76"/>
      <c r="E350" s="99"/>
      <c r="F350" s="71"/>
      <c r="G350" s="71"/>
      <c r="H350" s="71"/>
      <c r="I350" s="99"/>
      <c r="J350" s="99"/>
      <c r="K350" s="99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</row>
    <row r="351" spans="1:22" ht="14.25">
      <c r="A351" s="73"/>
      <c r="B351" s="78"/>
      <c r="C351" s="79"/>
      <c r="D351" s="76"/>
      <c r="E351" s="99"/>
      <c r="F351" s="71"/>
      <c r="G351" s="71"/>
      <c r="H351" s="71"/>
      <c r="I351" s="99"/>
      <c r="J351" s="99"/>
      <c r="K351" s="99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</row>
    <row r="352" spans="1:22" ht="14.25">
      <c r="A352" s="73"/>
      <c r="B352" s="78"/>
      <c r="C352" s="79"/>
      <c r="D352" s="76"/>
      <c r="E352" s="99"/>
      <c r="F352" s="71"/>
      <c r="G352" s="71"/>
      <c r="H352" s="71"/>
      <c r="I352" s="99"/>
      <c r="J352" s="99"/>
      <c r="K352" s="99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</row>
    <row r="353" spans="1:22" ht="14.25">
      <c r="A353" s="73"/>
      <c r="B353" s="78"/>
      <c r="C353" s="79"/>
      <c r="D353" s="76"/>
      <c r="E353" s="99"/>
      <c r="F353" s="71"/>
      <c r="G353" s="71"/>
      <c r="H353" s="71"/>
      <c r="I353" s="99"/>
      <c r="J353" s="99"/>
      <c r="K353" s="99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</row>
    <row r="354" spans="1:22" ht="14.25">
      <c r="A354" s="73"/>
      <c r="B354" s="78"/>
      <c r="C354" s="79"/>
      <c r="D354" s="76"/>
      <c r="E354" s="99"/>
      <c r="F354" s="71"/>
      <c r="G354" s="71"/>
      <c r="H354" s="71"/>
      <c r="I354" s="99"/>
      <c r="J354" s="99"/>
      <c r="K354" s="99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</row>
    <row r="355" spans="1:22" ht="14.25">
      <c r="A355" s="73"/>
      <c r="B355" s="78"/>
      <c r="C355" s="79"/>
      <c r="D355" s="76"/>
      <c r="E355" s="99"/>
      <c r="F355" s="71"/>
      <c r="G355" s="71"/>
      <c r="H355" s="71"/>
      <c r="I355" s="99"/>
      <c r="J355" s="99"/>
      <c r="K355" s="99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</row>
    <row r="356" spans="1:22" ht="14.25">
      <c r="A356" s="73"/>
      <c r="B356" s="78"/>
      <c r="C356" s="79"/>
      <c r="D356" s="76"/>
      <c r="E356" s="99"/>
      <c r="F356" s="71"/>
      <c r="G356" s="71"/>
      <c r="H356" s="71"/>
      <c r="I356" s="99"/>
      <c r="J356" s="99"/>
      <c r="K356" s="99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</row>
    <row r="357" spans="1:22" ht="14.25">
      <c r="A357" s="73"/>
      <c r="B357" s="78"/>
      <c r="C357" s="79"/>
      <c r="D357" s="76"/>
      <c r="E357" s="99"/>
      <c r="F357" s="71"/>
      <c r="G357" s="71"/>
      <c r="H357" s="71"/>
      <c r="I357" s="99"/>
      <c r="J357" s="99"/>
      <c r="K357" s="99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</row>
    <row r="358" spans="1:22" ht="14.25">
      <c r="A358" s="73"/>
      <c r="B358" s="78"/>
      <c r="C358" s="79"/>
      <c r="D358" s="76"/>
      <c r="E358" s="99"/>
      <c r="F358" s="71"/>
      <c r="G358" s="71"/>
      <c r="H358" s="71"/>
      <c r="I358" s="99"/>
      <c r="J358" s="99"/>
      <c r="K358" s="99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</row>
    <row r="359" spans="1:22" ht="14.25">
      <c r="A359" s="73"/>
      <c r="B359" s="78"/>
      <c r="C359" s="79"/>
      <c r="D359" s="76"/>
      <c r="E359" s="99"/>
      <c r="F359" s="71"/>
      <c r="G359" s="71"/>
      <c r="H359" s="71"/>
      <c r="I359" s="99"/>
      <c r="J359" s="99"/>
      <c r="K359" s="99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</row>
    <row r="360" spans="1:22" ht="14.25">
      <c r="A360" s="73"/>
      <c r="B360" s="78"/>
      <c r="C360" s="79"/>
      <c r="D360" s="76"/>
      <c r="E360" s="99"/>
      <c r="F360" s="71"/>
      <c r="G360" s="71"/>
      <c r="H360" s="71"/>
      <c r="I360" s="99"/>
      <c r="J360" s="99"/>
      <c r="K360" s="99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</row>
    <row r="361" spans="1:22" ht="14.25">
      <c r="A361" s="73"/>
      <c r="B361" s="78"/>
      <c r="C361" s="79"/>
      <c r="D361" s="76"/>
      <c r="E361" s="99"/>
      <c r="F361" s="71"/>
      <c r="G361" s="71"/>
      <c r="H361" s="71"/>
      <c r="I361" s="99"/>
      <c r="J361" s="99"/>
      <c r="K361" s="99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</row>
    <row r="362" spans="1:22" ht="14.25">
      <c r="A362" s="73"/>
      <c r="B362" s="78"/>
      <c r="C362" s="79"/>
      <c r="D362" s="76"/>
      <c r="E362" s="99"/>
      <c r="F362" s="71"/>
      <c r="G362" s="71"/>
      <c r="H362" s="71"/>
      <c r="I362" s="99"/>
      <c r="J362" s="99"/>
      <c r="K362" s="99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</row>
    <row r="363" spans="1:22" ht="14.25">
      <c r="A363" s="73"/>
      <c r="B363" s="78"/>
      <c r="C363" s="79"/>
      <c r="D363" s="76"/>
      <c r="E363" s="99"/>
      <c r="F363" s="71"/>
      <c r="G363" s="71"/>
      <c r="H363" s="71"/>
      <c r="I363" s="99"/>
      <c r="J363" s="99"/>
      <c r="K363" s="99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</row>
    <row r="364" spans="1:22" ht="14.25">
      <c r="A364" s="73"/>
      <c r="B364" s="78"/>
      <c r="C364" s="79"/>
      <c r="D364" s="76"/>
      <c r="E364" s="99"/>
      <c r="F364" s="71"/>
      <c r="G364" s="71"/>
      <c r="H364" s="71"/>
      <c r="I364" s="99"/>
      <c r="J364" s="99"/>
      <c r="K364" s="99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</row>
    <row r="365" spans="1:22" ht="14.25">
      <c r="A365" s="73"/>
      <c r="B365" s="78"/>
      <c r="C365" s="79"/>
      <c r="D365" s="76"/>
      <c r="E365" s="99"/>
      <c r="F365" s="71"/>
      <c r="G365" s="71"/>
      <c r="H365" s="71"/>
      <c r="I365" s="99"/>
      <c r="J365" s="99"/>
      <c r="K365" s="99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</row>
    <row r="366" spans="1:22" ht="14.25">
      <c r="A366" s="73"/>
      <c r="B366" s="78"/>
      <c r="C366" s="79"/>
      <c r="D366" s="76"/>
      <c r="E366" s="99"/>
      <c r="F366" s="71"/>
      <c r="G366" s="71"/>
      <c r="H366" s="71"/>
      <c r="I366" s="99"/>
      <c r="J366" s="99"/>
      <c r="K366" s="99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</row>
    <row r="367" spans="1:22" ht="14.25">
      <c r="A367" s="73"/>
      <c r="B367" s="78"/>
      <c r="C367" s="79"/>
      <c r="D367" s="76"/>
      <c r="E367" s="99"/>
      <c r="F367" s="71"/>
      <c r="G367" s="71"/>
      <c r="H367" s="71"/>
      <c r="I367" s="99"/>
      <c r="J367" s="99"/>
      <c r="K367" s="99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</row>
    <row r="368" spans="1:22" ht="14.25">
      <c r="A368" s="73"/>
      <c r="B368" s="78"/>
      <c r="C368" s="79"/>
      <c r="D368" s="76"/>
      <c r="E368" s="99"/>
      <c r="F368" s="71"/>
      <c r="G368" s="71"/>
      <c r="H368" s="71"/>
      <c r="I368" s="99"/>
      <c r="J368" s="99"/>
      <c r="K368" s="99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</row>
    <row r="369" spans="1:22" ht="14.25">
      <c r="A369" s="73"/>
      <c r="B369" s="78"/>
      <c r="C369" s="79"/>
      <c r="D369" s="76"/>
      <c r="E369" s="99"/>
      <c r="F369" s="71"/>
      <c r="G369" s="71"/>
      <c r="H369" s="71"/>
      <c r="I369" s="99"/>
      <c r="J369" s="99"/>
      <c r="K369" s="99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</row>
    <row r="370" spans="1:22" ht="14.25">
      <c r="A370" s="73"/>
      <c r="B370" s="78"/>
      <c r="C370" s="79"/>
      <c r="D370" s="76"/>
      <c r="E370" s="99"/>
      <c r="F370" s="71"/>
      <c r="G370" s="71"/>
      <c r="H370" s="71"/>
      <c r="I370" s="99"/>
      <c r="J370" s="99"/>
      <c r="K370" s="99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</row>
    <row r="371" spans="1:22" ht="14.25">
      <c r="A371" s="73"/>
      <c r="B371" s="78"/>
      <c r="C371" s="79"/>
      <c r="D371" s="76"/>
      <c r="E371" s="99"/>
      <c r="F371" s="71"/>
      <c r="G371" s="71"/>
      <c r="H371" s="71"/>
      <c r="I371" s="99"/>
      <c r="J371" s="99"/>
      <c r="K371" s="99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</row>
    <row r="372" spans="1:22" ht="14.25">
      <c r="A372" s="73"/>
      <c r="B372" s="78"/>
      <c r="C372" s="79"/>
      <c r="D372" s="76"/>
      <c r="E372" s="99"/>
      <c r="F372" s="71"/>
      <c r="G372" s="71"/>
      <c r="H372" s="71"/>
      <c r="I372" s="99"/>
      <c r="J372" s="99"/>
      <c r="K372" s="99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</row>
    <row r="373" spans="1:22" ht="14.25">
      <c r="A373" s="73"/>
      <c r="B373" s="78"/>
      <c r="C373" s="79"/>
      <c r="D373" s="76"/>
      <c r="E373" s="99"/>
      <c r="F373" s="71"/>
      <c r="G373" s="71"/>
      <c r="H373" s="71"/>
      <c r="I373" s="99"/>
      <c r="J373" s="99"/>
      <c r="K373" s="99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</row>
    <row r="374" spans="1:22" ht="14.25">
      <c r="A374" s="73"/>
      <c r="B374" s="78"/>
      <c r="C374" s="79"/>
      <c r="D374" s="76"/>
      <c r="E374" s="99"/>
      <c r="F374" s="71"/>
      <c r="G374" s="71"/>
      <c r="H374" s="71"/>
      <c r="I374" s="99"/>
      <c r="J374" s="99"/>
      <c r="K374" s="99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</row>
    <row r="375" spans="1:22" ht="14.25">
      <c r="A375" s="73"/>
      <c r="B375" s="78"/>
      <c r="C375" s="79"/>
      <c r="D375" s="76"/>
      <c r="E375" s="99"/>
      <c r="F375" s="71"/>
      <c r="G375" s="71"/>
      <c r="H375" s="71"/>
      <c r="I375" s="99"/>
      <c r="J375" s="99"/>
      <c r="K375" s="99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</row>
    <row r="376" spans="1:22" ht="14.25">
      <c r="A376" s="73"/>
      <c r="B376" s="78"/>
      <c r="C376" s="79"/>
      <c r="D376" s="76"/>
      <c r="E376" s="99"/>
      <c r="F376" s="71"/>
      <c r="G376" s="71"/>
      <c r="H376" s="71"/>
      <c r="I376" s="99"/>
      <c r="J376" s="99"/>
      <c r="K376" s="99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</row>
    <row r="377" spans="1:22" ht="14.25">
      <c r="A377" s="73"/>
      <c r="B377" s="78"/>
      <c r="C377" s="79"/>
      <c r="D377" s="76"/>
      <c r="E377" s="99"/>
      <c r="F377" s="71"/>
      <c r="G377" s="71"/>
      <c r="H377" s="71"/>
      <c r="I377" s="99"/>
      <c r="J377" s="99"/>
      <c r="K377" s="99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</row>
    <row r="378" spans="1:22" ht="14.25">
      <c r="A378" s="73"/>
      <c r="B378" s="78"/>
      <c r="C378" s="79"/>
      <c r="D378" s="76"/>
      <c r="E378" s="99"/>
      <c r="F378" s="71"/>
      <c r="G378" s="71"/>
      <c r="H378" s="71"/>
      <c r="I378" s="99"/>
      <c r="J378" s="99"/>
      <c r="K378" s="99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</row>
    <row r="379" spans="1:22" ht="14.25">
      <c r="A379" s="73"/>
      <c r="B379" s="78"/>
      <c r="C379" s="79"/>
      <c r="D379" s="76"/>
      <c r="E379" s="99"/>
      <c r="F379" s="71"/>
      <c r="G379" s="71"/>
      <c r="H379" s="71"/>
      <c r="I379" s="99"/>
      <c r="J379" s="99"/>
      <c r="K379" s="99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</row>
    <row r="380" spans="1:22" ht="14.25">
      <c r="A380" s="73"/>
      <c r="B380" s="78"/>
      <c r="C380" s="79"/>
      <c r="D380" s="76"/>
      <c r="E380" s="99"/>
      <c r="F380" s="71"/>
      <c r="G380" s="71"/>
      <c r="H380" s="71"/>
      <c r="I380" s="99"/>
      <c r="J380" s="99"/>
      <c r="K380" s="99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</row>
    <row r="381" spans="1:22" ht="14.25">
      <c r="A381" s="73"/>
      <c r="B381" s="78"/>
      <c r="C381" s="79"/>
      <c r="D381" s="76"/>
      <c r="E381" s="99"/>
      <c r="F381" s="71"/>
      <c r="G381" s="71"/>
      <c r="H381" s="71"/>
      <c r="I381" s="99"/>
      <c r="J381" s="99"/>
      <c r="K381" s="99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</row>
    <row r="382" spans="1:22" ht="14.25">
      <c r="A382" s="73"/>
      <c r="B382" s="78"/>
      <c r="C382" s="79"/>
      <c r="D382" s="76"/>
      <c r="E382" s="99"/>
      <c r="F382" s="71"/>
      <c r="G382" s="71"/>
      <c r="H382" s="71"/>
      <c r="I382" s="99"/>
      <c r="J382" s="99"/>
      <c r="K382" s="99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</row>
    <row r="383" spans="1:22" ht="14.25">
      <c r="A383" s="73"/>
      <c r="B383" s="78"/>
      <c r="C383" s="79"/>
      <c r="D383" s="76"/>
      <c r="E383" s="99"/>
      <c r="F383" s="71"/>
      <c r="G383" s="71"/>
      <c r="H383" s="71"/>
      <c r="I383" s="99"/>
      <c r="J383" s="99"/>
      <c r="K383" s="99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</row>
    <row r="384" spans="1:22" ht="14.25">
      <c r="A384" s="73"/>
      <c r="B384" s="78"/>
      <c r="C384" s="79"/>
      <c r="D384" s="76"/>
      <c r="E384" s="99"/>
      <c r="F384" s="71"/>
      <c r="G384" s="71"/>
      <c r="H384" s="71"/>
      <c r="I384" s="99"/>
      <c r="J384" s="99"/>
      <c r="K384" s="99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</row>
    <row r="385" spans="1:22" ht="14.25">
      <c r="A385" s="73"/>
      <c r="B385" s="78"/>
      <c r="C385" s="79"/>
      <c r="D385" s="76"/>
      <c r="E385" s="99"/>
      <c r="F385" s="71"/>
      <c r="G385" s="71"/>
      <c r="H385" s="71"/>
      <c r="I385" s="99"/>
      <c r="J385" s="99"/>
      <c r="K385" s="99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</row>
    <row r="386" spans="1:22" ht="14.25">
      <c r="A386" s="73"/>
      <c r="B386" s="78"/>
      <c r="C386" s="79"/>
      <c r="D386" s="76"/>
      <c r="E386" s="99"/>
      <c r="F386" s="71"/>
      <c r="G386" s="71"/>
      <c r="H386" s="71"/>
      <c r="I386" s="99"/>
      <c r="J386" s="99"/>
      <c r="K386" s="99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</row>
    <row r="387" spans="1:22" ht="14.25">
      <c r="A387" s="73"/>
      <c r="B387" s="78"/>
      <c r="C387" s="79"/>
      <c r="D387" s="76"/>
      <c r="E387" s="99"/>
      <c r="F387" s="71"/>
      <c r="G387" s="71"/>
      <c r="H387" s="71"/>
      <c r="I387" s="99"/>
      <c r="J387" s="99"/>
      <c r="K387" s="99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</row>
    <row r="388" spans="1:22" ht="14.25">
      <c r="A388" s="73"/>
      <c r="B388" s="78"/>
      <c r="C388" s="79"/>
      <c r="D388" s="76"/>
      <c r="E388" s="99"/>
      <c r="F388" s="71"/>
      <c r="G388" s="71"/>
      <c r="H388" s="71"/>
      <c r="I388" s="99"/>
      <c r="J388" s="99"/>
      <c r="K388" s="99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</row>
    <row r="389" spans="1:22" ht="14.25">
      <c r="A389" s="73"/>
      <c r="B389" s="78"/>
      <c r="C389" s="79"/>
      <c r="D389" s="76"/>
      <c r="E389" s="99"/>
      <c r="F389" s="71"/>
      <c r="G389" s="71"/>
      <c r="H389" s="71"/>
      <c r="I389" s="99"/>
      <c r="J389" s="99"/>
      <c r="K389" s="99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</row>
    <row r="390" spans="1:22" ht="14.25">
      <c r="A390" s="73"/>
      <c r="B390" s="78"/>
      <c r="C390" s="79"/>
      <c r="D390" s="76"/>
      <c r="E390" s="99"/>
      <c r="F390" s="71"/>
      <c r="G390" s="71"/>
      <c r="H390" s="71"/>
      <c r="I390" s="99"/>
      <c r="J390" s="99"/>
      <c r="K390" s="99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</row>
    <row r="391" spans="1:22" ht="14.25">
      <c r="A391" s="73"/>
      <c r="B391" s="78"/>
      <c r="C391" s="79"/>
      <c r="D391" s="76"/>
      <c r="E391" s="99"/>
      <c r="F391" s="71"/>
      <c r="G391" s="71"/>
      <c r="H391" s="71"/>
      <c r="I391" s="99"/>
      <c r="J391" s="99"/>
      <c r="K391" s="99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</row>
    <row r="392" spans="1:22" ht="14.25">
      <c r="A392" s="73"/>
      <c r="B392" s="78"/>
      <c r="C392" s="79"/>
      <c r="D392" s="76"/>
      <c r="E392" s="99"/>
      <c r="F392" s="71"/>
      <c r="G392" s="71"/>
      <c r="H392" s="71"/>
      <c r="I392" s="99"/>
      <c r="J392" s="99"/>
      <c r="K392" s="99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</row>
    <row r="393" spans="1:22" ht="14.25">
      <c r="A393" s="73"/>
      <c r="B393" s="78"/>
      <c r="C393" s="79"/>
      <c r="D393" s="76"/>
      <c r="E393" s="99"/>
      <c r="F393" s="71"/>
      <c r="G393" s="71"/>
      <c r="H393" s="71"/>
      <c r="I393" s="99"/>
      <c r="J393" s="99"/>
      <c r="K393" s="99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</row>
    <row r="394" spans="1:22" ht="14.25">
      <c r="A394" s="73"/>
      <c r="B394" s="78"/>
      <c r="C394" s="79"/>
      <c r="D394" s="76"/>
      <c r="E394" s="99"/>
      <c r="F394" s="71"/>
      <c r="G394" s="71"/>
      <c r="H394" s="71"/>
      <c r="I394" s="99"/>
      <c r="J394" s="99"/>
      <c r="K394" s="99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</row>
    <row r="395" spans="1:22" ht="14.25">
      <c r="A395" s="73"/>
      <c r="B395" s="78"/>
      <c r="C395" s="79"/>
      <c r="D395" s="76"/>
      <c r="E395" s="99"/>
      <c r="F395" s="71"/>
      <c r="G395" s="71"/>
      <c r="H395" s="71"/>
      <c r="I395" s="99"/>
      <c r="J395" s="99"/>
      <c r="K395" s="99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</row>
    <row r="396" spans="1:22" ht="14.25">
      <c r="A396" s="73"/>
      <c r="B396" s="78"/>
      <c r="C396" s="79"/>
      <c r="D396" s="76"/>
      <c r="E396" s="99"/>
      <c r="F396" s="71"/>
      <c r="G396" s="71"/>
      <c r="H396" s="71"/>
      <c r="I396" s="99"/>
      <c r="J396" s="99"/>
      <c r="K396" s="99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</row>
    <row r="397" spans="1:22" ht="14.25">
      <c r="A397" s="73"/>
      <c r="B397" s="78"/>
      <c r="C397" s="79"/>
      <c r="D397" s="76"/>
      <c r="E397" s="99"/>
      <c r="F397" s="71"/>
      <c r="G397" s="71"/>
      <c r="H397" s="71"/>
      <c r="I397" s="99"/>
      <c r="J397" s="99"/>
      <c r="K397" s="99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</row>
    <row r="398" spans="1:22" ht="14.25">
      <c r="A398" s="73"/>
      <c r="B398" s="78"/>
      <c r="C398" s="79"/>
      <c r="D398" s="76"/>
      <c r="E398" s="99"/>
      <c r="F398" s="71"/>
      <c r="G398" s="71"/>
      <c r="H398" s="71"/>
      <c r="I398" s="99"/>
      <c r="J398" s="99"/>
      <c r="K398" s="99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</row>
    <row r="399" spans="1:22" ht="14.25">
      <c r="A399" s="73"/>
      <c r="B399" s="78"/>
      <c r="C399" s="79"/>
      <c r="D399" s="76"/>
      <c r="E399" s="99"/>
      <c r="F399" s="71"/>
      <c r="G399" s="71"/>
      <c r="H399" s="71"/>
      <c r="I399" s="99"/>
      <c r="J399" s="99"/>
      <c r="K399" s="99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</row>
    <row r="400" spans="1:22" ht="14.25">
      <c r="A400" s="73"/>
      <c r="B400" s="78"/>
      <c r="C400" s="79"/>
      <c r="D400" s="76"/>
      <c r="E400" s="99"/>
      <c r="F400" s="71"/>
      <c r="G400" s="71"/>
      <c r="H400" s="71"/>
      <c r="I400" s="99"/>
      <c r="J400" s="99"/>
      <c r="K400" s="99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</row>
    <row r="401" spans="1:22" ht="14.25">
      <c r="A401" s="73"/>
      <c r="B401" s="78"/>
      <c r="C401" s="79"/>
      <c r="D401" s="76"/>
      <c r="E401" s="99"/>
      <c r="F401" s="71"/>
      <c r="G401" s="71"/>
      <c r="H401" s="71"/>
      <c r="I401" s="99"/>
      <c r="J401" s="99"/>
      <c r="K401" s="99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</row>
    <row r="402" spans="1:22" ht="14.25">
      <c r="A402" s="73"/>
      <c r="B402" s="78"/>
      <c r="C402" s="79"/>
      <c r="D402" s="76"/>
      <c r="E402" s="99"/>
      <c r="F402" s="71"/>
      <c r="G402" s="71"/>
      <c r="H402" s="71"/>
      <c r="I402" s="99"/>
      <c r="J402" s="99"/>
      <c r="K402" s="99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</row>
    <row r="403" spans="1:22" ht="14.25">
      <c r="A403" s="73"/>
      <c r="B403" s="78"/>
      <c r="C403" s="79"/>
      <c r="D403" s="76"/>
      <c r="E403" s="99"/>
      <c r="F403" s="71"/>
      <c r="G403" s="71"/>
      <c r="H403" s="71"/>
      <c r="I403" s="99"/>
      <c r="J403" s="99"/>
      <c r="K403" s="99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</row>
    <row r="404" spans="1:22" ht="14.25">
      <c r="A404" s="73"/>
      <c r="B404" s="78"/>
      <c r="C404" s="79"/>
      <c r="D404" s="76"/>
      <c r="E404" s="99"/>
      <c r="F404" s="71"/>
      <c r="G404" s="71"/>
      <c r="H404" s="71"/>
      <c r="I404" s="99"/>
      <c r="J404" s="99"/>
      <c r="K404" s="99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</row>
    <row r="405" spans="1:22" ht="14.25">
      <c r="A405" s="73"/>
      <c r="B405" s="78"/>
      <c r="C405" s="79"/>
      <c r="D405" s="76"/>
      <c r="E405" s="99"/>
      <c r="F405" s="71"/>
      <c r="G405" s="71"/>
      <c r="H405" s="71"/>
      <c r="I405" s="99"/>
      <c r="J405" s="99"/>
      <c r="K405" s="99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</row>
    <row r="406" spans="1:22" ht="14.25">
      <c r="A406" s="73"/>
      <c r="B406" s="78"/>
      <c r="C406" s="79"/>
      <c r="D406" s="76"/>
      <c r="E406" s="99"/>
      <c r="F406" s="71"/>
      <c r="G406" s="71"/>
      <c r="H406" s="71"/>
      <c r="I406" s="99"/>
      <c r="J406" s="99"/>
      <c r="K406" s="99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</row>
    <row r="407" spans="1:22" ht="14.25">
      <c r="A407" s="73"/>
      <c r="B407" s="78"/>
      <c r="C407" s="79"/>
      <c r="D407" s="76"/>
      <c r="E407" s="99"/>
      <c r="F407" s="71"/>
      <c r="G407" s="71"/>
      <c r="H407" s="71"/>
      <c r="I407" s="99"/>
      <c r="J407" s="99"/>
      <c r="K407" s="99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</row>
    <row r="408" spans="1:22" ht="14.25">
      <c r="A408" s="73"/>
      <c r="B408" s="78"/>
      <c r="C408" s="79"/>
      <c r="D408" s="76"/>
      <c r="E408" s="99"/>
      <c r="F408" s="71"/>
      <c r="G408" s="71"/>
      <c r="H408" s="71"/>
      <c r="I408" s="99"/>
      <c r="J408" s="99"/>
      <c r="K408" s="99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</row>
    <row r="409" spans="1:22" ht="14.25">
      <c r="A409" s="73"/>
      <c r="B409" s="78"/>
      <c r="C409" s="79"/>
      <c r="D409" s="76"/>
      <c r="E409" s="99"/>
      <c r="F409" s="71"/>
      <c r="G409" s="71"/>
      <c r="H409" s="71"/>
      <c r="I409" s="99"/>
      <c r="J409" s="99"/>
      <c r="K409" s="99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</row>
    <row r="410" spans="1:22" ht="14.25">
      <c r="A410" s="73"/>
      <c r="B410" s="78"/>
      <c r="C410" s="79"/>
      <c r="D410" s="76"/>
      <c r="E410" s="99"/>
      <c r="F410" s="71"/>
      <c r="G410" s="71"/>
      <c r="H410" s="71"/>
      <c r="I410" s="99"/>
      <c r="J410" s="99"/>
      <c r="K410" s="99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</row>
    <row r="411" spans="1:22" ht="14.25">
      <c r="A411" s="73"/>
      <c r="B411" s="78"/>
      <c r="C411" s="79"/>
      <c r="D411" s="76"/>
      <c r="E411" s="99"/>
      <c r="F411" s="71"/>
      <c r="G411" s="71"/>
      <c r="H411" s="71"/>
      <c r="I411" s="99"/>
      <c r="J411" s="99"/>
      <c r="K411" s="99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</row>
    <row r="412" spans="1:22" ht="14.25">
      <c r="A412" s="73"/>
      <c r="B412" s="78"/>
      <c r="C412" s="79"/>
      <c r="D412" s="76"/>
      <c r="E412" s="99"/>
      <c r="F412" s="71"/>
      <c r="G412" s="71"/>
      <c r="H412" s="71"/>
      <c r="I412" s="99"/>
      <c r="J412" s="99"/>
      <c r="K412" s="99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</row>
    <row r="413" spans="1:22" ht="14.25">
      <c r="A413" s="73"/>
      <c r="B413" s="78"/>
      <c r="C413" s="79"/>
      <c r="D413" s="76"/>
      <c r="E413" s="99"/>
      <c r="F413" s="71"/>
      <c r="G413" s="71"/>
      <c r="H413" s="71"/>
      <c r="I413" s="99"/>
      <c r="J413" s="99"/>
      <c r="K413" s="99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</row>
    <row r="414" spans="1:22" ht="14.25">
      <c r="A414" s="73"/>
      <c r="B414" s="78"/>
      <c r="C414" s="79"/>
      <c r="D414" s="76"/>
      <c r="E414" s="99"/>
      <c r="F414" s="71"/>
      <c r="G414" s="71"/>
      <c r="H414" s="71"/>
      <c r="I414" s="99"/>
      <c r="J414" s="99"/>
      <c r="K414" s="99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</row>
    <row r="415" spans="1:22" ht="14.25">
      <c r="A415" s="73"/>
      <c r="B415" s="78"/>
      <c r="C415" s="79"/>
      <c r="D415" s="76"/>
      <c r="E415" s="99"/>
      <c r="F415" s="71"/>
      <c r="G415" s="71"/>
      <c r="H415" s="71"/>
      <c r="I415" s="99"/>
      <c r="J415" s="99"/>
      <c r="K415" s="99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</row>
    <row r="416" spans="1:22" ht="14.25">
      <c r="A416" s="73"/>
      <c r="B416" s="78"/>
      <c r="C416" s="79"/>
      <c r="D416" s="76"/>
      <c r="E416" s="99"/>
      <c r="F416" s="71"/>
      <c r="G416" s="71"/>
      <c r="H416" s="71"/>
      <c r="I416" s="99"/>
      <c r="J416" s="99"/>
      <c r="K416" s="99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</row>
    <row r="417" spans="1:22" ht="14.25">
      <c r="A417" s="73"/>
      <c r="B417" s="78"/>
      <c r="C417" s="79"/>
      <c r="D417" s="76"/>
      <c r="E417" s="99"/>
      <c r="F417" s="71"/>
      <c r="G417" s="71"/>
      <c r="H417" s="71"/>
      <c r="I417" s="99"/>
      <c r="J417" s="99"/>
      <c r="K417" s="99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</row>
    <row r="418" spans="1:22" ht="14.25">
      <c r="A418" s="73"/>
      <c r="B418" s="78"/>
      <c r="C418" s="79"/>
      <c r="D418" s="76"/>
      <c r="E418" s="99"/>
      <c r="F418" s="71"/>
      <c r="G418" s="71"/>
      <c r="H418" s="71"/>
      <c r="I418" s="99"/>
      <c r="J418" s="99"/>
      <c r="K418" s="99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</row>
    <row r="419" spans="1:22" ht="14.25">
      <c r="A419" s="73"/>
      <c r="B419" s="78"/>
      <c r="C419" s="79"/>
      <c r="D419" s="76"/>
      <c r="E419" s="99"/>
      <c r="F419" s="71"/>
      <c r="G419" s="71"/>
      <c r="H419" s="71"/>
      <c r="I419" s="99"/>
      <c r="J419" s="99"/>
      <c r="K419" s="99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</row>
    <row r="420" spans="1:22" ht="14.25">
      <c r="A420" s="73"/>
      <c r="B420" s="78"/>
      <c r="C420" s="79"/>
      <c r="D420" s="76"/>
      <c r="E420" s="99"/>
      <c r="F420" s="71"/>
      <c r="G420" s="71"/>
      <c r="H420" s="71"/>
      <c r="I420" s="99"/>
      <c r="J420" s="99"/>
      <c r="K420" s="99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</row>
    <row r="421" spans="1:22" ht="14.25">
      <c r="A421" s="73"/>
      <c r="B421" s="78"/>
      <c r="C421" s="79"/>
      <c r="D421" s="76"/>
      <c r="E421" s="99"/>
      <c r="F421" s="71"/>
      <c r="G421" s="71"/>
      <c r="H421" s="71"/>
      <c r="I421" s="99"/>
      <c r="J421" s="99"/>
      <c r="K421" s="99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</row>
    <row r="422" spans="1:22" ht="14.25">
      <c r="A422" s="73"/>
      <c r="B422" s="78"/>
      <c r="C422" s="79"/>
      <c r="D422" s="76"/>
      <c r="E422" s="99"/>
      <c r="F422" s="71"/>
      <c r="G422" s="71"/>
      <c r="H422" s="71"/>
      <c r="I422" s="99"/>
      <c r="J422" s="99"/>
      <c r="K422" s="99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</row>
    <row r="423" spans="1:22" ht="14.25">
      <c r="A423" s="73"/>
      <c r="B423" s="78"/>
      <c r="C423" s="79"/>
      <c r="D423" s="76"/>
      <c r="E423" s="99"/>
      <c r="F423" s="71"/>
      <c r="G423" s="71"/>
      <c r="H423" s="71"/>
      <c r="I423" s="99"/>
      <c r="J423" s="99"/>
      <c r="K423" s="99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</row>
    <row r="424" spans="1:22" ht="14.25">
      <c r="A424" s="73"/>
      <c r="B424" s="78"/>
      <c r="C424" s="79"/>
      <c r="D424" s="76"/>
      <c r="E424" s="99"/>
      <c r="F424" s="71"/>
      <c r="G424" s="71"/>
      <c r="H424" s="71"/>
      <c r="I424" s="99"/>
      <c r="J424" s="99"/>
      <c r="K424" s="99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</row>
    <row r="425" spans="1:22" ht="14.25">
      <c r="A425" s="73"/>
      <c r="B425" s="78"/>
      <c r="C425" s="79"/>
      <c r="D425" s="76"/>
      <c r="E425" s="99"/>
      <c r="F425" s="71"/>
      <c r="G425" s="71"/>
      <c r="H425" s="71"/>
      <c r="I425" s="99"/>
      <c r="J425" s="99"/>
      <c r="K425" s="99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</row>
    <row r="426" spans="1:22" ht="14.25">
      <c r="A426" s="73"/>
      <c r="B426" s="78"/>
      <c r="C426" s="79"/>
      <c r="D426" s="76"/>
      <c r="E426" s="99"/>
      <c r="F426" s="71"/>
      <c r="G426" s="71"/>
      <c r="H426" s="71"/>
      <c r="I426" s="99"/>
      <c r="J426" s="99"/>
      <c r="K426" s="99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</row>
    <row r="427" spans="1:22" ht="14.25">
      <c r="A427" s="73"/>
      <c r="B427" s="78"/>
      <c r="C427" s="79"/>
      <c r="D427" s="76"/>
      <c r="E427" s="99"/>
      <c r="F427" s="71"/>
      <c r="G427" s="71"/>
      <c r="H427" s="71"/>
      <c r="I427" s="99"/>
      <c r="J427" s="99"/>
      <c r="K427" s="99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</row>
    <row r="428" spans="1:22" ht="14.25">
      <c r="A428" s="73"/>
      <c r="B428" s="78"/>
      <c r="C428" s="79"/>
      <c r="D428" s="76"/>
      <c r="E428" s="99"/>
      <c r="F428" s="71"/>
      <c r="G428" s="71"/>
      <c r="H428" s="71"/>
      <c r="I428" s="99"/>
      <c r="J428" s="99"/>
      <c r="K428" s="99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</row>
    <row r="429" spans="1:22" ht="14.25">
      <c r="A429" s="73"/>
      <c r="B429" s="78"/>
      <c r="C429" s="79"/>
      <c r="D429" s="76"/>
      <c r="E429" s="99"/>
      <c r="F429" s="71"/>
      <c r="G429" s="71"/>
      <c r="H429" s="71"/>
      <c r="I429" s="99"/>
      <c r="J429" s="99"/>
      <c r="K429" s="99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</row>
    <row r="430" spans="1:22" ht="14.25">
      <c r="A430" s="73"/>
      <c r="B430" s="78"/>
      <c r="C430" s="79"/>
      <c r="D430" s="76"/>
      <c r="E430" s="99"/>
      <c r="F430" s="71"/>
      <c r="G430" s="71"/>
      <c r="H430" s="71"/>
      <c r="I430" s="99"/>
      <c r="J430" s="99"/>
      <c r="K430" s="99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</row>
    <row r="431" spans="1:22" ht="14.25">
      <c r="A431" s="73"/>
      <c r="B431" s="78"/>
      <c r="C431" s="79"/>
      <c r="D431" s="76"/>
      <c r="E431" s="99"/>
      <c r="F431" s="71"/>
      <c r="G431" s="71"/>
      <c r="H431" s="71"/>
      <c r="I431" s="99"/>
      <c r="J431" s="99"/>
      <c r="K431" s="99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</row>
    <row r="432" spans="1:22" ht="14.25">
      <c r="A432" s="73"/>
      <c r="B432" s="78"/>
      <c r="C432" s="79"/>
      <c r="D432" s="76"/>
      <c r="E432" s="99"/>
      <c r="F432" s="71"/>
      <c r="G432" s="71"/>
      <c r="H432" s="71"/>
      <c r="I432" s="99"/>
      <c r="J432" s="99"/>
      <c r="K432" s="99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</row>
    <row r="433" spans="1:22" ht="14.25">
      <c r="A433" s="73"/>
      <c r="B433" s="78"/>
      <c r="C433" s="79"/>
      <c r="D433" s="76"/>
      <c r="E433" s="99"/>
      <c r="F433" s="71"/>
      <c r="G433" s="71"/>
      <c r="H433" s="71"/>
      <c r="I433" s="99"/>
      <c r="J433" s="99"/>
      <c r="K433" s="99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</row>
    <row r="434" spans="1:22" ht="14.25">
      <c r="A434" s="73"/>
      <c r="B434" s="78"/>
      <c r="C434" s="79"/>
      <c r="D434" s="76"/>
      <c r="E434" s="99"/>
      <c r="F434" s="71"/>
      <c r="G434" s="71"/>
      <c r="H434" s="71"/>
      <c r="I434" s="99"/>
      <c r="J434" s="99"/>
      <c r="K434" s="99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</row>
    <row r="435" spans="1:22" ht="14.25">
      <c r="A435" s="73"/>
      <c r="B435" s="78"/>
      <c r="C435" s="79"/>
      <c r="D435" s="76"/>
      <c r="E435" s="99"/>
      <c r="F435" s="71"/>
      <c r="G435" s="71"/>
      <c r="H435" s="71"/>
      <c r="I435" s="99"/>
      <c r="J435" s="99"/>
      <c r="K435" s="99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</row>
    <row r="436" spans="1:22" ht="14.25">
      <c r="A436" s="73"/>
      <c r="B436" s="78"/>
      <c r="C436" s="79"/>
      <c r="D436" s="76"/>
      <c r="E436" s="99"/>
      <c r="F436" s="71"/>
      <c r="G436" s="71"/>
      <c r="H436" s="71"/>
      <c r="I436" s="99"/>
      <c r="J436" s="99"/>
      <c r="K436" s="99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</row>
    <row r="437" spans="1:22" ht="14.25">
      <c r="A437" s="73"/>
      <c r="B437" s="78"/>
      <c r="C437" s="79"/>
      <c r="D437" s="76"/>
      <c r="E437" s="99"/>
      <c r="F437" s="71"/>
      <c r="G437" s="71"/>
      <c r="H437" s="71"/>
      <c r="I437" s="99"/>
      <c r="J437" s="99"/>
      <c r="K437" s="99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</row>
    <row r="438" spans="1:22" ht="14.25">
      <c r="A438" s="73"/>
      <c r="B438" s="78"/>
      <c r="C438" s="79"/>
      <c r="D438" s="76"/>
      <c r="E438" s="99"/>
      <c r="F438" s="71"/>
      <c r="G438" s="71"/>
      <c r="H438" s="71"/>
      <c r="I438" s="99"/>
      <c r="J438" s="99"/>
      <c r="K438" s="99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</row>
    <row r="439" spans="1:22" ht="14.25">
      <c r="A439" s="73"/>
      <c r="B439" s="78"/>
      <c r="C439" s="79"/>
      <c r="D439" s="76"/>
      <c r="E439" s="99"/>
      <c r="F439" s="71"/>
      <c r="G439" s="71"/>
      <c r="H439" s="71"/>
      <c r="I439" s="99"/>
      <c r="J439" s="99"/>
      <c r="K439" s="99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</row>
    <row r="440" spans="1:22" ht="14.25">
      <c r="A440" s="73"/>
      <c r="B440" s="78"/>
      <c r="C440" s="79"/>
      <c r="D440" s="76"/>
      <c r="E440" s="99"/>
      <c r="F440" s="71"/>
      <c r="G440" s="71"/>
      <c r="H440" s="71"/>
      <c r="I440" s="99"/>
      <c r="J440" s="99"/>
      <c r="K440" s="99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</row>
    <row r="441" spans="1:22" ht="14.25">
      <c r="A441" s="73"/>
      <c r="B441" s="78"/>
      <c r="C441" s="79"/>
      <c r="D441" s="76"/>
      <c r="E441" s="99"/>
      <c r="F441" s="71"/>
      <c r="G441" s="71"/>
      <c r="H441" s="71"/>
      <c r="I441" s="99"/>
      <c r="J441" s="99"/>
      <c r="K441" s="99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</row>
    <row r="442" spans="1:22" ht="14.25">
      <c r="A442" s="73"/>
      <c r="B442" s="78"/>
      <c r="C442" s="79"/>
      <c r="D442" s="76"/>
      <c r="E442" s="99"/>
      <c r="F442" s="71"/>
      <c r="G442" s="71"/>
      <c r="H442" s="71"/>
      <c r="I442" s="99"/>
      <c r="J442" s="99"/>
      <c r="K442" s="99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</row>
    <row r="443" spans="1:22" ht="14.25">
      <c r="A443" s="73"/>
      <c r="B443" s="78"/>
      <c r="C443" s="79"/>
      <c r="D443" s="76"/>
      <c r="E443" s="99"/>
      <c r="F443" s="71"/>
      <c r="G443" s="71"/>
      <c r="H443" s="71"/>
      <c r="I443" s="99"/>
      <c r="J443" s="99"/>
      <c r="K443" s="99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</row>
    <row r="444" spans="1:22" ht="14.25">
      <c r="A444" s="73"/>
      <c r="B444" s="78"/>
      <c r="C444" s="79"/>
      <c r="D444" s="76"/>
      <c r="E444" s="99"/>
      <c r="F444" s="71"/>
      <c r="G444" s="71"/>
      <c r="H444" s="71"/>
      <c r="I444" s="99"/>
      <c r="J444" s="99"/>
      <c r="K444" s="99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</row>
    <row r="445" spans="1:22" ht="14.25">
      <c r="A445" s="73"/>
      <c r="B445" s="78"/>
      <c r="C445" s="79"/>
      <c r="D445" s="76"/>
      <c r="E445" s="99"/>
      <c r="F445" s="71"/>
      <c r="G445" s="71"/>
      <c r="H445" s="71"/>
      <c r="I445" s="99"/>
      <c r="J445" s="99"/>
      <c r="K445" s="99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</row>
    <row r="446" spans="1:22" ht="14.25">
      <c r="A446" s="73"/>
      <c r="B446" s="78"/>
      <c r="C446" s="79"/>
      <c r="D446" s="76"/>
      <c r="E446" s="99"/>
      <c r="F446" s="71"/>
      <c r="G446" s="71"/>
      <c r="H446" s="71"/>
      <c r="I446" s="99"/>
      <c r="J446" s="99"/>
      <c r="K446" s="99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</row>
    <row r="447" spans="1:22" ht="14.25">
      <c r="A447" s="73"/>
      <c r="B447" s="78"/>
      <c r="C447" s="79"/>
      <c r="D447" s="76"/>
      <c r="E447" s="99"/>
      <c r="F447" s="71"/>
      <c r="G447" s="71"/>
      <c r="H447" s="71"/>
      <c r="I447" s="99"/>
      <c r="J447" s="99"/>
      <c r="K447" s="99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</row>
    <row r="448" spans="1:22" ht="14.25">
      <c r="A448" s="73"/>
      <c r="B448" s="78"/>
      <c r="C448" s="79"/>
      <c r="D448" s="76"/>
      <c r="E448" s="99"/>
      <c r="F448" s="71"/>
      <c r="G448" s="71"/>
      <c r="H448" s="71"/>
      <c r="I448" s="99"/>
      <c r="J448" s="99"/>
      <c r="K448" s="99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</row>
    <row r="449" spans="1:22" ht="14.25">
      <c r="A449" s="73"/>
      <c r="B449" s="78"/>
      <c r="C449" s="79"/>
      <c r="D449" s="76"/>
      <c r="E449" s="99"/>
      <c r="F449" s="71"/>
      <c r="G449" s="71"/>
      <c r="H449" s="71"/>
      <c r="I449" s="99"/>
      <c r="J449" s="99"/>
      <c r="K449" s="99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</row>
    <row r="450" spans="1:22" ht="14.25">
      <c r="A450" s="73"/>
      <c r="B450" s="78"/>
      <c r="C450" s="79"/>
      <c r="D450" s="76"/>
      <c r="E450" s="99"/>
      <c r="F450" s="71"/>
      <c r="G450" s="71"/>
      <c r="H450" s="71"/>
      <c r="I450" s="99"/>
      <c r="J450" s="99"/>
      <c r="K450" s="99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</row>
    <row r="451" spans="1:22" ht="14.25">
      <c r="A451" s="73"/>
      <c r="B451" s="78"/>
      <c r="C451" s="79"/>
      <c r="D451" s="76"/>
      <c r="E451" s="99"/>
      <c r="F451" s="71"/>
      <c r="G451" s="71"/>
      <c r="H451" s="71"/>
      <c r="I451" s="99"/>
      <c r="J451" s="99"/>
      <c r="K451" s="99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</row>
    <row r="452" spans="1:22" ht="14.25">
      <c r="A452" s="73"/>
      <c r="B452" s="78"/>
      <c r="C452" s="79"/>
      <c r="D452" s="76"/>
      <c r="E452" s="99"/>
      <c r="F452" s="71"/>
      <c r="G452" s="71"/>
      <c r="H452" s="71"/>
      <c r="I452" s="99"/>
      <c r="J452" s="99"/>
      <c r="K452" s="99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</row>
    <row r="453" spans="1:22" ht="14.25">
      <c r="A453" s="73"/>
      <c r="B453" s="78"/>
      <c r="C453" s="79"/>
      <c r="D453" s="76"/>
      <c r="E453" s="99"/>
      <c r="F453" s="71"/>
      <c r="G453" s="71"/>
      <c r="H453" s="71"/>
      <c r="I453" s="99"/>
      <c r="J453" s="99"/>
      <c r="K453" s="99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</row>
    <row r="454" spans="1:22" ht="14.25">
      <c r="A454" s="73"/>
      <c r="B454" s="78"/>
      <c r="C454" s="79"/>
      <c r="D454" s="76"/>
      <c r="E454" s="99"/>
      <c r="F454" s="71"/>
      <c r="G454" s="71"/>
      <c r="H454" s="71"/>
      <c r="I454" s="99"/>
      <c r="J454" s="99"/>
      <c r="K454" s="99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</row>
    <row r="455" spans="1:22" ht="14.25">
      <c r="A455" s="73"/>
      <c r="B455" s="78"/>
      <c r="C455" s="79"/>
      <c r="D455" s="76"/>
      <c r="E455" s="99"/>
      <c r="F455" s="71"/>
      <c r="G455" s="71"/>
      <c r="H455" s="71"/>
      <c r="I455" s="99"/>
      <c r="J455" s="99"/>
      <c r="K455" s="99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</row>
    <row r="456" spans="1:22" ht="14.25">
      <c r="A456" s="73"/>
      <c r="B456" s="78"/>
      <c r="C456" s="79"/>
      <c r="D456" s="76"/>
      <c r="E456" s="99"/>
      <c r="F456" s="71"/>
      <c r="G456" s="71"/>
      <c r="H456" s="71"/>
      <c r="I456" s="99"/>
      <c r="J456" s="99"/>
      <c r="K456" s="99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</row>
    <row r="457" spans="1:22" ht="14.25">
      <c r="A457" s="73"/>
      <c r="B457" s="78"/>
      <c r="C457" s="79"/>
      <c r="D457" s="76"/>
      <c r="E457" s="99"/>
      <c r="F457" s="71"/>
      <c r="G457" s="71"/>
      <c r="H457" s="71"/>
      <c r="I457" s="99"/>
      <c r="J457" s="99"/>
      <c r="K457" s="99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</row>
    <row r="458" spans="1:22" ht="14.25">
      <c r="A458" s="73"/>
      <c r="B458" s="78"/>
      <c r="C458" s="79"/>
      <c r="D458" s="76"/>
      <c r="E458" s="99"/>
      <c r="F458" s="71"/>
      <c r="G458" s="71"/>
      <c r="H458" s="71"/>
      <c r="I458" s="99"/>
      <c r="J458" s="99"/>
      <c r="K458" s="99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</row>
    <row r="459" spans="1:22" ht="14.25">
      <c r="A459" s="73"/>
      <c r="B459" s="78"/>
      <c r="C459" s="79"/>
      <c r="D459" s="76"/>
      <c r="E459" s="99"/>
      <c r="F459" s="71"/>
      <c r="G459" s="71"/>
      <c r="H459" s="71"/>
      <c r="I459" s="99"/>
      <c r="J459" s="99"/>
      <c r="K459" s="99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</row>
    <row r="460" spans="1:22" ht="14.25">
      <c r="A460" s="73"/>
      <c r="B460" s="78"/>
      <c r="C460" s="79"/>
      <c r="D460" s="76"/>
      <c r="E460" s="99"/>
      <c r="F460" s="71"/>
      <c r="G460" s="71"/>
      <c r="H460" s="71"/>
      <c r="I460" s="99"/>
      <c r="J460" s="99"/>
      <c r="K460" s="99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</row>
    <row r="461" spans="1:22" ht="14.25">
      <c r="A461" s="73"/>
      <c r="B461" s="78"/>
      <c r="C461" s="79"/>
      <c r="D461" s="76"/>
      <c r="E461" s="99"/>
      <c r="F461" s="71"/>
      <c r="G461" s="71"/>
      <c r="H461" s="71"/>
      <c r="I461" s="99"/>
      <c r="J461" s="99"/>
      <c r="K461" s="99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</row>
    <row r="462" spans="1:22" ht="14.25">
      <c r="A462" s="73"/>
      <c r="B462" s="78"/>
      <c r="C462" s="79"/>
      <c r="D462" s="76"/>
      <c r="E462" s="99"/>
      <c r="F462" s="71"/>
      <c r="G462" s="71"/>
      <c r="H462" s="71"/>
      <c r="I462" s="99"/>
      <c r="J462" s="99"/>
      <c r="K462" s="99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</row>
    <row r="463" spans="1:22" ht="14.25">
      <c r="A463" s="73"/>
      <c r="B463" s="78"/>
      <c r="C463" s="79"/>
      <c r="D463" s="76"/>
      <c r="E463" s="99"/>
      <c r="F463" s="71"/>
      <c r="G463" s="71"/>
      <c r="H463" s="71"/>
      <c r="I463" s="99"/>
      <c r="J463" s="99"/>
      <c r="K463" s="99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</row>
    <row r="464" spans="1:22" ht="14.25">
      <c r="A464" s="73"/>
      <c r="B464" s="78"/>
      <c r="C464" s="79"/>
      <c r="D464" s="76"/>
      <c r="E464" s="99"/>
      <c r="F464" s="71"/>
      <c r="G464" s="71"/>
      <c r="H464" s="71"/>
      <c r="I464" s="99"/>
      <c r="J464" s="99"/>
      <c r="K464" s="99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</row>
    <row r="465" spans="1:22" ht="14.25">
      <c r="A465" s="73"/>
      <c r="B465" s="78"/>
      <c r="C465" s="79"/>
      <c r="D465" s="76"/>
      <c r="E465" s="99"/>
      <c r="F465" s="71"/>
      <c r="G465" s="71"/>
      <c r="H465" s="71"/>
      <c r="I465" s="99"/>
      <c r="J465" s="99"/>
      <c r="K465" s="99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</row>
    <row r="466" spans="1:22" ht="14.25">
      <c r="A466" s="73"/>
      <c r="B466" s="78"/>
      <c r="C466" s="79"/>
      <c r="D466" s="76"/>
      <c r="E466" s="99"/>
      <c r="F466" s="71"/>
      <c r="G466" s="71"/>
      <c r="H466" s="71"/>
      <c r="I466" s="99"/>
      <c r="J466" s="99"/>
      <c r="K466" s="99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</row>
    <row r="467" spans="1:22" ht="14.25">
      <c r="A467" s="73"/>
      <c r="B467" s="78"/>
      <c r="C467" s="79"/>
      <c r="D467" s="76"/>
      <c r="E467" s="99"/>
      <c r="F467" s="71"/>
      <c r="G467" s="71"/>
      <c r="H467" s="71"/>
      <c r="I467" s="99"/>
      <c r="J467" s="99"/>
      <c r="K467" s="99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</row>
    <row r="468" spans="1:22" ht="14.25">
      <c r="A468" s="73"/>
      <c r="B468" s="78"/>
      <c r="C468" s="79"/>
      <c r="D468" s="76"/>
      <c r="E468" s="99"/>
      <c r="F468" s="71"/>
      <c r="G468" s="71"/>
      <c r="H468" s="71"/>
      <c r="I468" s="99"/>
      <c r="J468" s="99"/>
      <c r="K468" s="99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</row>
    <row r="469" spans="1:22" ht="14.25">
      <c r="A469" s="73"/>
      <c r="B469" s="78"/>
      <c r="C469" s="79"/>
      <c r="D469" s="76"/>
      <c r="E469" s="99"/>
      <c r="F469" s="71"/>
      <c r="G469" s="71"/>
      <c r="H469" s="71"/>
      <c r="I469" s="99"/>
      <c r="J469" s="99"/>
      <c r="K469" s="99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</row>
    <row r="470" spans="1:22" ht="14.25">
      <c r="A470" s="73"/>
      <c r="B470" s="78"/>
      <c r="C470" s="79"/>
      <c r="D470" s="76"/>
      <c r="E470" s="99"/>
      <c r="F470" s="71"/>
      <c r="G470" s="71"/>
      <c r="H470" s="71"/>
      <c r="I470" s="99"/>
      <c r="J470" s="99"/>
      <c r="K470" s="99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</row>
    <row r="471" spans="1:22" ht="14.25">
      <c r="A471" s="73"/>
      <c r="B471" s="78"/>
      <c r="C471" s="79"/>
      <c r="D471" s="76"/>
      <c r="E471" s="99"/>
      <c r="F471" s="71"/>
      <c r="G471" s="71"/>
      <c r="H471" s="71"/>
      <c r="I471" s="99"/>
      <c r="J471" s="99"/>
      <c r="K471" s="99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</row>
    <row r="472" spans="1:22" ht="14.25">
      <c r="A472" s="73"/>
      <c r="B472" s="78"/>
      <c r="C472" s="79"/>
      <c r="D472" s="76"/>
      <c r="E472" s="99"/>
      <c r="F472" s="71"/>
      <c r="G472" s="71"/>
      <c r="H472" s="71"/>
      <c r="I472" s="99"/>
      <c r="J472" s="99"/>
      <c r="K472" s="99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</row>
    <row r="473" spans="1:22" ht="14.25">
      <c r="A473" s="73"/>
      <c r="B473" s="78"/>
      <c r="C473" s="79"/>
      <c r="D473" s="76"/>
      <c r="E473" s="99"/>
      <c r="F473" s="71"/>
      <c r="G473" s="71"/>
      <c r="H473" s="71"/>
      <c r="I473" s="99"/>
      <c r="J473" s="99"/>
      <c r="K473" s="99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</row>
    <row r="474" spans="1:22" ht="14.25">
      <c r="A474" s="73"/>
      <c r="B474" s="78"/>
      <c r="C474" s="79"/>
      <c r="D474" s="76"/>
      <c r="E474" s="99"/>
      <c r="F474" s="71"/>
      <c r="G474" s="71"/>
      <c r="H474" s="71"/>
      <c r="I474" s="99"/>
      <c r="J474" s="99"/>
      <c r="K474" s="99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</row>
    <row r="475" spans="1:22" ht="14.25">
      <c r="A475" s="73"/>
      <c r="B475" s="78"/>
      <c r="C475" s="79"/>
      <c r="D475" s="76"/>
      <c r="E475" s="99"/>
      <c r="F475" s="71"/>
      <c r="G475" s="71"/>
      <c r="H475" s="71"/>
      <c r="I475" s="99"/>
      <c r="J475" s="99"/>
      <c r="K475" s="99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</row>
    <row r="476" spans="1:22" ht="14.25">
      <c r="A476" s="73"/>
      <c r="B476" s="78"/>
      <c r="C476" s="79"/>
      <c r="D476" s="76"/>
      <c r="E476" s="99"/>
      <c r="F476" s="71"/>
      <c r="G476" s="71"/>
      <c r="H476" s="71"/>
      <c r="I476" s="99"/>
      <c r="J476" s="99"/>
      <c r="K476" s="99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</row>
    <row r="477" spans="1:22" ht="14.25">
      <c r="A477" s="73"/>
      <c r="B477" s="78"/>
      <c r="C477" s="79"/>
      <c r="D477" s="76"/>
      <c r="E477" s="99"/>
      <c r="F477" s="71"/>
      <c r="G477" s="71"/>
      <c r="H477" s="71"/>
      <c r="I477" s="99"/>
      <c r="J477" s="99"/>
      <c r="K477" s="99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</row>
    <row r="478" spans="1:22" ht="14.25">
      <c r="A478" s="73"/>
      <c r="B478" s="78"/>
      <c r="C478" s="79"/>
      <c r="D478" s="76"/>
      <c r="E478" s="99"/>
      <c r="F478" s="71"/>
      <c r="G478" s="71"/>
      <c r="H478" s="71"/>
      <c r="I478" s="99"/>
      <c r="J478" s="99"/>
      <c r="K478" s="99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</row>
    <row r="479" spans="1:22" ht="14.25">
      <c r="A479" s="73"/>
      <c r="B479" s="78"/>
      <c r="C479" s="79"/>
      <c r="D479" s="76"/>
      <c r="E479" s="99"/>
      <c r="F479" s="71"/>
      <c r="G479" s="71"/>
      <c r="H479" s="71"/>
      <c r="I479" s="99"/>
      <c r="J479" s="99"/>
      <c r="K479" s="99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</row>
    <row r="480" spans="1:22" ht="14.25">
      <c r="A480" s="73"/>
      <c r="B480" s="78"/>
      <c r="C480" s="79"/>
      <c r="D480" s="76"/>
      <c r="E480" s="99"/>
      <c r="F480" s="71"/>
      <c r="G480" s="71"/>
      <c r="H480" s="71"/>
      <c r="I480" s="99"/>
      <c r="J480" s="99"/>
      <c r="K480" s="99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</row>
    <row r="481" spans="1:22" ht="14.25">
      <c r="A481" s="73"/>
      <c r="B481" s="78"/>
      <c r="C481" s="79"/>
      <c r="D481" s="76"/>
      <c r="E481" s="99"/>
      <c r="F481" s="71"/>
      <c r="G481" s="71"/>
      <c r="H481" s="71"/>
      <c r="I481" s="99"/>
      <c r="J481" s="99"/>
      <c r="K481" s="99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</row>
    <row r="482" spans="1:22" ht="14.25">
      <c r="A482" s="73"/>
      <c r="B482" s="78"/>
      <c r="C482" s="79"/>
      <c r="D482" s="76"/>
      <c r="E482" s="99"/>
      <c r="F482" s="71"/>
      <c r="G482" s="71"/>
      <c r="H482" s="71"/>
      <c r="I482" s="99"/>
      <c r="J482" s="99"/>
      <c r="K482" s="99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</row>
    <row r="483" spans="1:22" ht="14.25">
      <c r="A483" s="73"/>
      <c r="B483" s="78"/>
      <c r="C483" s="79"/>
      <c r="D483" s="76"/>
      <c r="E483" s="99"/>
      <c r="F483" s="71"/>
      <c r="G483" s="71"/>
      <c r="H483" s="71"/>
      <c r="I483" s="99"/>
      <c r="J483" s="99"/>
      <c r="K483" s="99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</row>
    <row r="484" spans="1:22" ht="14.25">
      <c r="A484" s="73"/>
      <c r="B484" s="78"/>
      <c r="C484" s="79"/>
      <c r="D484" s="76"/>
      <c r="E484" s="99"/>
      <c r="F484" s="71"/>
      <c r="G484" s="71"/>
      <c r="H484" s="71"/>
      <c r="I484" s="99"/>
      <c r="J484" s="99"/>
      <c r="K484" s="99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</row>
    <row r="485" spans="1:22" ht="14.25">
      <c r="A485" s="73"/>
      <c r="B485" s="78"/>
      <c r="C485" s="79"/>
      <c r="D485" s="76"/>
      <c r="E485" s="99"/>
      <c r="F485" s="71"/>
      <c r="G485" s="71"/>
      <c r="H485" s="71"/>
      <c r="I485" s="99"/>
      <c r="J485" s="99"/>
      <c r="K485" s="99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</row>
    <row r="486" spans="1:22" ht="14.25">
      <c r="A486" s="73"/>
      <c r="B486" s="78"/>
      <c r="C486" s="79"/>
      <c r="D486" s="76"/>
      <c r="E486" s="99"/>
      <c r="F486" s="71"/>
      <c r="G486" s="71"/>
      <c r="H486" s="71"/>
      <c r="I486" s="99"/>
      <c r="J486" s="99"/>
      <c r="K486" s="99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</row>
    <row r="487" spans="1:22" ht="14.25">
      <c r="A487" s="73"/>
      <c r="B487" s="78"/>
      <c r="C487" s="79"/>
      <c r="D487" s="76"/>
      <c r="E487" s="99"/>
      <c r="F487" s="71"/>
      <c r="G487" s="71"/>
      <c r="H487" s="71"/>
      <c r="I487" s="99"/>
      <c r="J487" s="99"/>
      <c r="K487" s="99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</row>
    <row r="488" spans="1:22" ht="14.25">
      <c r="A488" s="73"/>
      <c r="B488" s="78"/>
      <c r="C488" s="79"/>
      <c r="D488" s="76"/>
      <c r="E488" s="99"/>
      <c r="F488" s="71"/>
      <c r="G488" s="71"/>
      <c r="H488" s="71"/>
      <c r="I488" s="99"/>
      <c r="J488" s="99"/>
      <c r="K488" s="99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</row>
    <row r="489" spans="1:22" ht="14.25">
      <c r="A489" s="73"/>
      <c r="B489" s="78"/>
      <c r="C489" s="79"/>
      <c r="D489" s="76"/>
      <c r="E489" s="99"/>
      <c r="F489" s="71"/>
      <c r="G489" s="71"/>
      <c r="H489" s="71"/>
      <c r="I489" s="99"/>
      <c r="J489" s="99"/>
      <c r="K489" s="99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</row>
    <row r="490" spans="1:22" ht="14.25">
      <c r="A490" s="73"/>
      <c r="B490" s="78"/>
      <c r="C490" s="79"/>
      <c r="D490" s="76"/>
      <c r="E490" s="99"/>
      <c r="F490" s="71"/>
      <c r="G490" s="71"/>
      <c r="H490" s="71"/>
      <c r="I490" s="99"/>
      <c r="J490" s="99"/>
      <c r="K490" s="99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</row>
    <row r="491" spans="1:22" ht="14.25">
      <c r="A491" s="73"/>
      <c r="B491" s="78"/>
      <c r="C491" s="79"/>
      <c r="D491" s="76"/>
      <c r="E491" s="99"/>
      <c r="F491" s="71"/>
      <c r="G491" s="71"/>
      <c r="H491" s="71"/>
      <c r="I491" s="99"/>
      <c r="J491" s="99"/>
      <c r="K491" s="99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</row>
    <row r="492" spans="1:22" ht="14.25">
      <c r="A492" s="73"/>
      <c r="B492" s="78"/>
      <c r="C492" s="79"/>
      <c r="D492" s="76"/>
      <c r="E492" s="99"/>
      <c r="F492" s="71"/>
      <c r="G492" s="71"/>
      <c r="H492" s="71"/>
      <c r="I492" s="99"/>
      <c r="J492" s="99"/>
      <c r="K492" s="99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</row>
    <row r="493" spans="1:22" ht="14.25">
      <c r="A493" s="73"/>
      <c r="B493" s="78"/>
      <c r="C493" s="79"/>
      <c r="D493" s="76"/>
      <c r="E493" s="99"/>
      <c r="F493" s="71"/>
      <c r="G493" s="71"/>
      <c r="H493" s="71"/>
      <c r="I493" s="99"/>
      <c r="J493" s="99"/>
      <c r="K493" s="99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</row>
    <row r="494" spans="1:22" ht="14.25">
      <c r="A494" s="73"/>
      <c r="B494" s="78"/>
      <c r="C494" s="79"/>
      <c r="D494" s="76"/>
      <c r="E494" s="99"/>
      <c r="F494" s="71"/>
      <c r="G494" s="71"/>
      <c r="H494" s="71"/>
      <c r="I494" s="99"/>
      <c r="J494" s="99"/>
      <c r="K494" s="99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</row>
    <row r="495" spans="1:22" ht="14.25">
      <c r="A495" s="73"/>
      <c r="B495" s="78"/>
      <c r="C495" s="79"/>
      <c r="D495" s="76"/>
      <c r="E495" s="99"/>
      <c r="F495" s="71"/>
      <c r="G495" s="71"/>
      <c r="H495" s="71"/>
      <c r="I495" s="99"/>
      <c r="J495" s="99"/>
      <c r="K495" s="99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</row>
    <row r="496" spans="1:22" ht="14.25">
      <c r="A496" s="73"/>
      <c r="B496" s="78"/>
      <c r="C496" s="79"/>
      <c r="D496" s="76"/>
      <c r="E496" s="99"/>
      <c r="F496" s="71"/>
      <c r="G496" s="71"/>
      <c r="H496" s="71"/>
      <c r="I496" s="99"/>
      <c r="J496" s="99"/>
      <c r="K496" s="99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</row>
    <row r="497" spans="1:22" ht="14.25">
      <c r="A497" s="73"/>
      <c r="B497" s="78"/>
      <c r="C497" s="79"/>
      <c r="D497" s="76"/>
      <c r="E497" s="99"/>
      <c r="F497" s="71"/>
      <c r="G497" s="71"/>
      <c r="H497" s="71"/>
      <c r="I497" s="99"/>
      <c r="J497" s="99"/>
      <c r="K497" s="99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</row>
    <row r="498" spans="1:22" ht="14.25">
      <c r="A498" s="73"/>
      <c r="B498" s="78"/>
      <c r="C498" s="79"/>
      <c r="D498" s="76"/>
      <c r="E498" s="99"/>
      <c r="F498" s="71"/>
      <c r="G498" s="71"/>
      <c r="H498" s="71"/>
      <c r="I498" s="99"/>
      <c r="J498" s="99"/>
      <c r="K498" s="99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</row>
    <row r="499" spans="1:22" ht="14.25">
      <c r="A499" s="73"/>
      <c r="B499" s="78"/>
      <c r="C499" s="79"/>
      <c r="D499" s="76"/>
      <c r="E499" s="99"/>
      <c r="F499" s="71"/>
      <c r="G499" s="71"/>
      <c r="H499" s="71"/>
      <c r="I499" s="99"/>
      <c r="J499" s="99"/>
      <c r="K499" s="99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</row>
    <row r="500" spans="1:22" ht="14.25">
      <c r="A500" s="73"/>
      <c r="B500" s="78"/>
      <c r="C500" s="79"/>
      <c r="D500" s="76"/>
      <c r="E500" s="99"/>
      <c r="F500" s="71"/>
      <c r="G500" s="71"/>
      <c r="H500" s="71"/>
      <c r="I500" s="99"/>
      <c r="J500" s="99"/>
      <c r="K500" s="99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</row>
    <row r="501" spans="1:22" ht="14.25">
      <c r="A501" s="73"/>
      <c r="B501" s="78"/>
      <c r="C501" s="79"/>
      <c r="D501" s="76"/>
      <c r="E501" s="99"/>
      <c r="F501" s="71"/>
      <c r="G501" s="71"/>
      <c r="H501" s="71"/>
      <c r="I501" s="99"/>
      <c r="J501" s="99"/>
      <c r="K501" s="99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</row>
    <row r="502" spans="1:22" ht="14.25">
      <c r="A502" s="73"/>
      <c r="B502" s="78"/>
      <c r="C502" s="79"/>
      <c r="D502" s="76"/>
      <c r="E502" s="99"/>
      <c r="F502" s="71"/>
      <c r="G502" s="71"/>
      <c r="H502" s="71"/>
      <c r="I502" s="99"/>
      <c r="J502" s="99"/>
      <c r="K502" s="99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</row>
    <row r="503" spans="1:22" ht="14.25">
      <c r="A503" s="73"/>
      <c r="B503" s="78"/>
      <c r="C503" s="79"/>
      <c r="D503" s="76"/>
      <c r="E503" s="99"/>
      <c r="F503" s="71"/>
      <c r="G503" s="71"/>
      <c r="H503" s="71"/>
      <c r="I503" s="99"/>
      <c r="J503" s="99"/>
      <c r="K503" s="99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</row>
    <row r="504" spans="1:22" ht="14.25">
      <c r="A504" s="73"/>
      <c r="B504" s="78"/>
      <c r="C504" s="79"/>
      <c r="D504" s="76"/>
      <c r="E504" s="99"/>
      <c r="F504" s="71"/>
      <c r="G504" s="71"/>
      <c r="H504" s="71"/>
      <c r="I504" s="99"/>
      <c r="J504" s="99"/>
      <c r="K504" s="99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</row>
    <row r="505" spans="1:22" ht="14.25">
      <c r="A505" s="73"/>
      <c r="B505" s="78"/>
      <c r="C505" s="79"/>
      <c r="D505" s="76"/>
      <c r="E505" s="99"/>
      <c r="F505" s="71"/>
      <c r="G505" s="71"/>
      <c r="H505" s="71"/>
      <c r="I505" s="99"/>
      <c r="J505" s="99"/>
      <c r="K505" s="99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</row>
    <row r="506" spans="1:22" ht="14.25">
      <c r="A506" s="73"/>
      <c r="B506" s="78"/>
      <c r="C506" s="79"/>
      <c r="D506" s="76"/>
      <c r="E506" s="99"/>
      <c r="F506" s="71"/>
      <c r="G506" s="71"/>
      <c r="H506" s="71"/>
      <c r="I506" s="99"/>
      <c r="J506" s="99"/>
      <c r="K506" s="99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</row>
    <row r="507" spans="1:22" ht="14.25">
      <c r="A507" s="73"/>
      <c r="B507" s="78"/>
      <c r="C507" s="79"/>
      <c r="D507" s="76"/>
      <c r="E507" s="99"/>
      <c r="F507" s="71"/>
      <c r="G507" s="71"/>
      <c r="H507" s="71"/>
      <c r="I507" s="99"/>
      <c r="J507" s="99"/>
      <c r="K507" s="99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</row>
    <row r="508" spans="1:22" ht="14.25">
      <c r="A508" s="73"/>
      <c r="B508" s="78"/>
      <c r="C508" s="79"/>
      <c r="D508" s="76"/>
      <c r="E508" s="99"/>
      <c r="F508" s="71"/>
      <c r="G508" s="71"/>
      <c r="H508" s="71"/>
      <c r="I508" s="99"/>
      <c r="J508" s="99"/>
      <c r="K508" s="99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</row>
    <row r="509" spans="1:22" ht="14.25">
      <c r="A509" s="73"/>
      <c r="B509" s="78"/>
      <c r="C509" s="79"/>
      <c r="D509" s="76"/>
      <c r="E509" s="99"/>
      <c r="F509" s="71"/>
      <c r="G509" s="71"/>
      <c r="H509" s="71"/>
      <c r="I509" s="99"/>
      <c r="J509" s="99"/>
      <c r="K509" s="99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</row>
    <row r="510" spans="1:22" ht="14.25">
      <c r="A510" s="73"/>
      <c r="B510" s="78"/>
      <c r="C510" s="79"/>
      <c r="D510" s="76"/>
      <c r="E510" s="99"/>
      <c r="F510" s="71"/>
      <c r="G510" s="71"/>
      <c r="H510" s="71"/>
      <c r="I510" s="99"/>
      <c r="J510" s="99"/>
      <c r="K510" s="99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</row>
    <row r="511" spans="1:22" ht="14.25">
      <c r="A511" s="73"/>
      <c r="B511" s="78"/>
      <c r="C511" s="79"/>
      <c r="D511" s="76"/>
      <c r="E511" s="99"/>
      <c r="F511" s="71"/>
      <c r="G511" s="71"/>
      <c r="H511" s="71"/>
      <c r="I511" s="99"/>
      <c r="J511" s="99"/>
      <c r="K511" s="99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</row>
    <row r="512" spans="1:22" ht="14.25">
      <c r="A512" s="73"/>
      <c r="B512" s="78"/>
      <c r="C512" s="79"/>
      <c r="D512" s="76"/>
      <c r="E512" s="99"/>
      <c r="F512" s="71"/>
      <c r="G512" s="71"/>
      <c r="H512" s="71"/>
      <c r="I512" s="99"/>
      <c r="J512" s="99"/>
      <c r="K512" s="99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</row>
    <row r="513" spans="1:22" ht="14.25">
      <c r="A513" s="73"/>
      <c r="B513" s="78"/>
      <c r="C513" s="79"/>
      <c r="D513" s="76"/>
      <c r="E513" s="99"/>
      <c r="F513" s="71"/>
      <c r="G513" s="71"/>
      <c r="H513" s="71"/>
      <c r="I513" s="99"/>
      <c r="J513" s="99"/>
      <c r="K513" s="99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</row>
    <row r="514" spans="1:22" ht="14.25">
      <c r="A514" s="73"/>
      <c r="B514" s="78"/>
      <c r="C514" s="79"/>
      <c r="D514" s="76"/>
      <c r="E514" s="99"/>
      <c r="F514" s="71"/>
      <c r="G514" s="71"/>
      <c r="H514" s="71"/>
      <c r="I514" s="99"/>
      <c r="J514" s="99"/>
      <c r="K514" s="99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</row>
    <row r="515" spans="1:22" ht="14.25">
      <c r="A515" s="73"/>
      <c r="B515" s="78"/>
      <c r="C515" s="79"/>
      <c r="D515" s="76"/>
      <c r="E515" s="99"/>
      <c r="F515" s="71"/>
      <c r="G515" s="71"/>
      <c r="H515" s="71"/>
      <c r="I515" s="99"/>
      <c r="J515" s="99"/>
      <c r="K515" s="99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</row>
    <row r="516" spans="1:22" ht="14.25">
      <c r="A516" s="73"/>
      <c r="B516" s="78"/>
      <c r="C516" s="79"/>
      <c r="D516" s="76"/>
      <c r="E516" s="99"/>
      <c r="F516" s="71"/>
      <c r="G516" s="71"/>
      <c r="H516" s="71"/>
      <c r="I516" s="99"/>
      <c r="J516" s="99"/>
      <c r="K516" s="99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</row>
    <row r="517" spans="1:22" ht="14.25">
      <c r="A517" s="73"/>
      <c r="B517" s="78"/>
      <c r="C517" s="79"/>
      <c r="D517" s="76"/>
      <c r="E517" s="99"/>
      <c r="F517" s="71"/>
      <c r="G517" s="71"/>
      <c r="H517" s="71"/>
      <c r="I517" s="99"/>
      <c r="J517" s="99"/>
      <c r="K517" s="99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</row>
    <row r="518" spans="1:22" ht="14.25">
      <c r="A518" s="73"/>
      <c r="B518" s="78"/>
      <c r="C518" s="79"/>
      <c r="D518" s="76"/>
      <c r="E518" s="99"/>
      <c r="F518" s="71"/>
      <c r="G518" s="71"/>
      <c r="H518" s="71"/>
      <c r="I518" s="99"/>
      <c r="J518" s="99"/>
      <c r="K518" s="99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</row>
    <row r="519" spans="1:22" ht="14.25">
      <c r="A519" s="73"/>
      <c r="B519" s="78"/>
      <c r="C519" s="79"/>
      <c r="D519" s="76"/>
      <c r="E519" s="99"/>
      <c r="F519" s="71"/>
      <c r="G519" s="71"/>
      <c r="H519" s="71"/>
      <c r="I519" s="99"/>
      <c r="J519" s="99"/>
      <c r="K519" s="99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</row>
    <row r="520" spans="1:22" ht="14.25">
      <c r="A520" s="73"/>
      <c r="B520" s="78"/>
      <c r="C520" s="79"/>
      <c r="D520" s="76"/>
      <c r="E520" s="99"/>
      <c r="F520" s="71"/>
      <c r="G520" s="71"/>
      <c r="H520" s="71"/>
      <c r="I520" s="99"/>
      <c r="J520" s="99"/>
      <c r="K520" s="99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</row>
    <row r="521" spans="1:22" ht="14.25">
      <c r="A521" s="73"/>
      <c r="B521" s="78"/>
      <c r="C521" s="79"/>
      <c r="D521" s="76"/>
      <c r="E521" s="99"/>
      <c r="F521" s="71"/>
      <c r="G521" s="71"/>
      <c r="H521" s="71"/>
      <c r="I521" s="99"/>
      <c r="J521" s="99"/>
      <c r="K521" s="99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</row>
    <row r="522" spans="1:22" ht="14.25">
      <c r="A522" s="73"/>
      <c r="B522" s="78"/>
      <c r="C522" s="79"/>
      <c r="D522" s="76"/>
      <c r="E522" s="99"/>
      <c r="F522" s="71"/>
      <c r="G522" s="71"/>
      <c r="H522" s="71"/>
      <c r="I522" s="99"/>
      <c r="J522" s="99"/>
      <c r="K522" s="99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</row>
    <row r="523" spans="1:22" ht="14.25">
      <c r="A523" s="73"/>
      <c r="B523" s="78"/>
      <c r="C523" s="79"/>
      <c r="D523" s="76"/>
      <c r="E523" s="99"/>
      <c r="F523" s="71"/>
      <c r="G523" s="71"/>
      <c r="H523" s="71"/>
      <c r="I523" s="99"/>
      <c r="J523" s="99"/>
      <c r="K523" s="99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</row>
    <row r="524" spans="1:22" ht="14.25">
      <c r="A524" s="73"/>
      <c r="B524" s="78"/>
      <c r="C524" s="79"/>
      <c r="D524" s="76"/>
      <c r="E524" s="99"/>
      <c r="F524" s="71"/>
      <c r="G524" s="71"/>
      <c r="H524" s="71"/>
      <c r="I524" s="99"/>
      <c r="J524" s="99"/>
      <c r="K524" s="99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</row>
    <row r="525" spans="1:22" ht="14.25">
      <c r="A525" s="73"/>
      <c r="B525" s="78"/>
      <c r="C525" s="79"/>
      <c r="D525" s="76"/>
      <c r="E525" s="99"/>
      <c r="F525" s="71"/>
      <c r="G525" s="71"/>
      <c r="H525" s="71"/>
      <c r="I525" s="99"/>
      <c r="J525" s="99"/>
      <c r="K525" s="99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</row>
    <row r="526" spans="1:22" ht="14.25">
      <c r="A526" s="73"/>
      <c r="B526" s="78"/>
      <c r="C526" s="79"/>
      <c r="D526" s="76"/>
      <c r="E526" s="99"/>
      <c r="F526" s="71"/>
      <c r="G526" s="71"/>
      <c r="H526" s="71"/>
      <c r="I526" s="99"/>
      <c r="J526" s="99"/>
      <c r="K526" s="99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</row>
    <row r="527" spans="1:22" ht="14.25">
      <c r="A527" s="73"/>
      <c r="B527" s="78"/>
      <c r="C527" s="79"/>
      <c r="D527" s="76"/>
      <c r="E527" s="99"/>
      <c r="F527" s="71"/>
      <c r="G527" s="71"/>
      <c r="H527" s="71"/>
      <c r="I527" s="99"/>
      <c r="J527" s="99"/>
      <c r="K527" s="99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</row>
    <row r="528" spans="1:22" ht="14.25">
      <c r="A528" s="73"/>
      <c r="B528" s="78"/>
      <c r="C528" s="79"/>
      <c r="D528" s="76"/>
      <c r="E528" s="99"/>
      <c r="F528" s="71"/>
      <c r="G528" s="71"/>
      <c r="H528" s="71"/>
      <c r="I528" s="99"/>
      <c r="J528" s="99"/>
      <c r="K528" s="99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</row>
    <row r="529" spans="1:22" ht="14.25">
      <c r="A529" s="73"/>
      <c r="B529" s="78"/>
      <c r="C529" s="79"/>
      <c r="D529" s="76"/>
      <c r="E529" s="99"/>
      <c r="F529" s="71"/>
      <c r="G529" s="71"/>
      <c r="H529" s="71"/>
      <c r="I529" s="99"/>
      <c r="J529" s="99"/>
      <c r="K529" s="99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</row>
    <row r="530" spans="1:22" ht="14.25">
      <c r="A530" s="73"/>
      <c r="B530" s="78"/>
      <c r="C530" s="79"/>
      <c r="D530" s="76"/>
      <c r="E530" s="99"/>
      <c r="F530" s="71"/>
      <c r="G530" s="71"/>
      <c r="H530" s="71"/>
      <c r="I530" s="99"/>
      <c r="J530" s="99"/>
      <c r="K530" s="99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</row>
    <row r="531" spans="1:22" ht="14.25">
      <c r="A531" s="73"/>
      <c r="B531" s="78"/>
      <c r="C531" s="79"/>
      <c r="D531" s="76"/>
      <c r="E531" s="99"/>
      <c r="F531" s="71"/>
      <c r="G531" s="71"/>
      <c r="H531" s="71"/>
      <c r="I531" s="99"/>
      <c r="J531" s="99"/>
      <c r="K531" s="99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</row>
    <row r="532" spans="1:22" ht="14.25">
      <c r="A532" s="73"/>
      <c r="B532" s="78"/>
      <c r="C532" s="79"/>
      <c r="D532" s="76"/>
      <c r="E532" s="99"/>
      <c r="F532" s="71"/>
      <c r="G532" s="71"/>
      <c r="H532" s="71"/>
      <c r="I532" s="99"/>
      <c r="J532" s="99"/>
      <c r="K532" s="99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</row>
    <row r="533" spans="1:22" ht="14.25">
      <c r="A533" s="73"/>
      <c r="B533" s="78"/>
      <c r="C533" s="79"/>
      <c r="D533" s="76"/>
      <c r="E533" s="99"/>
      <c r="F533" s="71"/>
      <c r="G533" s="71"/>
      <c r="H533" s="71"/>
      <c r="I533" s="99"/>
      <c r="J533" s="99"/>
      <c r="K533" s="99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</row>
    <row r="534" spans="1:22" ht="14.25">
      <c r="A534" s="73"/>
      <c r="B534" s="78"/>
      <c r="C534" s="79"/>
      <c r="D534" s="76"/>
      <c r="E534" s="99"/>
      <c r="F534" s="71"/>
      <c r="G534" s="71"/>
      <c r="H534" s="71"/>
      <c r="I534" s="99"/>
      <c r="J534" s="99"/>
      <c r="K534" s="99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</row>
    <row r="535" spans="1:22" ht="14.25">
      <c r="A535" s="73"/>
      <c r="B535" s="78"/>
      <c r="C535" s="79"/>
      <c r="D535" s="76"/>
      <c r="E535" s="99"/>
      <c r="F535" s="71"/>
      <c r="G535" s="71"/>
      <c r="H535" s="71"/>
      <c r="I535" s="99"/>
      <c r="J535" s="99"/>
      <c r="K535" s="99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</row>
    <row r="536" spans="1:22" ht="14.25">
      <c r="A536" s="73"/>
      <c r="B536" s="78"/>
      <c r="C536" s="79"/>
      <c r="D536" s="76"/>
      <c r="E536" s="99"/>
      <c r="F536" s="71"/>
      <c r="G536" s="71"/>
      <c r="H536" s="71"/>
      <c r="I536" s="99"/>
      <c r="J536" s="99"/>
      <c r="K536" s="99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</row>
    <row r="537" spans="1:22" ht="14.25">
      <c r="A537" s="73"/>
      <c r="B537" s="78"/>
      <c r="C537" s="79"/>
      <c r="D537" s="76"/>
      <c r="E537" s="99"/>
      <c r="F537" s="71"/>
      <c r="G537" s="71"/>
      <c r="H537" s="71"/>
      <c r="I537" s="99"/>
      <c r="J537" s="99"/>
      <c r="K537" s="99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</row>
    <row r="538" spans="1:22" ht="14.25">
      <c r="A538" s="73"/>
      <c r="B538" s="78"/>
      <c r="C538" s="79"/>
      <c r="D538" s="76"/>
      <c r="E538" s="99"/>
      <c r="F538" s="71"/>
      <c r="G538" s="71"/>
      <c r="H538" s="71"/>
      <c r="I538" s="99"/>
      <c r="J538" s="99"/>
      <c r="K538" s="99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</row>
    <row r="539" spans="1:22" ht="14.25">
      <c r="A539" s="73"/>
      <c r="B539" s="78"/>
      <c r="C539" s="79"/>
      <c r="D539" s="76"/>
      <c r="E539" s="99"/>
      <c r="F539" s="71"/>
      <c r="G539" s="71"/>
      <c r="H539" s="71"/>
      <c r="I539" s="99"/>
      <c r="J539" s="99"/>
      <c r="K539" s="99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</row>
    <row r="540" spans="1:22" ht="14.25">
      <c r="A540" s="73"/>
      <c r="B540" s="78"/>
      <c r="C540" s="79"/>
      <c r="D540" s="76"/>
      <c r="E540" s="99"/>
      <c r="F540" s="71"/>
      <c r="G540" s="71"/>
      <c r="H540" s="71"/>
      <c r="I540" s="99"/>
      <c r="J540" s="99"/>
      <c r="K540" s="99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</row>
    <row r="541" spans="1:22" ht="14.25">
      <c r="A541" s="73"/>
      <c r="B541" s="78"/>
      <c r="C541" s="79"/>
      <c r="D541" s="76"/>
      <c r="E541" s="99"/>
      <c r="F541" s="71"/>
      <c r="G541" s="71"/>
      <c r="H541" s="71"/>
      <c r="I541" s="99"/>
      <c r="J541" s="99"/>
      <c r="K541" s="99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</row>
    <row r="542" spans="1:22" ht="14.25">
      <c r="A542" s="73"/>
      <c r="B542" s="78"/>
      <c r="C542" s="79"/>
      <c r="D542" s="76"/>
      <c r="E542" s="99"/>
      <c r="F542" s="71"/>
      <c r="G542" s="71"/>
      <c r="H542" s="71"/>
      <c r="I542" s="99"/>
      <c r="J542" s="99"/>
      <c r="K542" s="99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</row>
    <row r="543" spans="1:22" ht="14.25">
      <c r="A543" s="73"/>
      <c r="B543" s="78"/>
      <c r="C543" s="79"/>
      <c r="D543" s="76"/>
      <c r="E543" s="99"/>
      <c r="F543" s="71"/>
      <c r="G543" s="71"/>
      <c r="H543" s="71"/>
      <c r="I543" s="99"/>
      <c r="J543" s="99"/>
      <c r="K543" s="99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</row>
    <row r="544" spans="1:22" ht="14.25">
      <c r="A544" s="73"/>
      <c r="B544" s="78"/>
      <c r="C544" s="79"/>
      <c r="D544" s="76"/>
      <c r="E544" s="99"/>
      <c r="F544" s="71"/>
      <c r="G544" s="71"/>
      <c r="H544" s="71"/>
      <c r="I544" s="99"/>
      <c r="J544" s="99"/>
      <c r="K544" s="99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</row>
    <row r="545" spans="1:22" ht="14.25">
      <c r="A545" s="73"/>
      <c r="B545" s="78"/>
      <c r="C545" s="79"/>
      <c r="D545" s="76"/>
      <c r="E545" s="99"/>
      <c r="F545" s="71"/>
      <c r="G545" s="71"/>
      <c r="H545" s="71"/>
      <c r="I545" s="99"/>
      <c r="J545" s="99"/>
      <c r="K545" s="99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</row>
    <row r="546" spans="1:22" ht="14.25">
      <c r="A546" s="73"/>
      <c r="B546" s="78"/>
      <c r="C546" s="79"/>
      <c r="D546" s="76"/>
      <c r="E546" s="99"/>
      <c r="F546" s="71"/>
      <c r="G546" s="71"/>
      <c r="H546" s="71"/>
      <c r="I546" s="99"/>
      <c r="J546" s="99"/>
      <c r="K546" s="99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</row>
    <row r="547" spans="1:22" ht="14.25">
      <c r="A547" s="73"/>
      <c r="B547" s="78"/>
      <c r="C547" s="79"/>
      <c r="D547" s="76"/>
      <c r="E547" s="99"/>
      <c r="F547" s="71"/>
      <c r="G547" s="71"/>
      <c r="H547" s="71"/>
      <c r="I547" s="99"/>
      <c r="J547" s="99"/>
      <c r="K547" s="99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</row>
    <row r="548" spans="1:22" ht="14.25">
      <c r="A548" s="73"/>
      <c r="B548" s="78"/>
      <c r="C548" s="79"/>
      <c r="D548" s="76"/>
      <c r="E548" s="99"/>
      <c r="F548" s="71"/>
      <c r="G548" s="71"/>
      <c r="H548" s="71"/>
      <c r="I548" s="99"/>
      <c r="J548" s="99"/>
      <c r="K548" s="99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</row>
    <row r="549" spans="1:22" ht="14.25">
      <c r="A549" s="73"/>
      <c r="B549" s="78"/>
      <c r="C549" s="79"/>
      <c r="D549" s="76"/>
      <c r="E549" s="99"/>
      <c r="F549" s="71"/>
      <c r="G549" s="71"/>
      <c r="H549" s="71"/>
      <c r="I549" s="99"/>
      <c r="J549" s="99"/>
      <c r="K549" s="99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</row>
    <row r="550" spans="1:22" ht="14.25">
      <c r="A550" s="73"/>
      <c r="B550" s="78"/>
      <c r="C550" s="79"/>
      <c r="D550" s="76"/>
      <c r="E550" s="99"/>
      <c r="F550" s="71"/>
      <c r="G550" s="71"/>
      <c r="H550" s="71"/>
      <c r="I550" s="99"/>
      <c r="J550" s="99"/>
      <c r="K550" s="99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</row>
    <row r="551" spans="1:22" ht="14.25">
      <c r="A551" s="73"/>
      <c r="B551" s="78"/>
      <c r="C551" s="79"/>
      <c r="D551" s="76"/>
      <c r="E551" s="99"/>
      <c r="F551" s="71"/>
      <c r="G551" s="71"/>
      <c r="H551" s="71"/>
      <c r="I551" s="99"/>
      <c r="J551" s="99"/>
      <c r="K551" s="99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</row>
    <row r="552" spans="1:22" ht="14.25">
      <c r="A552" s="73"/>
      <c r="B552" s="78"/>
      <c r="C552" s="79"/>
      <c r="D552" s="76"/>
      <c r="E552" s="99"/>
      <c r="F552" s="71"/>
      <c r="G552" s="71"/>
      <c r="H552" s="71"/>
      <c r="I552" s="99"/>
      <c r="J552" s="99"/>
      <c r="K552" s="99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</row>
    <row r="553" spans="1:22" ht="14.25">
      <c r="A553" s="73"/>
      <c r="B553" s="78"/>
      <c r="C553" s="79"/>
      <c r="D553" s="76"/>
      <c r="E553" s="99"/>
      <c r="F553" s="71"/>
      <c r="G553" s="71"/>
      <c r="H553" s="71"/>
      <c r="I553" s="99"/>
      <c r="J553" s="99"/>
      <c r="K553" s="99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</row>
    <row r="554" spans="1:22" ht="14.25">
      <c r="A554" s="73"/>
      <c r="B554" s="78"/>
      <c r="C554" s="79"/>
      <c r="D554" s="76"/>
      <c r="E554" s="99"/>
      <c r="F554" s="71"/>
      <c r="G554" s="71"/>
      <c r="H554" s="71"/>
      <c r="I554" s="99"/>
      <c r="J554" s="99"/>
      <c r="K554" s="99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</row>
    <row r="555" spans="1:22" ht="14.25">
      <c r="A555" s="73"/>
      <c r="B555" s="78"/>
      <c r="C555" s="79"/>
      <c r="D555" s="76"/>
      <c r="E555" s="99"/>
      <c r="F555" s="71"/>
      <c r="G555" s="71"/>
      <c r="H555" s="71"/>
      <c r="I555" s="99"/>
      <c r="J555" s="99"/>
      <c r="K555" s="99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</row>
    <row r="556" spans="1:22" ht="14.25">
      <c r="A556" s="73"/>
      <c r="B556" s="78"/>
      <c r="C556" s="79"/>
      <c r="D556" s="76"/>
      <c r="E556" s="99"/>
      <c r="F556" s="71"/>
      <c r="G556" s="71"/>
      <c r="H556" s="71"/>
      <c r="I556" s="99"/>
      <c r="J556" s="99"/>
      <c r="K556" s="99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</row>
    <row r="557" spans="1:22" ht="14.25">
      <c r="A557" s="73"/>
      <c r="B557" s="78"/>
      <c r="C557" s="79"/>
      <c r="D557" s="76"/>
      <c r="E557" s="99"/>
      <c r="F557" s="71"/>
      <c r="G557" s="71"/>
      <c r="H557" s="71"/>
      <c r="I557" s="99"/>
      <c r="J557" s="99"/>
      <c r="K557" s="99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</row>
    <row r="558" spans="1:22" ht="14.25">
      <c r="A558" s="73"/>
      <c r="B558" s="78"/>
      <c r="C558" s="79"/>
      <c r="D558" s="76"/>
      <c r="E558" s="99"/>
      <c r="F558" s="71"/>
      <c r="G558" s="71"/>
      <c r="H558" s="71"/>
      <c r="I558" s="99"/>
      <c r="J558" s="99"/>
      <c r="K558" s="99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</row>
    <row r="559" spans="1:22" ht="14.25">
      <c r="A559" s="73"/>
      <c r="B559" s="78"/>
      <c r="C559" s="79"/>
      <c r="D559" s="76"/>
      <c r="E559" s="99"/>
      <c r="F559" s="71"/>
      <c r="G559" s="71"/>
      <c r="H559" s="71"/>
      <c r="I559" s="99"/>
      <c r="J559" s="99"/>
      <c r="K559" s="99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</row>
    <row r="560" spans="1:22" ht="14.25">
      <c r="A560" s="73"/>
      <c r="B560" s="78"/>
      <c r="C560" s="79"/>
      <c r="D560" s="76"/>
      <c r="E560" s="99"/>
      <c r="F560" s="71"/>
      <c r="G560" s="71"/>
      <c r="H560" s="71"/>
      <c r="I560" s="99"/>
      <c r="J560" s="99"/>
      <c r="K560" s="99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</row>
    <row r="561" spans="1:22" ht="14.25">
      <c r="A561" s="73"/>
      <c r="B561" s="78"/>
      <c r="C561" s="79"/>
      <c r="D561" s="76"/>
      <c r="E561" s="99"/>
      <c r="F561" s="71"/>
      <c r="G561" s="71"/>
      <c r="H561" s="71"/>
      <c r="I561" s="99"/>
      <c r="J561" s="99"/>
      <c r="K561" s="99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</row>
    <row r="562" spans="1:22" ht="14.25">
      <c r="A562" s="73"/>
      <c r="B562" s="78"/>
      <c r="C562" s="79"/>
      <c r="D562" s="76"/>
      <c r="E562" s="99"/>
      <c r="F562" s="71"/>
      <c r="G562" s="71"/>
      <c r="H562" s="71"/>
      <c r="I562" s="99"/>
      <c r="J562" s="99"/>
      <c r="K562" s="99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</row>
    <row r="563" spans="1:22" ht="14.25">
      <c r="A563" s="73"/>
      <c r="B563" s="78"/>
      <c r="C563" s="79"/>
      <c r="D563" s="76"/>
      <c r="E563" s="99"/>
      <c r="F563" s="71"/>
      <c r="G563" s="71"/>
      <c r="H563" s="71"/>
      <c r="I563" s="99"/>
      <c r="J563" s="99"/>
      <c r="K563" s="99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</row>
    <row r="564" spans="1:22" ht="14.25">
      <c r="A564" s="73"/>
      <c r="B564" s="78"/>
      <c r="C564" s="79"/>
      <c r="D564" s="76"/>
      <c r="E564" s="99"/>
      <c r="F564" s="71"/>
      <c r="G564" s="71"/>
      <c r="H564" s="71"/>
      <c r="I564" s="99"/>
      <c r="J564" s="99"/>
      <c r="K564" s="99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</row>
    <row r="565" spans="1:22" ht="14.25">
      <c r="A565" s="73"/>
      <c r="B565" s="78"/>
      <c r="C565" s="79"/>
      <c r="D565" s="76"/>
      <c r="E565" s="99"/>
      <c r="F565" s="71"/>
      <c r="G565" s="71"/>
      <c r="H565" s="71"/>
      <c r="I565" s="99"/>
      <c r="J565" s="99"/>
      <c r="K565" s="99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</row>
    <row r="566" spans="1:22" ht="14.25">
      <c r="A566" s="73"/>
      <c r="B566" s="78"/>
      <c r="C566" s="79"/>
      <c r="D566" s="76"/>
      <c r="E566" s="99"/>
      <c r="F566" s="71"/>
      <c r="G566" s="71"/>
      <c r="H566" s="71"/>
      <c r="I566" s="99"/>
      <c r="J566" s="99"/>
      <c r="K566" s="99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</row>
    <row r="567" spans="1:22" ht="14.25">
      <c r="A567" s="73"/>
      <c r="B567" s="78"/>
      <c r="C567" s="79"/>
      <c r="D567" s="76"/>
      <c r="E567" s="99"/>
      <c r="F567" s="71"/>
      <c r="G567" s="71"/>
      <c r="H567" s="71"/>
      <c r="I567" s="99"/>
      <c r="J567" s="99"/>
      <c r="K567" s="99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</row>
    <row r="568" spans="1:22" ht="14.25">
      <c r="A568" s="73"/>
      <c r="B568" s="78"/>
      <c r="C568" s="79"/>
      <c r="D568" s="76"/>
      <c r="E568" s="99"/>
      <c r="F568" s="71"/>
      <c r="G568" s="71"/>
      <c r="H568" s="71"/>
      <c r="I568" s="99"/>
      <c r="J568" s="99"/>
      <c r="K568" s="99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</row>
    <row r="569" spans="1:22" ht="14.25">
      <c r="A569" s="73"/>
      <c r="B569" s="78"/>
      <c r="C569" s="79"/>
      <c r="D569" s="76"/>
      <c r="E569" s="99"/>
      <c r="F569" s="71"/>
      <c r="G569" s="71"/>
      <c r="H569" s="71"/>
      <c r="I569" s="99"/>
      <c r="J569" s="99"/>
      <c r="K569" s="99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</row>
    <row r="570" spans="1:22" ht="14.25">
      <c r="A570" s="73"/>
      <c r="B570" s="78"/>
      <c r="C570" s="79"/>
      <c r="D570" s="76"/>
      <c r="E570" s="99"/>
      <c r="F570" s="71"/>
      <c r="G570" s="71"/>
      <c r="H570" s="71"/>
      <c r="I570" s="99"/>
      <c r="J570" s="99"/>
      <c r="K570" s="99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</row>
    <row r="571" spans="1:22" ht="14.25">
      <c r="A571" s="73"/>
      <c r="B571" s="78"/>
      <c r="C571" s="79"/>
      <c r="D571" s="76"/>
      <c r="E571" s="99"/>
      <c r="F571" s="71"/>
      <c r="G571" s="71"/>
      <c r="H571" s="71"/>
      <c r="I571" s="99"/>
      <c r="J571" s="99"/>
      <c r="K571" s="99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</row>
    <row r="572" spans="1:22" ht="14.25">
      <c r="A572" s="73"/>
      <c r="B572" s="78"/>
      <c r="C572" s="79"/>
      <c r="D572" s="76"/>
      <c r="E572" s="99"/>
      <c r="F572" s="71"/>
      <c r="G572" s="71"/>
      <c r="H572" s="71"/>
      <c r="I572" s="99"/>
      <c r="J572" s="99"/>
      <c r="K572" s="99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</row>
    <row r="573" spans="1:22" ht="14.25">
      <c r="A573" s="73"/>
      <c r="B573" s="78"/>
      <c r="C573" s="79"/>
      <c r="D573" s="76"/>
      <c r="E573" s="99"/>
      <c r="F573" s="71"/>
      <c r="G573" s="71"/>
      <c r="H573" s="71"/>
      <c r="I573" s="99"/>
      <c r="J573" s="99"/>
      <c r="K573" s="99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</row>
    <row r="574" spans="1:22" ht="14.25">
      <c r="A574" s="73"/>
      <c r="B574" s="78"/>
      <c r="C574" s="79"/>
      <c r="D574" s="76"/>
      <c r="E574" s="99"/>
      <c r="F574" s="71"/>
      <c r="G574" s="71"/>
      <c r="H574" s="71"/>
      <c r="I574" s="99"/>
      <c r="J574" s="99"/>
      <c r="K574" s="99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</row>
    <row r="575" spans="1:22" ht="14.25">
      <c r="A575" s="73"/>
      <c r="B575" s="78"/>
      <c r="C575" s="79"/>
      <c r="D575" s="76"/>
      <c r="E575" s="99"/>
      <c r="F575" s="71"/>
      <c r="G575" s="71"/>
      <c r="H575" s="71"/>
      <c r="I575" s="99"/>
      <c r="J575" s="99"/>
      <c r="K575" s="99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</row>
    <row r="576" spans="1:22" ht="14.25">
      <c r="A576" s="73"/>
      <c r="B576" s="78"/>
      <c r="C576" s="79"/>
      <c r="D576" s="76"/>
      <c r="E576" s="99"/>
      <c r="F576" s="71"/>
      <c r="G576" s="71"/>
      <c r="H576" s="71"/>
      <c r="I576" s="99"/>
      <c r="J576" s="99"/>
      <c r="K576" s="99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</row>
    <row r="577" spans="1:22" ht="14.25">
      <c r="A577" s="73"/>
      <c r="B577" s="78"/>
      <c r="C577" s="79"/>
      <c r="D577" s="76"/>
      <c r="E577" s="99"/>
      <c r="F577" s="71"/>
      <c r="G577" s="71"/>
      <c r="H577" s="71"/>
      <c r="I577" s="99"/>
      <c r="J577" s="99"/>
      <c r="K577" s="99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</row>
    <row r="578" spans="1:22" ht="14.25">
      <c r="A578" s="73"/>
      <c r="B578" s="78"/>
      <c r="C578" s="79"/>
      <c r="D578" s="76"/>
      <c r="E578" s="99"/>
      <c r="F578" s="71"/>
      <c r="G578" s="71"/>
      <c r="H578" s="71"/>
      <c r="I578" s="99"/>
      <c r="J578" s="99"/>
      <c r="K578" s="99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</row>
    <row r="579" spans="1:22" ht="14.25">
      <c r="A579" s="73"/>
      <c r="B579" s="78"/>
      <c r="C579" s="79"/>
      <c r="D579" s="76"/>
      <c r="E579" s="99"/>
      <c r="F579" s="71"/>
      <c r="G579" s="71"/>
      <c r="H579" s="71"/>
      <c r="I579" s="99"/>
      <c r="J579" s="99"/>
      <c r="K579" s="99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</row>
    <row r="580" spans="1:22" ht="14.25">
      <c r="A580" s="73"/>
      <c r="B580" s="78"/>
      <c r="C580" s="79"/>
      <c r="D580" s="76"/>
      <c r="E580" s="99"/>
      <c r="F580" s="71"/>
      <c r="G580" s="71"/>
      <c r="H580" s="71"/>
      <c r="I580" s="99"/>
      <c r="J580" s="99"/>
      <c r="K580" s="99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</row>
    <row r="581" spans="1:22" ht="14.25">
      <c r="A581" s="73"/>
      <c r="B581" s="78"/>
      <c r="C581" s="79"/>
      <c r="D581" s="76"/>
      <c r="E581" s="99"/>
      <c r="F581" s="71"/>
      <c r="G581" s="71"/>
      <c r="H581" s="71"/>
      <c r="I581" s="99"/>
      <c r="J581" s="99"/>
      <c r="K581" s="99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</row>
    <row r="582" spans="1:22" ht="14.25">
      <c r="A582" s="73"/>
      <c r="B582" s="78"/>
      <c r="C582" s="79"/>
      <c r="D582" s="76"/>
      <c r="E582" s="99"/>
      <c r="F582" s="71"/>
      <c r="G582" s="71"/>
      <c r="H582" s="71"/>
      <c r="I582" s="99"/>
      <c r="J582" s="99"/>
      <c r="K582" s="99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</row>
    <row r="583" spans="1:22" ht="14.25">
      <c r="A583" s="73"/>
      <c r="B583" s="78"/>
      <c r="C583" s="79"/>
      <c r="D583" s="76"/>
      <c r="E583" s="99"/>
      <c r="F583" s="71"/>
      <c r="G583" s="71"/>
      <c r="H583" s="71"/>
      <c r="I583" s="99"/>
      <c r="J583" s="99"/>
      <c r="K583" s="99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</row>
    <row r="584" spans="1:22" ht="14.25">
      <c r="A584" s="73"/>
      <c r="B584" s="78"/>
      <c r="C584" s="79"/>
      <c r="D584" s="76"/>
      <c r="E584" s="99"/>
      <c r="F584" s="71"/>
      <c r="G584" s="71"/>
      <c r="H584" s="71"/>
      <c r="I584" s="99"/>
      <c r="J584" s="99"/>
      <c r="K584" s="99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</row>
    <row r="585" spans="1:22" ht="14.25">
      <c r="A585" s="73"/>
      <c r="B585" s="78"/>
      <c r="C585" s="79"/>
      <c r="D585" s="76"/>
      <c r="E585" s="99"/>
      <c r="F585" s="71"/>
      <c r="G585" s="71"/>
      <c r="H585" s="71"/>
      <c r="I585" s="99"/>
      <c r="J585" s="99"/>
      <c r="K585" s="99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</row>
    <row r="586" spans="1:22" ht="14.25">
      <c r="A586" s="73"/>
      <c r="B586" s="78"/>
      <c r="C586" s="79"/>
      <c r="D586" s="76"/>
      <c r="E586" s="99"/>
      <c r="F586" s="71"/>
      <c r="G586" s="71"/>
      <c r="H586" s="71"/>
      <c r="I586" s="99"/>
      <c r="J586" s="99"/>
      <c r="K586" s="99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</row>
    <row r="587" spans="1:22" ht="14.25">
      <c r="A587" s="73"/>
      <c r="B587" s="78"/>
      <c r="C587" s="79"/>
      <c r="D587" s="76"/>
      <c r="E587" s="99"/>
      <c r="F587" s="71"/>
      <c r="G587" s="71"/>
      <c r="H587" s="71"/>
      <c r="I587" s="99"/>
      <c r="J587" s="99"/>
      <c r="K587" s="99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</row>
    <row r="588" spans="1:22" ht="14.25">
      <c r="A588" s="73"/>
      <c r="B588" s="78"/>
      <c r="C588" s="79"/>
      <c r="D588" s="76"/>
      <c r="E588" s="99"/>
      <c r="F588" s="71"/>
      <c r="G588" s="71"/>
      <c r="H588" s="71"/>
      <c r="I588" s="99"/>
      <c r="J588" s="99"/>
      <c r="K588" s="99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</row>
    <row r="589" spans="1:22" ht="14.25">
      <c r="A589" s="73"/>
      <c r="B589" s="78"/>
      <c r="C589" s="79"/>
      <c r="D589" s="76"/>
      <c r="E589" s="99"/>
      <c r="F589" s="71"/>
      <c r="G589" s="71"/>
      <c r="H589" s="71"/>
      <c r="I589" s="99"/>
      <c r="J589" s="99"/>
      <c r="K589" s="99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</row>
    <row r="590" spans="1:22" ht="14.25">
      <c r="A590" s="73"/>
      <c r="B590" s="78"/>
      <c r="C590" s="79"/>
      <c r="D590" s="76"/>
      <c r="E590" s="99"/>
      <c r="F590" s="71"/>
      <c r="G590" s="71"/>
      <c r="H590" s="71"/>
      <c r="I590" s="99"/>
      <c r="J590" s="99"/>
      <c r="K590" s="99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</row>
    <row r="591" spans="1:22" ht="14.25">
      <c r="A591" s="73"/>
      <c r="B591" s="78"/>
      <c r="C591" s="79"/>
      <c r="D591" s="76"/>
      <c r="E591" s="99"/>
      <c r="F591" s="71"/>
      <c r="G591" s="71"/>
      <c r="H591" s="71"/>
      <c r="I591" s="99"/>
      <c r="J591" s="99"/>
      <c r="K591" s="99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</row>
    <row r="592" spans="1:22" ht="14.25">
      <c r="A592" s="73"/>
      <c r="B592" s="78"/>
      <c r="C592" s="79"/>
      <c r="D592" s="76"/>
      <c r="E592" s="99"/>
      <c r="F592" s="71"/>
      <c r="G592" s="71"/>
      <c r="H592" s="71"/>
      <c r="I592" s="99"/>
      <c r="J592" s="99"/>
      <c r="K592" s="99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</row>
    <row r="593" spans="1:22" ht="14.25">
      <c r="A593" s="73"/>
      <c r="B593" s="78"/>
      <c r="C593" s="79"/>
      <c r="D593" s="76"/>
      <c r="E593" s="99"/>
      <c r="F593" s="71"/>
      <c r="G593" s="71"/>
      <c r="H593" s="71"/>
      <c r="I593" s="99"/>
      <c r="J593" s="99"/>
      <c r="K593" s="99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</row>
    <row r="594" spans="1:22" ht="14.25">
      <c r="A594" s="73"/>
      <c r="B594" s="78"/>
      <c r="C594" s="79"/>
      <c r="D594" s="76"/>
      <c r="E594" s="99"/>
      <c r="F594" s="71"/>
      <c r="G594" s="71"/>
      <c r="H594" s="71"/>
      <c r="I594" s="99"/>
      <c r="J594" s="99"/>
      <c r="K594" s="99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</row>
    <row r="595" spans="1:22" ht="14.25">
      <c r="A595" s="73"/>
      <c r="B595" s="78"/>
      <c r="C595" s="79"/>
      <c r="D595" s="76"/>
      <c r="E595" s="99"/>
      <c r="F595" s="71"/>
      <c r="G595" s="71"/>
      <c r="H595" s="71"/>
      <c r="I595" s="99"/>
      <c r="J595" s="99"/>
      <c r="K595" s="99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</row>
    <row r="596" spans="1:22" ht="14.25">
      <c r="A596" s="73"/>
      <c r="B596" s="78"/>
      <c r="C596" s="79"/>
      <c r="D596" s="76"/>
      <c r="E596" s="99"/>
      <c r="F596" s="71"/>
      <c r="G596" s="71"/>
      <c r="H596" s="71"/>
      <c r="I596" s="99"/>
      <c r="J596" s="99"/>
      <c r="K596" s="99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</row>
    <row r="597" spans="1:22" ht="14.25">
      <c r="A597" s="73"/>
      <c r="B597" s="78"/>
      <c r="C597" s="79"/>
      <c r="D597" s="76"/>
      <c r="E597" s="99"/>
      <c r="F597" s="71"/>
      <c r="G597" s="71"/>
      <c r="H597" s="71"/>
      <c r="I597" s="99"/>
      <c r="J597" s="99"/>
      <c r="K597" s="99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</row>
    <row r="598" spans="1:22" ht="14.25">
      <c r="A598" s="73"/>
      <c r="B598" s="78"/>
      <c r="C598" s="79"/>
      <c r="D598" s="76"/>
      <c r="E598" s="99"/>
      <c r="F598" s="71"/>
      <c r="G598" s="71"/>
      <c r="H598" s="71"/>
      <c r="I598" s="99"/>
      <c r="J598" s="99"/>
      <c r="K598" s="99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</row>
    <row r="599" spans="1:22" ht="14.25">
      <c r="A599" s="73"/>
      <c r="B599" s="78"/>
      <c r="C599" s="79"/>
      <c r="D599" s="76"/>
      <c r="E599" s="99"/>
      <c r="F599" s="71"/>
      <c r="G599" s="71"/>
      <c r="H599" s="71"/>
      <c r="I599" s="99"/>
      <c r="J599" s="99"/>
      <c r="K599" s="99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</row>
    <row r="600" spans="1:22" ht="14.25">
      <c r="A600" s="73"/>
      <c r="B600" s="78"/>
      <c r="C600" s="79"/>
      <c r="D600" s="76"/>
      <c r="E600" s="99"/>
      <c r="F600" s="71"/>
      <c r="G600" s="71"/>
      <c r="H600" s="71"/>
      <c r="I600" s="99"/>
      <c r="J600" s="99"/>
      <c r="K600" s="99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</row>
    <row r="601" spans="1:22" ht="14.25">
      <c r="A601" s="73"/>
      <c r="B601" s="78"/>
      <c r="C601" s="79"/>
      <c r="D601" s="76"/>
      <c r="E601" s="99"/>
      <c r="F601" s="71"/>
      <c r="G601" s="71"/>
      <c r="H601" s="71"/>
      <c r="I601" s="99"/>
      <c r="J601" s="99"/>
      <c r="K601" s="99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</row>
    <row r="602" spans="1:22" ht="14.25">
      <c r="A602" s="73"/>
      <c r="B602" s="78"/>
      <c r="C602" s="79"/>
      <c r="D602" s="76"/>
      <c r="E602" s="99"/>
      <c r="F602" s="71"/>
      <c r="G602" s="71"/>
      <c r="H602" s="71"/>
      <c r="I602" s="99"/>
      <c r="J602" s="99"/>
      <c r="K602" s="99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</row>
    <row r="603" spans="1:22" ht="14.25">
      <c r="A603" s="73"/>
      <c r="B603" s="78"/>
      <c r="C603" s="79"/>
      <c r="D603" s="76"/>
      <c r="E603" s="99"/>
      <c r="F603" s="71"/>
      <c r="G603" s="71"/>
      <c r="H603" s="71"/>
      <c r="I603" s="99"/>
      <c r="J603" s="99"/>
      <c r="K603" s="99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</row>
    <row r="604" spans="1:22" ht="14.25">
      <c r="A604" s="73"/>
      <c r="B604" s="78"/>
      <c r="C604" s="79"/>
      <c r="D604" s="76"/>
      <c r="E604" s="99"/>
      <c r="F604" s="71"/>
      <c r="G604" s="71"/>
      <c r="H604" s="71"/>
      <c r="I604" s="99"/>
      <c r="J604" s="99"/>
      <c r="K604" s="99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</row>
    <row r="605" spans="1:22" ht="14.25">
      <c r="A605" s="73"/>
      <c r="B605" s="78"/>
      <c r="C605" s="79"/>
      <c r="D605" s="76"/>
      <c r="E605" s="99"/>
      <c r="F605" s="71"/>
      <c r="G605" s="71"/>
      <c r="H605" s="71"/>
      <c r="I605" s="99"/>
      <c r="J605" s="99"/>
      <c r="K605" s="99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</row>
    <row r="606" spans="1:22" ht="14.25">
      <c r="A606" s="73"/>
      <c r="B606" s="78"/>
      <c r="C606" s="79"/>
      <c r="D606" s="76"/>
      <c r="E606" s="99"/>
      <c r="F606" s="71"/>
      <c r="G606" s="71"/>
      <c r="H606" s="71"/>
      <c r="I606" s="99"/>
      <c r="J606" s="99"/>
      <c r="K606" s="99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</row>
    <row r="607" spans="1:22" ht="14.25">
      <c r="A607" s="73"/>
      <c r="B607" s="78"/>
      <c r="C607" s="79"/>
      <c r="D607" s="76"/>
      <c r="E607" s="99"/>
      <c r="F607" s="71"/>
      <c r="G607" s="71"/>
      <c r="H607" s="71"/>
      <c r="I607" s="99"/>
      <c r="J607" s="99"/>
      <c r="K607" s="99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</row>
    <row r="608" spans="1:22" ht="14.25">
      <c r="A608" s="73"/>
      <c r="B608" s="78"/>
      <c r="C608" s="79"/>
      <c r="D608" s="76"/>
      <c r="E608" s="99"/>
      <c r="F608" s="71"/>
      <c r="G608" s="71"/>
      <c r="H608" s="71"/>
      <c r="I608" s="99"/>
      <c r="J608" s="99"/>
      <c r="K608" s="99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</row>
    <row r="609" spans="1:22" ht="14.25">
      <c r="A609" s="73"/>
      <c r="B609" s="78"/>
      <c r="C609" s="79"/>
      <c r="D609" s="76"/>
      <c r="E609" s="99"/>
      <c r="F609" s="71"/>
      <c r="G609" s="71"/>
      <c r="H609" s="71"/>
      <c r="I609" s="99"/>
      <c r="J609" s="99"/>
      <c r="K609" s="99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</row>
    <row r="610" spans="1:22" ht="14.25">
      <c r="A610" s="73"/>
      <c r="B610" s="78"/>
      <c r="C610" s="79"/>
      <c r="D610" s="76"/>
      <c r="E610" s="99"/>
      <c r="F610" s="71"/>
      <c r="G610" s="71"/>
      <c r="H610" s="71"/>
      <c r="I610" s="99"/>
      <c r="J610" s="99"/>
      <c r="K610" s="99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</row>
    <row r="611" spans="1:22" ht="14.25">
      <c r="A611" s="73"/>
      <c r="B611" s="78"/>
      <c r="C611" s="79"/>
      <c r="D611" s="76"/>
      <c r="E611" s="99"/>
      <c r="F611" s="71"/>
      <c r="G611" s="71"/>
      <c r="H611" s="71"/>
      <c r="I611" s="99"/>
      <c r="J611" s="99"/>
      <c r="K611" s="99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</row>
    <row r="612" spans="1:22" ht="14.25">
      <c r="A612" s="73"/>
      <c r="B612" s="78"/>
      <c r="C612" s="79"/>
      <c r="D612" s="76"/>
      <c r="E612" s="99"/>
      <c r="F612" s="71"/>
      <c r="G612" s="71"/>
      <c r="H612" s="71"/>
      <c r="I612" s="99"/>
      <c r="J612" s="99"/>
      <c r="K612" s="99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</row>
    <row r="613" spans="1:22" ht="14.25">
      <c r="A613" s="73"/>
      <c r="B613" s="78"/>
      <c r="C613" s="79"/>
      <c r="D613" s="76"/>
      <c r="E613" s="99"/>
      <c r="F613" s="71"/>
      <c r="G613" s="71"/>
      <c r="H613" s="71"/>
      <c r="I613" s="99"/>
      <c r="J613" s="99"/>
      <c r="K613" s="99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</row>
    <row r="614" spans="1:22" ht="14.25">
      <c r="A614" s="73"/>
      <c r="B614" s="78"/>
      <c r="C614" s="79"/>
      <c r="D614" s="76"/>
      <c r="E614" s="99"/>
      <c r="F614" s="71"/>
      <c r="G614" s="71"/>
      <c r="H614" s="71"/>
      <c r="I614" s="99"/>
      <c r="J614" s="99"/>
      <c r="K614" s="99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</row>
    <row r="615" spans="1:22" ht="14.25">
      <c r="A615" s="73"/>
      <c r="B615" s="78"/>
      <c r="C615" s="79"/>
      <c r="D615" s="76"/>
      <c r="E615" s="99"/>
      <c r="F615" s="71"/>
      <c r="G615" s="71"/>
      <c r="H615" s="71"/>
      <c r="I615" s="99"/>
      <c r="J615" s="99"/>
      <c r="K615" s="99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</row>
    <row r="616" spans="1:22" ht="14.25">
      <c r="A616" s="73"/>
      <c r="B616" s="78"/>
      <c r="C616" s="79"/>
      <c r="D616" s="76"/>
      <c r="E616" s="99"/>
      <c r="F616" s="71"/>
      <c r="G616" s="71"/>
      <c r="H616" s="71"/>
      <c r="I616" s="99"/>
      <c r="J616" s="99"/>
      <c r="K616" s="99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</row>
    <row r="617" spans="1:22" ht="14.25">
      <c r="A617" s="73"/>
      <c r="B617" s="78"/>
      <c r="C617" s="79"/>
      <c r="D617" s="76"/>
      <c r="E617" s="99"/>
      <c r="F617" s="71"/>
      <c r="G617" s="71"/>
      <c r="H617" s="71"/>
      <c r="I617" s="99"/>
      <c r="J617" s="99"/>
      <c r="K617" s="99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</row>
    <row r="618" spans="1:22" ht="14.25">
      <c r="A618" s="73"/>
      <c r="B618" s="78"/>
      <c r="C618" s="79"/>
      <c r="D618" s="76"/>
      <c r="E618" s="99"/>
      <c r="F618" s="71"/>
      <c r="G618" s="71"/>
      <c r="H618" s="71"/>
      <c r="I618" s="99"/>
      <c r="J618" s="99"/>
      <c r="K618" s="99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</row>
    <row r="619" spans="1:22" ht="14.25">
      <c r="A619" s="73"/>
      <c r="B619" s="78"/>
      <c r="C619" s="79"/>
      <c r="D619" s="76"/>
      <c r="E619" s="99"/>
      <c r="F619" s="71"/>
      <c r="G619" s="71"/>
      <c r="H619" s="71"/>
      <c r="I619" s="99"/>
      <c r="J619" s="99"/>
      <c r="K619" s="99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</row>
    <row r="620" spans="1:22" ht="14.25">
      <c r="A620" s="73"/>
      <c r="B620" s="78"/>
      <c r="C620" s="79"/>
      <c r="D620" s="76"/>
      <c r="E620" s="99"/>
      <c r="F620" s="71"/>
      <c r="G620" s="71"/>
      <c r="H620" s="71"/>
      <c r="I620" s="99"/>
      <c r="J620" s="99"/>
      <c r="K620" s="99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</row>
    <row r="621" spans="1:22" ht="14.25">
      <c r="A621" s="73"/>
      <c r="B621" s="78"/>
      <c r="C621" s="79"/>
      <c r="D621" s="76"/>
      <c r="E621" s="99"/>
      <c r="F621" s="71"/>
      <c r="G621" s="71"/>
      <c r="H621" s="71"/>
      <c r="I621" s="99"/>
      <c r="J621" s="99"/>
      <c r="K621" s="99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</row>
    <row r="622" spans="1:22" ht="14.25">
      <c r="A622" s="73"/>
      <c r="B622" s="78"/>
      <c r="C622" s="79"/>
      <c r="D622" s="76"/>
      <c r="E622" s="99"/>
      <c r="F622" s="71"/>
      <c r="G622" s="71"/>
      <c r="H622" s="71"/>
      <c r="I622" s="99"/>
      <c r="J622" s="99"/>
      <c r="K622" s="99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</row>
    <row r="623" spans="1:22" ht="14.25">
      <c r="A623" s="73"/>
      <c r="B623" s="78"/>
      <c r="C623" s="79"/>
      <c r="D623" s="76"/>
      <c r="E623" s="99"/>
      <c r="F623" s="71"/>
      <c r="G623" s="71"/>
      <c r="H623" s="71"/>
      <c r="I623" s="99"/>
      <c r="J623" s="99"/>
      <c r="K623" s="99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</row>
    <row r="624" spans="1:22" ht="14.25">
      <c r="A624" s="73"/>
      <c r="B624" s="78"/>
      <c r="C624" s="79"/>
      <c r="D624" s="76"/>
      <c r="E624" s="99"/>
      <c r="F624" s="71"/>
      <c r="G624" s="71"/>
      <c r="H624" s="71"/>
      <c r="I624" s="99"/>
      <c r="J624" s="99"/>
      <c r="K624" s="99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</row>
    <row r="625" spans="1:22" ht="14.25">
      <c r="A625" s="73"/>
      <c r="B625" s="78"/>
      <c r="C625" s="79"/>
      <c r="D625" s="76"/>
      <c r="E625" s="99"/>
      <c r="F625" s="71"/>
      <c r="G625" s="71"/>
      <c r="H625" s="71"/>
      <c r="I625" s="99"/>
      <c r="J625" s="99"/>
      <c r="K625" s="99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</row>
    <row r="626" spans="1:22" ht="14.25">
      <c r="A626" s="73"/>
      <c r="B626" s="78"/>
      <c r="C626" s="79"/>
      <c r="D626" s="76"/>
      <c r="E626" s="99"/>
      <c r="F626" s="71"/>
      <c r="G626" s="71"/>
      <c r="H626" s="71"/>
      <c r="I626" s="99"/>
      <c r="J626" s="99"/>
      <c r="K626" s="99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</row>
    <row r="627" spans="1:22" ht="14.25">
      <c r="A627" s="73"/>
      <c r="B627" s="78"/>
      <c r="C627" s="79"/>
      <c r="D627" s="76"/>
      <c r="E627" s="99"/>
      <c r="F627" s="71"/>
      <c r="G627" s="71"/>
      <c r="H627" s="71"/>
      <c r="I627" s="99"/>
      <c r="J627" s="99"/>
      <c r="K627" s="99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</row>
    <row r="628" spans="1:22" ht="14.25">
      <c r="A628" s="73"/>
      <c r="B628" s="78"/>
      <c r="C628" s="79"/>
      <c r="D628" s="76"/>
      <c r="E628" s="99"/>
      <c r="F628" s="71"/>
      <c r="G628" s="71"/>
      <c r="H628" s="71"/>
      <c r="I628" s="99"/>
      <c r="J628" s="99"/>
      <c r="K628" s="99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</row>
    <row r="629" spans="1:22" ht="14.25">
      <c r="A629" s="73"/>
      <c r="B629" s="78"/>
      <c r="C629" s="79"/>
      <c r="D629" s="76"/>
      <c r="E629" s="99"/>
      <c r="F629" s="71"/>
      <c r="G629" s="71"/>
      <c r="H629" s="71"/>
      <c r="I629" s="99"/>
      <c r="J629" s="99"/>
      <c r="K629" s="99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</row>
    <row r="630" spans="1:22" ht="14.25">
      <c r="A630" s="73"/>
      <c r="B630" s="78"/>
      <c r="C630" s="79"/>
      <c r="D630" s="76"/>
      <c r="E630" s="99"/>
      <c r="F630" s="71"/>
      <c r="G630" s="71"/>
      <c r="H630" s="71"/>
      <c r="I630" s="99"/>
      <c r="J630" s="99"/>
      <c r="K630" s="99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</row>
    <row r="631" spans="1:22" ht="14.25">
      <c r="A631" s="73"/>
      <c r="B631" s="78"/>
      <c r="C631" s="79"/>
      <c r="D631" s="76"/>
      <c r="E631" s="99"/>
      <c r="F631" s="71"/>
      <c r="G631" s="71"/>
      <c r="H631" s="71"/>
      <c r="I631" s="99"/>
      <c r="J631" s="99"/>
      <c r="K631" s="99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</row>
    <row r="632" spans="1:22" ht="14.25">
      <c r="A632" s="73"/>
      <c r="B632" s="78"/>
      <c r="C632" s="79"/>
      <c r="D632" s="76"/>
      <c r="E632" s="99"/>
      <c r="F632" s="71"/>
      <c r="G632" s="71"/>
      <c r="H632" s="71"/>
      <c r="I632" s="99"/>
      <c r="J632" s="99"/>
      <c r="K632" s="99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</row>
    <row r="633" spans="1:22" ht="14.25">
      <c r="A633" s="73"/>
      <c r="B633" s="78"/>
      <c r="C633" s="79"/>
      <c r="D633" s="76"/>
      <c r="E633" s="99"/>
      <c r="F633" s="71"/>
      <c r="G633" s="71"/>
      <c r="H633" s="71"/>
      <c r="I633" s="99"/>
      <c r="J633" s="99"/>
      <c r="K633" s="99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</row>
    <row r="634" spans="1:22" ht="14.25">
      <c r="A634" s="73"/>
      <c r="B634" s="78"/>
      <c r="C634" s="79"/>
      <c r="D634" s="76"/>
      <c r="E634" s="99"/>
      <c r="F634" s="71"/>
      <c r="G634" s="71"/>
      <c r="H634" s="71"/>
      <c r="I634" s="99"/>
      <c r="J634" s="99"/>
      <c r="K634" s="99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</row>
    <row r="635" spans="1:22" ht="14.25">
      <c r="A635" s="73"/>
      <c r="B635" s="78"/>
      <c r="C635" s="79"/>
      <c r="D635" s="76"/>
      <c r="E635" s="99"/>
      <c r="F635" s="71"/>
      <c r="G635" s="71"/>
      <c r="H635" s="71"/>
      <c r="I635" s="99"/>
      <c r="J635" s="99"/>
      <c r="K635" s="99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</row>
    <row r="636" spans="1:22" ht="14.25">
      <c r="A636" s="73"/>
      <c r="B636" s="78"/>
      <c r="C636" s="79"/>
      <c r="D636" s="76"/>
      <c r="E636" s="99"/>
      <c r="F636" s="71"/>
      <c r="G636" s="71"/>
      <c r="H636" s="71"/>
      <c r="I636" s="99"/>
      <c r="J636" s="99"/>
      <c r="K636" s="99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</row>
    <row r="637" spans="1:22" ht="14.25">
      <c r="A637" s="73"/>
      <c r="B637" s="78"/>
      <c r="C637" s="79"/>
      <c r="D637" s="76"/>
      <c r="E637" s="99"/>
      <c r="F637" s="71"/>
      <c r="G637" s="71"/>
      <c r="H637" s="71"/>
      <c r="I637" s="99"/>
      <c r="J637" s="99"/>
      <c r="K637" s="99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</row>
    <row r="638" spans="1:22" ht="14.25">
      <c r="A638" s="73"/>
      <c r="B638" s="78"/>
      <c r="C638" s="79"/>
      <c r="D638" s="76"/>
      <c r="E638" s="99"/>
      <c r="F638" s="71"/>
      <c r="G638" s="71"/>
      <c r="H638" s="71"/>
      <c r="I638" s="99"/>
      <c r="J638" s="99"/>
      <c r="K638" s="99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</row>
    <row r="639" spans="1:22" ht="14.25">
      <c r="A639" s="73"/>
      <c r="B639" s="78"/>
      <c r="C639" s="79"/>
      <c r="D639" s="76"/>
      <c r="E639" s="99"/>
      <c r="F639" s="71"/>
      <c r="G639" s="71"/>
      <c r="H639" s="71"/>
      <c r="I639" s="99"/>
      <c r="J639" s="99"/>
      <c r="K639" s="99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</row>
    <row r="640" spans="1:22" ht="14.25">
      <c r="A640" s="73"/>
      <c r="B640" s="78"/>
      <c r="C640" s="79"/>
      <c r="D640" s="76"/>
      <c r="E640" s="99"/>
      <c r="F640" s="71"/>
      <c r="G640" s="71"/>
      <c r="H640" s="71"/>
      <c r="I640" s="99"/>
      <c r="J640" s="99"/>
      <c r="K640" s="99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</row>
    <row r="641" spans="1:22" ht="14.25">
      <c r="A641" s="73"/>
      <c r="B641" s="78"/>
      <c r="C641" s="79"/>
      <c r="D641" s="76"/>
      <c r="E641" s="99"/>
      <c r="F641" s="71"/>
      <c r="G641" s="71"/>
      <c r="H641" s="71"/>
      <c r="I641" s="99"/>
      <c r="J641" s="99"/>
      <c r="K641" s="99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</row>
    <row r="642" spans="1:22" ht="14.25">
      <c r="A642" s="73"/>
      <c r="B642" s="78"/>
      <c r="C642" s="79"/>
      <c r="D642" s="76"/>
      <c r="E642" s="99"/>
      <c r="F642" s="71"/>
      <c r="G642" s="71"/>
      <c r="H642" s="71"/>
      <c r="I642" s="99"/>
      <c r="J642" s="99"/>
      <c r="K642" s="99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</row>
    <row r="643" spans="1:22" ht="14.25">
      <c r="A643" s="73"/>
      <c r="B643" s="78"/>
      <c r="C643" s="79"/>
      <c r="D643" s="76"/>
      <c r="E643" s="99"/>
      <c r="F643" s="71"/>
      <c r="G643" s="71"/>
      <c r="H643" s="71"/>
      <c r="I643" s="99"/>
      <c r="J643" s="99"/>
      <c r="K643" s="99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</row>
    <row r="644" spans="1:22" ht="14.25">
      <c r="A644" s="73"/>
      <c r="B644" s="78"/>
      <c r="C644" s="79"/>
      <c r="D644" s="76"/>
      <c r="E644" s="99"/>
      <c r="F644" s="71"/>
      <c r="G644" s="71"/>
      <c r="H644" s="71"/>
      <c r="I644" s="99"/>
      <c r="J644" s="99"/>
      <c r="K644" s="99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</row>
    <row r="645" spans="1:22" ht="14.25">
      <c r="A645" s="73"/>
      <c r="B645" s="78"/>
      <c r="C645" s="79"/>
      <c r="D645" s="76"/>
      <c r="E645" s="99"/>
      <c r="F645" s="71"/>
      <c r="G645" s="71"/>
      <c r="H645" s="71"/>
      <c r="I645" s="99"/>
      <c r="J645" s="99"/>
      <c r="K645" s="99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</row>
    <row r="646" spans="1:22" ht="14.25">
      <c r="A646" s="73"/>
      <c r="B646" s="78"/>
      <c r="C646" s="79"/>
      <c r="D646" s="76"/>
      <c r="E646" s="99"/>
      <c r="F646" s="71"/>
      <c r="G646" s="71"/>
      <c r="H646" s="71"/>
      <c r="I646" s="99"/>
      <c r="J646" s="99"/>
      <c r="K646" s="99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</row>
    <row r="647" spans="1:22" ht="14.25">
      <c r="A647" s="73"/>
      <c r="B647" s="78"/>
      <c r="C647" s="79"/>
      <c r="D647" s="76"/>
      <c r="E647" s="99"/>
      <c r="F647" s="71"/>
      <c r="G647" s="71"/>
      <c r="H647" s="71"/>
      <c r="I647" s="99"/>
      <c r="J647" s="99"/>
      <c r="K647" s="99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</row>
    <row r="648" spans="1:22" ht="14.25">
      <c r="A648" s="73"/>
      <c r="B648" s="78"/>
      <c r="C648" s="79"/>
      <c r="D648" s="76"/>
      <c r="E648" s="99"/>
      <c r="F648" s="71"/>
      <c r="G648" s="71"/>
      <c r="H648" s="71"/>
      <c r="I648" s="99"/>
      <c r="J648" s="99"/>
      <c r="K648" s="99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</row>
    <row r="649" spans="1:22" ht="14.25">
      <c r="A649" s="73"/>
      <c r="B649" s="78"/>
      <c r="C649" s="79"/>
      <c r="D649" s="76"/>
      <c r="E649" s="99"/>
      <c r="F649" s="71"/>
      <c r="G649" s="71"/>
      <c r="H649" s="71"/>
      <c r="I649" s="99"/>
      <c r="J649" s="99"/>
      <c r="K649" s="99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</row>
    <row r="650" spans="1:22" ht="14.25">
      <c r="A650" s="73"/>
      <c r="B650" s="78"/>
      <c r="C650" s="79"/>
      <c r="D650" s="76"/>
      <c r="E650" s="99"/>
      <c r="F650" s="71"/>
      <c r="G650" s="71"/>
      <c r="H650" s="71"/>
      <c r="I650" s="99"/>
      <c r="J650" s="99"/>
      <c r="K650" s="99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</row>
    <row r="651" spans="1:22" ht="14.25">
      <c r="A651" s="73"/>
      <c r="B651" s="78"/>
      <c r="C651" s="79"/>
      <c r="D651" s="76"/>
      <c r="E651" s="99"/>
      <c r="F651" s="71"/>
      <c r="G651" s="71"/>
      <c r="H651" s="71"/>
      <c r="I651" s="99"/>
      <c r="J651" s="99"/>
      <c r="K651" s="99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</row>
    <row r="652" spans="1:22" ht="14.25">
      <c r="A652" s="73"/>
      <c r="B652" s="78"/>
      <c r="C652" s="79"/>
      <c r="D652" s="76"/>
      <c r="E652" s="99"/>
      <c r="F652" s="71"/>
      <c r="G652" s="71"/>
      <c r="H652" s="71"/>
      <c r="I652" s="99"/>
      <c r="J652" s="99"/>
      <c r="K652" s="99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</row>
    <row r="653" spans="1:22" ht="14.25">
      <c r="A653" s="73"/>
      <c r="B653" s="78"/>
      <c r="C653" s="79"/>
      <c r="D653" s="76"/>
      <c r="E653" s="99"/>
      <c r="F653" s="71"/>
      <c r="G653" s="71"/>
      <c r="H653" s="71"/>
      <c r="I653" s="99"/>
      <c r="J653" s="99"/>
      <c r="K653" s="99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</row>
    <row r="654" spans="1:22" ht="14.25">
      <c r="A654" s="73"/>
      <c r="B654" s="78"/>
      <c r="C654" s="79"/>
      <c r="D654" s="76"/>
      <c r="E654" s="99"/>
      <c r="F654" s="71"/>
      <c r="G654" s="71"/>
      <c r="H654" s="71"/>
      <c r="I654" s="99"/>
      <c r="J654" s="99"/>
      <c r="K654" s="99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</row>
    <row r="655" spans="1:22" ht="14.25">
      <c r="A655" s="73"/>
      <c r="B655" s="78"/>
      <c r="C655" s="79"/>
      <c r="D655" s="76"/>
      <c r="E655" s="99"/>
      <c r="F655" s="71"/>
      <c r="G655" s="71"/>
      <c r="H655" s="71"/>
      <c r="I655" s="99"/>
      <c r="J655" s="99"/>
      <c r="K655" s="99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</row>
    <row r="656" spans="1:22" ht="14.25">
      <c r="A656" s="73"/>
      <c r="B656" s="78"/>
      <c r="C656" s="79"/>
      <c r="D656" s="76"/>
      <c r="E656" s="99"/>
      <c r="F656" s="71"/>
      <c r="G656" s="71"/>
      <c r="H656" s="71"/>
      <c r="I656" s="99"/>
      <c r="J656" s="99"/>
      <c r="K656" s="99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</row>
    <row r="657" spans="1:22" ht="14.25">
      <c r="A657" s="73"/>
      <c r="B657" s="78"/>
      <c r="C657" s="79"/>
      <c r="D657" s="76"/>
      <c r="E657" s="99"/>
      <c r="F657" s="71"/>
      <c r="G657" s="71"/>
      <c r="H657" s="71"/>
      <c r="I657" s="99"/>
      <c r="J657" s="99"/>
      <c r="K657" s="99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</row>
    <row r="658" spans="1:22" ht="14.25">
      <c r="A658" s="73"/>
      <c r="B658" s="78"/>
      <c r="C658" s="79"/>
      <c r="D658" s="76"/>
      <c r="E658" s="99"/>
      <c r="F658" s="71"/>
      <c r="G658" s="71"/>
      <c r="H658" s="71"/>
      <c r="I658" s="99"/>
      <c r="J658" s="99"/>
      <c r="K658" s="99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</row>
    <row r="659" spans="1:22" ht="14.25">
      <c r="A659" s="73"/>
      <c r="B659" s="78"/>
      <c r="C659" s="79"/>
      <c r="D659" s="76"/>
      <c r="E659" s="99"/>
      <c r="F659" s="71"/>
      <c r="G659" s="71"/>
      <c r="H659" s="71"/>
      <c r="I659" s="99"/>
      <c r="J659" s="99"/>
      <c r="K659" s="99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</row>
    <row r="660" spans="1:22" ht="14.25">
      <c r="A660" s="73"/>
      <c r="B660" s="78"/>
      <c r="C660" s="79"/>
      <c r="D660" s="76"/>
      <c r="E660" s="99"/>
      <c r="F660" s="71"/>
      <c r="G660" s="71"/>
      <c r="H660" s="71"/>
      <c r="I660" s="99"/>
      <c r="J660" s="99"/>
      <c r="K660" s="99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</row>
    <row r="661" spans="1:22" ht="14.25">
      <c r="A661" s="73"/>
      <c r="B661" s="78"/>
      <c r="C661" s="79"/>
      <c r="D661" s="76"/>
      <c r="E661" s="99"/>
      <c r="F661" s="71"/>
      <c r="G661" s="71"/>
      <c r="H661" s="71"/>
      <c r="I661" s="99"/>
      <c r="J661" s="99"/>
      <c r="K661" s="99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</row>
    <row r="662" spans="1:22" ht="14.25">
      <c r="A662" s="73"/>
      <c r="B662" s="78"/>
      <c r="C662" s="79"/>
      <c r="D662" s="76"/>
      <c r="E662" s="99"/>
      <c r="F662" s="71"/>
      <c r="G662" s="71"/>
      <c r="H662" s="71"/>
      <c r="I662" s="99"/>
      <c r="J662" s="99"/>
      <c r="K662" s="99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</row>
    <row r="663" spans="1:22" ht="14.25">
      <c r="A663" s="73"/>
      <c r="B663" s="78"/>
      <c r="C663" s="79"/>
      <c r="D663" s="76"/>
      <c r="E663" s="99"/>
      <c r="F663" s="71"/>
      <c r="G663" s="71"/>
      <c r="H663" s="71"/>
      <c r="I663" s="99"/>
      <c r="J663" s="99"/>
      <c r="K663" s="99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</row>
    <row r="664" spans="1:22" ht="14.25">
      <c r="A664" s="73"/>
      <c r="B664" s="78"/>
      <c r="C664" s="79"/>
      <c r="D664" s="76"/>
      <c r="E664" s="99"/>
      <c r="F664" s="71"/>
      <c r="G664" s="71"/>
      <c r="H664" s="71"/>
      <c r="I664" s="99"/>
      <c r="J664" s="99"/>
      <c r="K664" s="99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</row>
    <row r="665" spans="1:22" ht="14.25">
      <c r="A665" s="73"/>
      <c r="B665" s="78"/>
      <c r="C665" s="79"/>
      <c r="D665" s="76"/>
      <c r="E665" s="99"/>
      <c r="F665" s="71"/>
      <c r="G665" s="71"/>
      <c r="H665" s="71"/>
      <c r="I665" s="99"/>
      <c r="J665" s="99"/>
      <c r="K665" s="99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</row>
    <row r="666" spans="1:22" ht="14.25">
      <c r="A666" s="73"/>
      <c r="B666" s="78"/>
      <c r="C666" s="79"/>
      <c r="D666" s="76"/>
      <c r="E666" s="99"/>
      <c r="F666" s="71"/>
      <c r="G666" s="71"/>
      <c r="H666" s="71"/>
      <c r="I666" s="99"/>
      <c r="J666" s="99"/>
      <c r="K666" s="99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</row>
    <row r="667" spans="1:22" ht="14.25">
      <c r="A667" s="73"/>
      <c r="B667" s="78"/>
      <c r="C667" s="79"/>
      <c r="D667" s="76"/>
      <c r="E667" s="99"/>
      <c r="F667" s="71"/>
      <c r="G667" s="71"/>
      <c r="H667" s="71"/>
      <c r="I667" s="99"/>
      <c r="J667" s="99"/>
      <c r="K667" s="99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</row>
    <row r="668" spans="1:22" ht="14.25">
      <c r="A668" s="73"/>
      <c r="B668" s="78"/>
      <c r="C668" s="79"/>
      <c r="D668" s="76"/>
      <c r="E668" s="99"/>
      <c r="F668" s="71"/>
      <c r="G668" s="71"/>
      <c r="H668" s="71"/>
      <c r="I668" s="99"/>
      <c r="J668" s="99"/>
      <c r="K668" s="99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</row>
    <row r="669" spans="1:22" ht="14.25">
      <c r="A669" s="73"/>
      <c r="B669" s="78"/>
      <c r="C669" s="79"/>
      <c r="D669" s="76"/>
      <c r="E669" s="99"/>
      <c r="F669" s="71"/>
      <c r="G669" s="71"/>
      <c r="H669" s="71"/>
      <c r="I669" s="99"/>
      <c r="J669" s="99"/>
      <c r="K669" s="99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</row>
    <row r="670" spans="1:22" ht="14.25">
      <c r="A670" s="73"/>
      <c r="B670" s="78"/>
      <c r="C670" s="79"/>
      <c r="D670" s="76"/>
      <c r="E670" s="99"/>
      <c r="F670" s="71"/>
      <c r="G670" s="71"/>
      <c r="H670" s="71"/>
      <c r="I670" s="99"/>
      <c r="J670" s="99"/>
      <c r="K670" s="99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</row>
    <row r="671" spans="1:22" ht="14.25">
      <c r="A671" s="73"/>
      <c r="B671" s="78"/>
      <c r="C671" s="79"/>
      <c r="D671" s="76"/>
      <c r="E671" s="99"/>
      <c r="F671" s="71"/>
      <c r="G671" s="71"/>
      <c r="H671" s="71"/>
      <c r="I671" s="99"/>
      <c r="J671" s="99"/>
      <c r="K671" s="99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</row>
    <row r="672" spans="1:22" ht="14.25">
      <c r="A672" s="73"/>
      <c r="B672" s="78"/>
      <c r="C672" s="79"/>
      <c r="D672" s="76"/>
      <c r="E672" s="99"/>
      <c r="F672" s="71"/>
      <c r="G672" s="71"/>
      <c r="H672" s="71"/>
      <c r="I672" s="99"/>
      <c r="J672" s="99"/>
      <c r="K672" s="99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</row>
    <row r="673" spans="1:22" ht="14.25">
      <c r="A673" s="73"/>
      <c r="B673" s="78"/>
      <c r="C673" s="79"/>
      <c r="D673" s="76"/>
      <c r="E673" s="99"/>
      <c r="F673" s="71"/>
      <c r="G673" s="71"/>
      <c r="H673" s="71"/>
      <c r="I673" s="99"/>
      <c r="J673" s="99"/>
      <c r="K673" s="99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</row>
    <row r="674" spans="1:22" ht="14.25">
      <c r="A674" s="73"/>
      <c r="B674" s="78"/>
      <c r="C674" s="79"/>
      <c r="D674" s="76"/>
      <c r="E674" s="99"/>
      <c r="F674" s="71"/>
      <c r="G674" s="71"/>
      <c r="H674" s="71"/>
      <c r="I674" s="99"/>
      <c r="J674" s="99"/>
      <c r="K674" s="99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</row>
    <row r="675" spans="1:22" ht="14.25">
      <c r="A675" s="73"/>
      <c r="B675" s="78"/>
      <c r="C675" s="79"/>
      <c r="D675" s="76"/>
      <c r="E675" s="99"/>
      <c r="F675" s="71"/>
      <c r="G675" s="71"/>
      <c r="H675" s="71"/>
      <c r="I675" s="99"/>
      <c r="J675" s="99"/>
      <c r="K675" s="99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</row>
    <row r="676" spans="1:22" ht="14.25">
      <c r="A676" s="73"/>
      <c r="B676" s="78"/>
      <c r="C676" s="79"/>
      <c r="D676" s="76"/>
      <c r="E676" s="99"/>
      <c r="F676" s="71"/>
      <c r="G676" s="71"/>
      <c r="H676" s="71"/>
      <c r="I676" s="99"/>
      <c r="J676" s="99"/>
      <c r="K676" s="99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</row>
    <row r="677" spans="1:22" ht="14.25">
      <c r="A677" s="73"/>
      <c r="B677" s="78"/>
      <c r="C677" s="79"/>
      <c r="D677" s="76"/>
      <c r="E677" s="99"/>
      <c r="F677" s="71"/>
      <c r="G677" s="71"/>
      <c r="H677" s="71"/>
      <c r="I677" s="99"/>
      <c r="J677" s="99"/>
      <c r="K677" s="99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</row>
    <row r="678" spans="1:22" ht="14.25">
      <c r="A678" s="73"/>
      <c r="B678" s="78"/>
      <c r="C678" s="79"/>
      <c r="D678" s="76"/>
      <c r="E678" s="99"/>
      <c r="F678" s="71"/>
      <c r="G678" s="71"/>
      <c r="H678" s="71"/>
      <c r="I678" s="99"/>
      <c r="J678" s="99"/>
      <c r="K678" s="99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</row>
    <row r="679" spans="1:22" ht="14.25">
      <c r="A679" s="73"/>
      <c r="B679" s="78"/>
      <c r="C679" s="79"/>
      <c r="D679" s="76"/>
      <c r="E679" s="99"/>
      <c r="F679" s="71"/>
      <c r="G679" s="71"/>
      <c r="H679" s="71"/>
      <c r="I679" s="99"/>
      <c r="J679" s="99"/>
      <c r="K679" s="99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</row>
    <row r="680" spans="1:22" ht="14.25">
      <c r="A680" s="73"/>
      <c r="B680" s="78"/>
      <c r="C680" s="79"/>
      <c r="D680" s="76"/>
      <c r="E680" s="99"/>
      <c r="F680" s="71"/>
      <c r="G680" s="71"/>
      <c r="H680" s="71"/>
      <c r="I680" s="99"/>
      <c r="J680" s="99"/>
      <c r="K680" s="99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</row>
    <row r="681" spans="1:22" ht="14.25">
      <c r="A681" s="73"/>
      <c r="B681" s="78"/>
      <c r="C681" s="79"/>
      <c r="D681" s="76"/>
      <c r="E681" s="99"/>
      <c r="F681" s="71"/>
      <c r="G681" s="71"/>
      <c r="H681" s="71"/>
      <c r="I681" s="99"/>
      <c r="J681" s="99"/>
      <c r="K681" s="99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</row>
    <row r="682" spans="1:22" ht="14.25">
      <c r="A682" s="73"/>
      <c r="B682" s="78"/>
      <c r="C682" s="79"/>
      <c r="D682" s="76"/>
      <c r="E682" s="99"/>
      <c r="F682" s="71"/>
      <c r="G682" s="71"/>
      <c r="H682" s="71"/>
      <c r="I682" s="99"/>
      <c r="J682" s="99"/>
      <c r="K682" s="99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</row>
    <row r="683" spans="1:22" ht="14.25">
      <c r="A683" s="73"/>
      <c r="B683" s="78"/>
      <c r="C683" s="79"/>
      <c r="D683" s="76"/>
      <c r="E683" s="99"/>
      <c r="F683" s="71"/>
      <c r="G683" s="71"/>
      <c r="H683" s="71"/>
      <c r="I683" s="99"/>
      <c r="J683" s="99"/>
      <c r="K683" s="99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</row>
    <row r="684" spans="1:22" ht="14.25">
      <c r="A684" s="73"/>
      <c r="B684" s="78"/>
      <c r="C684" s="79"/>
      <c r="D684" s="76"/>
      <c r="E684" s="99"/>
      <c r="F684" s="71"/>
      <c r="G684" s="71"/>
      <c r="H684" s="71"/>
      <c r="I684" s="99"/>
      <c r="J684" s="99"/>
      <c r="K684" s="99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</row>
    <row r="685" spans="1:22" ht="14.25">
      <c r="A685" s="73"/>
      <c r="B685" s="78"/>
      <c r="C685" s="79"/>
      <c r="D685" s="76"/>
      <c r="E685" s="99"/>
      <c r="F685" s="71"/>
      <c r="G685" s="71"/>
      <c r="H685" s="71"/>
      <c r="I685" s="99"/>
      <c r="J685" s="99"/>
      <c r="K685" s="99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</row>
    <row r="686" spans="1:22" ht="14.25">
      <c r="A686" s="73"/>
      <c r="B686" s="78"/>
      <c r="C686" s="79"/>
      <c r="D686" s="76"/>
      <c r="E686" s="99"/>
      <c r="F686" s="71"/>
      <c r="G686" s="71"/>
      <c r="H686" s="71"/>
      <c r="I686" s="99"/>
      <c r="J686" s="99"/>
      <c r="K686" s="99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</row>
    <row r="687" spans="1:22" ht="14.25">
      <c r="A687" s="73"/>
      <c r="B687" s="78"/>
      <c r="C687" s="79"/>
      <c r="D687" s="76"/>
      <c r="E687" s="99"/>
      <c r="F687" s="71"/>
      <c r="G687" s="71"/>
      <c r="H687" s="71"/>
      <c r="I687" s="99"/>
      <c r="J687" s="99"/>
      <c r="K687" s="99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</row>
    <row r="688" spans="1:22" ht="14.25">
      <c r="A688" s="73"/>
      <c r="B688" s="78"/>
      <c r="C688" s="79"/>
      <c r="D688" s="76"/>
      <c r="E688" s="99"/>
      <c r="F688" s="71"/>
      <c r="G688" s="71"/>
      <c r="H688" s="71"/>
      <c r="I688" s="99"/>
      <c r="J688" s="99"/>
      <c r="K688" s="99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</row>
    <row r="689" spans="1:22" ht="14.25">
      <c r="A689" s="73"/>
      <c r="B689" s="78"/>
      <c r="C689" s="79"/>
      <c r="D689" s="76"/>
      <c r="E689" s="99"/>
      <c r="F689" s="71"/>
      <c r="G689" s="71"/>
      <c r="H689" s="71"/>
      <c r="I689" s="99"/>
      <c r="J689" s="99"/>
      <c r="K689" s="99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</row>
    <row r="690" spans="1:22" ht="14.25">
      <c r="A690" s="73"/>
      <c r="B690" s="78"/>
      <c r="C690" s="79"/>
      <c r="D690" s="76"/>
      <c r="E690" s="99"/>
      <c r="F690" s="71"/>
      <c r="G690" s="71"/>
      <c r="H690" s="71"/>
      <c r="I690" s="99"/>
      <c r="J690" s="99"/>
      <c r="K690" s="99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</row>
    <row r="691" spans="1:22" ht="14.25">
      <c r="A691" s="73"/>
      <c r="B691" s="78"/>
      <c r="C691" s="79"/>
      <c r="D691" s="76"/>
      <c r="E691" s="99"/>
      <c r="F691" s="71"/>
      <c r="G691" s="71"/>
      <c r="H691" s="71"/>
      <c r="I691" s="99"/>
      <c r="J691" s="99"/>
      <c r="K691" s="99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</row>
    <row r="692" spans="1:22" ht="14.25">
      <c r="A692" s="73"/>
      <c r="B692" s="78"/>
      <c r="C692" s="79"/>
      <c r="D692" s="76"/>
      <c r="E692" s="99"/>
      <c r="F692" s="71"/>
      <c r="G692" s="71"/>
      <c r="H692" s="71"/>
      <c r="I692" s="99"/>
      <c r="J692" s="99"/>
      <c r="K692" s="99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</row>
    <row r="693" spans="1:22" ht="14.25">
      <c r="A693" s="73"/>
      <c r="B693" s="78"/>
      <c r="C693" s="79"/>
      <c r="D693" s="76"/>
      <c r="E693" s="99"/>
      <c r="F693" s="71"/>
      <c r="G693" s="71"/>
      <c r="H693" s="71"/>
      <c r="I693" s="99"/>
      <c r="J693" s="99"/>
      <c r="K693" s="99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</row>
    <row r="694" spans="1:22" ht="14.25">
      <c r="A694" s="73"/>
      <c r="B694" s="78"/>
      <c r="C694" s="79"/>
      <c r="D694" s="76"/>
      <c r="E694" s="99"/>
      <c r="F694" s="71"/>
      <c r="G694" s="71"/>
      <c r="H694" s="71"/>
      <c r="I694" s="99"/>
      <c r="J694" s="99"/>
      <c r="K694" s="99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</row>
    <row r="695" spans="1:22" ht="14.25">
      <c r="A695" s="73"/>
      <c r="B695" s="78"/>
      <c r="C695" s="79"/>
      <c r="D695" s="76"/>
      <c r="E695" s="99"/>
      <c r="F695" s="71"/>
      <c r="G695" s="71"/>
      <c r="H695" s="71"/>
      <c r="I695" s="99"/>
      <c r="J695" s="99"/>
      <c r="K695" s="99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</row>
    <row r="696" spans="1:22" ht="14.25">
      <c r="A696" s="73"/>
      <c r="B696" s="78"/>
      <c r="C696" s="79"/>
      <c r="D696" s="76"/>
      <c r="E696" s="99"/>
      <c r="F696" s="71"/>
      <c r="G696" s="71"/>
      <c r="H696" s="71"/>
      <c r="I696" s="99"/>
      <c r="J696" s="99"/>
      <c r="K696" s="99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</row>
    <row r="697" spans="1:22" ht="14.25">
      <c r="A697" s="73"/>
      <c r="B697" s="78"/>
      <c r="C697" s="79"/>
      <c r="D697" s="76"/>
      <c r="E697" s="99"/>
      <c r="F697" s="71"/>
      <c r="G697" s="71"/>
      <c r="H697" s="71"/>
      <c r="I697" s="99"/>
      <c r="J697" s="99"/>
      <c r="K697" s="99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</row>
    <row r="698" spans="1:22" ht="14.25">
      <c r="A698" s="73"/>
      <c r="B698" s="78"/>
      <c r="C698" s="79"/>
      <c r="D698" s="76"/>
      <c r="E698" s="99"/>
      <c r="F698" s="71"/>
      <c r="G698" s="71"/>
      <c r="H698" s="71"/>
      <c r="I698" s="99"/>
      <c r="J698" s="99"/>
      <c r="K698" s="99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</row>
    <row r="699" spans="1:22" ht="14.25">
      <c r="A699" s="73"/>
      <c r="B699" s="78"/>
      <c r="C699" s="79"/>
      <c r="D699" s="76"/>
      <c r="E699" s="99"/>
      <c r="F699" s="71"/>
      <c r="G699" s="71"/>
      <c r="H699" s="71"/>
      <c r="I699" s="99"/>
      <c r="J699" s="99"/>
      <c r="K699" s="99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</row>
    <row r="700" spans="1:22" ht="14.25">
      <c r="A700" s="73"/>
      <c r="B700" s="78"/>
      <c r="C700" s="79"/>
      <c r="D700" s="76"/>
      <c r="E700" s="99"/>
      <c r="F700" s="71"/>
      <c r="G700" s="71"/>
      <c r="H700" s="71"/>
      <c r="I700" s="99"/>
      <c r="J700" s="99"/>
      <c r="K700" s="99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</row>
    <row r="701" spans="1:22" ht="14.25">
      <c r="A701" s="73"/>
      <c r="B701" s="78"/>
      <c r="C701" s="79"/>
      <c r="D701" s="76"/>
      <c r="E701" s="99"/>
      <c r="F701" s="71"/>
      <c r="G701" s="71"/>
      <c r="H701" s="71"/>
      <c r="I701" s="99"/>
      <c r="J701" s="99"/>
      <c r="K701" s="99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</row>
    <row r="702" spans="1:22" ht="14.25">
      <c r="A702" s="73"/>
      <c r="B702" s="78"/>
      <c r="C702" s="79"/>
      <c r="D702" s="76"/>
      <c r="E702" s="99"/>
      <c r="F702" s="71"/>
      <c r="G702" s="71"/>
      <c r="H702" s="71"/>
      <c r="I702" s="99"/>
      <c r="J702" s="99"/>
      <c r="K702" s="99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</row>
    <row r="703" spans="1:22" ht="14.25">
      <c r="A703" s="73"/>
      <c r="B703" s="78"/>
      <c r="C703" s="79"/>
      <c r="D703" s="76"/>
      <c r="E703" s="99"/>
      <c r="F703" s="71"/>
      <c r="G703" s="71"/>
      <c r="H703" s="71"/>
      <c r="I703" s="99"/>
      <c r="J703" s="99"/>
      <c r="K703" s="99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</row>
    <row r="704" spans="1:22" ht="14.25">
      <c r="A704" s="73"/>
      <c r="B704" s="78"/>
      <c r="C704" s="79"/>
      <c r="D704" s="76"/>
      <c r="E704" s="99"/>
      <c r="F704" s="71"/>
      <c r="G704" s="71"/>
      <c r="H704" s="71"/>
      <c r="I704" s="99"/>
      <c r="J704" s="99"/>
      <c r="K704" s="99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</row>
    <row r="705" spans="1:22" ht="14.25">
      <c r="A705" s="73"/>
      <c r="B705" s="78"/>
      <c r="C705" s="79"/>
      <c r="D705" s="76"/>
      <c r="E705" s="99"/>
      <c r="F705" s="71"/>
      <c r="G705" s="71"/>
      <c r="H705" s="71"/>
      <c r="I705" s="99"/>
      <c r="J705" s="99"/>
      <c r="K705" s="99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</row>
    <row r="706" spans="1:22" ht="14.25">
      <c r="A706" s="73"/>
      <c r="B706" s="78"/>
      <c r="C706" s="79"/>
      <c r="D706" s="76"/>
      <c r="E706" s="99"/>
      <c r="F706" s="71"/>
      <c r="G706" s="71"/>
      <c r="H706" s="71"/>
      <c r="I706" s="99"/>
      <c r="J706" s="99"/>
      <c r="K706" s="99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</row>
    <row r="707" spans="1:22" ht="14.25">
      <c r="A707" s="73"/>
      <c r="B707" s="78"/>
      <c r="C707" s="79"/>
      <c r="D707" s="76"/>
      <c r="E707" s="99"/>
      <c r="F707" s="71"/>
      <c r="G707" s="71"/>
      <c r="H707" s="71"/>
      <c r="I707" s="99"/>
      <c r="J707" s="99"/>
      <c r="K707" s="99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</row>
    <row r="708" spans="1:22" ht="14.25">
      <c r="A708" s="73"/>
      <c r="B708" s="78"/>
      <c r="C708" s="79"/>
      <c r="D708" s="76"/>
      <c r="E708" s="99"/>
      <c r="F708" s="71"/>
      <c r="G708" s="71"/>
      <c r="H708" s="71"/>
      <c r="I708" s="99"/>
      <c r="J708" s="99"/>
      <c r="K708" s="99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</row>
    <row r="709" spans="1:22" ht="14.25">
      <c r="A709" s="73"/>
      <c r="B709" s="78"/>
      <c r="C709" s="79"/>
      <c r="D709" s="76"/>
      <c r="E709" s="99"/>
      <c r="F709" s="71"/>
      <c r="G709" s="71"/>
      <c r="H709" s="71"/>
      <c r="I709" s="99"/>
      <c r="J709" s="99"/>
      <c r="K709" s="99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</row>
    <row r="710" spans="1:22" ht="14.25">
      <c r="A710" s="73"/>
      <c r="B710" s="78"/>
      <c r="C710" s="79"/>
      <c r="D710" s="76"/>
      <c r="E710" s="99"/>
      <c r="F710" s="71"/>
      <c r="G710" s="71"/>
      <c r="H710" s="71"/>
      <c r="I710" s="99"/>
      <c r="J710" s="99"/>
      <c r="K710" s="99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</row>
    <row r="711" spans="1:22" ht="14.25">
      <c r="A711" s="73"/>
      <c r="B711" s="78"/>
      <c r="C711" s="79"/>
      <c r="D711" s="76"/>
      <c r="E711" s="99"/>
      <c r="F711" s="71"/>
      <c r="G711" s="71"/>
      <c r="H711" s="71"/>
      <c r="I711" s="99"/>
      <c r="J711" s="99"/>
      <c r="K711" s="99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</row>
    <row r="712" spans="1:22" ht="14.25">
      <c r="A712" s="73"/>
      <c r="B712" s="78"/>
      <c r="C712" s="79"/>
      <c r="D712" s="76"/>
      <c r="E712" s="99"/>
      <c r="F712" s="71"/>
      <c r="G712" s="71"/>
      <c r="H712" s="71"/>
      <c r="I712" s="99"/>
      <c r="J712" s="99"/>
      <c r="K712" s="99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</row>
    <row r="713" spans="1:22" ht="14.25">
      <c r="A713" s="73"/>
      <c r="B713" s="78"/>
      <c r="C713" s="79"/>
      <c r="D713" s="76"/>
      <c r="E713" s="99"/>
      <c r="F713" s="71"/>
      <c r="G713" s="71"/>
      <c r="H713" s="71"/>
      <c r="I713" s="99"/>
      <c r="J713" s="99"/>
      <c r="K713" s="99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</row>
    <row r="714" spans="1:22" ht="14.25">
      <c r="A714" s="73"/>
      <c r="B714" s="78"/>
      <c r="C714" s="79"/>
      <c r="D714" s="76"/>
      <c r="E714" s="99"/>
      <c r="F714" s="71"/>
      <c r="G714" s="71"/>
      <c r="H714" s="71"/>
      <c r="I714" s="99"/>
      <c r="J714" s="99"/>
      <c r="K714" s="99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</row>
    <row r="715" spans="1:22" ht="14.25">
      <c r="A715" s="73"/>
      <c r="B715" s="78"/>
      <c r="C715" s="79"/>
      <c r="D715" s="76"/>
      <c r="E715" s="99"/>
      <c r="F715" s="71"/>
      <c r="G715" s="71"/>
      <c r="H715" s="71"/>
      <c r="I715" s="99"/>
      <c r="J715" s="99"/>
      <c r="K715" s="99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</row>
    <row r="716" spans="1:22" ht="14.25">
      <c r="A716" s="73"/>
      <c r="B716" s="78"/>
      <c r="C716" s="79"/>
      <c r="D716" s="76"/>
      <c r="E716" s="99"/>
      <c r="F716" s="71"/>
      <c r="G716" s="71"/>
      <c r="H716" s="71"/>
      <c r="I716" s="99"/>
      <c r="J716" s="99"/>
      <c r="K716" s="99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</row>
    <row r="717" spans="1:22" ht="14.25">
      <c r="A717" s="73"/>
      <c r="B717" s="78"/>
      <c r="C717" s="79"/>
      <c r="D717" s="76"/>
      <c r="E717" s="99"/>
      <c r="F717" s="71"/>
      <c r="G717" s="71"/>
      <c r="H717" s="71"/>
      <c r="I717" s="99"/>
      <c r="J717" s="99"/>
      <c r="K717" s="99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</row>
    <row r="718" spans="1:22" ht="14.25">
      <c r="A718" s="73"/>
      <c r="B718" s="78"/>
      <c r="C718" s="79"/>
      <c r="D718" s="76"/>
      <c r="E718" s="99"/>
      <c r="F718" s="71"/>
      <c r="G718" s="71"/>
      <c r="H718" s="71"/>
      <c r="I718" s="99"/>
      <c r="J718" s="99"/>
      <c r="K718" s="99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</row>
    <row r="719" spans="1:22" ht="14.25">
      <c r="A719" s="73"/>
      <c r="B719" s="78"/>
      <c r="C719" s="79"/>
      <c r="D719" s="76"/>
      <c r="E719" s="99"/>
      <c r="F719" s="71"/>
      <c r="G719" s="71"/>
      <c r="H719" s="71"/>
      <c r="I719" s="99"/>
      <c r="J719" s="99"/>
      <c r="K719" s="99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</row>
    <row r="720" spans="1:22" ht="14.25">
      <c r="A720" s="73"/>
      <c r="B720" s="78"/>
      <c r="C720" s="79"/>
      <c r="D720" s="76"/>
      <c r="E720" s="99"/>
      <c r="F720" s="71"/>
      <c r="G720" s="71"/>
      <c r="H720" s="71"/>
      <c r="I720" s="99"/>
      <c r="J720" s="99"/>
      <c r="K720" s="99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</row>
    <row r="721" spans="1:22" ht="14.25">
      <c r="A721" s="73"/>
      <c r="B721" s="78"/>
      <c r="C721" s="79"/>
      <c r="D721" s="76"/>
      <c r="E721" s="99"/>
      <c r="F721" s="71"/>
      <c r="G721" s="71"/>
      <c r="H721" s="71"/>
      <c r="I721" s="99"/>
      <c r="J721" s="99"/>
      <c r="K721" s="99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</row>
    <row r="722" spans="1:22" ht="14.25">
      <c r="A722" s="73"/>
      <c r="B722" s="78"/>
      <c r="C722" s="79"/>
      <c r="D722" s="76"/>
      <c r="E722" s="99"/>
      <c r="F722" s="71"/>
      <c r="G722" s="71"/>
      <c r="H722" s="71"/>
      <c r="I722" s="99"/>
      <c r="J722" s="99"/>
      <c r="K722" s="99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</row>
    <row r="723" spans="1:22" ht="14.25">
      <c r="A723" s="73"/>
      <c r="B723" s="78"/>
      <c r="C723" s="79"/>
      <c r="D723" s="76"/>
      <c r="E723" s="99"/>
      <c r="F723" s="71"/>
      <c r="G723" s="71"/>
      <c r="H723" s="71"/>
      <c r="I723" s="99"/>
      <c r="J723" s="99"/>
      <c r="K723" s="99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</row>
    <row r="724" spans="1:22" ht="14.25">
      <c r="A724" s="73"/>
      <c r="B724" s="78"/>
      <c r="C724" s="79"/>
      <c r="D724" s="76"/>
      <c r="E724" s="99"/>
      <c r="F724" s="71"/>
      <c r="G724" s="71"/>
      <c r="H724" s="71"/>
      <c r="I724" s="99"/>
      <c r="J724" s="99"/>
      <c r="K724" s="99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</row>
    <row r="725" spans="1:22" ht="14.25">
      <c r="A725" s="73"/>
      <c r="B725" s="78"/>
      <c r="C725" s="79"/>
      <c r="D725" s="76"/>
      <c r="E725" s="99"/>
      <c r="F725" s="71"/>
      <c r="G725" s="71"/>
      <c r="H725" s="71"/>
      <c r="I725" s="99"/>
      <c r="J725" s="99"/>
      <c r="K725" s="99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</row>
    <row r="726" spans="1:22" ht="14.25">
      <c r="A726" s="73"/>
      <c r="B726" s="78"/>
      <c r="C726" s="79"/>
      <c r="D726" s="76"/>
      <c r="E726" s="99"/>
      <c r="F726" s="71"/>
      <c r="G726" s="71"/>
      <c r="H726" s="71"/>
      <c r="I726" s="99"/>
      <c r="J726" s="99"/>
      <c r="K726" s="99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</row>
    <row r="727" spans="1:22" ht="14.25">
      <c r="A727" s="73"/>
      <c r="B727" s="78"/>
      <c r="C727" s="79"/>
      <c r="D727" s="76"/>
      <c r="E727" s="99"/>
      <c r="F727" s="71"/>
      <c r="G727" s="71"/>
      <c r="H727" s="71"/>
      <c r="I727" s="99"/>
      <c r="J727" s="99"/>
      <c r="K727" s="99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</row>
    <row r="728" spans="1:22" ht="14.25">
      <c r="A728" s="73"/>
      <c r="B728" s="78"/>
      <c r="C728" s="79"/>
      <c r="D728" s="76"/>
      <c r="E728" s="99"/>
      <c r="F728" s="71"/>
      <c r="G728" s="71"/>
      <c r="H728" s="71"/>
      <c r="I728" s="99"/>
      <c r="J728" s="99"/>
      <c r="K728" s="99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</row>
    <row r="729" spans="1:22" ht="14.25">
      <c r="A729" s="73"/>
      <c r="B729" s="78"/>
      <c r="C729" s="79"/>
      <c r="D729" s="76"/>
      <c r="E729" s="99"/>
      <c r="F729" s="71"/>
      <c r="G729" s="71"/>
      <c r="H729" s="71"/>
      <c r="I729" s="99"/>
      <c r="J729" s="99"/>
      <c r="K729" s="99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</row>
    <row r="730" spans="1:22" ht="14.25">
      <c r="A730" s="73"/>
      <c r="B730" s="78"/>
      <c r="C730" s="79"/>
      <c r="D730" s="76"/>
      <c r="E730" s="99"/>
      <c r="F730" s="71"/>
      <c r="G730" s="71"/>
      <c r="H730" s="71"/>
      <c r="I730" s="99"/>
      <c r="J730" s="99"/>
      <c r="K730" s="99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</row>
    <row r="731" spans="1:22" ht="14.25">
      <c r="A731" s="73"/>
      <c r="B731" s="78"/>
      <c r="C731" s="79"/>
      <c r="D731" s="76"/>
      <c r="E731" s="99"/>
      <c r="F731" s="71"/>
      <c r="G731" s="71"/>
      <c r="H731" s="71"/>
      <c r="I731" s="99"/>
      <c r="J731" s="99"/>
      <c r="K731" s="99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</row>
    <row r="732" spans="1:22" ht="14.25">
      <c r="A732" s="73"/>
      <c r="B732" s="78"/>
      <c r="C732" s="79"/>
      <c r="D732" s="76"/>
      <c r="E732" s="99"/>
      <c r="F732" s="71"/>
      <c r="G732" s="71"/>
      <c r="H732" s="71"/>
      <c r="I732" s="99"/>
      <c r="J732" s="99"/>
      <c r="K732" s="99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</row>
    <row r="733" spans="1:22" ht="14.25">
      <c r="A733" s="73"/>
      <c r="B733" s="78"/>
      <c r="C733" s="79"/>
      <c r="D733" s="76"/>
      <c r="E733" s="99"/>
      <c r="F733" s="71"/>
      <c r="G733" s="71"/>
      <c r="H733" s="71"/>
      <c r="I733" s="99"/>
      <c r="J733" s="99"/>
      <c r="K733" s="99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</row>
    <row r="734" spans="1:22" ht="14.25">
      <c r="A734" s="73"/>
      <c r="B734" s="78"/>
      <c r="C734" s="79"/>
      <c r="D734" s="76"/>
      <c r="E734" s="99"/>
      <c r="F734" s="71"/>
      <c r="G734" s="71"/>
      <c r="H734" s="71"/>
      <c r="I734" s="99"/>
      <c r="J734" s="99"/>
      <c r="K734" s="99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</row>
    <row r="735" spans="1:22" ht="14.25">
      <c r="A735" s="73"/>
      <c r="B735" s="78"/>
      <c r="C735" s="79"/>
      <c r="D735" s="76"/>
      <c r="E735" s="99"/>
      <c r="F735" s="71"/>
      <c r="G735" s="71"/>
      <c r="H735" s="71"/>
      <c r="I735" s="99"/>
      <c r="J735" s="99"/>
      <c r="K735" s="99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</row>
    <row r="736" spans="1:22" ht="14.25">
      <c r="A736" s="73"/>
      <c r="B736" s="78"/>
      <c r="C736" s="79"/>
      <c r="D736" s="76"/>
      <c r="E736" s="99"/>
      <c r="F736" s="71"/>
      <c r="G736" s="71"/>
      <c r="H736" s="71"/>
      <c r="I736" s="99"/>
      <c r="J736" s="99"/>
      <c r="K736" s="99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</row>
    <row r="737" spans="1:22" ht="14.25">
      <c r="A737" s="73"/>
      <c r="B737" s="78"/>
      <c r="C737" s="79"/>
      <c r="D737" s="76"/>
      <c r="E737" s="99"/>
      <c r="F737" s="71"/>
      <c r="G737" s="71"/>
      <c r="H737" s="71"/>
      <c r="I737" s="99"/>
      <c r="J737" s="99"/>
      <c r="K737" s="99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</row>
    <row r="738" spans="1:22" ht="14.25">
      <c r="A738" s="73"/>
      <c r="B738" s="78"/>
      <c r="C738" s="79"/>
      <c r="D738" s="76"/>
      <c r="E738" s="99"/>
      <c r="F738" s="71"/>
      <c r="G738" s="71"/>
      <c r="H738" s="71"/>
      <c r="I738" s="99"/>
      <c r="J738" s="99"/>
      <c r="K738" s="99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</row>
    <row r="739" spans="1:22" ht="14.25">
      <c r="A739" s="73"/>
      <c r="B739" s="78"/>
      <c r="C739" s="79"/>
      <c r="D739" s="76"/>
      <c r="E739" s="99"/>
      <c r="F739" s="71"/>
      <c r="G739" s="71"/>
      <c r="H739" s="71"/>
      <c r="I739" s="99"/>
      <c r="J739" s="99"/>
      <c r="K739" s="99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</row>
    <row r="740" spans="1:22" ht="14.25">
      <c r="A740" s="73"/>
      <c r="B740" s="78"/>
      <c r="C740" s="79"/>
      <c r="D740" s="76"/>
      <c r="E740" s="99"/>
      <c r="F740" s="71"/>
      <c r="G740" s="71"/>
      <c r="H740" s="71"/>
      <c r="I740" s="99"/>
      <c r="J740" s="99"/>
      <c r="K740" s="99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</row>
    <row r="741" spans="1:22" ht="14.25">
      <c r="A741" s="73"/>
      <c r="B741" s="78"/>
      <c r="C741" s="79"/>
      <c r="D741" s="76"/>
      <c r="E741" s="99"/>
      <c r="F741" s="71"/>
      <c r="G741" s="71"/>
      <c r="H741" s="71"/>
      <c r="I741" s="99"/>
      <c r="J741" s="99"/>
      <c r="K741" s="99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</row>
    <row r="742" spans="1:22" ht="14.25">
      <c r="A742" s="73"/>
      <c r="B742" s="78"/>
      <c r="C742" s="79"/>
      <c r="D742" s="76"/>
      <c r="E742" s="99"/>
      <c r="F742" s="71"/>
      <c r="G742" s="71"/>
      <c r="H742" s="71"/>
      <c r="I742" s="99"/>
      <c r="J742" s="99"/>
      <c r="K742" s="99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</row>
    <row r="743" spans="1:22" ht="14.25">
      <c r="A743" s="73"/>
      <c r="B743" s="78"/>
      <c r="C743" s="79"/>
      <c r="D743" s="76"/>
      <c r="E743" s="99"/>
      <c r="F743" s="71"/>
      <c r="G743" s="71"/>
      <c r="H743" s="71"/>
      <c r="I743" s="99"/>
      <c r="J743" s="99"/>
      <c r="K743" s="99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</row>
    <row r="744" spans="1:22" ht="14.25">
      <c r="A744" s="73"/>
      <c r="B744" s="78"/>
      <c r="C744" s="79"/>
      <c r="D744" s="76"/>
      <c r="E744" s="99"/>
      <c r="F744" s="71"/>
      <c r="G744" s="71"/>
      <c r="H744" s="71"/>
      <c r="I744" s="99"/>
      <c r="J744" s="99"/>
      <c r="K744" s="99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</row>
    <row r="745" spans="1:22" ht="14.25">
      <c r="A745" s="73"/>
      <c r="B745" s="78"/>
      <c r="C745" s="79"/>
      <c r="D745" s="76"/>
      <c r="E745" s="99"/>
      <c r="F745" s="71"/>
      <c r="G745" s="71"/>
      <c r="H745" s="71"/>
      <c r="I745" s="99"/>
      <c r="J745" s="99"/>
      <c r="K745" s="99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</row>
    <row r="746" spans="1:22" ht="14.25">
      <c r="A746" s="73"/>
      <c r="B746" s="78"/>
      <c r="C746" s="79"/>
      <c r="D746" s="76"/>
      <c r="E746" s="99"/>
      <c r="F746" s="71"/>
      <c r="G746" s="71"/>
      <c r="H746" s="71"/>
      <c r="I746" s="99"/>
      <c r="J746" s="99"/>
      <c r="K746" s="99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</row>
    <row r="747" spans="1:22" ht="14.25">
      <c r="A747" s="73"/>
      <c r="B747" s="78"/>
      <c r="C747" s="79"/>
      <c r="D747" s="76"/>
      <c r="E747" s="99"/>
      <c r="F747" s="71"/>
      <c r="G747" s="71"/>
      <c r="H747" s="71"/>
      <c r="I747" s="99"/>
      <c r="J747" s="99"/>
      <c r="K747" s="99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</row>
    <row r="748" spans="1:22" ht="14.25">
      <c r="A748" s="73"/>
      <c r="B748" s="78"/>
      <c r="C748" s="79"/>
      <c r="D748" s="76"/>
      <c r="E748" s="99"/>
      <c r="F748" s="71"/>
      <c r="G748" s="71"/>
      <c r="H748" s="71"/>
      <c r="I748" s="99"/>
      <c r="J748" s="99"/>
      <c r="K748" s="99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</row>
    <row r="749" spans="1:22" ht="14.25">
      <c r="A749" s="73"/>
      <c r="B749" s="78"/>
      <c r="C749" s="79"/>
      <c r="D749" s="76"/>
      <c r="E749" s="99"/>
      <c r="F749" s="71"/>
      <c r="G749" s="71"/>
      <c r="H749" s="71"/>
      <c r="I749" s="99"/>
      <c r="J749" s="99"/>
      <c r="K749" s="99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</row>
    <row r="750" spans="1:22" ht="14.25">
      <c r="A750" s="73"/>
      <c r="B750" s="78"/>
      <c r="C750" s="79"/>
      <c r="D750" s="76"/>
      <c r="E750" s="99"/>
      <c r="F750" s="71"/>
      <c r="G750" s="71"/>
      <c r="H750" s="71"/>
      <c r="I750" s="99"/>
      <c r="J750" s="99"/>
      <c r="K750" s="99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</row>
    <row r="751" spans="1:22" ht="14.25">
      <c r="A751" s="73"/>
      <c r="B751" s="78"/>
      <c r="C751" s="79"/>
      <c r="D751" s="76"/>
      <c r="E751" s="99"/>
      <c r="F751" s="71"/>
      <c r="G751" s="71"/>
      <c r="H751" s="71"/>
      <c r="I751" s="99"/>
      <c r="J751" s="99"/>
      <c r="K751" s="99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</row>
    <row r="752" spans="1:22" ht="14.25">
      <c r="A752" s="73"/>
      <c r="B752" s="78"/>
      <c r="C752" s="79"/>
      <c r="D752" s="76"/>
      <c r="E752" s="99"/>
      <c r="F752" s="71"/>
      <c r="G752" s="71"/>
      <c r="H752" s="71"/>
      <c r="I752" s="99"/>
      <c r="J752" s="99"/>
      <c r="K752" s="99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</row>
    <row r="753" spans="1:22" ht="14.25">
      <c r="A753" s="73"/>
      <c r="B753" s="78"/>
      <c r="C753" s="79"/>
      <c r="D753" s="76"/>
      <c r="E753" s="99"/>
      <c r="F753" s="71"/>
      <c r="G753" s="71"/>
      <c r="H753" s="71"/>
      <c r="I753" s="99"/>
      <c r="J753" s="99"/>
      <c r="K753" s="99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</row>
    <row r="754" spans="1:22" ht="14.25">
      <c r="A754" s="73"/>
      <c r="B754" s="78"/>
      <c r="C754" s="79"/>
      <c r="D754" s="76"/>
      <c r="E754" s="99"/>
      <c r="F754" s="71"/>
      <c r="G754" s="71"/>
      <c r="H754" s="71"/>
      <c r="I754" s="99"/>
      <c r="J754" s="99"/>
      <c r="K754" s="99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</row>
    <row r="755" spans="1:22" ht="14.25">
      <c r="A755" s="73"/>
      <c r="B755" s="78"/>
      <c r="C755" s="79"/>
      <c r="D755" s="76"/>
      <c r="E755" s="99"/>
      <c r="F755" s="71"/>
      <c r="G755" s="71"/>
      <c r="H755" s="71"/>
      <c r="I755" s="99"/>
      <c r="J755" s="99"/>
      <c r="K755" s="99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</row>
    <row r="756" spans="1:22" ht="14.25">
      <c r="A756" s="73"/>
      <c r="B756" s="78"/>
      <c r="C756" s="79"/>
      <c r="D756" s="76"/>
      <c r="E756" s="99"/>
      <c r="F756" s="71"/>
      <c r="G756" s="71"/>
      <c r="H756" s="71"/>
      <c r="I756" s="99"/>
      <c r="J756" s="99"/>
      <c r="K756" s="99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</row>
    <row r="757" spans="1:22" ht="14.25">
      <c r="A757" s="73"/>
      <c r="B757" s="78"/>
      <c r="C757" s="79"/>
      <c r="D757" s="76"/>
      <c r="E757" s="99"/>
      <c r="F757" s="71"/>
      <c r="G757" s="71"/>
      <c r="H757" s="71"/>
      <c r="I757" s="99"/>
      <c r="J757" s="99"/>
      <c r="K757" s="99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</row>
    <row r="758" spans="1:22" ht="14.25">
      <c r="A758" s="73"/>
      <c r="B758" s="78"/>
      <c r="C758" s="79"/>
      <c r="D758" s="76"/>
      <c r="E758" s="99"/>
      <c r="F758" s="71"/>
      <c r="G758" s="71"/>
      <c r="H758" s="71"/>
      <c r="I758" s="99"/>
      <c r="J758" s="99"/>
      <c r="K758" s="99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</row>
    <row r="759" spans="1:22" ht="14.25">
      <c r="A759" s="73"/>
      <c r="B759" s="78"/>
      <c r="C759" s="79"/>
      <c r="D759" s="76"/>
      <c r="E759" s="99"/>
      <c r="F759" s="71"/>
      <c r="G759" s="71"/>
      <c r="H759" s="71"/>
      <c r="I759" s="99"/>
      <c r="J759" s="99"/>
      <c r="K759" s="99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</row>
    <row r="760" spans="1:22" ht="14.25">
      <c r="A760" s="73"/>
      <c r="B760" s="78"/>
      <c r="C760" s="79"/>
      <c r="D760" s="76"/>
      <c r="E760" s="99"/>
      <c r="F760" s="71"/>
      <c r="G760" s="71"/>
      <c r="H760" s="71"/>
      <c r="I760" s="99"/>
      <c r="J760" s="99"/>
      <c r="K760" s="99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</row>
    <row r="761" spans="1:22" ht="14.25">
      <c r="A761" s="73"/>
      <c r="B761" s="78"/>
      <c r="C761" s="79"/>
      <c r="D761" s="76"/>
      <c r="E761" s="99"/>
      <c r="F761" s="71"/>
      <c r="G761" s="71"/>
      <c r="H761" s="71"/>
      <c r="I761" s="99"/>
      <c r="J761" s="99"/>
      <c r="K761" s="99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</row>
    <row r="762" spans="1:22" ht="14.25">
      <c r="A762" s="73"/>
      <c r="B762" s="78"/>
      <c r="C762" s="79"/>
      <c r="D762" s="76"/>
      <c r="E762" s="99"/>
      <c r="F762" s="71"/>
      <c r="G762" s="71"/>
      <c r="H762" s="71"/>
      <c r="I762" s="99"/>
      <c r="J762" s="99"/>
      <c r="K762" s="99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</row>
    <row r="763" spans="1:22" ht="14.25">
      <c r="A763" s="73"/>
      <c r="B763" s="78"/>
      <c r="C763" s="79"/>
      <c r="D763" s="76"/>
      <c r="E763" s="99"/>
      <c r="F763" s="71"/>
      <c r="G763" s="71"/>
      <c r="H763" s="71"/>
      <c r="I763" s="99"/>
      <c r="J763" s="99"/>
      <c r="K763" s="99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</row>
    <row r="764" spans="1:22" ht="14.25">
      <c r="A764" s="73"/>
      <c r="B764" s="78"/>
      <c r="C764" s="79"/>
      <c r="D764" s="76"/>
      <c r="E764" s="99"/>
      <c r="F764" s="71"/>
      <c r="G764" s="71"/>
      <c r="H764" s="71"/>
      <c r="I764" s="99"/>
      <c r="J764" s="99"/>
      <c r="K764" s="99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</row>
    <row r="765" spans="1:22" ht="14.25">
      <c r="A765" s="73"/>
      <c r="B765" s="78"/>
      <c r="C765" s="79"/>
      <c r="D765" s="76"/>
      <c r="E765" s="99"/>
      <c r="F765" s="71"/>
      <c r="G765" s="71"/>
      <c r="H765" s="71"/>
      <c r="I765" s="99"/>
      <c r="J765" s="99"/>
      <c r="K765" s="99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</row>
    <row r="766" spans="1:22" ht="14.25">
      <c r="A766" s="73"/>
      <c r="B766" s="78"/>
      <c r="C766" s="79"/>
      <c r="D766" s="76"/>
      <c r="E766" s="99"/>
      <c r="F766" s="71"/>
      <c r="G766" s="71"/>
      <c r="H766" s="71"/>
      <c r="I766" s="99"/>
      <c r="J766" s="99"/>
      <c r="K766" s="99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</row>
    <row r="767" spans="1:22" ht="14.25">
      <c r="A767" s="73"/>
      <c r="B767" s="78"/>
      <c r="C767" s="79"/>
      <c r="D767" s="76"/>
      <c r="E767" s="99"/>
      <c r="F767" s="71"/>
      <c r="G767" s="71"/>
      <c r="H767" s="71"/>
      <c r="I767" s="99"/>
      <c r="J767" s="99"/>
      <c r="K767" s="99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</row>
    <row r="768" spans="1:22" ht="14.25">
      <c r="A768" s="73"/>
      <c r="B768" s="78"/>
      <c r="C768" s="79"/>
      <c r="D768" s="76"/>
      <c r="E768" s="99"/>
      <c r="F768" s="71"/>
      <c r="G768" s="71"/>
      <c r="H768" s="71"/>
      <c r="I768" s="99"/>
      <c r="J768" s="99"/>
      <c r="K768" s="99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</row>
    <row r="769" spans="1:22" ht="14.25">
      <c r="A769" s="73"/>
      <c r="B769" s="78"/>
      <c r="C769" s="79"/>
      <c r="D769" s="76"/>
      <c r="E769" s="99"/>
      <c r="F769" s="71"/>
      <c r="G769" s="71"/>
      <c r="H769" s="71"/>
      <c r="I769" s="99"/>
      <c r="J769" s="99"/>
      <c r="K769" s="99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</row>
    <row r="770" spans="1:22" ht="14.25">
      <c r="A770" s="73"/>
      <c r="B770" s="78"/>
      <c r="C770" s="79"/>
      <c r="D770" s="76"/>
      <c r="E770" s="99"/>
      <c r="F770" s="71"/>
      <c r="G770" s="71"/>
      <c r="H770" s="71"/>
      <c r="I770" s="99"/>
      <c r="J770" s="99"/>
      <c r="K770" s="99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</row>
    <row r="771" spans="1:22" ht="14.25">
      <c r="A771" s="73"/>
      <c r="B771" s="78"/>
      <c r="C771" s="79"/>
      <c r="D771" s="76"/>
      <c r="E771" s="99"/>
      <c r="F771" s="71"/>
      <c r="G771" s="71"/>
      <c r="H771" s="71"/>
      <c r="I771" s="99"/>
      <c r="J771" s="99"/>
      <c r="K771" s="99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</row>
    <row r="772" spans="1:22" ht="14.25">
      <c r="A772" s="73"/>
      <c r="B772" s="78"/>
      <c r="C772" s="79"/>
      <c r="D772" s="76"/>
      <c r="E772" s="99"/>
      <c r="F772" s="71"/>
      <c r="G772" s="71"/>
      <c r="H772" s="71"/>
      <c r="I772" s="99"/>
      <c r="J772" s="99"/>
      <c r="K772" s="99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</row>
    <row r="773" spans="1:22" ht="14.25">
      <c r="A773" s="73"/>
      <c r="B773" s="78"/>
      <c r="C773" s="79"/>
      <c r="D773" s="76"/>
      <c r="E773" s="99"/>
      <c r="F773" s="71"/>
      <c r="G773" s="71"/>
      <c r="H773" s="71"/>
      <c r="I773" s="99"/>
      <c r="J773" s="99"/>
      <c r="K773" s="99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</row>
    <row r="774" spans="1:22" ht="14.25">
      <c r="A774" s="73"/>
      <c r="B774" s="78"/>
      <c r="C774" s="79"/>
      <c r="D774" s="76"/>
      <c r="E774" s="99"/>
      <c r="F774" s="71"/>
      <c r="G774" s="71"/>
      <c r="H774" s="71"/>
      <c r="I774" s="99"/>
      <c r="J774" s="99"/>
      <c r="K774" s="99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</row>
    <row r="775" spans="1:22" ht="14.25">
      <c r="A775" s="73"/>
      <c r="B775" s="78"/>
      <c r="C775" s="79"/>
      <c r="D775" s="76"/>
      <c r="E775" s="99"/>
      <c r="F775" s="71"/>
      <c r="G775" s="71"/>
      <c r="H775" s="71"/>
      <c r="I775" s="99"/>
      <c r="J775" s="99"/>
      <c r="K775" s="99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</row>
    <row r="776" spans="1:22" ht="14.25">
      <c r="A776" s="73"/>
      <c r="B776" s="78"/>
      <c r="C776" s="79"/>
      <c r="D776" s="76"/>
      <c r="E776" s="99"/>
      <c r="F776" s="71"/>
      <c r="G776" s="71"/>
      <c r="H776" s="71"/>
      <c r="I776" s="99"/>
      <c r="J776" s="99"/>
      <c r="K776" s="99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</row>
    <row r="777" spans="1:22" ht="14.25">
      <c r="A777" s="73"/>
      <c r="B777" s="78"/>
      <c r="C777" s="79"/>
      <c r="D777" s="76"/>
      <c r="E777" s="99"/>
      <c r="F777" s="71"/>
      <c r="G777" s="71"/>
      <c r="H777" s="71"/>
      <c r="I777" s="99"/>
      <c r="J777" s="99"/>
      <c r="K777" s="99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</row>
    <row r="778" spans="1:22" ht="14.25">
      <c r="A778" s="73"/>
      <c r="B778" s="78"/>
      <c r="C778" s="79"/>
      <c r="D778" s="76"/>
      <c r="E778" s="99"/>
      <c r="F778" s="71"/>
      <c r="G778" s="71"/>
      <c r="H778" s="71"/>
      <c r="I778" s="99"/>
      <c r="J778" s="99"/>
      <c r="K778" s="99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</row>
    <row r="779" spans="1:22" ht="14.25">
      <c r="A779" s="73"/>
      <c r="B779" s="78"/>
      <c r="C779" s="79"/>
      <c r="D779" s="76"/>
      <c r="E779" s="99"/>
      <c r="F779" s="71"/>
      <c r="G779" s="71"/>
      <c r="H779" s="71"/>
      <c r="I779" s="99"/>
      <c r="J779" s="99"/>
      <c r="K779" s="99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</row>
    <row r="780" spans="1:22" ht="14.25">
      <c r="A780" s="73"/>
      <c r="B780" s="78"/>
      <c r="C780" s="79"/>
      <c r="D780" s="76"/>
      <c r="E780" s="99"/>
      <c r="F780" s="71"/>
      <c r="G780" s="71"/>
      <c r="H780" s="71"/>
      <c r="I780" s="99"/>
      <c r="J780" s="99"/>
      <c r="K780" s="99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</row>
    <row r="781" spans="1:22" ht="14.25">
      <c r="A781" s="73"/>
      <c r="B781" s="78"/>
      <c r="C781" s="79"/>
      <c r="D781" s="76"/>
      <c r="E781" s="99"/>
      <c r="F781" s="71"/>
      <c r="G781" s="71"/>
      <c r="H781" s="71"/>
      <c r="I781" s="99"/>
      <c r="J781" s="99"/>
      <c r="K781" s="99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</row>
    <row r="782" spans="1:22" ht="14.25">
      <c r="A782" s="73"/>
      <c r="B782" s="78"/>
      <c r="C782" s="79"/>
      <c r="D782" s="76"/>
      <c r="E782" s="99"/>
      <c r="F782" s="71"/>
      <c r="G782" s="71"/>
      <c r="H782" s="71"/>
      <c r="I782" s="99"/>
      <c r="J782" s="99"/>
      <c r="K782" s="99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</row>
    <row r="783" spans="1:22" ht="14.25">
      <c r="A783" s="73"/>
      <c r="B783" s="78"/>
      <c r="C783" s="79"/>
      <c r="D783" s="76"/>
      <c r="E783" s="99"/>
      <c r="F783" s="71"/>
      <c r="G783" s="71"/>
      <c r="H783" s="71"/>
      <c r="I783" s="99"/>
      <c r="J783" s="99"/>
      <c r="K783" s="99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</row>
    <row r="784" spans="1:22" ht="14.25">
      <c r="A784" s="73"/>
      <c r="B784" s="78"/>
      <c r="C784" s="79"/>
      <c r="D784" s="76"/>
      <c r="E784" s="99"/>
      <c r="F784" s="71"/>
      <c r="G784" s="71"/>
      <c r="H784" s="71"/>
      <c r="I784" s="99"/>
      <c r="J784" s="99"/>
      <c r="K784" s="99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</row>
    <row r="785" spans="1:22" ht="14.25">
      <c r="A785" s="73"/>
      <c r="B785" s="78"/>
      <c r="C785" s="79"/>
      <c r="D785" s="76"/>
      <c r="E785" s="99"/>
      <c r="F785" s="71"/>
      <c r="G785" s="71"/>
      <c r="H785" s="71"/>
      <c r="I785" s="99"/>
      <c r="J785" s="99"/>
      <c r="K785" s="99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</row>
    <row r="786" spans="1:22" ht="14.25">
      <c r="A786" s="73"/>
      <c r="B786" s="78"/>
      <c r="C786" s="79"/>
      <c r="D786" s="76"/>
      <c r="E786" s="99"/>
      <c r="F786" s="71"/>
      <c r="G786" s="71"/>
      <c r="H786" s="71"/>
      <c r="I786" s="99"/>
      <c r="J786" s="99"/>
      <c r="K786" s="99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</row>
    <row r="787" spans="1:22" ht="14.25">
      <c r="A787" s="73"/>
      <c r="B787" s="78"/>
      <c r="C787" s="79"/>
      <c r="D787" s="76"/>
      <c r="E787" s="99"/>
      <c r="F787" s="71"/>
      <c r="G787" s="71"/>
      <c r="H787" s="71"/>
      <c r="I787" s="99"/>
      <c r="J787" s="99"/>
      <c r="K787" s="99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</row>
    <row r="788" spans="1:22" ht="14.25">
      <c r="A788" s="73"/>
      <c r="B788" s="78"/>
      <c r="C788" s="79"/>
      <c r="D788" s="76"/>
      <c r="E788" s="99"/>
      <c r="F788" s="71"/>
      <c r="G788" s="71"/>
      <c r="H788" s="71"/>
      <c r="I788" s="99"/>
      <c r="J788" s="99"/>
      <c r="K788" s="99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</row>
    <row r="789" spans="1:22" ht="14.25">
      <c r="A789" s="73"/>
      <c r="B789" s="78"/>
      <c r="C789" s="79"/>
      <c r="D789" s="76"/>
      <c r="E789" s="99"/>
      <c r="F789" s="71"/>
      <c r="G789" s="71"/>
      <c r="H789" s="71"/>
      <c r="I789" s="99"/>
      <c r="J789" s="99"/>
      <c r="K789" s="99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</row>
    <row r="790" spans="1:22" ht="14.25">
      <c r="A790" s="73"/>
      <c r="B790" s="78"/>
      <c r="C790" s="79"/>
      <c r="D790" s="76"/>
      <c r="E790" s="99"/>
      <c r="F790" s="71"/>
      <c r="G790" s="71"/>
      <c r="H790" s="71"/>
      <c r="I790" s="99"/>
      <c r="J790" s="99"/>
      <c r="K790" s="99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</row>
    <row r="791" spans="1:22" ht="14.25">
      <c r="A791" s="73"/>
      <c r="B791" s="78"/>
      <c r="C791" s="79"/>
      <c r="D791" s="76"/>
      <c r="E791" s="99"/>
      <c r="F791" s="71"/>
      <c r="G791" s="71"/>
      <c r="H791" s="71"/>
      <c r="I791" s="99"/>
      <c r="J791" s="99"/>
      <c r="K791" s="99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</row>
    <row r="792" spans="1:22" ht="14.25">
      <c r="A792" s="73"/>
      <c r="B792" s="78"/>
      <c r="C792" s="79"/>
      <c r="D792" s="76"/>
      <c r="E792" s="99"/>
      <c r="F792" s="71"/>
      <c r="G792" s="71"/>
      <c r="H792" s="71"/>
      <c r="I792" s="99"/>
      <c r="J792" s="99"/>
      <c r="K792" s="99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</row>
    <row r="793" spans="1:22" ht="14.25">
      <c r="A793" s="73"/>
      <c r="B793" s="78"/>
      <c r="C793" s="79"/>
      <c r="D793" s="76"/>
      <c r="E793" s="99"/>
      <c r="F793" s="71"/>
      <c r="G793" s="71"/>
      <c r="H793" s="71"/>
      <c r="I793" s="99"/>
      <c r="J793" s="99"/>
      <c r="K793" s="99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</row>
    <row r="794" spans="1:22" ht="14.25">
      <c r="A794" s="73"/>
      <c r="B794" s="78"/>
      <c r="C794" s="79"/>
      <c r="D794" s="76"/>
      <c r="E794" s="99"/>
      <c r="F794" s="71"/>
      <c r="G794" s="71"/>
      <c r="H794" s="71"/>
      <c r="I794" s="99"/>
      <c r="J794" s="99"/>
      <c r="K794" s="99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</row>
    <row r="795" spans="1:22" ht="14.25">
      <c r="A795" s="73"/>
      <c r="B795" s="78"/>
      <c r="C795" s="79"/>
      <c r="D795" s="76"/>
      <c r="E795" s="99"/>
      <c r="F795" s="71"/>
      <c r="G795" s="71"/>
      <c r="H795" s="71"/>
      <c r="I795" s="99"/>
      <c r="J795" s="99"/>
      <c r="K795" s="99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</row>
    <row r="796" spans="1:22" ht="14.25">
      <c r="A796" s="73"/>
      <c r="B796" s="78"/>
      <c r="C796" s="79"/>
      <c r="D796" s="76"/>
      <c r="E796" s="99"/>
      <c r="F796" s="71"/>
      <c r="G796" s="71"/>
      <c r="H796" s="71"/>
      <c r="I796" s="99"/>
      <c r="J796" s="99"/>
      <c r="K796" s="99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</row>
    <row r="797" spans="1:22" ht="14.25">
      <c r="A797" s="73"/>
      <c r="B797" s="78"/>
      <c r="C797" s="79"/>
      <c r="D797" s="76"/>
      <c r="E797" s="99"/>
      <c r="F797" s="71"/>
      <c r="G797" s="71"/>
      <c r="H797" s="71"/>
      <c r="I797" s="99"/>
      <c r="J797" s="99"/>
      <c r="K797" s="99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</row>
    <row r="798" spans="1:22" ht="14.25">
      <c r="A798" s="73"/>
      <c r="B798" s="78"/>
      <c r="C798" s="79"/>
      <c r="D798" s="76"/>
      <c r="E798" s="99"/>
      <c r="F798" s="71"/>
      <c r="G798" s="71"/>
      <c r="H798" s="71"/>
      <c r="I798" s="99"/>
      <c r="J798" s="99"/>
      <c r="K798" s="99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</row>
    <row r="799" spans="1:22" ht="14.25">
      <c r="A799" s="73"/>
      <c r="B799" s="78"/>
      <c r="C799" s="79"/>
      <c r="D799" s="76"/>
      <c r="E799" s="99"/>
      <c r="F799" s="71"/>
      <c r="G799" s="71"/>
      <c r="H799" s="71"/>
      <c r="I799" s="99"/>
      <c r="J799" s="99"/>
      <c r="K799" s="99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</row>
    <row r="800" spans="1:22" ht="14.25">
      <c r="A800" s="73"/>
      <c r="B800" s="78"/>
      <c r="C800" s="79"/>
      <c r="D800" s="76"/>
      <c r="E800" s="99"/>
      <c r="F800" s="71"/>
      <c r="G800" s="71"/>
      <c r="H800" s="71"/>
      <c r="I800" s="99"/>
      <c r="J800" s="99"/>
      <c r="K800" s="99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</row>
    <row r="801" spans="1:22" ht="14.25">
      <c r="A801" s="73"/>
      <c r="B801" s="78"/>
      <c r="C801" s="79"/>
      <c r="D801" s="76"/>
      <c r="E801" s="99"/>
      <c r="F801" s="71"/>
      <c r="G801" s="71"/>
      <c r="H801" s="71"/>
      <c r="I801" s="99"/>
      <c r="J801" s="99"/>
      <c r="K801" s="99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</row>
    <row r="802" spans="1:22" ht="14.25">
      <c r="A802" s="73"/>
      <c r="B802" s="78"/>
      <c r="C802" s="79"/>
      <c r="D802" s="76"/>
      <c r="E802" s="99"/>
      <c r="F802" s="71"/>
      <c r="G802" s="71"/>
      <c r="H802" s="71"/>
      <c r="I802" s="99"/>
      <c r="J802" s="99"/>
      <c r="K802" s="99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</row>
    <row r="803" spans="1:22" ht="14.25">
      <c r="A803" s="73"/>
      <c r="B803" s="78"/>
      <c r="C803" s="79"/>
      <c r="D803" s="76"/>
      <c r="E803" s="99"/>
      <c r="F803" s="71"/>
      <c r="G803" s="71"/>
      <c r="H803" s="71"/>
      <c r="I803" s="99"/>
      <c r="J803" s="99"/>
      <c r="K803" s="99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</row>
    <row r="804" spans="1:22" ht="14.25">
      <c r="A804" s="73"/>
      <c r="B804" s="78"/>
      <c r="C804" s="79"/>
      <c r="D804" s="76"/>
      <c r="E804" s="99"/>
      <c r="F804" s="71"/>
      <c r="G804" s="71"/>
      <c r="H804" s="71"/>
      <c r="I804" s="99"/>
      <c r="J804" s="99"/>
      <c r="K804" s="99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</row>
    <row r="805" spans="1:22" ht="14.25">
      <c r="A805" s="73"/>
      <c r="B805" s="78"/>
      <c r="C805" s="79"/>
      <c r="D805" s="76"/>
      <c r="E805" s="99"/>
      <c r="F805" s="71"/>
      <c r="G805" s="71"/>
      <c r="H805" s="71"/>
      <c r="I805" s="99"/>
      <c r="J805" s="99"/>
      <c r="K805" s="99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</row>
    <row r="806" spans="1:22" ht="14.25">
      <c r="A806" s="73"/>
      <c r="B806" s="78"/>
      <c r="C806" s="79"/>
      <c r="D806" s="76"/>
      <c r="E806" s="99"/>
      <c r="F806" s="71"/>
      <c r="G806" s="71"/>
      <c r="H806" s="71"/>
      <c r="I806" s="99"/>
      <c r="J806" s="99"/>
      <c r="K806" s="99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</row>
    <row r="807" spans="1:22" ht="14.25">
      <c r="A807" s="73"/>
      <c r="B807" s="78"/>
      <c r="C807" s="79"/>
      <c r="D807" s="76"/>
      <c r="E807" s="99"/>
      <c r="F807" s="71"/>
      <c r="G807" s="71"/>
      <c r="H807" s="71"/>
      <c r="I807" s="99"/>
      <c r="J807" s="99"/>
      <c r="K807" s="99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</row>
    <row r="808" spans="1:22" ht="14.25">
      <c r="A808" s="73"/>
      <c r="B808" s="78"/>
      <c r="C808" s="79"/>
      <c r="D808" s="76"/>
      <c r="E808" s="99"/>
      <c r="F808" s="71"/>
      <c r="G808" s="71"/>
      <c r="H808" s="71"/>
      <c r="I808" s="99"/>
      <c r="J808" s="99"/>
      <c r="K808" s="99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</row>
    <row r="809" spans="1:22" ht="14.25">
      <c r="A809" s="73"/>
      <c r="B809" s="78"/>
      <c r="C809" s="79"/>
      <c r="D809" s="76"/>
      <c r="E809" s="99"/>
      <c r="F809" s="71"/>
      <c r="G809" s="71"/>
      <c r="H809" s="71"/>
      <c r="I809" s="99"/>
      <c r="J809" s="99"/>
      <c r="K809" s="99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</row>
    <row r="810" spans="1:22" ht="14.25">
      <c r="A810" s="73"/>
      <c r="B810" s="78"/>
      <c r="C810" s="79"/>
      <c r="D810" s="76"/>
      <c r="E810" s="99"/>
      <c r="F810" s="71"/>
      <c r="G810" s="71"/>
      <c r="H810" s="71"/>
      <c r="I810" s="99"/>
      <c r="J810" s="99"/>
      <c r="K810" s="99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</row>
    <row r="811" spans="1:22" ht="14.25">
      <c r="A811" s="73"/>
      <c r="B811" s="78"/>
      <c r="C811" s="79"/>
      <c r="D811" s="76"/>
      <c r="E811" s="99"/>
      <c r="F811" s="71"/>
      <c r="G811" s="71"/>
      <c r="H811" s="71"/>
      <c r="I811" s="99"/>
      <c r="J811" s="99"/>
      <c r="K811" s="99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</row>
    <row r="812" spans="1:22" ht="14.25">
      <c r="A812" s="73"/>
      <c r="B812" s="78"/>
      <c r="C812" s="79"/>
      <c r="D812" s="76"/>
      <c r="E812" s="99"/>
      <c r="F812" s="71"/>
      <c r="G812" s="71"/>
      <c r="H812" s="71"/>
      <c r="I812" s="99"/>
      <c r="J812" s="99"/>
      <c r="K812" s="99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</row>
    <row r="813" spans="1:22" ht="14.25">
      <c r="A813" s="73"/>
      <c r="B813" s="78"/>
      <c r="C813" s="79"/>
      <c r="D813" s="76"/>
      <c r="E813" s="99"/>
      <c r="F813" s="71"/>
      <c r="G813" s="71"/>
      <c r="H813" s="71"/>
      <c r="I813" s="99"/>
      <c r="J813" s="99"/>
      <c r="K813" s="99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</row>
    <row r="814" spans="1:22" ht="14.25">
      <c r="A814" s="73"/>
      <c r="B814" s="78"/>
      <c r="C814" s="79"/>
      <c r="D814" s="76"/>
      <c r="E814" s="99"/>
      <c r="F814" s="71"/>
      <c r="G814" s="71"/>
      <c r="H814" s="71"/>
      <c r="I814" s="99"/>
      <c r="J814" s="99"/>
      <c r="K814" s="99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</row>
    <row r="815" spans="1:22" ht="14.25">
      <c r="A815" s="73"/>
      <c r="B815" s="78"/>
      <c r="C815" s="79"/>
      <c r="D815" s="76"/>
      <c r="E815" s="99"/>
      <c r="F815" s="71"/>
      <c r="G815" s="71"/>
      <c r="H815" s="71"/>
      <c r="I815" s="99"/>
      <c r="J815" s="99"/>
      <c r="K815" s="99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</row>
    <row r="816" spans="1:22" ht="14.25">
      <c r="A816" s="73"/>
      <c r="B816" s="78"/>
      <c r="C816" s="79"/>
      <c r="D816" s="76"/>
      <c r="E816" s="99"/>
      <c r="F816" s="71"/>
      <c r="G816" s="71"/>
      <c r="H816" s="71"/>
      <c r="I816" s="99"/>
      <c r="J816" s="99"/>
      <c r="K816" s="99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</row>
    <row r="817" spans="1:22" ht="14.25">
      <c r="A817" s="73"/>
      <c r="B817" s="78"/>
      <c r="C817" s="79"/>
      <c r="D817" s="76"/>
      <c r="E817" s="99"/>
      <c r="F817" s="71"/>
      <c r="G817" s="71"/>
      <c r="H817" s="71"/>
      <c r="I817" s="99"/>
      <c r="J817" s="99"/>
      <c r="K817" s="99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</row>
    <row r="818" spans="1:22" ht="14.25">
      <c r="A818" s="73"/>
      <c r="B818" s="78"/>
      <c r="C818" s="79"/>
      <c r="D818" s="76"/>
      <c r="E818" s="99"/>
      <c r="F818" s="71"/>
      <c r="G818" s="71"/>
      <c r="H818" s="71"/>
      <c r="I818" s="99"/>
      <c r="J818" s="99"/>
      <c r="K818" s="99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</row>
    <row r="819" spans="1:22" ht="14.25">
      <c r="A819" s="73"/>
      <c r="B819" s="78"/>
      <c r="C819" s="79"/>
      <c r="D819" s="76"/>
      <c r="E819" s="99"/>
      <c r="F819" s="71"/>
      <c r="G819" s="71"/>
      <c r="H819" s="71"/>
      <c r="I819" s="99"/>
      <c r="J819" s="99"/>
      <c r="K819" s="99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</row>
    <row r="820" spans="1:22" ht="14.25">
      <c r="A820" s="73"/>
      <c r="B820" s="78"/>
      <c r="C820" s="79"/>
      <c r="D820" s="76"/>
      <c r="E820" s="99"/>
      <c r="F820" s="71"/>
      <c r="G820" s="71"/>
      <c r="H820" s="71"/>
      <c r="I820" s="99"/>
      <c r="J820" s="99"/>
      <c r="K820" s="99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</row>
    <row r="821" spans="1:22" ht="14.25">
      <c r="A821" s="73"/>
      <c r="B821" s="78"/>
      <c r="C821" s="79"/>
      <c r="D821" s="76"/>
      <c r="E821" s="99"/>
      <c r="F821" s="71"/>
      <c r="G821" s="71"/>
      <c r="H821" s="71"/>
      <c r="I821" s="99"/>
      <c r="J821" s="99"/>
      <c r="K821" s="99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</row>
    <row r="822" spans="1:22" ht="14.25">
      <c r="A822" s="73"/>
      <c r="B822" s="78"/>
      <c r="C822" s="79"/>
      <c r="D822" s="76"/>
      <c r="E822" s="99"/>
      <c r="F822" s="71"/>
      <c r="G822" s="71"/>
      <c r="H822" s="71"/>
      <c r="I822" s="99"/>
      <c r="J822" s="99"/>
      <c r="K822" s="99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</row>
    <row r="823" spans="1:22" ht="14.25">
      <c r="A823" s="73"/>
      <c r="B823" s="78"/>
      <c r="C823" s="79"/>
      <c r="D823" s="76"/>
      <c r="E823" s="99"/>
      <c r="F823" s="71"/>
      <c r="G823" s="71"/>
      <c r="H823" s="71"/>
      <c r="I823" s="99"/>
      <c r="J823" s="99"/>
      <c r="K823" s="99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</row>
    <row r="824" spans="1:22" ht="14.25">
      <c r="A824" s="73"/>
      <c r="B824" s="78"/>
      <c r="C824" s="79"/>
      <c r="D824" s="76"/>
      <c r="E824" s="99"/>
      <c r="F824" s="71"/>
      <c r="G824" s="71"/>
      <c r="H824" s="71"/>
      <c r="I824" s="99"/>
      <c r="J824" s="99"/>
      <c r="K824" s="99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</row>
    <row r="825" spans="1:22" ht="14.25">
      <c r="A825" s="73"/>
      <c r="B825" s="78"/>
      <c r="C825" s="79"/>
      <c r="D825" s="76"/>
      <c r="E825" s="99"/>
      <c r="F825" s="71"/>
      <c r="G825" s="71"/>
      <c r="H825" s="71"/>
      <c r="I825" s="99"/>
      <c r="J825" s="99"/>
      <c r="K825" s="99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</row>
    <row r="826" spans="1:22" ht="14.25">
      <c r="A826" s="73"/>
      <c r="B826" s="78"/>
      <c r="C826" s="79"/>
      <c r="D826" s="76"/>
      <c r="E826" s="99"/>
      <c r="F826" s="71"/>
      <c r="G826" s="71"/>
      <c r="H826" s="71"/>
      <c r="I826" s="99"/>
      <c r="J826" s="99"/>
      <c r="K826" s="99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</row>
    <row r="827" spans="1:22" ht="14.25">
      <c r="A827" s="73"/>
      <c r="B827" s="78"/>
      <c r="C827" s="79"/>
      <c r="D827" s="76"/>
      <c r="E827" s="99"/>
      <c r="F827" s="71"/>
      <c r="G827" s="71"/>
      <c r="H827" s="71"/>
      <c r="I827" s="99"/>
      <c r="J827" s="99"/>
      <c r="K827" s="99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</row>
    <row r="828" spans="1:22" ht="14.25">
      <c r="A828" s="73"/>
      <c r="B828" s="78"/>
      <c r="C828" s="79"/>
      <c r="D828" s="76"/>
      <c r="E828" s="99"/>
      <c r="F828" s="71"/>
      <c r="G828" s="71"/>
      <c r="H828" s="71"/>
      <c r="I828" s="99"/>
      <c r="J828" s="99"/>
      <c r="K828" s="99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</row>
    <row r="829" spans="1:22" ht="14.25">
      <c r="A829" s="73"/>
      <c r="B829" s="78"/>
      <c r="C829" s="79"/>
      <c r="D829" s="76"/>
      <c r="E829" s="99"/>
      <c r="F829" s="71"/>
      <c r="G829" s="71"/>
      <c r="H829" s="71"/>
      <c r="I829" s="99"/>
      <c r="J829" s="99"/>
      <c r="K829" s="99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</row>
    <row r="830" spans="1:22" ht="14.25">
      <c r="A830" s="73"/>
      <c r="B830" s="78"/>
      <c r="C830" s="79"/>
      <c r="D830" s="76"/>
      <c r="E830" s="99"/>
      <c r="F830" s="71"/>
      <c r="G830" s="71"/>
      <c r="H830" s="71"/>
      <c r="I830" s="99"/>
      <c r="J830" s="99"/>
      <c r="K830" s="99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</row>
    <row r="831" spans="1:22" ht="14.25">
      <c r="A831" s="73"/>
      <c r="B831" s="78"/>
      <c r="C831" s="79"/>
      <c r="D831" s="76"/>
      <c r="E831" s="99"/>
      <c r="F831" s="71"/>
      <c r="G831" s="71"/>
      <c r="H831" s="71"/>
      <c r="I831" s="99"/>
      <c r="J831" s="99"/>
      <c r="K831" s="99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</row>
    <row r="832" spans="1:22" ht="14.25">
      <c r="A832" s="73"/>
      <c r="B832" s="78"/>
      <c r="C832" s="79"/>
      <c r="D832" s="76"/>
      <c r="E832" s="99"/>
      <c r="F832" s="71"/>
      <c r="G832" s="71"/>
      <c r="H832" s="71"/>
      <c r="I832" s="99"/>
      <c r="J832" s="99"/>
      <c r="K832" s="99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</row>
    <row r="833" spans="1:22" ht="14.25">
      <c r="A833" s="73"/>
      <c r="B833" s="78"/>
      <c r="C833" s="79"/>
      <c r="D833" s="76"/>
      <c r="E833" s="99"/>
      <c r="F833" s="71"/>
      <c r="G833" s="71"/>
      <c r="H833" s="71"/>
      <c r="I833" s="99"/>
      <c r="J833" s="99"/>
      <c r="K833" s="99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</row>
    <row r="834" spans="1:22" ht="14.25">
      <c r="A834" s="73"/>
      <c r="B834" s="78"/>
      <c r="C834" s="79"/>
      <c r="D834" s="76"/>
      <c r="E834" s="99"/>
      <c r="F834" s="71"/>
      <c r="G834" s="71"/>
      <c r="H834" s="71"/>
      <c r="I834" s="99"/>
      <c r="J834" s="99"/>
      <c r="K834" s="99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</row>
    <row r="835" spans="1:22" ht="14.25">
      <c r="A835" s="73"/>
      <c r="B835" s="78"/>
      <c r="C835" s="79"/>
      <c r="D835" s="76"/>
      <c r="E835" s="99"/>
      <c r="F835" s="71"/>
      <c r="G835" s="71"/>
      <c r="H835" s="71"/>
      <c r="I835" s="99"/>
      <c r="J835" s="99"/>
      <c r="K835" s="99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</row>
    <row r="836" spans="1:22" ht="14.25">
      <c r="A836" s="73"/>
      <c r="B836" s="78"/>
      <c r="C836" s="79"/>
      <c r="D836" s="76"/>
      <c r="E836" s="99"/>
      <c r="F836" s="71"/>
      <c r="G836" s="71"/>
      <c r="H836" s="71"/>
      <c r="I836" s="99"/>
      <c r="J836" s="99"/>
      <c r="K836" s="99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</row>
    <row r="837" spans="1:22" ht="14.25">
      <c r="A837" s="73"/>
      <c r="B837" s="78"/>
      <c r="C837" s="79"/>
      <c r="D837" s="76"/>
      <c r="E837" s="99"/>
      <c r="F837" s="71"/>
      <c r="G837" s="71"/>
      <c r="H837" s="71"/>
      <c r="I837" s="99"/>
      <c r="J837" s="99"/>
      <c r="K837" s="99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</row>
    <row r="838" spans="1:22" ht="14.25">
      <c r="A838" s="73"/>
      <c r="B838" s="78"/>
      <c r="C838" s="79"/>
      <c r="D838" s="76"/>
      <c r="E838" s="99"/>
      <c r="F838" s="71"/>
      <c r="G838" s="71"/>
      <c r="H838" s="71"/>
      <c r="I838" s="99"/>
      <c r="J838" s="99"/>
      <c r="K838" s="99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</row>
    <row r="839" spans="1:22" ht="14.25">
      <c r="A839" s="73"/>
      <c r="B839" s="78"/>
      <c r="C839" s="79"/>
      <c r="D839" s="76"/>
      <c r="E839" s="99"/>
      <c r="F839" s="71"/>
      <c r="G839" s="71"/>
      <c r="H839" s="71"/>
      <c r="I839" s="99"/>
      <c r="J839" s="99"/>
      <c r="K839" s="99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</row>
    <row r="840" spans="1:22" ht="14.25">
      <c r="A840" s="73"/>
      <c r="B840" s="78"/>
      <c r="C840" s="79"/>
      <c r="D840" s="76"/>
      <c r="E840" s="99"/>
      <c r="F840" s="71"/>
      <c r="G840" s="71"/>
      <c r="H840" s="71"/>
      <c r="I840" s="99"/>
      <c r="J840" s="99"/>
      <c r="K840" s="99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</row>
    <row r="841" spans="1:22" ht="14.25">
      <c r="A841" s="73"/>
      <c r="B841" s="78"/>
      <c r="C841" s="79"/>
      <c r="D841" s="76"/>
      <c r="E841" s="99"/>
      <c r="F841" s="71"/>
      <c r="G841" s="71"/>
      <c r="H841" s="71"/>
      <c r="I841" s="99"/>
      <c r="J841" s="99"/>
      <c r="K841" s="99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</row>
    <row r="842" spans="1:22" ht="14.25">
      <c r="A842" s="73"/>
      <c r="B842" s="78"/>
      <c r="C842" s="79"/>
      <c r="D842" s="76"/>
      <c r="E842" s="99"/>
      <c r="F842" s="71"/>
      <c r="G842" s="71"/>
      <c r="H842" s="71"/>
      <c r="I842" s="99"/>
      <c r="J842" s="99"/>
      <c r="K842" s="99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</row>
    <row r="843" spans="1:22" ht="14.25">
      <c r="A843" s="73"/>
      <c r="B843" s="78"/>
      <c r="C843" s="79"/>
      <c r="D843" s="76"/>
      <c r="E843" s="99"/>
      <c r="F843" s="71"/>
      <c r="G843" s="71"/>
      <c r="H843" s="71"/>
      <c r="I843" s="99"/>
      <c r="J843" s="99"/>
      <c r="K843" s="99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</row>
    <row r="844" spans="1:22" ht="14.25">
      <c r="A844" s="73"/>
      <c r="B844" s="78"/>
      <c r="C844" s="79"/>
      <c r="D844" s="76"/>
      <c r="E844" s="99"/>
      <c r="F844" s="71"/>
      <c r="G844" s="71"/>
      <c r="H844" s="71"/>
      <c r="I844" s="99"/>
      <c r="J844" s="99"/>
      <c r="K844" s="99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</row>
    <row r="845" spans="1:22" ht="14.25">
      <c r="A845" s="73"/>
      <c r="B845" s="78"/>
      <c r="C845" s="79"/>
      <c r="D845" s="76"/>
      <c r="E845" s="99"/>
      <c r="F845" s="71"/>
      <c r="G845" s="71"/>
      <c r="H845" s="71"/>
      <c r="I845" s="99"/>
      <c r="J845" s="99"/>
      <c r="K845" s="99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</row>
    <row r="846" spans="1:22" ht="14.25">
      <c r="A846" s="73"/>
      <c r="B846" s="78"/>
      <c r="C846" s="79"/>
      <c r="D846" s="76"/>
      <c r="E846" s="99"/>
      <c r="F846" s="71"/>
      <c r="G846" s="71"/>
      <c r="H846" s="71"/>
      <c r="I846" s="99"/>
      <c r="J846" s="99"/>
      <c r="K846" s="99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</row>
    <row r="847" spans="1:22" ht="14.25">
      <c r="A847" s="73"/>
      <c r="B847" s="78"/>
      <c r="C847" s="79"/>
      <c r="D847" s="76"/>
      <c r="E847" s="99"/>
      <c r="F847" s="71"/>
      <c r="G847" s="71"/>
      <c r="H847" s="71"/>
      <c r="I847" s="99"/>
      <c r="J847" s="99"/>
      <c r="K847" s="99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</row>
    <row r="848" spans="1:22" ht="14.25">
      <c r="A848" s="73"/>
      <c r="B848" s="78"/>
      <c r="C848" s="79"/>
      <c r="D848" s="76"/>
      <c r="E848" s="99"/>
      <c r="F848" s="71"/>
      <c r="G848" s="71"/>
      <c r="H848" s="71"/>
      <c r="I848" s="99"/>
      <c r="J848" s="99"/>
      <c r="K848" s="99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</row>
    <row r="849" spans="1:22" ht="14.25">
      <c r="A849" s="73"/>
      <c r="B849" s="78"/>
      <c r="C849" s="79"/>
      <c r="D849" s="76"/>
      <c r="E849" s="99"/>
      <c r="F849" s="71"/>
      <c r="G849" s="71"/>
      <c r="H849" s="71"/>
      <c r="I849" s="99"/>
      <c r="J849" s="99"/>
      <c r="K849" s="99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</row>
    <row r="850" spans="1:22" ht="14.25">
      <c r="A850" s="73"/>
      <c r="B850" s="78"/>
      <c r="C850" s="79"/>
      <c r="D850" s="76"/>
      <c r="E850" s="99"/>
      <c r="F850" s="71"/>
      <c r="G850" s="71"/>
      <c r="H850" s="71"/>
      <c r="I850" s="99"/>
      <c r="J850" s="99"/>
      <c r="K850" s="99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</row>
    <row r="851" spans="1:22" ht="14.25">
      <c r="A851" s="73"/>
      <c r="B851" s="78"/>
      <c r="C851" s="79"/>
      <c r="D851" s="76"/>
      <c r="E851" s="99"/>
      <c r="F851" s="71"/>
      <c r="G851" s="71"/>
      <c r="H851" s="71"/>
      <c r="I851" s="99"/>
      <c r="J851" s="99"/>
      <c r="K851" s="99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</row>
    <row r="852" spans="1:22" ht="14.25">
      <c r="A852" s="73"/>
      <c r="B852" s="78"/>
      <c r="C852" s="79"/>
      <c r="D852" s="76"/>
      <c r="E852" s="99"/>
      <c r="F852" s="71"/>
      <c r="G852" s="71"/>
      <c r="H852" s="71"/>
      <c r="I852" s="99"/>
      <c r="J852" s="99"/>
      <c r="K852" s="99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</row>
    <row r="853" spans="1:22" ht="14.25">
      <c r="A853" s="73"/>
      <c r="B853" s="78"/>
      <c r="C853" s="79"/>
      <c r="D853" s="76"/>
      <c r="E853" s="99"/>
      <c r="F853" s="71"/>
      <c r="G853" s="71"/>
      <c r="H853" s="71"/>
      <c r="I853" s="99"/>
      <c r="J853" s="99"/>
      <c r="K853" s="99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</row>
    <row r="854" spans="1:22" ht="14.25">
      <c r="A854" s="73"/>
      <c r="B854" s="78"/>
      <c r="C854" s="79"/>
      <c r="D854" s="76"/>
      <c r="E854" s="99"/>
      <c r="F854" s="71"/>
      <c r="G854" s="71"/>
      <c r="H854" s="71"/>
      <c r="I854" s="99"/>
      <c r="J854" s="99"/>
      <c r="K854" s="99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</row>
    <row r="855" spans="1:22" ht="14.25">
      <c r="A855" s="73"/>
      <c r="B855" s="78"/>
      <c r="C855" s="79"/>
      <c r="D855" s="76"/>
      <c r="E855" s="99"/>
      <c r="F855" s="71"/>
      <c r="G855" s="71"/>
      <c r="H855" s="71"/>
      <c r="I855" s="99"/>
      <c r="J855" s="99"/>
      <c r="K855" s="99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</row>
    <row r="856" spans="1:22" ht="14.25">
      <c r="A856" s="73"/>
      <c r="B856" s="78"/>
      <c r="C856" s="79"/>
      <c r="D856" s="76"/>
      <c r="E856" s="99"/>
      <c r="F856" s="71"/>
      <c r="G856" s="71"/>
      <c r="H856" s="71"/>
      <c r="I856" s="99"/>
      <c r="J856" s="99"/>
      <c r="K856" s="99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</row>
    <row r="857" spans="1:22" ht="14.25">
      <c r="A857" s="73"/>
      <c r="B857" s="78"/>
      <c r="C857" s="79"/>
      <c r="D857" s="76"/>
      <c r="E857" s="99"/>
      <c r="F857" s="71"/>
      <c r="G857" s="71"/>
      <c r="H857" s="71"/>
      <c r="I857" s="99"/>
      <c r="J857" s="99"/>
      <c r="K857" s="99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</row>
    <row r="858" spans="1:22" ht="14.25">
      <c r="A858" s="73"/>
      <c r="B858" s="78"/>
      <c r="C858" s="79"/>
      <c r="D858" s="76"/>
      <c r="E858" s="99"/>
      <c r="F858" s="71"/>
      <c r="G858" s="71"/>
      <c r="H858" s="71"/>
      <c r="I858" s="99"/>
      <c r="J858" s="99"/>
      <c r="K858" s="99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</row>
    <row r="859" spans="1:22" ht="14.25">
      <c r="A859" s="73"/>
      <c r="B859" s="78"/>
      <c r="C859" s="79"/>
      <c r="D859" s="76"/>
      <c r="E859" s="99"/>
      <c r="F859" s="71"/>
      <c r="G859" s="71"/>
      <c r="H859" s="71"/>
      <c r="I859" s="99"/>
      <c r="J859" s="99"/>
      <c r="K859" s="99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</row>
    <row r="860" spans="1:22" ht="14.25">
      <c r="A860" s="73"/>
      <c r="B860" s="78"/>
      <c r="C860" s="79"/>
      <c r="D860" s="76"/>
      <c r="E860" s="99"/>
      <c r="F860" s="71"/>
      <c r="G860" s="71"/>
      <c r="H860" s="71"/>
      <c r="I860" s="99"/>
      <c r="J860" s="99"/>
      <c r="K860" s="99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</row>
    <row r="861" spans="1:22" ht="14.25">
      <c r="A861" s="73"/>
      <c r="B861" s="78"/>
      <c r="C861" s="79"/>
      <c r="D861" s="76"/>
      <c r="E861" s="99"/>
      <c r="F861" s="71"/>
      <c r="G861" s="71"/>
      <c r="H861" s="71"/>
      <c r="I861" s="99"/>
      <c r="J861" s="99"/>
      <c r="K861" s="99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</row>
    <row r="862" spans="1:22" ht="14.25">
      <c r="A862" s="73"/>
      <c r="B862" s="78"/>
      <c r="C862" s="79"/>
      <c r="D862" s="76"/>
      <c r="E862" s="99"/>
      <c r="F862" s="71"/>
      <c r="G862" s="71"/>
      <c r="H862" s="71"/>
      <c r="I862" s="99"/>
      <c r="J862" s="99"/>
      <c r="K862" s="99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</row>
    <row r="863" spans="1:22" ht="14.25">
      <c r="A863" s="73"/>
      <c r="B863" s="78"/>
      <c r="C863" s="79"/>
      <c r="D863" s="76"/>
      <c r="E863" s="99"/>
      <c r="F863" s="71"/>
      <c r="G863" s="71"/>
      <c r="H863" s="71"/>
      <c r="I863" s="99"/>
      <c r="J863" s="99"/>
      <c r="K863" s="99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</row>
    <row r="864" spans="1:22" ht="14.25">
      <c r="A864" s="73"/>
      <c r="B864" s="78"/>
      <c r="C864" s="79"/>
      <c r="D864" s="76"/>
      <c r="E864" s="99"/>
      <c r="F864" s="71"/>
      <c r="G864" s="71"/>
      <c r="H864" s="71"/>
      <c r="I864" s="99"/>
      <c r="J864" s="99"/>
      <c r="K864" s="99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</row>
    <row r="865" spans="1:22" ht="14.25">
      <c r="A865" s="73"/>
      <c r="B865" s="78"/>
      <c r="C865" s="79"/>
      <c r="D865" s="76"/>
      <c r="E865" s="99"/>
      <c r="F865" s="71"/>
      <c r="G865" s="71"/>
      <c r="H865" s="71"/>
      <c r="I865" s="99"/>
      <c r="J865" s="99"/>
      <c r="K865" s="99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</row>
    <row r="866" spans="1:22" ht="14.25">
      <c r="A866" s="73"/>
      <c r="B866" s="78"/>
      <c r="C866" s="79"/>
      <c r="D866" s="76"/>
      <c r="E866" s="99"/>
      <c r="F866" s="71"/>
      <c r="G866" s="71"/>
      <c r="H866" s="71"/>
      <c r="I866" s="99"/>
      <c r="J866" s="99"/>
      <c r="K866" s="99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</row>
    <row r="867" spans="1:22" ht="14.25">
      <c r="A867" s="73"/>
      <c r="B867" s="78"/>
      <c r="C867" s="79"/>
      <c r="D867" s="76"/>
      <c r="E867" s="99"/>
      <c r="F867" s="71"/>
      <c r="G867" s="71"/>
      <c r="H867" s="71"/>
      <c r="I867" s="99"/>
      <c r="J867" s="99"/>
      <c r="K867" s="99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</row>
    <row r="868" spans="1:22" ht="14.25">
      <c r="A868" s="73"/>
      <c r="B868" s="78"/>
      <c r="C868" s="79"/>
      <c r="D868" s="76"/>
      <c r="E868" s="99"/>
      <c r="F868" s="71"/>
      <c r="G868" s="71"/>
      <c r="H868" s="71"/>
      <c r="I868" s="99"/>
      <c r="J868" s="99"/>
      <c r="K868" s="99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</row>
    <row r="869" spans="1:22" ht="14.25">
      <c r="A869" s="73"/>
      <c r="B869" s="78"/>
      <c r="C869" s="79"/>
      <c r="D869" s="76"/>
      <c r="E869" s="99"/>
      <c r="F869" s="71"/>
      <c r="G869" s="71"/>
      <c r="H869" s="71"/>
      <c r="I869" s="99"/>
      <c r="J869" s="99"/>
      <c r="K869" s="99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</row>
    <row r="870" spans="1:22" ht="14.25">
      <c r="A870" s="73"/>
      <c r="B870" s="78"/>
      <c r="C870" s="79"/>
      <c r="D870" s="76"/>
      <c r="E870" s="99"/>
      <c r="F870" s="71"/>
      <c r="G870" s="71"/>
      <c r="H870" s="71"/>
      <c r="I870" s="99"/>
      <c r="J870" s="99"/>
      <c r="K870" s="99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</row>
    <row r="871" spans="1:22" ht="14.25">
      <c r="A871" s="73"/>
      <c r="B871" s="78"/>
      <c r="C871" s="79"/>
      <c r="D871" s="76"/>
      <c r="E871" s="99"/>
      <c r="F871" s="71"/>
      <c r="G871" s="71"/>
      <c r="H871" s="71"/>
      <c r="I871" s="99"/>
      <c r="J871" s="99"/>
      <c r="K871" s="99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</row>
    <row r="872" spans="1:22" ht="14.25">
      <c r="A872" s="73"/>
      <c r="B872" s="78"/>
      <c r="C872" s="79"/>
      <c r="D872" s="76"/>
      <c r="E872" s="99"/>
      <c r="F872" s="71"/>
      <c r="G872" s="71"/>
      <c r="H872" s="71"/>
      <c r="I872" s="99"/>
      <c r="J872" s="99"/>
      <c r="K872" s="99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</row>
    <row r="873" spans="1:22" ht="14.25">
      <c r="A873" s="73"/>
      <c r="B873" s="78"/>
      <c r="C873" s="79"/>
      <c r="D873" s="76"/>
      <c r="E873" s="99"/>
      <c r="F873" s="71"/>
      <c r="G873" s="71"/>
      <c r="H873" s="71"/>
      <c r="I873" s="99"/>
      <c r="J873" s="99"/>
      <c r="K873" s="99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</row>
    <row r="874" spans="1:22" ht="14.25">
      <c r="A874" s="73"/>
      <c r="B874" s="78"/>
      <c r="C874" s="79"/>
      <c r="D874" s="76"/>
      <c r="E874" s="99"/>
      <c r="F874" s="71"/>
      <c r="G874" s="71"/>
      <c r="H874" s="71"/>
      <c r="I874" s="99"/>
      <c r="J874" s="99"/>
      <c r="K874" s="99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</row>
    <row r="875" spans="1:22" ht="14.25">
      <c r="A875" s="73"/>
      <c r="B875" s="78"/>
      <c r="C875" s="79"/>
      <c r="D875" s="76"/>
      <c r="E875" s="99"/>
      <c r="F875" s="71"/>
      <c r="G875" s="71"/>
      <c r="H875" s="71"/>
      <c r="I875" s="99"/>
      <c r="J875" s="99"/>
      <c r="K875" s="99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</row>
    <row r="876" spans="1:22" ht="14.25">
      <c r="A876" s="73"/>
      <c r="B876" s="78"/>
      <c r="C876" s="79"/>
      <c r="D876" s="76"/>
      <c r="E876" s="99"/>
      <c r="F876" s="71"/>
      <c r="G876" s="71"/>
      <c r="H876" s="71"/>
      <c r="I876" s="99"/>
      <c r="J876" s="99"/>
      <c r="K876" s="99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</row>
    <row r="877" spans="1:22" ht="14.25">
      <c r="A877" s="73"/>
      <c r="B877" s="78"/>
      <c r="C877" s="79"/>
      <c r="D877" s="76"/>
      <c r="E877" s="99"/>
      <c r="F877" s="71"/>
      <c r="G877" s="71"/>
      <c r="H877" s="71"/>
      <c r="I877" s="99"/>
      <c r="J877" s="99"/>
      <c r="K877" s="99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</row>
    <row r="878" spans="1:22" ht="14.25">
      <c r="A878" s="73"/>
      <c r="B878" s="78"/>
      <c r="C878" s="79"/>
      <c r="D878" s="76"/>
      <c r="E878" s="99"/>
      <c r="F878" s="71"/>
      <c r="G878" s="71"/>
      <c r="H878" s="71"/>
      <c r="I878" s="99"/>
      <c r="J878" s="99"/>
      <c r="K878" s="99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</row>
    <row r="879" spans="1:22" ht="14.25">
      <c r="A879" s="73"/>
      <c r="B879" s="78"/>
      <c r="C879" s="79"/>
      <c r="D879" s="76"/>
      <c r="E879" s="99"/>
      <c r="F879" s="71"/>
      <c r="G879" s="71"/>
      <c r="H879" s="71"/>
      <c r="I879" s="99"/>
      <c r="J879" s="99"/>
      <c r="K879" s="99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</row>
    <row r="880" spans="1:22" ht="14.25">
      <c r="A880" s="73"/>
      <c r="B880" s="78"/>
      <c r="C880" s="79"/>
      <c r="D880" s="76"/>
      <c r="E880" s="99"/>
      <c r="F880" s="71"/>
      <c r="G880" s="71"/>
      <c r="H880" s="71"/>
      <c r="I880" s="99"/>
      <c r="J880" s="99"/>
      <c r="K880" s="99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</row>
    <row r="881" spans="1:22" ht="14.25">
      <c r="A881" s="73"/>
      <c r="B881" s="78"/>
      <c r="C881" s="79"/>
      <c r="D881" s="76"/>
      <c r="E881" s="99"/>
      <c r="F881" s="71"/>
      <c r="G881" s="71"/>
      <c r="H881" s="71"/>
      <c r="I881" s="99"/>
      <c r="J881" s="99"/>
      <c r="K881" s="99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</row>
    <row r="882" spans="1:22" ht="14.25">
      <c r="A882" s="73"/>
      <c r="B882" s="78"/>
      <c r="C882" s="79"/>
      <c r="D882" s="76"/>
      <c r="E882" s="99"/>
      <c r="F882" s="71"/>
      <c r="G882" s="71"/>
      <c r="H882" s="71"/>
      <c r="I882" s="99"/>
      <c r="J882" s="99"/>
      <c r="K882" s="99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</row>
    <row r="883" spans="1:22" ht="14.25">
      <c r="A883" s="73"/>
      <c r="B883" s="78"/>
      <c r="C883" s="79"/>
      <c r="D883" s="76"/>
      <c r="E883" s="99"/>
      <c r="F883" s="71"/>
      <c r="G883" s="71"/>
      <c r="H883" s="71"/>
      <c r="I883" s="99"/>
      <c r="J883" s="99"/>
      <c r="K883" s="99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</row>
    <row r="884" spans="1:22" ht="14.25">
      <c r="A884" s="73"/>
      <c r="B884" s="78"/>
      <c r="C884" s="79"/>
      <c r="D884" s="76"/>
      <c r="E884" s="99"/>
      <c r="F884" s="71"/>
      <c r="G884" s="71"/>
      <c r="H884" s="71"/>
      <c r="I884" s="99"/>
      <c r="J884" s="99"/>
      <c r="K884" s="99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</row>
    <row r="885" spans="1:22" ht="14.25">
      <c r="A885" s="73"/>
      <c r="B885" s="78"/>
      <c r="C885" s="79"/>
      <c r="D885" s="76"/>
      <c r="E885" s="99"/>
      <c r="F885" s="71"/>
      <c r="G885" s="71"/>
      <c r="H885" s="71"/>
      <c r="I885" s="99"/>
      <c r="J885" s="99"/>
      <c r="K885" s="99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</row>
    <row r="886" spans="1:22" ht="14.25">
      <c r="A886" s="73"/>
      <c r="B886" s="78"/>
      <c r="C886" s="79"/>
      <c r="D886" s="76"/>
      <c r="E886" s="99"/>
      <c r="F886" s="71"/>
      <c r="G886" s="71"/>
      <c r="H886" s="71"/>
      <c r="I886" s="99"/>
      <c r="J886" s="99"/>
      <c r="K886" s="99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</row>
    <row r="887" spans="1:22" ht="14.25">
      <c r="A887" s="73"/>
      <c r="B887" s="78"/>
      <c r="C887" s="79"/>
      <c r="D887" s="76"/>
      <c r="E887" s="99"/>
      <c r="F887" s="71"/>
      <c r="G887" s="71"/>
      <c r="H887" s="71"/>
      <c r="I887" s="99"/>
      <c r="J887" s="99"/>
      <c r="K887" s="99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</row>
    <row r="888" spans="1:22" ht="14.25">
      <c r="A888" s="73"/>
      <c r="B888" s="78"/>
      <c r="C888" s="79"/>
      <c r="D888" s="76"/>
      <c r="E888" s="99"/>
      <c r="F888" s="71"/>
      <c r="G888" s="71"/>
      <c r="H888" s="71"/>
      <c r="I888" s="99"/>
      <c r="J888" s="99"/>
      <c r="K888" s="99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</row>
    <row r="889" spans="1:22" ht="14.25">
      <c r="A889" s="73"/>
      <c r="B889" s="78"/>
      <c r="C889" s="79"/>
      <c r="D889" s="76"/>
      <c r="E889" s="99"/>
      <c r="F889" s="71"/>
      <c r="G889" s="71"/>
      <c r="H889" s="71"/>
      <c r="I889" s="99"/>
      <c r="J889" s="99"/>
      <c r="K889" s="99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</row>
    <row r="890" spans="1:22" ht="14.25">
      <c r="A890" s="73"/>
      <c r="B890" s="78"/>
      <c r="C890" s="79"/>
      <c r="D890" s="76"/>
      <c r="E890" s="99"/>
      <c r="F890" s="71"/>
      <c r="G890" s="71"/>
      <c r="H890" s="71"/>
      <c r="I890" s="99"/>
      <c r="J890" s="99"/>
      <c r="K890" s="99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</row>
    <row r="891" spans="1:22" ht="14.25">
      <c r="A891" s="73"/>
      <c r="B891" s="78"/>
      <c r="C891" s="79"/>
      <c r="D891" s="76"/>
      <c r="E891" s="99"/>
      <c r="F891" s="71"/>
      <c r="G891" s="71"/>
      <c r="H891" s="71"/>
      <c r="I891" s="99"/>
      <c r="J891" s="99"/>
      <c r="K891" s="99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</row>
    <row r="892" spans="1:22" ht="14.25">
      <c r="A892" s="73"/>
      <c r="B892" s="78"/>
      <c r="C892" s="79"/>
      <c r="D892" s="76"/>
      <c r="E892" s="99"/>
      <c r="F892" s="71"/>
      <c r="G892" s="71"/>
      <c r="H892" s="71"/>
      <c r="I892" s="99"/>
      <c r="J892" s="99"/>
      <c r="K892" s="99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</row>
    <row r="893" spans="1:22" ht="14.25">
      <c r="A893" s="73"/>
      <c r="B893" s="78"/>
      <c r="C893" s="79"/>
      <c r="D893" s="76"/>
      <c r="E893" s="99"/>
      <c r="F893" s="71"/>
      <c r="G893" s="71"/>
      <c r="H893" s="71"/>
      <c r="I893" s="99"/>
      <c r="J893" s="99"/>
      <c r="K893" s="99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</row>
    <row r="894" spans="1:22" ht="14.25">
      <c r="A894" s="73"/>
      <c r="B894" s="78"/>
      <c r="C894" s="79"/>
      <c r="D894" s="76"/>
      <c r="E894" s="99"/>
      <c r="F894" s="71"/>
      <c r="G894" s="71"/>
      <c r="H894" s="71"/>
      <c r="I894" s="99"/>
      <c r="J894" s="99"/>
      <c r="K894" s="99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</row>
    <row r="895" spans="1:22" ht="14.25">
      <c r="A895" s="73"/>
      <c r="B895" s="78"/>
      <c r="C895" s="79"/>
      <c r="D895" s="76"/>
      <c r="E895" s="99"/>
      <c r="F895" s="71"/>
      <c r="G895" s="71"/>
      <c r="H895" s="71"/>
      <c r="I895" s="99"/>
      <c r="J895" s="99"/>
      <c r="K895" s="99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</row>
    <row r="896" spans="1:22" ht="14.25">
      <c r="A896" s="73"/>
      <c r="B896" s="78"/>
      <c r="C896" s="79"/>
      <c r="D896" s="76"/>
      <c r="E896" s="99"/>
      <c r="F896" s="71"/>
      <c r="G896" s="71"/>
      <c r="H896" s="71"/>
      <c r="I896" s="99"/>
      <c r="J896" s="99"/>
      <c r="K896" s="99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</row>
    <row r="897" spans="1:22" ht="14.25">
      <c r="A897" s="73"/>
      <c r="B897" s="78"/>
      <c r="C897" s="79"/>
      <c r="D897" s="76"/>
      <c r="E897" s="99"/>
      <c r="F897" s="71"/>
      <c r="G897" s="71"/>
      <c r="H897" s="71"/>
      <c r="I897" s="99"/>
      <c r="J897" s="99"/>
      <c r="K897" s="99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</row>
    <row r="898" spans="1:22" ht="14.25">
      <c r="A898" s="73"/>
      <c r="B898" s="78"/>
      <c r="C898" s="79"/>
      <c r="D898" s="76"/>
      <c r="E898" s="99"/>
      <c r="F898" s="71"/>
      <c r="G898" s="71"/>
      <c r="H898" s="71"/>
      <c r="I898" s="99"/>
      <c r="J898" s="99"/>
      <c r="K898" s="99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</row>
    <row r="899" spans="1:22" ht="14.25">
      <c r="A899" s="73"/>
      <c r="B899" s="78"/>
      <c r="C899" s="79"/>
      <c r="D899" s="76"/>
      <c r="E899" s="99"/>
      <c r="F899" s="71"/>
      <c r="G899" s="71"/>
      <c r="H899" s="71"/>
      <c r="I899" s="99"/>
      <c r="J899" s="99"/>
      <c r="K899" s="99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</row>
    <row r="900" spans="1:22" ht="14.25">
      <c r="A900" s="73"/>
      <c r="B900" s="78"/>
      <c r="C900" s="79"/>
      <c r="D900" s="76"/>
      <c r="E900" s="99"/>
      <c r="F900" s="71"/>
      <c r="G900" s="71"/>
      <c r="H900" s="71"/>
      <c r="I900" s="99"/>
      <c r="J900" s="99"/>
      <c r="K900" s="99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</row>
    <row r="901" spans="1:22" ht="14.25">
      <c r="A901" s="73"/>
      <c r="B901" s="78"/>
      <c r="C901" s="79"/>
      <c r="D901" s="76"/>
      <c r="E901" s="99"/>
      <c r="F901" s="71"/>
      <c r="G901" s="71"/>
      <c r="H901" s="71"/>
      <c r="I901" s="99"/>
      <c r="J901" s="99"/>
      <c r="K901" s="99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</row>
    <row r="902" spans="1:22" ht="14.25">
      <c r="A902" s="73"/>
      <c r="B902" s="78"/>
      <c r="C902" s="79"/>
      <c r="D902" s="76"/>
      <c r="E902" s="99"/>
      <c r="F902" s="71"/>
      <c r="G902" s="71"/>
      <c r="H902" s="71"/>
      <c r="I902" s="99"/>
      <c r="J902" s="99"/>
      <c r="K902" s="99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</row>
    <row r="903" spans="1:22" ht="14.25">
      <c r="A903" s="73"/>
      <c r="B903" s="78"/>
      <c r="C903" s="79"/>
      <c r="D903" s="76"/>
      <c r="E903" s="99"/>
      <c r="F903" s="71"/>
      <c r="G903" s="71"/>
      <c r="H903" s="71"/>
      <c r="I903" s="99"/>
      <c r="J903" s="99"/>
      <c r="K903" s="99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</row>
    <row r="904" spans="1:22" ht="14.25">
      <c r="A904" s="73"/>
      <c r="B904" s="78"/>
      <c r="C904" s="79"/>
      <c r="D904" s="76"/>
      <c r="E904" s="99"/>
      <c r="F904" s="71"/>
      <c r="G904" s="71"/>
      <c r="H904" s="71"/>
      <c r="I904" s="99"/>
      <c r="J904" s="99"/>
      <c r="K904" s="99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</row>
    <row r="905" spans="1:22" ht="14.25">
      <c r="A905" s="73"/>
      <c r="B905" s="78"/>
      <c r="C905" s="79"/>
      <c r="D905" s="76"/>
      <c r="E905" s="99"/>
      <c r="F905" s="71"/>
      <c r="G905" s="71"/>
      <c r="H905" s="71"/>
      <c r="I905" s="99"/>
      <c r="J905" s="99"/>
      <c r="K905" s="99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</row>
    <row r="906" spans="1:22" ht="14.25">
      <c r="A906" s="73"/>
      <c r="B906" s="78"/>
      <c r="C906" s="79"/>
      <c r="D906" s="76"/>
      <c r="E906" s="99"/>
      <c r="F906" s="71"/>
      <c r="G906" s="71"/>
      <c r="H906" s="71"/>
      <c r="I906" s="99"/>
      <c r="J906" s="99"/>
      <c r="K906" s="99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</row>
    <row r="907" spans="1:22" ht="14.25">
      <c r="A907" s="73"/>
      <c r="B907" s="78"/>
      <c r="C907" s="79"/>
      <c r="D907" s="76"/>
      <c r="E907" s="99"/>
      <c r="F907" s="71"/>
      <c r="G907" s="71"/>
      <c r="H907" s="71"/>
      <c r="I907" s="99"/>
      <c r="J907" s="99"/>
      <c r="K907" s="99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</row>
    <row r="908" spans="1:22" ht="14.25">
      <c r="A908" s="73"/>
      <c r="B908" s="78"/>
      <c r="C908" s="79"/>
      <c r="D908" s="76"/>
      <c r="E908" s="99"/>
      <c r="F908" s="71"/>
      <c r="G908" s="71"/>
      <c r="H908" s="71"/>
      <c r="I908" s="99"/>
      <c r="J908" s="99"/>
      <c r="K908" s="99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</row>
    <row r="909" spans="1:22" ht="14.25">
      <c r="A909" s="73"/>
      <c r="B909" s="78"/>
      <c r="C909" s="79"/>
      <c r="D909" s="76"/>
      <c r="E909" s="99"/>
      <c r="F909" s="71"/>
      <c r="G909" s="71"/>
      <c r="H909" s="71"/>
      <c r="I909" s="99"/>
      <c r="J909" s="99"/>
      <c r="K909" s="99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</row>
    <row r="910" spans="1:22" ht="14.25">
      <c r="A910" s="73"/>
      <c r="B910" s="78"/>
      <c r="C910" s="79"/>
      <c r="D910" s="76"/>
      <c r="E910" s="99"/>
      <c r="F910" s="71"/>
      <c r="G910" s="71"/>
      <c r="H910" s="71"/>
      <c r="I910" s="99"/>
      <c r="J910" s="99"/>
      <c r="K910" s="99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</row>
    <row r="911" spans="1:22" ht="14.25">
      <c r="A911" s="73"/>
      <c r="B911" s="78"/>
      <c r="C911" s="79"/>
      <c r="D911" s="76"/>
      <c r="E911" s="99"/>
      <c r="F911" s="71"/>
      <c r="G911" s="71"/>
      <c r="H911" s="71"/>
      <c r="I911" s="99"/>
      <c r="J911" s="99"/>
      <c r="K911" s="99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</row>
    <row r="912" spans="1:22" ht="14.25">
      <c r="A912" s="73"/>
      <c r="B912" s="78"/>
      <c r="C912" s="79"/>
      <c r="D912" s="76"/>
      <c r="E912" s="99"/>
      <c r="F912" s="71"/>
      <c r="G912" s="71"/>
      <c r="H912" s="71"/>
      <c r="I912" s="99"/>
      <c r="J912" s="99"/>
      <c r="K912" s="99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</row>
    <row r="913" spans="1:22" ht="14.25">
      <c r="A913" s="73"/>
      <c r="B913" s="78"/>
      <c r="C913" s="79"/>
      <c r="D913" s="76"/>
      <c r="E913" s="99"/>
      <c r="F913" s="71"/>
      <c r="G913" s="71"/>
      <c r="H913" s="71"/>
      <c r="I913" s="99"/>
      <c r="J913" s="99"/>
      <c r="K913" s="99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</row>
    <row r="914" spans="1:22" ht="14.25">
      <c r="A914" s="73"/>
      <c r="B914" s="78"/>
      <c r="C914" s="79"/>
      <c r="D914" s="76"/>
      <c r="E914" s="99"/>
      <c r="F914" s="71"/>
      <c r="G914" s="71"/>
      <c r="H914" s="71"/>
      <c r="I914" s="99"/>
      <c r="J914" s="99"/>
      <c r="K914" s="99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</row>
    <row r="915" spans="1:22" ht="14.25">
      <c r="A915" s="73"/>
      <c r="B915" s="78"/>
      <c r="C915" s="79"/>
      <c r="D915" s="76"/>
      <c r="E915" s="99"/>
      <c r="F915" s="71"/>
      <c r="G915" s="71"/>
      <c r="H915" s="71"/>
      <c r="I915" s="99"/>
      <c r="J915" s="99"/>
      <c r="K915" s="99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</row>
    <row r="916" spans="1:22" ht="14.25">
      <c r="A916" s="73"/>
      <c r="B916" s="78"/>
      <c r="C916" s="79"/>
      <c r="D916" s="76"/>
      <c r="E916" s="99"/>
      <c r="F916" s="71"/>
      <c r="G916" s="71"/>
      <c r="H916" s="71"/>
      <c r="I916" s="99"/>
      <c r="J916" s="99"/>
      <c r="K916" s="99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</row>
    <row r="917" spans="1:22" ht="14.25">
      <c r="A917" s="73"/>
      <c r="B917" s="78"/>
      <c r="C917" s="79"/>
      <c r="D917" s="76"/>
      <c r="E917" s="99"/>
      <c r="F917" s="71"/>
      <c r="G917" s="71"/>
      <c r="H917" s="71"/>
      <c r="I917" s="99"/>
      <c r="J917" s="99"/>
      <c r="K917" s="99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</row>
    <row r="918" spans="1:22" ht="14.25">
      <c r="A918" s="73"/>
      <c r="B918" s="78"/>
      <c r="C918" s="79"/>
      <c r="D918" s="76"/>
      <c r="E918" s="99"/>
      <c r="F918" s="71"/>
      <c r="G918" s="71"/>
      <c r="H918" s="71"/>
      <c r="I918" s="99"/>
      <c r="J918" s="99"/>
      <c r="K918" s="99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</row>
    <row r="919" spans="1:22" ht="14.25">
      <c r="A919" s="73"/>
      <c r="B919" s="78"/>
      <c r="C919" s="79"/>
      <c r="D919" s="76"/>
      <c r="E919" s="99"/>
      <c r="F919" s="71"/>
      <c r="G919" s="71"/>
      <c r="H919" s="71"/>
      <c r="I919" s="99"/>
      <c r="J919" s="99"/>
      <c r="K919" s="99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</row>
    <row r="920" spans="1:22" ht="14.25">
      <c r="A920" s="73"/>
      <c r="B920" s="78"/>
      <c r="C920" s="79"/>
      <c r="D920" s="76"/>
      <c r="E920" s="99"/>
      <c r="F920" s="71"/>
      <c r="G920" s="71"/>
      <c r="H920" s="71"/>
      <c r="I920" s="99"/>
      <c r="J920" s="99"/>
      <c r="K920" s="99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</row>
    <row r="921" spans="1:22" ht="14.25">
      <c r="A921" s="73"/>
      <c r="B921" s="78"/>
      <c r="C921" s="79"/>
      <c r="D921" s="76"/>
      <c r="E921" s="99"/>
      <c r="F921" s="71"/>
      <c r="G921" s="71"/>
      <c r="H921" s="71"/>
      <c r="I921" s="99"/>
      <c r="J921" s="99"/>
      <c r="K921" s="99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</row>
    <row r="922" spans="1:22" ht="14.25">
      <c r="A922" s="73"/>
      <c r="B922" s="78"/>
      <c r="C922" s="79"/>
      <c r="D922" s="76"/>
      <c r="E922" s="99"/>
      <c r="F922" s="71"/>
      <c r="G922" s="71"/>
      <c r="H922" s="71"/>
      <c r="I922" s="99"/>
      <c r="J922" s="99"/>
      <c r="K922" s="99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</row>
    <row r="923" spans="1:22" ht="14.25">
      <c r="A923" s="73"/>
      <c r="B923" s="78"/>
      <c r="C923" s="79"/>
      <c r="D923" s="76"/>
      <c r="E923" s="99"/>
      <c r="F923" s="71"/>
      <c r="G923" s="71"/>
      <c r="H923" s="71"/>
      <c r="I923" s="99"/>
      <c r="J923" s="99"/>
      <c r="K923" s="99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</row>
    <row r="924" spans="1:22" ht="14.25">
      <c r="A924" s="73"/>
      <c r="B924" s="78"/>
      <c r="C924" s="79"/>
      <c r="D924" s="76"/>
      <c r="E924" s="99"/>
      <c r="F924" s="71"/>
      <c r="G924" s="71"/>
      <c r="H924" s="71"/>
      <c r="I924" s="99"/>
      <c r="J924" s="99"/>
      <c r="K924" s="99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</row>
    <row r="925" spans="1:22" ht="14.25">
      <c r="A925" s="73"/>
      <c r="B925" s="78"/>
      <c r="C925" s="79"/>
      <c r="D925" s="76"/>
      <c r="E925" s="99"/>
      <c r="F925" s="71"/>
      <c r="G925" s="71"/>
      <c r="H925" s="71"/>
      <c r="I925" s="99"/>
      <c r="J925" s="99"/>
      <c r="K925" s="99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</row>
    <row r="926" spans="1:22" ht="14.25">
      <c r="A926" s="73"/>
      <c r="B926" s="78"/>
      <c r="C926" s="79"/>
      <c r="D926" s="76"/>
      <c r="E926" s="99"/>
      <c r="F926" s="71"/>
      <c r="G926" s="71"/>
      <c r="H926" s="71"/>
      <c r="I926" s="99"/>
      <c r="J926" s="99"/>
      <c r="K926" s="99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</row>
    <row r="927" spans="1:22" ht="14.25">
      <c r="A927" s="73"/>
      <c r="B927" s="78"/>
      <c r="C927" s="79"/>
      <c r="D927" s="76"/>
      <c r="E927" s="99"/>
      <c r="F927" s="71"/>
      <c r="G927" s="71"/>
      <c r="H927" s="71"/>
      <c r="I927" s="99"/>
      <c r="J927" s="99"/>
      <c r="K927" s="99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</row>
    <row r="928" spans="1:22" ht="14.25">
      <c r="A928" s="73"/>
      <c r="B928" s="78"/>
      <c r="C928" s="79"/>
      <c r="D928" s="76"/>
      <c r="E928" s="99"/>
      <c r="F928" s="71"/>
      <c r="G928" s="71"/>
      <c r="H928" s="71"/>
      <c r="I928" s="99"/>
      <c r="J928" s="99"/>
      <c r="K928" s="99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</row>
    <row r="929" spans="1:22" ht="14.25">
      <c r="A929" s="73"/>
      <c r="B929" s="78"/>
      <c r="C929" s="79"/>
      <c r="D929" s="76"/>
      <c r="E929" s="99"/>
      <c r="F929" s="71"/>
      <c r="G929" s="71"/>
      <c r="H929" s="71"/>
      <c r="I929" s="99"/>
      <c r="J929" s="99"/>
      <c r="K929" s="99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</row>
    <row r="930" spans="1:22" ht="14.25">
      <c r="A930" s="73"/>
      <c r="B930" s="78"/>
      <c r="C930" s="79"/>
      <c r="D930" s="76"/>
      <c r="E930" s="99"/>
      <c r="F930" s="71"/>
      <c r="G930" s="71"/>
      <c r="H930" s="71"/>
      <c r="I930" s="99"/>
      <c r="J930" s="99"/>
      <c r="K930" s="99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</row>
    <row r="931" spans="1:22" ht="14.25">
      <c r="A931" s="73"/>
      <c r="B931" s="78"/>
      <c r="C931" s="79"/>
      <c r="D931" s="76"/>
      <c r="E931" s="99"/>
      <c r="F931" s="71"/>
      <c r="G931" s="71"/>
      <c r="H931" s="71"/>
      <c r="I931" s="99"/>
      <c r="J931" s="99"/>
      <c r="K931" s="99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</row>
    <row r="932" spans="1:22" ht="14.25">
      <c r="A932" s="73"/>
      <c r="B932" s="78"/>
      <c r="C932" s="79"/>
      <c r="D932" s="76"/>
      <c r="E932" s="99"/>
      <c r="F932" s="71"/>
      <c r="G932" s="71"/>
      <c r="H932" s="71"/>
      <c r="I932" s="99"/>
      <c r="J932" s="99"/>
      <c r="K932" s="99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</row>
    <row r="933" spans="1:22" ht="14.25">
      <c r="A933" s="73"/>
      <c r="B933" s="78"/>
      <c r="C933" s="79"/>
      <c r="D933" s="76"/>
      <c r="E933" s="99"/>
      <c r="F933" s="71"/>
      <c r="G933" s="71"/>
      <c r="H933" s="71"/>
      <c r="I933" s="99"/>
      <c r="J933" s="99"/>
      <c r="K933" s="99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</row>
    <row r="934" spans="1:22" ht="14.25">
      <c r="A934" s="73"/>
      <c r="B934" s="78"/>
      <c r="C934" s="79"/>
      <c r="D934" s="76"/>
      <c r="E934" s="99"/>
      <c r="F934" s="71"/>
      <c r="G934" s="71"/>
      <c r="H934" s="71"/>
      <c r="I934" s="99"/>
      <c r="J934" s="99"/>
      <c r="K934" s="99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</row>
    <row r="935" spans="1:22" ht="14.25">
      <c r="A935" s="73"/>
      <c r="B935" s="78"/>
      <c r="C935" s="79"/>
      <c r="D935" s="76"/>
      <c r="E935" s="99"/>
      <c r="F935" s="71"/>
      <c r="G935" s="71"/>
      <c r="H935" s="71"/>
      <c r="I935" s="99"/>
      <c r="J935" s="99"/>
      <c r="K935" s="99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</row>
    <row r="936" spans="1:22" ht="14.25">
      <c r="A936" s="73"/>
      <c r="B936" s="78"/>
      <c r="C936" s="79"/>
      <c r="D936" s="76"/>
      <c r="E936" s="99"/>
      <c r="F936" s="71"/>
      <c r="G936" s="71"/>
      <c r="H936" s="71"/>
      <c r="I936" s="99"/>
      <c r="J936" s="99"/>
      <c r="K936" s="99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</row>
    <row r="937" spans="1:22" ht="14.25">
      <c r="A937" s="73"/>
      <c r="B937" s="78"/>
      <c r="C937" s="79"/>
      <c r="D937" s="76"/>
      <c r="E937" s="99"/>
      <c r="F937" s="71"/>
      <c r="G937" s="71"/>
      <c r="H937" s="71"/>
      <c r="I937" s="99"/>
      <c r="J937" s="99"/>
      <c r="K937" s="99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</row>
    <row r="938" spans="1:22" ht="14.25">
      <c r="A938" s="73"/>
      <c r="B938" s="78"/>
      <c r="C938" s="79"/>
      <c r="D938" s="76"/>
      <c r="E938" s="99"/>
      <c r="F938" s="71"/>
      <c r="G938" s="71"/>
      <c r="H938" s="71"/>
      <c r="I938" s="99"/>
      <c r="J938" s="99"/>
      <c r="K938" s="99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</row>
    <row r="939" spans="1:22" ht="14.25">
      <c r="A939" s="73"/>
      <c r="B939" s="78"/>
      <c r="C939" s="79"/>
      <c r="D939" s="76"/>
      <c r="E939" s="99"/>
      <c r="F939" s="71"/>
      <c r="G939" s="71"/>
      <c r="H939" s="71"/>
      <c r="I939" s="99"/>
      <c r="J939" s="99"/>
      <c r="K939" s="99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</row>
    <row r="940" spans="1:22" ht="14.25">
      <c r="A940" s="73"/>
      <c r="B940" s="78"/>
      <c r="C940" s="79"/>
      <c r="D940" s="76"/>
      <c r="E940" s="99"/>
      <c r="F940" s="71"/>
      <c r="G940" s="71"/>
      <c r="H940" s="71"/>
      <c r="I940" s="99"/>
      <c r="J940" s="99"/>
      <c r="K940" s="99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</row>
    <row r="941" spans="1:22" ht="14.25">
      <c r="A941" s="73"/>
      <c r="B941" s="78"/>
      <c r="C941" s="79"/>
      <c r="D941" s="76"/>
      <c r="E941" s="99"/>
      <c r="F941" s="71"/>
      <c r="G941" s="71"/>
      <c r="H941" s="71"/>
      <c r="I941" s="99"/>
      <c r="J941" s="99"/>
      <c r="K941" s="99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</row>
    <row r="942" spans="1:22" ht="14.25">
      <c r="A942" s="73"/>
      <c r="B942" s="78"/>
      <c r="C942" s="79"/>
      <c r="D942" s="76"/>
      <c r="E942" s="99"/>
      <c r="F942" s="71"/>
      <c r="G942" s="71"/>
      <c r="H942" s="71"/>
      <c r="I942" s="99"/>
      <c r="J942" s="99"/>
      <c r="K942" s="99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</row>
    <row r="943" spans="1:22" ht="14.25">
      <c r="A943" s="73"/>
      <c r="B943" s="78"/>
      <c r="C943" s="79"/>
      <c r="D943" s="76"/>
      <c r="E943" s="99"/>
      <c r="F943" s="71"/>
      <c r="G943" s="71"/>
      <c r="H943" s="71"/>
      <c r="I943" s="99"/>
      <c r="J943" s="99"/>
      <c r="K943" s="99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</row>
    <row r="944" spans="1:22" ht="14.25">
      <c r="A944" s="73"/>
      <c r="B944" s="78"/>
      <c r="C944" s="79"/>
      <c r="D944" s="76"/>
      <c r="E944" s="99"/>
      <c r="F944" s="71"/>
      <c r="G944" s="71"/>
      <c r="H944" s="71"/>
      <c r="I944" s="99"/>
      <c r="J944" s="99"/>
      <c r="K944" s="99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</row>
    <row r="945" spans="1:22" ht="14.25">
      <c r="A945" s="73"/>
      <c r="B945" s="78"/>
      <c r="C945" s="79"/>
      <c r="D945" s="76"/>
      <c r="E945" s="99"/>
      <c r="F945" s="71"/>
      <c r="G945" s="71"/>
      <c r="H945" s="71"/>
      <c r="I945" s="99"/>
      <c r="J945" s="99"/>
      <c r="K945" s="99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</row>
    <row r="946" spans="1:22" ht="14.25">
      <c r="A946" s="73"/>
      <c r="B946" s="78"/>
      <c r="C946" s="79"/>
      <c r="D946" s="76"/>
      <c r="E946" s="99"/>
      <c r="F946" s="71"/>
      <c r="G946" s="71"/>
      <c r="H946" s="71"/>
      <c r="I946" s="99"/>
      <c r="J946" s="99"/>
      <c r="K946" s="99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</row>
    <row r="947" spans="1:22" ht="14.25">
      <c r="A947" s="73"/>
      <c r="B947" s="78"/>
      <c r="C947" s="79"/>
      <c r="D947" s="76"/>
      <c r="E947" s="99"/>
      <c r="F947" s="71"/>
      <c r="G947" s="71"/>
      <c r="H947" s="71"/>
      <c r="I947" s="99"/>
      <c r="J947" s="99"/>
      <c r="K947" s="99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</row>
    <row r="948" spans="1:22" ht="14.25">
      <c r="A948" s="73"/>
      <c r="B948" s="78"/>
      <c r="C948" s="79"/>
      <c r="D948" s="76"/>
      <c r="E948" s="99"/>
      <c r="F948" s="71"/>
      <c r="G948" s="71"/>
      <c r="H948" s="71"/>
      <c r="I948" s="99"/>
      <c r="J948" s="99"/>
      <c r="K948" s="99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</row>
    <row r="949" spans="1:22" ht="14.25">
      <c r="A949" s="73"/>
      <c r="B949" s="78"/>
      <c r="C949" s="79"/>
      <c r="D949" s="76"/>
      <c r="E949" s="99"/>
      <c r="F949" s="71"/>
      <c r="G949" s="71"/>
      <c r="H949" s="71"/>
      <c r="I949" s="99"/>
      <c r="J949" s="99"/>
      <c r="K949" s="99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</row>
    <row r="950" spans="1:22" ht="14.25">
      <c r="A950" s="73"/>
      <c r="B950" s="78"/>
      <c r="C950" s="79"/>
      <c r="D950" s="76"/>
      <c r="E950" s="99"/>
      <c r="F950" s="71"/>
      <c r="G950" s="71"/>
      <c r="H950" s="71"/>
      <c r="I950" s="99"/>
      <c r="J950" s="99"/>
      <c r="K950" s="99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</row>
    <row r="951" spans="1:22" ht="14.25">
      <c r="A951" s="73"/>
      <c r="B951" s="78"/>
      <c r="C951" s="79"/>
      <c r="D951" s="76"/>
      <c r="E951" s="99"/>
      <c r="F951" s="71"/>
      <c r="G951" s="71"/>
      <c r="H951" s="71"/>
      <c r="I951" s="99"/>
      <c r="J951" s="99"/>
      <c r="K951" s="99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</row>
    <row r="952" spans="1:22" ht="14.25">
      <c r="A952" s="73"/>
      <c r="B952" s="78"/>
      <c r="C952" s="79"/>
      <c r="D952" s="76"/>
      <c r="E952" s="99"/>
      <c r="F952" s="71"/>
      <c r="G952" s="71"/>
      <c r="H952" s="71"/>
      <c r="I952" s="99"/>
      <c r="J952" s="99"/>
      <c r="K952" s="99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</row>
    <row r="953" spans="1:22" ht="14.25">
      <c r="A953" s="73"/>
      <c r="B953" s="78"/>
      <c r="C953" s="79"/>
      <c r="D953" s="76"/>
      <c r="E953" s="99"/>
      <c r="F953" s="71"/>
      <c r="G953" s="71"/>
      <c r="H953" s="71"/>
      <c r="I953" s="99"/>
      <c r="J953" s="99"/>
      <c r="K953" s="99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</row>
    <row r="954" spans="1:22" ht="14.25">
      <c r="A954" s="73"/>
      <c r="B954" s="78"/>
      <c r="C954" s="79"/>
      <c r="D954" s="76"/>
      <c r="E954" s="99"/>
      <c r="F954" s="71"/>
      <c r="G954" s="71"/>
      <c r="H954" s="71"/>
      <c r="I954" s="99"/>
      <c r="J954" s="99"/>
      <c r="K954" s="99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</row>
    <row r="955" spans="1:22" ht="14.25">
      <c r="A955" s="73"/>
      <c r="B955" s="78"/>
      <c r="C955" s="79"/>
      <c r="D955" s="76"/>
      <c r="E955" s="99"/>
      <c r="F955" s="71"/>
      <c r="G955" s="71"/>
      <c r="H955" s="71"/>
      <c r="I955" s="99"/>
      <c r="J955" s="99"/>
      <c r="K955" s="99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</row>
    <row r="956" spans="1:22" ht="14.25">
      <c r="A956" s="73"/>
      <c r="B956" s="78"/>
      <c r="C956" s="79"/>
      <c r="D956" s="76"/>
      <c r="E956" s="99"/>
      <c r="F956" s="71"/>
      <c r="G956" s="71"/>
      <c r="H956" s="71"/>
      <c r="I956" s="99"/>
      <c r="J956" s="99"/>
      <c r="K956" s="99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</row>
    <row r="957" spans="1:22" ht="14.25">
      <c r="A957" s="73"/>
      <c r="B957" s="78"/>
      <c r="C957" s="79"/>
      <c r="D957" s="76"/>
      <c r="E957" s="99"/>
      <c r="F957" s="71"/>
      <c r="G957" s="71"/>
      <c r="H957" s="71"/>
      <c r="I957" s="99"/>
      <c r="J957" s="99"/>
      <c r="K957" s="99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</row>
    <row r="958" spans="1:22" ht="14.25">
      <c r="A958" s="73"/>
      <c r="B958" s="78"/>
      <c r="C958" s="79"/>
      <c r="D958" s="76"/>
      <c r="E958" s="99"/>
      <c r="F958" s="71"/>
      <c r="G958" s="71"/>
      <c r="H958" s="71"/>
      <c r="I958" s="99"/>
      <c r="J958" s="99"/>
      <c r="K958" s="99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</row>
    <row r="959" spans="1:22" ht="14.25">
      <c r="A959" s="73"/>
      <c r="B959" s="78"/>
      <c r="C959" s="79"/>
      <c r="D959" s="76"/>
      <c r="E959" s="99"/>
      <c r="F959" s="71"/>
      <c r="G959" s="71"/>
      <c r="H959" s="71"/>
      <c r="I959" s="99"/>
      <c r="J959" s="99"/>
      <c r="K959" s="99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</row>
    <row r="960" spans="1:22" ht="14.25">
      <c r="A960" s="73"/>
      <c r="B960" s="78"/>
      <c r="C960" s="79"/>
      <c r="D960" s="76"/>
      <c r="E960" s="99"/>
      <c r="F960" s="71"/>
      <c r="G960" s="71"/>
      <c r="H960" s="71"/>
      <c r="I960" s="99"/>
      <c r="J960" s="99"/>
      <c r="K960" s="99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</row>
    <row r="961" spans="1:22" ht="14.25">
      <c r="A961" s="73"/>
      <c r="B961" s="78"/>
      <c r="C961" s="79"/>
      <c r="D961" s="76"/>
      <c r="E961" s="99"/>
      <c r="F961" s="71"/>
      <c r="G961" s="71"/>
      <c r="H961" s="71"/>
      <c r="I961" s="99"/>
      <c r="J961" s="99"/>
      <c r="K961" s="99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</row>
    <row r="962" spans="1:22" ht="14.25">
      <c r="A962" s="73"/>
      <c r="B962" s="78"/>
      <c r="C962" s="79"/>
      <c r="D962" s="76"/>
      <c r="E962" s="99"/>
      <c r="F962" s="71"/>
      <c r="G962" s="71"/>
      <c r="H962" s="71"/>
      <c r="I962" s="99"/>
      <c r="J962" s="99"/>
      <c r="K962" s="99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</row>
    <row r="963" spans="1:22" ht="14.25">
      <c r="A963" s="73"/>
      <c r="B963" s="78"/>
      <c r="C963" s="79"/>
      <c r="D963" s="76"/>
      <c r="E963" s="99"/>
      <c r="F963" s="71"/>
      <c r="G963" s="71"/>
      <c r="H963" s="71"/>
      <c r="I963" s="99"/>
      <c r="J963" s="99"/>
      <c r="K963" s="99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</row>
    <row r="964" spans="1:22" ht="14.25">
      <c r="A964" s="73"/>
      <c r="B964" s="78"/>
      <c r="C964" s="79"/>
      <c r="D964" s="76"/>
      <c r="E964" s="99"/>
      <c r="F964" s="71"/>
      <c r="G964" s="71"/>
      <c r="H964" s="71"/>
      <c r="I964" s="99"/>
      <c r="J964" s="99"/>
      <c r="K964" s="99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</row>
    <row r="965" spans="1:22" ht="14.25">
      <c r="A965" s="73"/>
      <c r="B965" s="78"/>
      <c r="C965" s="79"/>
      <c r="D965" s="76"/>
      <c r="E965" s="99"/>
      <c r="F965" s="71"/>
      <c r="G965" s="71"/>
      <c r="H965" s="71"/>
      <c r="I965" s="99"/>
      <c r="J965" s="99"/>
      <c r="K965" s="99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</row>
    <row r="966" spans="1:22" ht="14.25">
      <c r="A966" s="73"/>
      <c r="B966" s="78"/>
      <c r="C966" s="79"/>
      <c r="D966" s="76"/>
      <c r="E966" s="99"/>
      <c r="F966" s="71"/>
      <c r="G966" s="71"/>
      <c r="H966" s="71"/>
      <c r="I966" s="99"/>
      <c r="J966" s="99"/>
      <c r="K966" s="99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</row>
    <row r="967" spans="1:22" ht="14.25">
      <c r="A967" s="73"/>
      <c r="B967" s="78"/>
      <c r="C967" s="79"/>
      <c r="D967" s="76"/>
      <c r="E967" s="99"/>
      <c r="F967" s="71"/>
      <c r="G967" s="71"/>
      <c r="H967" s="71"/>
      <c r="I967" s="99"/>
      <c r="J967" s="99"/>
      <c r="K967" s="99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</row>
    <row r="968" spans="1:22" ht="14.25">
      <c r="A968" s="73"/>
      <c r="B968" s="78"/>
      <c r="C968" s="79"/>
      <c r="D968" s="76"/>
      <c r="E968" s="99"/>
      <c r="F968" s="71"/>
      <c r="G968" s="71"/>
      <c r="H968" s="71"/>
      <c r="I968" s="99"/>
      <c r="J968" s="99"/>
      <c r="K968" s="99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</row>
    <row r="969" spans="1:22" ht="14.25">
      <c r="A969" s="73"/>
      <c r="B969" s="78"/>
      <c r="C969" s="79"/>
      <c r="D969" s="76"/>
      <c r="E969" s="99"/>
      <c r="F969" s="71"/>
      <c r="G969" s="71"/>
      <c r="H969" s="71"/>
      <c r="I969" s="99"/>
      <c r="J969" s="99"/>
      <c r="K969" s="99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</row>
    <row r="970" spans="1:22" ht="14.25">
      <c r="A970" s="73"/>
      <c r="B970" s="78"/>
      <c r="C970" s="79"/>
      <c r="D970" s="76"/>
      <c r="E970" s="99"/>
      <c r="F970" s="71"/>
      <c r="G970" s="71"/>
      <c r="H970" s="71"/>
      <c r="I970" s="99"/>
      <c r="J970" s="99"/>
      <c r="K970" s="99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</row>
    <row r="971" spans="1:22" ht="14.25">
      <c r="A971" s="73"/>
      <c r="B971" s="78"/>
      <c r="C971" s="79"/>
      <c r="D971" s="76"/>
      <c r="E971" s="99"/>
      <c r="F971" s="71"/>
      <c r="G971" s="71"/>
      <c r="H971" s="71"/>
      <c r="I971" s="99"/>
      <c r="J971" s="99"/>
      <c r="K971" s="99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</row>
    <row r="972" spans="1:22" ht="14.25">
      <c r="A972" s="73"/>
      <c r="B972" s="78"/>
      <c r="C972" s="79"/>
      <c r="D972" s="76"/>
      <c r="E972" s="99"/>
      <c r="F972" s="71"/>
      <c r="G972" s="71"/>
      <c r="H972" s="71"/>
      <c r="I972" s="99"/>
      <c r="J972" s="99"/>
      <c r="K972" s="99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</row>
    <row r="973" spans="1:22" ht="14.25">
      <c r="A973" s="73"/>
      <c r="B973" s="78"/>
      <c r="C973" s="79"/>
      <c r="D973" s="76"/>
      <c r="E973" s="99"/>
      <c r="F973" s="71"/>
      <c r="G973" s="71"/>
      <c r="H973" s="71"/>
      <c r="I973" s="99"/>
      <c r="J973" s="99"/>
      <c r="K973" s="99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</row>
    <row r="974" spans="1:22" ht="14.25">
      <c r="A974" s="73"/>
      <c r="B974" s="78"/>
      <c r="C974" s="79"/>
      <c r="D974" s="76"/>
      <c r="E974" s="99"/>
      <c r="F974" s="71"/>
      <c r="G974" s="71"/>
      <c r="H974" s="71"/>
      <c r="I974" s="99"/>
      <c r="J974" s="99"/>
      <c r="K974" s="99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</row>
    <row r="975" spans="1:22" ht="14.25">
      <c r="A975" s="73"/>
      <c r="B975" s="78"/>
      <c r="C975" s="79"/>
      <c r="D975" s="76"/>
      <c r="E975" s="99"/>
      <c r="F975" s="71"/>
      <c r="G975" s="71"/>
      <c r="H975" s="71"/>
      <c r="I975" s="99"/>
      <c r="J975" s="99"/>
      <c r="K975" s="99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</row>
    <row r="976" spans="1:22" ht="14.25">
      <c r="A976" s="73"/>
      <c r="B976" s="78"/>
      <c r="C976" s="79"/>
      <c r="D976" s="76"/>
      <c r="E976" s="99"/>
      <c r="F976" s="71"/>
      <c r="G976" s="71"/>
      <c r="H976" s="71"/>
      <c r="I976" s="99"/>
      <c r="J976" s="99"/>
      <c r="K976" s="99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</row>
    <row r="977" spans="1:22" ht="14.25">
      <c r="A977" s="73"/>
      <c r="B977" s="78"/>
      <c r="C977" s="79"/>
      <c r="D977" s="76"/>
      <c r="E977" s="99"/>
      <c r="F977" s="71"/>
      <c r="G977" s="71"/>
      <c r="H977" s="71"/>
      <c r="I977" s="99"/>
      <c r="J977" s="99"/>
      <c r="K977" s="99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</row>
    <row r="978" spans="1:22" ht="14.25">
      <c r="A978" s="73"/>
      <c r="B978" s="78"/>
      <c r="C978" s="79"/>
      <c r="D978" s="76"/>
      <c r="E978" s="99"/>
      <c r="F978" s="71"/>
      <c r="G978" s="71"/>
      <c r="H978" s="71"/>
      <c r="I978" s="99"/>
      <c r="J978" s="99"/>
      <c r="K978" s="99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</row>
    <row r="979" spans="1:22" ht="14.25">
      <c r="A979" s="73"/>
      <c r="B979" s="78"/>
      <c r="C979" s="79"/>
      <c r="D979" s="76"/>
      <c r="E979" s="99"/>
      <c r="F979" s="71"/>
      <c r="G979" s="71"/>
      <c r="H979" s="71"/>
      <c r="I979" s="99"/>
      <c r="J979" s="99"/>
      <c r="K979" s="99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</row>
    <row r="980" spans="1:22" ht="14.25">
      <c r="A980" s="73"/>
      <c r="B980" s="78"/>
      <c r="C980" s="79"/>
      <c r="D980" s="76"/>
      <c r="E980" s="99"/>
      <c r="F980" s="71"/>
      <c r="G980" s="71"/>
      <c r="H980" s="71"/>
      <c r="I980" s="99"/>
      <c r="J980" s="99"/>
      <c r="K980" s="99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</row>
    <row r="981" spans="1:22" ht="14.25">
      <c r="A981" s="73"/>
      <c r="B981" s="78"/>
      <c r="C981" s="79"/>
      <c r="D981" s="76"/>
      <c r="E981" s="99"/>
      <c r="F981" s="71"/>
      <c r="G981" s="71"/>
      <c r="H981" s="71"/>
      <c r="I981" s="99"/>
      <c r="J981" s="99"/>
      <c r="K981" s="99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</row>
    <row r="982" spans="1:22" ht="14.25">
      <c r="A982" s="73"/>
      <c r="B982" s="78"/>
      <c r="C982" s="79"/>
      <c r="D982" s="76"/>
      <c r="E982" s="99"/>
      <c r="F982" s="71"/>
      <c r="G982" s="71"/>
      <c r="H982" s="71"/>
      <c r="I982" s="99"/>
      <c r="J982" s="99"/>
      <c r="K982" s="99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</row>
    <row r="983" spans="1:22" ht="14.25">
      <c r="A983" s="73"/>
      <c r="B983" s="78"/>
      <c r="C983" s="79"/>
      <c r="D983" s="76"/>
      <c r="E983" s="99"/>
      <c r="F983" s="71"/>
      <c r="G983" s="71"/>
      <c r="H983" s="71"/>
      <c r="I983" s="99"/>
      <c r="J983" s="99"/>
      <c r="K983" s="99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</row>
    <row r="984" spans="1:22" ht="14.25">
      <c r="A984" s="73"/>
      <c r="B984" s="78"/>
      <c r="C984" s="79"/>
      <c r="D984" s="76"/>
      <c r="E984" s="99"/>
      <c r="F984" s="71"/>
      <c r="G984" s="71"/>
      <c r="H984" s="71"/>
      <c r="I984" s="99"/>
      <c r="J984" s="99"/>
      <c r="K984" s="99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</row>
    <row r="985" spans="1:22" ht="14.25">
      <c r="A985" s="73"/>
      <c r="B985" s="78"/>
      <c r="C985" s="79"/>
      <c r="D985" s="76"/>
      <c r="E985" s="99"/>
      <c r="F985" s="71"/>
      <c r="G985" s="71"/>
      <c r="H985" s="71"/>
      <c r="I985" s="99"/>
      <c r="J985" s="99"/>
      <c r="K985" s="99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</row>
    <row r="986" spans="1:22" ht="14.25">
      <c r="A986" s="73"/>
      <c r="B986" s="78"/>
      <c r="C986" s="79"/>
      <c r="D986" s="76"/>
      <c r="E986" s="99"/>
      <c r="F986" s="71"/>
      <c r="G986" s="71"/>
      <c r="H986" s="71"/>
      <c r="I986" s="99"/>
      <c r="J986" s="99"/>
      <c r="K986" s="99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</row>
    <row r="987" spans="1:22" ht="14.25">
      <c r="A987" s="73"/>
      <c r="B987" s="78"/>
      <c r="C987" s="79"/>
      <c r="D987" s="76"/>
      <c r="E987" s="99"/>
      <c r="F987" s="71"/>
      <c r="G987" s="71"/>
      <c r="H987" s="71"/>
      <c r="I987" s="99"/>
      <c r="J987" s="99"/>
      <c r="K987" s="99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</row>
    <row r="988" spans="1:22" ht="14.25">
      <c r="A988" s="73"/>
      <c r="B988" s="78"/>
      <c r="C988" s="79"/>
      <c r="D988" s="76"/>
      <c r="E988" s="99"/>
      <c r="F988" s="71"/>
      <c r="G988" s="71"/>
      <c r="H988" s="71"/>
      <c r="I988" s="99"/>
      <c r="J988" s="99"/>
      <c r="K988" s="99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</row>
    <row r="989" spans="1:22" ht="14.25">
      <c r="A989" s="73"/>
      <c r="B989" s="78"/>
      <c r="C989" s="79"/>
      <c r="D989" s="76"/>
      <c r="E989" s="99"/>
      <c r="F989" s="71"/>
      <c r="G989" s="71"/>
      <c r="H989" s="71"/>
      <c r="I989" s="99"/>
      <c r="J989" s="99"/>
      <c r="K989" s="99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</row>
    <row r="990" spans="1:22" ht="14.25">
      <c r="A990" s="73"/>
      <c r="B990" s="78"/>
      <c r="C990" s="79"/>
      <c r="D990" s="76"/>
      <c r="E990" s="99"/>
      <c r="F990" s="71"/>
      <c r="G990" s="71"/>
      <c r="H990" s="71"/>
      <c r="I990" s="99"/>
      <c r="J990" s="99"/>
      <c r="K990" s="99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</row>
    <row r="991" spans="1:22" ht="14.25">
      <c r="A991" s="73"/>
      <c r="B991" s="78"/>
      <c r="C991" s="79"/>
      <c r="D991" s="76"/>
      <c r="E991" s="99"/>
      <c r="F991" s="71"/>
      <c r="G991" s="71"/>
      <c r="H991" s="71"/>
      <c r="I991" s="99"/>
      <c r="J991" s="99"/>
      <c r="K991" s="99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</row>
    <row r="992" spans="1:22" ht="14.25">
      <c r="A992" s="73"/>
      <c r="B992" s="78"/>
      <c r="C992" s="79"/>
      <c r="D992" s="76"/>
      <c r="E992" s="99"/>
      <c r="F992" s="71"/>
      <c r="G992" s="71"/>
      <c r="H992" s="71"/>
      <c r="I992" s="99"/>
      <c r="J992" s="99"/>
      <c r="K992" s="99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</row>
    <row r="993" spans="1:22" ht="14.25">
      <c r="A993" s="73"/>
      <c r="B993" s="78"/>
      <c r="C993" s="79"/>
      <c r="D993" s="76"/>
      <c r="E993" s="99"/>
      <c r="F993" s="71"/>
      <c r="G993" s="71"/>
      <c r="H993" s="71"/>
      <c r="I993" s="99"/>
      <c r="J993" s="99"/>
      <c r="K993" s="99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</row>
    <row r="994" spans="1:22" ht="14.25">
      <c r="A994" s="73"/>
      <c r="B994" s="78"/>
      <c r="C994" s="79"/>
      <c r="D994" s="76"/>
      <c r="E994" s="99"/>
      <c r="F994" s="71"/>
      <c r="G994" s="71"/>
      <c r="H994" s="71"/>
      <c r="I994" s="99"/>
      <c r="J994" s="99"/>
      <c r="K994" s="99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</row>
    <row r="995" spans="1:22" ht="14.25">
      <c r="A995" s="73"/>
      <c r="B995" s="78"/>
      <c r="C995" s="79"/>
      <c r="D995" s="76"/>
      <c r="E995" s="99"/>
      <c r="F995" s="71"/>
      <c r="G995" s="71"/>
      <c r="H995" s="71"/>
      <c r="I995" s="99"/>
      <c r="J995" s="99"/>
      <c r="K995" s="99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</row>
    <row r="996" spans="1:22" ht="14.25">
      <c r="A996" s="73"/>
      <c r="B996" s="78"/>
      <c r="C996" s="79"/>
      <c r="D996" s="76"/>
      <c r="E996" s="99"/>
      <c r="F996" s="71"/>
      <c r="G996" s="71"/>
      <c r="H996" s="71"/>
      <c r="I996" s="99"/>
      <c r="J996" s="99"/>
      <c r="K996" s="99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</row>
    <row r="997" spans="1:22" ht="14.25">
      <c r="A997" s="73"/>
      <c r="B997" s="78"/>
      <c r="C997" s="79"/>
      <c r="D997" s="76"/>
      <c r="E997" s="99"/>
      <c r="F997" s="71"/>
      <c r="G997" s="71"/>
      <c r="H997" s="71"/>
      <c r="I997" s="99"/>
      <c r="J997" s="99"/>
      <c r="K997" s="99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</row>
    <row r="998" spans="1:22" ht="14.25">
      <c r="A998" s="73"/>
      <c r="B998" s="78"/>
      <c r="C998" s="79"/>
      <c r="D998" s="76"/>
      <c r="E998" s="99"/>
      <c r="F998" s="71"/>
      <c r="G998" s="71"/>
      <c r="H998" s="71"/>
      <c r="I998" s="99"/>
      <c r="J998" s="99"/>
      <c r="K998" s="99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</row>
    <row r="999" spans="1:22" ht="14.25">
      <c r="A999" s="73"/>
      <c r="B999" s="78"/>
      <c r="C999" s="79"/>
      <c r="D999" s="76"/>
      <c r="E999" s="99"/>
      <c r="F999" s="71"/>
      <c r="G999" s="71"/>
      <c r="H999" s="71"/>
      <c r="I999" s="99"/>
      <c r="J999" s="99"/>
      <c r="K999" s="99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</row>
    <row r="1000" spans="1:22" ht="14.25">
      <c r="A1000" s="73"/>
      <c r="B1000" s="78"/>
      <c r="C1000" s="79"/>
      <c r="D1000" s="76"/>
      <c r="E1000" s="99"/>
      <c r="F1000" s="71"/>
      <c r="G1000" s="71"/>
      <c r="H1000" s="71"/>
      <c r="I1000" s="99"/>
      <c r="J1000" s="99"/>
      <c r="K1000" s="99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</row>
    <row r="1001" spans="1:22" ht="14.25">
      <c r="A1001" s="73"/>
      <c r="B1001" s="78"/>
      <c r="C1001" s="79"/>
      <c r="D1001" s="76"/>
      <c r="E1001" s="99"/>
      <c r="F1001" s="71"/>
      <c r="G1001" s="71"/>
      <c r="H1001" s="71"/>
      <c r="I1001" s="99"/>
      <c r="J1001" s="99"/>
      <c r="K1001" s="99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</row>
    <row r="1002" spans="1:22" ht="14.25">
      <c r="A1002" s="73"/>
      <c r="B1002" s="78"/>
      <c r="C1002" s="79"/>
      <c r="D1002" s="76"/>
      <c r="E1002" s="99"/>
      <c r="F1002" s="71"/>
      <c r="G1002" s="71"/>
      <c r="H1002" s="71"/>
      <c r="I1002" s="99"/>
      <c r="J1002" s="99"/>
      <c r="K1002" s="99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</row>
    <row r="1003" spans="1:22" ht="14.25">
      <c r="A1003" s="73"/>
      <c r="B1003" s="78"/>
      <c r="C1003" s="79"/>
      <c r="D1003" s="76"/>
      <c r="E1003" s="99"/>
      <c r="F1003" s="71"/>
      <c r="G1003" s="71"/>
      <c r="H1003" s="71"/>
      <c r="I1003" s="99"/>
      <c r="J1003" s="99"/>
      <c r="K1003" s="99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</row>
    <row r="1004" spans="1:22" ht="14.25">
      <c r="A1004" s="73"/>
      <c r="B1004" s="78"/>
      <c r="C1004" s="79"/>
      <c r="D1004" s="76"/>
      <c r="E1004" s="99"/>
      <c r="F1004" s="71"/>
      <c r="G1004" s="71"/>
      <c r="H1004" s="71"/>
      <c r="I1004" s="99"/>
      <c r="J1004" s="99"/>
      <c r="K1004" s="99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</row>
    <row r="1005" spans="1:22" ht="14.25">
      <c r="A1005" s="73"/>
      <c r="B1005" s="78"/>
      <c r="C1005" s="79"/>
      <c r="D1005" s="76"/>
      <c r="E1005" s="99"/>
      <c r="F1005" s="71"/>
      <c r="G1005" s="71"/>
      <c r="H1005" s="71"/>
      <c r="I1005" s="99"/>
      <c r="J1005" s="99"/>
      <c r="K1005" s="99"/>
      <c r="L1005" s="73"/>
      <c r="M1005" s="73"/>
      <c r="N1005" s="73"/>
      <c r="O1005" s="73"/>
      <c r="P1005" s="73"/>
      <c r="Q1005" s="73"/>
      <c r="R1005" s="73"/>
      <c r="S1005" s="73"/>
      <c r="T1005" s="73"/>
      <c r="U1005" s="73"/>
      <c r="V1005" s="73"/>
    </row>
    <row r="1006" spans="1:22" ht="14.25">
      <c r="A1006" s="73"/>
      <c r="B1006" s="78"/>
      <c r="C1006" s="79"/>
      <c r="D1006" s="76"/>
      <c r="E1006" s="99"/>
      <c r="F1006" s="71"/>
      <c r="G1006" s="71"/>
      <c r="H1006" s="71"/>
      <c r="I1006" s="99"/>
      <c r="J1006" s="99"/>
      <c r="K1006" s="99"/>
      <c r="L1006" s="73"/>
      <c r="M1006" s="73"/>
      <c r="N1006" s="73"/>
      <c r="O1006" s="73"/>
      <c r="P1006" s="73"/>
      <c r="Q1006" s="73"/>
      <c r="R1006" s="73"/>
      <c r="S1006" s="73"/>
      <c r="T1006" s="73"/>
      <c r="U1006" s="73"/>
      <c r="V1006" s="73"/>
    </row>
    <row r="1007" spans="1:22" ht="14.25">
      <c r="A1007" s="73"/>
      <c r="B1007" s="78"/>
      <c r="C1007" s="79"/>
      <c r="D1007" s="76"/>
      <c r="E1007" s="99"/>
      <c r="F1007" s="71"/>
      <c r="G1007" s="71"/>
      <c r="H1007" s="71"/>
      <c r="I1007" s="99"/>
      <c r="J1007" s="99"/>
      <c r="K1007" s="99"/>
      <c r="L1007" s="73"/>
      <c r="M1007" s="73"/>
      <c r="N1007" s="73"/>
      <c r="O1007" s="73"/>
      <c r="P1007" s="73"/>
      <c r="Q1007" s="73"/>
      <c r="R1007" s="73"/>
      <c r="S1007" s="73"/>
      <c r="T1007" s="73"/>
      <c r="U1007" s="73"/>
      <c r="V1007" s="73"/>
    </row>
    <row r="1008" spans="1:22" ht="14.25">
      <c r="A1008" s="73"/>
      <c r="B1008" s="78"/>
      <c r="C1008" s="79"/>
      <c r="D1008" s="76"/>
      <c r="E1008" s="99"/>
      <c r="F1008" s="71"/>
      <c r="G1008" s="71"/>
      <c r="H1008" s="71"/>
      <c r="I1008" s="99"/>
      <c r="J1008" s="99"/>
      <c r="K1008" s="99"/>
      <c r="L1008" s="73"/>
      <c r="M1008" s="73"/>
      <c r="N1008" s="73"/>
      <c r="O1008" s="73"/>
      <c r="P1008" s="73"/>
      <c r="Q1008" s="73"/>
      <c r="R1008" s="73"/>
      <c r="S1008" s="73"/>
      <c r="T1008" s="73"/>
      <c r="U1008" s="73"/>
      <c r="V1008" s="73"/>
    </row>
    <row r="1009" spans="1:22" ht="14.25">
      <c r="A1009" s="73"/>
      <c r="B1009" s="78"/>
      <c r="C1009" s="79"/>
      <c r="D1009" s="76"/>
      <c r="E1009" s="99"/>
      <c r="F1009" s="71"/>
      <c r="G1009" s="71"/>
      <c r="H1009" s="71"/>
      <c r="I1009" s="99"/>
      <c r="J1009" s="99"/>
      <c r="K1009" s="99"/>
      <c r="L1009" s="73"/>
      <c r="M1009" s="73"/>
      <c r="N1009" s="73"/>
      <c r="O1009" s="73"/>
      <c r="P1009" s="73"/>
      <c r="Q1009" s="73"/>
      <c r="R1009" s="73"/>
      <c r="S1009" s="73"/>
      <c r="T1009" s="73"/>
      <c r="U1009" s="73"/>
      <c r="V1009" s="73"/>
    </row>
    <row r="1010" spans="1:22" ht="14.25">
      <c r="A1010" s="73"/>
      <c r="B1010" s="78"/>
      <c r="C1010" s="79"/>
      <c r="D1010" s="76"/>
      <c r="E1010" s="99"/>
      <c r="F1010" s="71"/>
      <c r="G1010" s="71"/>
      <c r="H1010" s="71"/>
      <c r="I1010" s="99"/>
      <c r="J1010" s="99"/>
      <c r="K1010" s="99"/>
      <c r="L1010" s="73"/>
      <c r="M1010" s="73"/>
      <c r="N1010" s="73"/>
      <c r="O1010" s="73"/>
      <c r="P1010" s="73"/>
      <c r="Q1010" s="73"/>
      <c r="R1010" s="73"/>
      <c r="S1010" s="73"/>
      <c r="T1010" s="73"/>
      <c r="U1010" s="73"/>
      <c r="V1010" s="73"/>
    </row>
    <row r="1011" spans="1:22" ht="14.25">
      <c r="A1011" s="73"/>
      <c r="B1011" s="78"/>
      <c r="C1011" s="79"/>
      <c r="D1011" s="76"/>
      <c r="E1011" s="99"/>
      <c r="F1011" s="71"/>
      <c r="G1011" s="71"/>
      <c r="H1011" s="71"/>
      <c r="I1011" s="99"/>
      <c r="J1011" s="99"/>
      <c r="K1011" s="99"/>
      <c r="L1011" s="73"/>
      <c r="M1011" s="73"/>
      <c r="N1011" s="73"/>
      <c r="O1011" s="73"/>
      <c r="P1011" s="73"/>
      <c r="Q1011" s="73"/>
      <c r="R1011" s="73"/>
      <c r="S1011" s="73"/>
      <c r="T1011" s="73"/>
      <c r="U1011" s="73"/>
      <c r="V1011" s="73"/>
    </row>
    <row r="1012" spans="1:22" ht="14.25">
      <c r="A1012" s="73"/>
      <c r="B1012" s="78"/>
      <c r="C1012" s="79"/>
      <c r="D1012" s="76"/>
      <c r="E1012" s="99"/>
      <c r="F1012" s="71"/>
      <c r="G1012" s="71"/>
      <c r="H1012" s="71"/>
      <c r="I1012" s="99"/>
      <c r="J1012" s="99"/>
      <c r="K1012" s="99"/>
      <c r="L1012" s="73"/>
      <c r="M1012" s="73"/>
      <c r="N1012" s="73"/>
      <c r="O1012" s="73"/>
      <c r="P1012" s="73"/>
      <c r="Q1012" s="73"/>
      <c r="R1012" s="73"/>
      <c r="S1012" s="73"/>
      <c r="T1012" s="73"/>
      <c r="U1012" s="73"/>
      <c r="V1012" s="73"/>
    </row>
    <row r="1013" spans="1:22" ht="14.25">
      <c r="A1013" s="73"/>
      <c r="B1013" s="78"/>
      <c r="C1013" s="79"/>
      <c r="D1013" s="76"/>
      <c r="E1013" s="99"/>
      <c r="F1013" s="71"/>
      <c r="G1013" s="71"/>
      <c r="H1013" s="71"/>
      <c r="I1013" s="99"/>
      <c r="J1013" s="99"/>
      <c r="K1013" s="99"/>
      <c r="L1013" s="73"/>
      <c r="M1013" s="73"/>
      <c r="N1013" s="73"/>
      <c r="O1013" s="73"/>
      <c r="P1013" s="73"/>
      <c r="Q1013" s="73"/>
      <c r="R1013" s="73"/>
      <c r="S1013" s="73"/>
      <c r="T1013" s="73"/>
      <c r="U1013" s="73"/>
      <c r="V1013" s="73"/>
    </row>
    <row r="1014" spans="1:22" ht="14.25">
      <c r="A1014" s="73"/>
      <c r="B1014" s="78"/>
      <c r="C1014" s="79"/>
      <c r="D1014" s="76"/>
      <c r="E1014" s="99"/>
      <c r="F1014" s="71"/>
      <c r="G1014" s="71"/>
      <c r="H1014" s="71"/>
      <c r="I1014" s="99"/>
      <c r="J1014" s="99"/>
      <c r="K1014" s="99"/>
      <c r="L1014" s="73"/>
      <c r="M1014" s="73"/>
      <c r="N1014" s="73"/>
      <c r="O1014" s="73"/>
      <c r="P1014" s="73"/>
      <c r="Q1014" s="73"/>
      <c r="R1014" s="73"/>
      <c r="S1014" s="73"/>
      <c r="T1014" s="73"/>
      <c r="U1014" s="73"/>
      <c r="V1014" s="73"/>
    </row>
    <row r="1015" spans="1:22" ht="14.25">
      <c r="A1015" s="73"/>
      <c r="B1015" s="78"/>
      <c r="C1015" s="79"/>
      <c r="D1015" s="76"/>
      <c r="E1015" s="99"/>
      <c r="F1015" s="71"/>
      <c r="G1015" s="71"/>
      <c r="H1015" s="71"/>
      <c r="I1015" s="99"/>
      <c r="J1015" s="99"/>
      <c r="K1015" s="99"/>
      <c r="L1015" s="73"/>
      <c r="M1015" s="73"/>
      <c r="N1015" s="73"/>
      <c r="O1015" s="73"/>
      <c r="P1015" s="73"/>
      <c r="Q1015" s="73"/>
      <c r="R1015" s="73"/>
      <c r="S1015" s="73"/>
      <c r="T1015" s="73"/>
      <c r="U1015" s="73"/>
      <c r="V1015" s="73"/>
    </row>
    <row r="1016" spans="1:22" ht="14.25">
      <c r="A1016" s="73"/>
      <c r="B1016" s="78"/>
      <c r="C1016" s="79"/>
      <c r="D1016" s="76"/>
      <c r="E1016" s="99"/>
      <c r="F1016" s="71"/>
      <c r="G1016" s="71"/>
      <c r="H1016" s="71"/>
      <c r="I1016" s="99"/>
      <c r="J1016" s="99"/>
      <c r="K1016" s="99"/>
      <c r="L1016" s="73"/>
      <c r="M1016" s="73"/>
      <c r="N1016" s="73"/>
      <c r="O1016" s="73"/>
      <c r="P1016" s="73"/>
      <c r="Q1016" s="73"/>
      <c r="R1016" s="73"/>
      <c r="S1016" s="73"/>
      <c r="T1016" s="73"/>
      <c r="U1016" s="73"/>
      <c r="V1016" s="73"/>
    </row>
    <row r="1017" spans="1:22" ht="14.25">
      <c r="A1017" s="73"/>
      <c r="B1017" s="78"/>
      <c r="C1017" s="79"/>
      <c r="D1017" s="76"/>
      <c r="E1017" s="99"/>
      <c r="F1017" s="71"/>
      <c r="G1017" s="71"/>
      <c r="H1017" s="71"/>
      <c r="I1017" s="99"/>
      <c r="J1017" s="99"/>
      <c r="K1017" s="99"/>
      <c r="L1017" s="73"/>
      <c r="M1017" s="73"/>
      <c r="N1017" s="73"/>
      <c r="O1017" s="73"/>
      <c r="P1017" s="73"/>
      <c r="Q1017" s="73"/>
      <c r="R1017" s="73"/>
      <c r="S1017" s="73"/>
      <c r="T1017" s="73"/>
      <c r="U1017" s="73"/>
      <c r="V1017" s="73"/>
    </row>
    <row r="1018" spans="1:22" ht="14.25">
      <c r="A1018" s="73"/>
      <c r="B1018" s="78"/>
      <c r="C1018" s="79"/>
      <c r="D1018" s="76"/>
      <c r="E1018" s="99"/>
      <c r="F1018" s="71"/>
      <c r="G1018" s="71"/>
      <c r="H1018" s="71"/>
      <c r="I1018" s="99"/>
      <c r="J1018" s="99"/>
      <c r="K1018" s="99"/>
      <c r="L1018" s="73"/>
      <c r="M1018" s="73"/>
      <c r="N1018" s="73"/>
      <c r="O1018" s="73"/>
      <c r="P1018" s="73"/>
      <c r="Q1018" s="73"/>
      <c r="R1018" s="73"/>
      <c r="S1018" s="73"/>
      <c r="T1018" s="73"/>
      <c r="U1018" s="73"/>
      <c r="V1018" s="73"/>
    </row>
    <row r="1019" spans="1:22" ht="14.25">
      <c r="A1019" s="73"/>
      <c r="B1019" s="78"/>
      <c r="C1019" s="79"/>
      <c r="D1019" s="76"/>
      <c r="E1019" s="99"/>
      <c r="F1019" s="71"/>
      <c r="G1019" s="71"/>
      <c r="H1019" s="71"/>
      <c r="I1019" s="99"/>
      <c r="J1019" s="99"/>
      <c r="K1019" s="99"/>
      <c r="L1019" s="73"/>
      <c r="M1019" s="73"/>
      <c r="N1019" s="73"/>
      <c r="O1019" s="73"/>
      <c r="P1019" s="73"/>
      <c r="Q1019" s="73"/>
      <c r="R1019" s="73"/>
      <c r="S1019" s="73"/>
      <c r="T1019" s="73"/>
      <c r="U1019" s="73"/>
      <c r="V1019" s="73"/>
    </row>
    <row r="1020" spans="1:22" ht="14.25">
      <c r="A1020" s="73"/>
      <c r="B1020" s="78"/>
      <c r="C1020" s="79"/>
      <c r="D1020" s="76"/>
      <c r="E1020" s="99"/>
      <c r="F1020" s="71"/>
      <c r="G1020" s="71"/>
      <c r="H1020" s="71"/>
      <c r="I1020" s="99"/>
      <c r="J1020" s="99"/>
      <c r="K1020" s="99"/>
      <c r="L1020" s="73"/>
      <c r="M1020" s="73"/>
      <c r="N1020" s="73"/>
      <c r="O1020" s="73"/>
      <c r="P1020" s="73"/>
      <c r="Q1020" s="73"/>
      <c r="R1020" s="73"/>
      <c r="S1020" s="73"/>
      <c r="T1020" s="73"/>
      <c r="U1020" s="73"/>
      <c r="V1020" s="73"/>
    </row>
    <row r="1021" spans="1:22" ht="14.25">
      <c r="A1021" s="73"/>
      <c r="B1021" s="78"/>
      <c r="C1021" s="79"/>
      <c r="D1021" s="76"/>
      <c r="E1021" s="99"/>
      <c r="F1021" s="71"/>
      <c r="G1021" s="71"/>
      <c r="H1021" s="71"/>
      <c r="I1021" s="99"/>
      <c r="J1021" s="99"/>
      <c r="K1021" s="99"/>
      <c r="L1021" s="73"/>
      <c r="M1021" s="73"/>
      <c r="N1021" s="73"/>
      <c r="O1021" s="73"/>
      <c r="P1021" s="73"/>
      <c r="Q1021" s="73"/>
      <c r="R1021" s="73"/>
      <c r="S1021" s="73"/>
      <c r="T1021" s="73"/>
      <c r="U1021" s="73"/>
      <c r="V1021" s="73"/>
    </row>
    <row r="1022" spans="1:22" ht="14.25">
      <c r="A1022" s="73"/>
      <c r="B1022" s="78"/>
      <c r="C1022" s="79"/>
      <c r="D1022" s="76"/>
      <c r="E1022" s="99"/>
      <c r="F1022" s="71"/>
      <c r="G1022" s="71"/>
      <c r="H1022" s="71"/>
      <c r="I1022" s="99"/>
      <c r="J1022" s="99"/>
      <c r="K1022" s="99"/>
      <c r="L1022" s="73"/>
      <c r="M1022" s="73"/>
      <c r="N1022" s="73"/>
      <c r="O1022" s="73"/>
      <c r="P1022" s="73"/>
      <c r="Q1022" s="73"/>
      <c r="R1022" s="73"/>
      <c r="S1022" s="73"/>
      <c r="T1022" s="73"/>
      <c r="U1022" s="73"/>
      <c r="V1022" s="73"/>
    </row>
    <row r="1023" spans="1:22" ht="14.25">
      <c r="A1023" s="73"/>
      <c r="B1023" s="78"/>
      <c r="C1023" s="79"/>
      <c r="D1023" s="76"/>
      <c r="E1023" s="99"/>
      <c r="F1023" s="71"/>
      <c r="G1023" s="71"/>
      <c r="H1023" s="71"/>
      <c r="I1023" s="99"/>
      <c r="J1023" s="99"/>
      <c r="K1023" s="99"/>
      <c r="L1023" s="73"/>
      <c r="M1023" s="73"/>
      <c r="N1023" s="73"/>
      <c r="O1023" s="73"/>
      <c r="P1023" s="73"/>
      <c r="Q1023" s="73"/>
      <c r="R1023" s="73"/>
      <c r="S1023" s="73"/>
      <c r="T1023" s="73"/>
      <c r="U1023" s="73"/>
      <c r="V1023" s="73"/>
    </row>
    <row r="1024" spans="1:22" ht="14.25">
      <c r="A1024" s="73"/>
      <c r="B1024" s="78"/>
      <c r="C1024" s="79"/>
      <c r="D1024" s="76"/>
      <c r="E1024" s="99"/>
      <c r="F1024" s="71"/>
      <c r="G1024" s="71"/>
      <c r="H1024" s="71"/>
      <c r="I1024" s="99"/>
      <c r="J1024" s="99"/>
      <c r="K1024" s="99"/>
      <c r="L1024" s="73"/>
      <c r="M1024" s="73"/>
      <c r="N1024" s="73"/>
      <c r="O1024" s="73"/>
      <c r="P1024" s="73"/>
      <c r="Q1024" s="73"/>
      <c r="R1024" s="73"/>
      <c r="S1024" s="73"/>
      <c r="T1024" s="73"/>
      <c r="U1024" s="73"/>
      <c r="V1024" s="73"/>
    </row>
    <row r="1025" spans="1:22" ht="14.25">
      <c r="A1025" s="73"/>
      <c r="B1025" s="78"/>
      <c r="C1025" s="79"/>
      <c r="D1025" s="76"/>
      <c r="E1025" s="99"/>
      <c r="F1025" s="71"/>
      <c r="G1025" s="71"/>
      <c r="H1025" s="71"/>
      <c r="I1025" s="99"/>
      <c r="J1025" s="99"/>
      <c r="K1025" s="99"/>
      <c r="L1025" s="73"/>
      <c r="M1025" s="73"/>
      <c r="N1025" s="73"/>
      <c r="O1025" s="73"/>
      <c r="P1025" s="73"/>
      <c r="Q1025" s="73"/>
      <c r="R1025" s="73"/>
      <c r="S1025" s="73"/>
      <c r="T1025" s="73"/>
      <c r="U1025" s="73"/>
      <c r="V1025" s="73"/>
    </row>
    <row r="1026" spans="1:22" ht="14.25">
      <c r="A1026" s="73"/>
      <c r="B1026" s="78"/>
      <c r="C1026" s="79"/>
      <c r="D1026" s="76"/>
      <c r="E1026" s="99"/>
      <c r="F1026" s="71"/>
      <c r="G1026" s="71"/>
      <c r="H1026" s="71"/>
      <c r="I1026" s="99"/>
      <c r="J1026" s="99"/>
      <c r="K1026" s="99"/>
      <c r="L1026" s="73"/>
      <c r="M1026" s="73"/>
      <c r="N1026" s="73"/>
      <c r="O1026" s="73"/>
      <c r="P1026" s="73"/>
      <c r="Q1026" s="73"/>
      <c r="R1026" s="73"/>
      <c r="S1026" s="73"/>
      <c r="T1026" s="73"/>
      <c r="U1026" s="73"/>
      <c r="V1026" s="73"/>
    </row>
    <row r="1027" spans="1:22" ht="14.25">
      <c r="A1027" s="73"/>
      <c r="B1027" s="78"/>
      <c r="C1027" s="79"/>
      <c r="D1027" s="76"/>
      <c r="E1027" s="99"/>
      <c r="F1027" s="71"/>
      <c r="G1027" s="71"/>
      <c r="H1027" s="71"/>
      <c r="I1027" s="99"/>
      <c r="J1027" s="99"/>
      <c r="K1027" s="99"/>
      <c r="L1027" s="73"/>
      <c r="M1027" s="73"/>
      <c r="N1027" s="73"/>
      <c r="O1027" s="73"/>
      <c r="P1027" s="73"/>
      <c r="Q1027" s="73"/>
      <c r="R1027" s="73"/>
      <c r="S1027" s="73"/>
      <c r="T1027" s="73"/>
      <c r="U1027" s="73"/>
      <c r="V1027" s="73"/>
    </row>
    <row r="1028" spans="1:22" ht="14.25">
      <c r="A1028" s="73"/>
      <c r="B1028" s="78"/>
      <c r="C1028" s="79"/>
      <c r="D1028" s="76"/>
      <c r="E1028" s="99"/>
      <c r="F1028" s="71"/>
      <c r="G1028" s="71"/>
      <c r="H1028" s="71"/>
      <c r="I1028" s="99"/>
      <c r="J1028" s="99"/>
      <c r="K1028" s="99"/>
      <c r="L1028" s="73"/>
      <c r="M1028" s="73"/>
      <c r="N1028" s="73"/>
      <c r="O1028" s="73"/>
      <c r="P1028" s="73"/>
      <c r="Q1028" s="73"/>
      <c r="R1028" s="73"/>
      <c r="S1028" s="73"/>
      <c r="T1028" s="73"/>
      <c r="U1028" s="73"/>
      <c r="V1028" s="73"/>
    </row>
    <row r="1029" spans="1:22" ht="14.25">
      <c r="A1029" s="73"/>
      <c r="B1029" s="78"/>
      <c r="C1029" s="79"/>
      <c r="D1029" s="76"/>
      <c r="E1029" s="99"/>
      <c r="F1029" s="71"/>
      <c r="G1029" s="71"/>
      <c r="H1029" s="71"/>
      <c r="I1029" s="99"/>
      <c r="J1029" s="99"/>
      <c r="K1029" s="99"/>
      <c r="L1029" s="73"/>
      <c r="M1029" s="73"/>
      <c r="N1029" s="73"/>
      <c r="O1029" s="73"/>
      <c r="P1029" s="73"/>
      <c r="Q1029" s="73"/>
      <c r="R1029" s="73"/>
      <c r="S1029" s="73"/>
      <c r="T1029" s="73"/>
      <c r="U1029" s="73"/>
      <c r="V1029" s="73"/>
    </row>
    <row r="1030" spans="1:22" ht="14.25">
      <c r="A1030" s="73"/>
      <c r="B1030" s="78"/>
      <c r="C1030" s="79"/>
      <c r="D1030" s="76"/>
      <c r="E1030" s="99"/>
      <c r="F1030" s="71"/>
      <c r="G1030" s="71"/>
      <c r="H1030" s="71"/>
      <c r="I1030" s="99"/>
      <c r="J1030" s="99"/>
      <c r="K1030" s="99"/>
      <c r="L1030" s="73"/>
      <c r="M1030" s="73"/>
      <c r="N1030" s="73"/>
      <c r="O1030" s="73"/>
      <c r="P1030" s="73"/>
      <c r="Q1030" s="73"/>
      <c r="R1030" s="73"/>
      <c r="S1030" s="73"/>
      <c r="T1030" s="73"/>
      <c r="U1030" s="73"/>
      <c r="V1030" s="73"/>
    </row>
    <row r="1031" spans="1:22" ht="14.25">
      <c r="A1031" s="73"/>
      <c r="B1031" s="78"/>
      <c r="C1031" s="79"/>
      <c r="D1031" s="76"/>
      <c r="E1031" s="99"/>
      <c r="F1031" s="71"/>
      <c r="G1031" s="71"/>
      <c r="H1031" s="71"/>
      <c r="I1031" s="99"/>
      <c r="J1031" s="99"/>
      <c r="K1031" s="99"/>
      <c r="L1031" s="73"/>
      <c r="M1031" s="73"/>
      <c r="N1031" s="73"/>
      <c r="O1031" s="73"/>
      <c r="P1031" s="73"/>
      <c r="Q1031" s="73"/>
      <c r="R1031" s="73"/>
      <c r="S1031" s="73"/>
      <c r="T1031" s="73"/>
      <c r="U1031" s="73"/>
      <c r="V1031" s="73"/>
    </row>
    <row r="1032" spans="1:22" ht="14.25">
      <c r="A1032" s="73"/>
      <c r="B1032" s="78"/>
      <c r="C1032" s="79"/>
      <c r="D1032" s="76"/>
      <c r="E1032" s="99"/>
      <c r="F1032" s="71"/>
      <c r="G1032" s="71"/>
      <c r="H1032" s="71"/>
      <c r="I1032" s="99"/>
      <c r="J1032" s="99"/>
      <c r="K1032" s="99"/>
      <c r="L1032" s="73"/>
      <c r="M1032" s="73"/>
      <c r="N1032" s="73"/>
      <c r="O1032" s="73"/>
      <c r="P1032" s="73"/>
      <c r="Q1032" s="73"/>
      <c r="R1032" s="73"/>
      <c r="S1032" s="73"/>
      <c r="T1032" s="73"/>
      <c r="U1032" s="73"/>
      <c r="V1032" s="73"/>
    </row>
    <row r="1033" spans="1:22" ht="14.25">
      <c r="A1033" s="73"/>
      <c r="B1033" s="78"/>
      <c r="C1033" s="79"/>
      <c r="D1033" s="76"/>
      <c r="E1033" s="99"/>
      <c r="F1033" s="71"/>
      <c r="G1033" s="71"/>
      <c r="H1033" s="71"/>
      <c r="I1033" s="99"/>
      <c r="J1033" s="99"/>
      <c r="K1033" s="99"/>
      <c r="L1033" s="73"/>
      <c r="M1033" s="73"/>
      <c r="N1033" s="73"/>
      <c r="O1033" s="73"/>
      <c r="P1033" s="73"/>
      <c r="Q1033" s="73"/>
      <c r="R1033" s="73"/>
      <c r="S1033" s="73"/>
      <c r="T1033" s="73"/>
      <c r="U1033" s="73"/>
      <c r="V1033" s="73"/>
    </row>
    <row r="1034" spans="1:22" ht="14.25">
      <c r="A1034" s="73"/>
      <c r="B1034" s="78"/>
      <c r="C1034" s="79"/>
      <c r="D1034" s="76"/>
      <c r="E1034" s="99"/>
      <c r="F1034" s="71"/>
      <c r="G1034" s="71"/>
      <c r="H1034" s="71"/>
      <c r="I1034" s="99"/>
      <c r="J1034" s="99"/>
      <c r="K1034" s="99"/>
      <c r="L1034" s="73"/>
      <c r="M1034" s="73"/>
      <c r="N1034" s="73"/>
      <c r="O1034" s="73"/>
      <c r="P1034" s="73"/>
      <c r="Q1034" s="73"/>
      <c r="R1034" s="73"/>
      <c r="S1034" s="73"/>
      <c r="T1034" s="73"/>
      <c r="U1034" s="73"/>
      <c r="V1034" s="73"/>
    </row>
    <row r="1035" spans="1:22" ht="14.25">
      <c r="A1035" s="73"/>
      <c r="B1035" s="78"/>
      <c r="C1035" s="79"/>
      <c r="D1035" s="76"/>
      <c r="E1035" s="99"/>
      <c r="F1035" s="71"/>
      <c r="G1035" s="71"/>
      <c r="H1035" s="71"/>
      <c r="I1035" s="99"/>
      <c r="J1035" s="99"/>
      <c r="K1035" s="99"/>
      <c r="L1035" s="73"/>
      <c r="M1035" s="73"/>
      <c r="N1035" s="73"/>
      <c r="O1035" s="73"/>
      <c r="P1035" s="73"/>
      <c r="Q1035" s="73"/>
      <c r="R1035" s="73"/>
      <c r="S1035" s="73"/>
      <c r="T1035" s="73"/>
      <c r="U1035" s="73"/>
      <c r="V1035" s="73"/>
    </row>
    <row r="1036" spans="1:22" ht="14.25">
      <c r="A1036" s="73"/>
      <c r="B1036" s="78"/>
      <c r="C1036" s="79"/>
      <c r="D1036" s="76"/>
      <c r="E1036" s="99"/>
      <c r="F1036" s="71"/>
      <c r="G1036" s="71"/>
      <c r="H1036" s="71"/>
      <c r="I1036" s="99"/>
      <c r="J1036" s="99"/>
      <c r="K1036" s="99"/>
      <c r="L1036" s="73"/>
      <c r="M1036" s="73"/>
      <c r="N1036" s="73"/>
      <c r="O1036" s="73"/>
      <c r="P1036" s="73"/>
      <c r="Q1036" s="73"/>
      <c r="R1036" s="73"/>
      <c r="S1036" s="73"/>
      <c r="T1036" s="73"/>
      <c r="U1036" s="73"/>
      <c r="V1036" s="73"/>
    </row>
    <row r="1037" spans="1:22" ht="14.25">
      <c r="A1037" s="73"/>
      <c r="B1037" s="78"/>
      <c r="C1037" s="79"/>
      <c r="D1037" s="76"/>
      <c r="E1037" s="99"/>
      <c r="F1037" s="71"/>
      <c r="G1037" s="71"/>
      <c r="H1037" s="71"/>
      <c r="I1037" s="99"/>
      <c r="J1037" s="99"/>
      <c r="K1037" s="99"/>
      <c r="L1037" s="73"/>
      <c r="M1037" s="73"/>
      <c r="N1037" s="73"/>
      <c r="O1037" s="73"/>
      <c r="P1037" s="73"/>
      <c r="Q1037" s="73"/>
      <c r="R1037" s="73"/>
      <c r="S1037" s="73"/>
      <c r="T1037" s="73"/>
      <c r="U1037" s="73"/>
      <c r="V1037" s="73"/>
    </row>
    <row r="1038" spans="1:22" ht="14.25">
      <c r="A1038" s="73"/>
      <c r="B1038" s="78"/>
      <c r="C1038" s="79"/>
      <c r="D1038" s="76"/>
      <c r="E1038" s="99"/>
      <c r="F1038" s="71"/>
      <c r="G1038" s="71"/>
      <c r="H1038" s="71"/>
      <c r="I1038" s="99"/>
      <c r="J1038" s="99"/>
      <c r="K1038" s="99"/>
      <c r="L1038" s="73"/>
      <c r="M1038" s="73"/>
      <c r="N1038" s="73"/>
      <c r="O1038" s="73"/>
      <c r="P1038" s="73"/>
      <c r="Q1038" s="73"/>
      <c r="R1038" s="73"/>
      <c r="S1038" s="73"/>
      <c r="T1038" s="73"/>
      <c r="U1038" s="73"/>
      <c r="V1038" s="73"/>
    </row>
    <row r="1039" spans="1:22" ht="14.25">
      <c r="A1039" s="73"/>
      <c r="B1039" s="78"/>
      <c r="C1039" s="79"/>
      <c r="D1039" s="76"/>
      <c r="E1039" s="99"/>
      <c r="F1039" s="71"/>
      <c r="G1039" s="71"/>
      <c r="H1039" s="71"/>
      <c r="I1039" s="99"/>
      <c r="J1039" s="99"/>
      <c r="K1039" s="99"/>
      <c r="L1039" s="73"/>
      <c r="M1039" s="73"/>
      <c r="N1039" s="73"/>
      <c r="O1039" s="73"/>
      <c r="P1039" s="73"/>
      <c r="Q1039" s="73"/>
      <c r="R1039" s="73"/>
      <c r="S1039" s="73"/>
      <c r="T1039" s="73"/>
      <c r="U1039" s="73"/>
      <c r="V1039" s="73"/>
    </row>
    <row r="1040" spans="1:22" ht="14.25">
      <c r="A1040" s="73"/>
      <c r="B1040" s="78"/>
      <c r="C1040" s="79"/>
      <c r="D1040" s="76"/>
      <c r="E1040" s="99"/>
      <c r="F1040" s="71"/>
      <c r="G1040" s="71"/>
      <c r="H1040" s="71"/>
      <c r="I1040" s="99"/>
      <c r="J1040" s="99"/>
      <c r="K1040" s="99"/>
      <c r="L1040" s="73"/>
      <c r="M1040" s="73"/>
      <c r="N1040" s="73"/>
      <c r="O1040" s="73"/>
      <c r="P1040" s="73"/>
      <c r="Q1040" s="73"/>
      <c r="R1040" s="73"/>
      <c r="S1040" s="73"/>
      <c r="T1040" s="73"/>
      <c r="U1040" s="73"/>
      <c r="V1040" s="73"/>
    </row>
    <row r="1041" spans="1:22" ht="14.25">
      <c r="A1041" s="73"/>
      <c r="B1041" s="78"/>
      <c r="C1041" s="79"/>
      <c r="D1041" s="76"/>
      <c r="E1041" s="99"/>
      <c r="F1041" s="71"/>
      <c r="G1041" s="71"/>
      <c r="H1041" s="71"/>
      <c r="I1041" s="99"/>
      <c r="J1041" s="99"/>
      <c r="K1041" s="99"/>
      <c r="L1041" s="73"/>
      <c r="M1041" s="73"/>
      <c r="N1041" s="73"/>
      <c r="O1041" s="73"/>
      <c r="P1041" s="73"/>
      <c r="Q1041" s="73"/>
      <c r="R1041" s="73"/>
      <c r="S1041" s="73"/>
      <c r="T1041" s="73"/>
      <c r="U1041" s="73"/>
      <c r="V1041" s="73"/>
    </row>
    <row r="1042" spans="1:22" ht="14.25">
      <c r="A1042" s="73"/>
      <c r="B1042" s="78"/>
      <c r="C1042" s="79"/>
      <c r="D1042" s="76"/>
      <c r="E1042" s="99"/>
      <c r="F1042" s="71"/>
      <c r="G1042" s="71"/>
      <c r="H1042" s="71"/>
      <c r="I1042" s="99"/>
      <c r="J1042" s="99"/>
      <c r="K1042" s="99"/>
      <c r="L1042" s="73"/>
      <c r="M1042" s="73"/>
      <c r="N1042" s="73"/>
      <c r="O1042" s="73"/>
      <c r="P1042" s="73"/>
      <c r="Q1042" s="73"/>
      <c r="R1042" s="73"/>
      <c r="S1042" s="73"/>
      <c r="T1042" s="73"/>
      <c r="U1042" s="73"/>
      <c r="V1042" s="73"/>
    </row>
    <row r="1043" spans="1:22" ht="14.25">
      <c r="A1043" s="73"/>
      <c r="B1043" s="78"/>
      <c r="C1043" s="79"/>
      <c r="D1043" s="76"/>
      <c r="E1043" s="99"/>
      <c r="F1043" s="71"/>
      <c r="G1043" s="71"/>
      <c r="H1043" s="71"/>
      <c r="I1043" s="99"/>
      <c r="J1043" s="99"/>
      <c r="K1043" s="99"/>
      <c r="L1043" s="73"/>
      <c r="M1043" s="73"/>
      <c r="N1043" s="73"/>
      <c r="O1043" s="73"/>
      <c r="P1043" s="73"/>
      <c r="Q1043" s="73"/>
      <c r="R1043" s="73"/>
      <c r="S1043" s="73"/>
      <c r="T1043" s="73"/>
      <c r="U1043" s="73"/>
      <c r="V1043" s="73"/>
    </row>
    <row r="1044" spans="1:22" ht="14.25">
      <c r="A1044" s="73"/>
      <c r="B1044" s="78"/>
      <c r="C1044" s="79"/>
      <c r="D1044" s="76"/>
      <c r="E1044" s="99"/>
      <c r="F1044" s="71"/>
      <c r="G1044" s="71"/>
      <c r="H1044" s="71"/>
      <c r="I1044" s="99"/>
      <c r="J1044" s="99"/>
      <c r="K1044" s="99"/>
      <c r="L1044" s="73"/>
      <c r="M1044" s="73"/>
      <c r="N1044" s="73"/>
      <c r="O1044" s="73"/>
      <c r="P1044" s="73"/>
      <c r="Q1044" s="73"/>
      <c r="R1044" s="73"/>
      <c r="S1044" s="73"/>
      <c r="T1044" s="73"/>
      <c r="U1044" s="73"/>
      <c r="V1044" s="73"/>
    </row>
    <row r="1045" spans="1:22" ht="14.25">
      <c r="A1045" s="73"/>
      <c r="B1045" s="78"/>
      <c r="C1045" s="79"/>
      <c r="D1045" s="76"/>
      <c r="E1045" s="99"/>
      <c r="F1045" s="71"/>
      <c r="G1045" s="71"/>
      <c r="H1045" s="71"/>
      <c r="I1045" s="99"/>
      <c r="J1045" s="99"/>
      <c r="K1045" s="99"/>
      <c r="L1045" s="73"/>
      <c r="M1045" s="73"/>
      <c r="N1045" s="73"/>
      <c r="O1045" s="73"/>
      <c r="P1045" s="73"/>
      <c r="Q1045" s="73"/>
      <c r="R1045" s="73"/>
      <c r="S1045" s="73"/>
      <c r="T1045" s="73"/>
      <c r="U1045" s="73"/>
      <c r="V1045" s="73"/>
    </row>
    <row r="1046" spans="1:22" ht="14.25">
      <c r="A1046" s="73"/>
      <c r="B1046" s="78"/>
      <c r="C1046" s="79"/>
      <c r="D1046" s="76"/>
      <c r="E1046" s="99"/>
      <c r="F1046" s="71"/>
      <c r="G1046" s="71"/>
      <c r="H1046" s="71"/>
      <c r="I1046" s="99"/>
      <c r="J1046" s="99"/>
      <c r="K1046" s="99"/>
      <c r="L1046" s="73"/>
      <c r="M1046" s="73"/>
      <c r="N1046" s="73"/>
      <c r="O1046" s="73"/>
      <c r="P1046" s="73"/>
      <c r="Q1046" s="73"/>
      <c r="R1046" s="73"/>
      <c r="S1046" s="73"/>
      <c r="T1046" s="73"/>
      <c r="U1046" s="73"/>
      <c r="V1046" s="73"/>
    </row>
    <row r="1047" spans="1:22" ht="14.25">
      <c r="A1047" s="73"/>
      <c r="B1047" s="78"/>
      <c r="C1047" s="79"/>
      <c r="D1047" s="76"/>
      <c r="E1047" s="99"/>
      <c r="F1047" s="71"/>
      <c r="G1047" s="71"/>
      <c r="H1047" s="71"/>
      <c r="I1047" s="99"/>
      <c r="J1047" s="99"/>
      <c r="K1047" s="99"/>
      <c r="L1047" s="73"/>
      <c r="M1047" s="73"/>
      <c r="N1047" s="73"/>
      <c r="O1047" s="73"/>
      <c r="P1047" s="73"/>
      <c r="Q1047" s="73"/>
      <c r="R1047" s="73"/>
      <c r="S1047" s="73"/>
      <c r="T1047" s="73"/>
      <c r="U1047" s="73"/>
      <c r="V1047" s="73"/>
    </row>
    <row r="1048" spans="1:22" ht="14.25">
      <c r="A1048" s="73"/>
      <c r="B1048" s="78"/>
      <c r="C1048" s="79"/>
      <c r="D1048" s="76"/>
      <c r="E1048" s="99"/>
      <c r="F1048" s="71"/>
      <c r="G1048" s="71"/>
      <c r="H1048" s="71"/>
      <c r="I1048" s="99"/>
      <c r="J1048" s="99"/>
      <c r="K1048" s="99"/>
      <c r="L1048" s="73"/>
      <c r="M1048" s="73"/>
      <c r="N1048" s="73"/>
      <c r="O1048" s="73"/>
      <c r="P1048" s="73"/>
      <c r="Q1048" s="73"/>
      <c r="R1048" s="73"/>
      <c r="S1048" s="73"/>
      <c r="T1048" s="73"/>
      <c r="U1048" s="73"/>
      <c r="V1048" s="73"/>
    </row>
    <row r="1049" spans="1:22" ht="14.25">
      <c r="A1049" s="73"/>
      <c r="B1049" s="78"/>
      <c r="C1049" s="79"/>
      <c r="D1049" s="76"/>
      <c r="E1049" s="99"/>
      <c r="F1049" s="71"/>
      <c r="G1049" s="71"/>
      <c r="H1049" s="71"/>
      <c r="I1049" s="99"/>
      <c r="J1049" s="99"/>
      <c r="K1049" s="99"/>
      <c r="L1049" s="73"/>
      <c r="M1049" s="73"/>
      <c r="N1049" s="73"/>
      <c r="O1049" s="73"/>
      <c r="P1049" s="73"/>
      <c r="Q1049" s="73"/>
      <c r="R1049" s="73"/>
      <c r="S1049" s="73"/>
      <c r="T1049" s="73"/>
      <c r="U1049" s="73"/>
      <c r="V1049" s="73"/>
    </row>
    <row r="1050" spans="1:22" ht="14.25">
      <c r="A1050" s="73"/>
      <c r="B1050" s="78"/>
      <c r="C1050" s="79"/>
      <c r="D1050" s="76"/>
      <c r="E1050" s="99"/>
      <c r="F1050" s="71"/>
      <c r="G1050" s="71"/>
      <c r="H1050" s="71"/>
      <c r="I1050" s="99"/>
      <c r="J1050" s="99"/>
      <c r="K1050" s="99"/>
      <c r="L1050" s="73"/>
      <c r="M1050" s="73"/>
      <c r="N1050" s="73"/>
      <c r="O1050" s="73"/>
      <c r="P1050" s="73"/>
      <c r="Q1050" s="73"/>
      <c r="R1050" s="73"/>
      <c r="S1050" s="73"/>
      <c r="T1050" s="73"/>
      <c r="U1050" s="73"/>
      <c r="V1050" s="73"/>
    </row>
    <row r="1051" spans="1:22" ht="14.25">
      <c r="A1051" s="73"/>
      <c r="B1051" s="78"/>
      <c r="C1051" s="79"/>
      <c r="D1051" s="76"/>
      <c r="E1051" s="99"/>
      <c r="F1051" s="71"/>
      <c r="G1051" s="71"/>
      <c r="H1051" s="71"/>
      <c r="I1051" s="99"/>
      <c r="J1051" s="99"/>
      <c r="K1051" s="99"/>
      <c r="L1051" s="73"/>
      <c r="M1051" s="73"/>
      <c r="N1051" s="73"/>
      <c r="O1051" s="73"/>
      <c r="P1051" s="73"/>
      <c r="Q1051" s="73"/>
      <c r="R1051" s="73"/>
      <c r="S1051" s="73"/>
      <c r="T1051" s="73"/>
      <c r="U1051" s="73"/>
      <c r="V1051" s="73"/>
    </row>
    <row r="1052" spans="1:22" ht="14.25">
      <c r="A1052" s="73"/>
      <c r="B1052" s="78"/>
      <c r="C1052" s="79"/>
      <c r="D1052" s="76"/>
      <c r="E1052" s="99"/>
      <c r="F1052" s="71"/>
      <c r="G1052" s="71"/>
      <c r="H1052" s="71"/>
      <c r="I1052" s="99"/>
      <c r="J1052" s="99"/>
      <c r="K1052" s="99"/>
      <c r="L1052" s="73"/>
      <c r="M1052" s="73"/>
      <c r="N1052" s="73"/>
      <c r="O1052" s="73"/>
      <c r="P1052" s="73"/>
      <c r="Q1052" s="73"/>
      <c r="R1052" s="73"/>
      <c r="S1052" s="73"/>
      <c r="T1052" s="73"/>
      <c r="U1052" s="73"/>
      <c r="V1052" s="73"/>
    </row>
    <row r="1053" spans="1:22" ht="14.25">
      <c r="A1053" s="73"/>
      <c r="B1053" s="78"/>
      <c r="C1053" s="79"/>
      <c r="D1053" s="76"/>
      <c r="E1053" s="99"/>
      <c r="F1053" s="71"/>
      <c r="G1053" s="71"/>
      <c r="H1053" s="71"/>
      <c r="I1053" s="99"/>
      <c r="J1053" s="99"/>
      <c r="K1053" s="99"/>
      <c r="L1053" s="73"/>
      <c r="M1053" s="73"/>
      <c r="N1053" s="73"/>
      <c r="O1053" s="73"/>
      <c r="P1053" s="73"/>
      <c r="Q1053" s="73"/>
      <c r="R1053" s="73"/>
      <c r="S1053" s="73"/>
      <c r="T1053" s="73"/>
      <c r="U1053" s="73"/>
      <c r="V1053" s="73"/>
    </row>
    <row r="1054" spans="1:22" ht="14.25">
      <c r="A1054" s="73"/>
      <c r="B1054" s="78"/>
      <c r="C1054" s="79"/>
      <c r="D1054" s="76"/>
      <c r="E1054" s="99"/>
      <c r="F1054" s="71"/>
      <c r="G1054" s="71"/>
      <c r="H1054" s="71"/>
      <c r="I1054" s="99"/>
      <c r="J1054" s="99"/>
      <c r="K1054" s="99"/>
      <c r="L1054" s="73"/>
      <c r="M1054" s="73"/>
      <c r="N1054" s="73"/>
      <c r="O1054" s="73"/>
      <c r="P1054" s="73"/>
      <c r="Q1054" s="73"/>
      <c r="R1054" s="73"/>
      <c r="S1054" s="73"/>
      <c r="T1054" s="73"/>
      <c r="U1054" s="73"/>
      <c r="V1054" s="73"/>
    </row>
    <row r="1055" spans="1:22" ht="14.25">
      <c r="A1055" s="73"/>
      <c r="B1055" s="78"/>
      <c r="C1055" s="79"/>
      <c r="D1055" s="76"/>
      <c r="E1055" s="99"/>
      <c r="F1055" s="71"/>
      <c r="G1055" s="71"/>
      <c r="H1055" s="71"/>
      <c r="I1055" s="99"/>
      <c r="J1055" s="99"/>
      <c r="K1055" s="99"/>
      <c r="L1055" s="73"/>
      <c r="M1055" s="73"/>
      <c r="N1055" s="73"/>
      <c r="O1055" s="73"/>
      <c r="P1055" s="73"/>
      <c r="Q1055" s="73"/>
      <c r="R1055" s="73"/>
      <c r="S1055" s="73"/>
      <c r="T1055" s="73"/>
      <c r="U1055" s="73"/>
      <c r="V1055" s="73"/>
    </row>
    <row r="1056" spans="1:22" ht="14.25">
      <c r="A1056" s="73"/>
      <c r="B1056" s="78"/>
      <c r="C1056" s="79"/>
      <c r="D1056" s="76"/>
      <c r="E1056" s="99"/>
      <c r="F1056" s="71"/>
      <c r="G1056" s="71"/>
      <c r="H1056" s="71"/>
      <c r="I1056" s="99"/>
      <c r="J1056" s="99"/>
      <c r="K1056" s="99"/>
      <c r="L1056" s="73"/>
      <c r="M1056" s="73"/>
      <c r="N1056" s="73"/>
      <c r="O1056" s="73"/>
      <c r="P1056" s="73"/>
      <c r="Q1056" s="73"/>
      <c r="R1056" s="73"/>
      <c r="S1056" s="73"/>
      <c r="T1056" s="73"/>
      <c r="U1056" s="73"/>
      <c r="V1056" s="73"/>
    </row>
    <row r="1057" spans="1:22" ht="14.25">
      <c r="A1057" s="73"/>
      <c r="B1057" s="78"/>
      <c r="C1057" s="79"/>
      <c r="D1057" s="76"/>
      <c r="E1057" s="99"/>
      <c r="F1057" s="71"/>
      <c r="G1057" s="71"/>
      <c r="H1057" s="71"/>
      <c r="I1057" s="99"/>
      <c r="J1057" s="99"/>
      <c r="K1057" s="99"/>
      <c r="L1057" s="73"/>
      <c r="M1057" s="73"/>
      <c r="N1057" s="73"/>
      <c r="O1057" s="73"/>
      <c r="P1057" s="73"/>
      <c r="Q1057" s="73"/>
      <c r="R1057" s="73"/>
      <c r="S1057" s="73"/>
      <c r="T1057" s="73"/>
      <c r="U1057" s="73"/>
      <c r="V1057" s="73"/>
    </row>
    <row r="1058" spans="1:22" ht="14.25">
      <c r="A1058" s="73"/>
      <c r="B1058" s="78"/>
      <c r="C1058" s="79"/>
      <c r="D1058" s="76"/>
      <c r="E1058" s="99"/>
      <c r="F1058" s="71"/>
      <c r="G1058" s="71"/>
      <c r="H1058" s="71"/>
      <c r="I1058" s="99"/>
      <c r="J1058" s="99"/>
      <c r="K1058" s="99"/>
      <c r="L1058" s="73"/>
      <c r="M1058" s="73"/>
      <c r="N1058" s="73"/>
      <c r="O1058" s="73"/>
      <c r="P1058" s="73"/>
      <c r="Q1058" s="73"/>
      <c r="R1058" s="73"/>
      <c r="S1058" s="73"/>
      <c r="T1058" s="73"/>
      <c r="U1058" s="73"/>
      <c r="V1058" s="73"/>
    </row>
    <row r="1059" spans="1:22" ht="14.25">
      <c r="A1059" s="73"/>
      <c r="B1059" s="78"/>
      <c r="C1059" s="79"/>
      <c r="D1059" s="76"/>
      <c r="E1059" s="99"/>
      <c r="F1059" s="71"/>
      <c r="G1059" s="71"/>
      <c r="H1059" s="71"/>
      <c r="I1059" s="99"/>
      <c r="J1059" s="99"/>
      <c r="K1059" s="99"/>
      <c r="L1059" s="73"/>
      <c r="M1059" s="73"/>
      <c r="N1059" s="73"/>
      <c r="O1059" s="73"/>
      <c r="P1059" s="73"/>
      <c r="Q1059" s="73"/>
      <c r="R1059" s="73"/>
      <c r="S1059" s="73"/>
      <c r="T1059" s="73"/>
      <c r="U1059" s="73"/>
      <c r="V1059" s="73"/>
    </row>
    <row r="1060" spans="1:22" ht="14.25">
      <c r="A1060" s="73"/>
      <c r="B1060" s="78"/>
      <c r="C1060" s="79"/>
      <c r="D1060" s="76"/>
      <c r="E1060" s="99"/>
      <c r="F1060" s="71"/>
      <c r="G1060" s="71"/>
      <c r="H1060" s="71"/>
      <c r="I1060" s="99"/>
      <c r="J1060" s="99"/>
      <c r="K1060" s="99"/>
      <c r="L1060" s="73"/>
      <c r="M1060" s="73"/>
      <c r="N1060" s="73"/>
      <c r="O1060" s="73"/>
      <c r="P1060" s="73"/>
      <c r="Q1060" s="73"/>
      <c r="R1060" s="73"/>
      <c r="S1060" s="73"/>
      <c r="T1060" s="73"/>
      <c r="U1060" s="73"/>
      <c r="V1060" s="73"/>
    </row>
    <row r="1061" spans="1:22" ht="14.25">
      <c r="A1061" s="73"/>
      <c r="B1061" s="78"/>
      <c r="C1061" s="79"/>
      <c r="D1061" s="76"/>
      <c r="E1061" s="99"/>
      <c r="F1061" s="71"/>
      <c r="G1061" s="71"/>
      <c r="H1061" s="71"/>
      <c r="I1061" s="99"/>
      <c r="J1061" s="99"/>
      <c r="K1061" s="99"/>
      <c r="L1061" s="73"/>
      <c r="M1061" s="73"/>
      <c r="N1061" s="73"/>
      <c r="O1061" s="73"/>
      <c r="P1061" s="73"/>
      <c r="Q1061" s="73"/>
      <c r="R1061" s="73"/>
      <c r="S1061" s="73"/>
      <c r="T1061" s="73"/>
      <c r="U1061" s="73"/>
      <c r="V1061" s="73"/>
    </row>
    <row r="1062" spans="1:22" ht="14.25">
      <c r="A1062" s="73"/>
      <c r="B1062" s="78"/>
      <c r="C1062" s="79"/>
      <c r="D1062" s="76"/>
      <c r="E1062" s="99"/>
      <c r="F1062" s="71"/>
      <c r="G1062" s="71"/>
      <c r="H1062" s="71"/>
      <c r="I1062" s="99"/>
      <c r="J1062" s="99"/>
      <c r="K1062" s="99"/>
      <c r="L1062" s="73"/>
      <c r="M1062" s="73"/>
      <c r="N1062" s="73"/>
      <c r="O1062" s="73"/>
      <c r="P1062" s="73"/>
      <c r="Q1062" s="73"/>
      <c r="R1062" s="73"/>
      <c r="S1062" s="73"/>
      <c r="T1062" s="73"/>
      <c r="U1062" s="73"/>
      <c r="V1062" s="73"/>
    </row>
    <row r="1063" spans="1:22" ht="14.25">
      <c r="A1063" s="73"/>
      <c r="B1063" s="78"/>
      <c r="C1063" s="79"/>
      <c r="D1063" s="76"/>
      <c r="E1063" s="99"/>
      <c r="F1063" s="71"/>
      <c r="G1063" s="71"/>
      <c r="H1063" s="71"/>
      <c r="I1063" s="99"/>
      <c r="J1063" s="99"/>
      <c r="K1063" s="99"/>
      <c r="L1063" s="73"/>
      <c r="M1063" s="73"/>
      <c r="N1063" s="73"/>
      <c r="O1063" s="73"/>
      <c r="P1063" s="73"/>
      <c r="Q1063" s="73"/>
      <c r="R1063" s="73"/>
      <c r="S1063" s="73"/>
      <c r="T1063" s="73"/>
      <c r="U1063" s="73"/>
      <c r="V1063" s="73"/>
    </row>
    <row r="1064" spans="1:22" ht="14.25">
      <c r="A1064" s="73"/>
      <c r="B1064" s="78"/>
      <c r="C1064" s="79"/>
      <c r="D1064" s="76"/>
      <c r="E1064" s="99"/>
      <c r="F1064" s="71"/>
      <c r="G1064" s="71"/>
      <c r="H1064" s="71"/>
      <c r="I1064" s="99"/>
      <c r="J1064" s="99"/>
      <c r="K1064" s="99"/>
      <c r="L1064" s="73"/>
      <c r="M1064" s="73"/>
      <c r="N1064" s="73"/>
      <c r="O1064" s="73"/>
      <c r="P1064" s="73"/>
      <c r="Q1064" s="73"/>
      <c r="R1064" s="73"/>
      <c r="S1064" s="73"/>
      <c r="T1064" s="73"/>
      <c r="U1064" s="73"/>
      <c r="V1064" s="73"/>
    </row>
    <row r="1065" spans="1:22" ht="14.25">
      <c r="A1065" s="73"/>
      <c r="B1065" s="78"/>
      <c r="C1065" s="79"/>
      <c r="D1065" s="76"/>
      <c r="E1065" s="99"/>
      <c r="F1065" s="71"/>
      <c r="G1065" s="71"/>
      <c r="H1065" s="71"/>
      <c r="I1065" s="99"/>
      <c r="J1065" s="99"/>
      <c r="K1065" s="99"/>
      <c r="L1065" s="73"/>
      <c r="M1065" s="73"/>
      <c r="N1065" s="73"/>
      <c r="O1065" s="73"/>
      <c r="P1065" s="73"/>
      <c r="Q1065" s="73"/>
      <c r="R1065" s="73"/>
      <c r="S1065" s="73"/>
      <c r="T1065" s="73"/>
      <c r="U1065" s="73"/>
      <c r="V1065" s="73"/>
    </row>
    <row r="1066" spans="1:22" ht="14.25">
      <c r="A1066" s="73"/>
      <c r="B1066" s="78"/>
      <c r="C1066" s="79"/>
      <c r="D1066" s="76"/>
      <c r="E1066" s="99"/>
      <c r="F1066" s="71"/>
      <c r="G1066" s="71"/>
      <c r="H1066" s="71"/>
      <c r="I1066" s="99"/>
      <c r="J1066" s="99"/>
      <c r="K1066" s="99"/>
      <c r="L1066" s="73"/>
      <c r="M1066" s="73"/>
      <c r="N1066" s="73"/>
      <c r="O1066" s="73"/>
      <c r="P1066" s="73"/>
      <c r="Q1066" s="73"/>
      <c r="R1066" s="73"/>
      <c r="S1066" s="73"/>
      <c r="T1066" s="73"/>
      <c r="U1066" s="73"/>
      <c r="V1066" s="73"/>
    </row>
    <row r="1067" spans="1:22" ht="14.25">
      <c r="A1067" s="73"/>
      <c r="B1067" s="78"/>
      <c r="C1067" s="79"/>
      <c r="D1067" s="76"/>
      <c r="E1067" s="99"/>
      <c r="F1067" s="71"/>
      <c r="G1067" s="71"/>
      <c r="H1067" s="71"/>
      <c r="I1067" s="99"/>
      <c r="J1067" s="99"/>
      <c r="K1067" s="99"/>
      <c r="L1067" s="73"/>
      <c r="M1067" s="73"/>
      <c r="N1067" s="73"/>
      <c r="O1067" s="73"/>
      <c r="P1067" s="73"/>
      <c r="Q1067" s="73"/>
      <c r="R1067" s="73"/>
      <c r="S1067" s="73"/>
      <c r="T1067" s="73"/>
      <c r="U1067" s="73"/>
      <c r="V1067" s="73"/>
    </row>
    <row r="1068" spans="1:22" ht="14.25">
      <c r="A1068" s="73"/>
      <c r="B1068" s="78"/>
      <c r="C1068" s="79"/>
      <c r="D1068" s="76"/>
      <c r="E1068" s="99"/>
      <c r="F1068" s="71"/>
      <c r="G1068" s="71"/>
      <c r="H1068" s="71"/>
      <c r="I1068" s="99"/>
      <c r="J1068" s="99"/>
      <c r="K1068" s="99"/>
      <c r="L1068" s="73"/>
      <c r="M1068" s="73"/>
      <c r="N1068" s="73"/>
      <c r="O1068" s="73"/>
      <c r="P1068" s="73"/>
      <c r="Q1068" s="73"/>
      <c r="R1068" s="73"/>
      <c r="S1068" s="73"/>
      <c r="T1068" s="73"/>
      <c r="U1068" s="73"/>
      <c r="V1068" s="73"/>
    </row>
    <row r="1069" spans="1:22" ht="14.25">
      <c r="A1069" s="73"/>
      <c r="B1069" s="78"/>
      <c r="C1069" s="79"/>
      <c r="D1069" s="76"/>
      <c r="E1069" s="99"/>
      <c r="F1069" s="71"/>
      <c r="G1069" s="71"/>
      <c r="H1069" s="71"/>
      <c r="I1069" s="99"/>
      <c r="J1069" s="99"/>
      <c r="K1069" s="99"/>
      <c r="L1069" s="73"/>
      <c r="M1069" s="73"/>
      <c r="N1069" s="73"/>
      <c r="O1069" s="73"/>
      <c r="P1069" s="73"/>
      <c r="Q1069" s="73"/>
      <c r="R1069" s="73"/>
      <c r="S1069" s="73"/>
      <c r="T1069" s="73"/>
      <c r="U1069" s="73"/>
      <c r="V1069" s="73"/>
    </row>
    <row r="1070" spans="1:22" ht="14.25">
      <c r="A1070" s="73"/>
      <c r="B1070" s="78"/>
      <c r="C1070" s="79"/>
      <c r="D1070" s="76"/>
      <c r="E1070" s="99"/>
      <c r="F1070" s="71"/>
      <c r="G1070" s="71"/>
      <c r="H1070" s="71"/>
      <c r="I1070" s="99"/>
      <c r="J1070" s="99"/>
      <c r="K1070" s="99"/>
      <c r="L1070" s="73"/>
      <c r="M1070" s="73"/>
      <c r="N1070" s="73"/>
      <c r="O1070" s="73"/>
      <c r="P1070" s="73"/>
      <c r="Q1070" s="73"/>
      <c r="R1070" s="73"/>
      <c r="S1070" s="73"/>
      <c r="T1070" s="73"/>
      <c r="U1070" s="73"/>
      <c r="V1070" s="73"/>
    </row>
    <row r="1071" spans="1:22" ht="14.25">
      <c r="A1071" s="73"/>
      <c r="B1071" s="78"/>
      <c r="C1071" s="79"/>
      <c r="D1071" s="76"/>
      <c r="E1071" s="99"/>
      <c r="F1071" s="71"/>
      <c r="G1071" s="71"/>
      <c r="H1071" s="71"/>
      <c r="I1071" s="99"/>
      <c r="J1071" s="99"/>
      <c r="K1071" s="99"/>
      <c r="L1071" s="73"/>
      <c r="M1071" s="73"/>
      <c r="N1071" s="73"/>
      <c r="O1071" s="73"/>
      <c r="P1071" s="73"/>
      <c r="Q1071" s="73"/>
      <c r="R1071" s="73"/>
      <c r="S1071" s="73"/>
      <c r="T1071" s="73"/>
      <c r="U1071" s="73"/>
      <c r="V1071" s="73"/>
    </row>
    <row r="1072" spans="1:22" ht="14.25">
      <c r="A1072" s="73"/>
      <c r="B1072" s="78"/>
      <c r="C1072" s="79"/>
      <c r="D1072" s="76"/>
      <c r="E1072" s="99"/>
      <c r="F1072" s="71"/>
      <c r="G1072" s="71"/>
      <c r="H1072" s="71"/>
      <c r="I1072" s="99"/>
      <c r="J1072" s="99"/>
      <c r="K1072" s="99"/>
      <c r="L1072" s="73"/>
      <c r="M1072" s="73"/>
      <c r="N1072" s="73"/>
      <c r="O1072" s="73"/>
      <c r="P1072" s="73"/>
      <c r="Q1072" s="73"/>
      <c r="R1072" s="73"/>
      <c r="S1072" s="73"/>
      <c r="T1072" s="73"/>
      <c r="U1072" s="73"/>
      <c r="V1072" s="73"/>
    </row>
    <row r="1073" spans="1:22" ht="14.25">
      <c r="A1073" s="73"/>
      <c r="B1073" s="78"/>
      <c r="C1073" s="79"/>
      <c r="D1073" s="76"/>
      <c r="E1073" s="99"/>
      <c r="F1073" s="71"/>
      <c r="G1073" s="71"/>
      <c r="H1073" s="71"/>
      <c r="I1073" s="99"/>
      <c r="J1073" s="99"/>
      <c r="K1073" s="99"/>
      <c r="L1073" s="73"/>
      <c r="M1073" s="73"/>
      <c r="N1073" s="73"/>
      <c r="O1073" s="73"/>
      <c r="P1073" s="73"/>
      <c r="Q1073" s="73"/>
      <c r="R1073" s="73"/>
      <c r="S1073" s="73"/>
      <c r="T1073" s="73"/>
      <c r="U1073" s="73"/>
      <c r="V1073" s="73"/>
    </row>
    <row r="1074" spans="1:22" ht="14.25">
      <c r="A1074" s="73"/>
      <c r="B1074" s="78"/>
      <c r="C1074" s="79"/>
      <c r="D1074" s="76"/>
      <c r="E1074" s="99"/>
      <c r="F1074" s="71"/>
      <c r="G1074" s="71"/>
      <c r="H1074" s="71"/>
      <c r="I1074" s="99"/>
      <c r="J1074" s="99"/>
      <c r="K1074" s="99"/>
      <c r="L1074" s="73"/>
      <c r="M1074" s="73"/>
      <c r="N1074" s="73"/>
      <c r="O1074" s="73"/>
      <c r="P1074" s="73"/>
      <c r="Q1074" s="73"/>
      <c r="R1074" s="73"/>
      <c r="S1074" s="73"/>
      <c r="T1074" s="73"/>
      <c r="U1074" s="73"/>
      <c r="V1074" s="73"/>
    </row>
    <row r="1075" spans="1:22" ht="14.25">
      <c r="A1075" s="73"/>
      <c r="B1075" s="78"/>
      <c r="C1075" s="79"/>
      <c r="D1075" s="76"/>
      <c r="E1075" s="99"/>
      <c r="F1075" s="71"/>
      <c r="G1075" s="71"/>
      <c r="H1075" s="71"/>
      <c r="I1075" s="99"/>
      <c r="J1075" s="99"/>
      <c r="K1075" s="99"/>
      <c r="L1075" s="73"/>
      <c r="M1075" s="73"/>
      <c r="N1075" s="73"/>
      <c r="O1075" s="73"/>
      <c r="P1075" s="73"/>
      <c r="Q1075" s="73"/>
      <c r="R1075" s="73"/>
      <c r="S1075" s="73"/>
      <c r="T1075" s="73"/>
      <c r="U1075" s="73"/>
      <c r="V1075" s="73"/>
    </row>
    <row r="1076" spans="1:22" ht="14.25">
      <c r="A1076" s="73"/>
      <c r="B1076" s="78"/>
      <c r="C1076" s="79"/>
      <c r="D1076" s="76"/>
      <c r="E1076" s="99"/>
      <c r="F1076" s="71"/>
      <c r="G1076" s="71"/>
      <c r="H1076" s="71"/>
      <c r="I1076" s="99"/>
      <c r="J1076" s="99"/>
      <c r="K1076" s="99"/>
      <c r="L1076" s="73"/>
      <c r="M1076" s="73"/>
      <c r="N1076" s="73"/>
      <c r="O1076" s="73"/>
      <c r="P1076" s="73"/>
      <c r="Q1076" s="73"/>
      <c r="R1076" s="73"/>
      <c r="S1076" s="73"/>
      <c r="T1076" s="73"/>
      <c r="U1076" s="73"/>
      <c r="V1076" s="73"/>
    </row>
    <row r="1077" spans="1:22" ht="14.25">
      <c r="A1077" s="73"/>
      <c r="B1077" s="78"/>
      <c r="C1077" s="79"/>
      <c r="D1077" s="76"/>
      <c r="E1077" s="99"/>
      <c r="F1077" s="71"/>
      <c r="G1077" s="71"/>
      <c r="H1077" s="71"/>
      <c r="I1077" s="99"/>
      <c r="J1077" s="99"/>
      <c r="K1077" s="99"/>
      <c r="L1077" s="73"/>
      <c r="M1077" s="73"/>
      <c r="N1077" s="73"/>
      <c r="O1077" s="73"/>
      <c r="P1077" s="73"/>
      <c r="Q1077" s="73"/>
      <c r="R1077" s="73"/>
      <c r="S1077" s="73"/>
      <c r="T1077" s="73"/>
      <c r="U1077" s="73"/>
      <c r="V1077" s="73"/>
    </row>
    <row r="1078" spans="1:22" ht="14.25">
      <c r="A1078" s="73"/>
      <c r="B1078" s="78"/>
      <c r="C1078" s="79"/>
      <c r="D1078" s="76"/>
      <c r="E1078" s="99"/>
      <c r="F1078" s="71"/>
      <c r="G1078" s="71"/>
      <c r="H1078" s="71"/>
      <c r="I1078" s="99"/>
      <c r="J1078" s="99"/>
      <c r="K1078" s="99"/>
      <c r="L1078" s="73"/>
      <c r="M1078" s="73"/>
      <c r="N1078" s="73"/>
      <c r="O1078" s="73"/>
      <c r="P1078" s="73"/>
      <c r="Q1078" s="73"/>
      <c r="R1078" s="73"/>
      <c r="S1078" s="73"/>
      <c r="T1078" s="73"/>
      <c r="U1078" s="73"/>
      <c r="V1078" s="73"/>
    </row>
    <row r="1079" spans="1:22" ht="14.25">
      <c r="A1079" s="73"/>
      <c r="B1079" s="78"/>
      <c r="C1079" s="79"/>
      <c r="D1079" s="76"/>
      <c r="E1079" s="99"/>
      <c r="F1079" s="71"/>
      <c r="G1079" s="71"/>
      <c r="H1079" s="71"/>
      <c r="I1079" s="99"/>
      <c r="J1079" s="99"/>
      <c r="K1079" s="99"/>
      <c r="L1079" s="73"/>
      <c r="M1079" s="73"/>
      <c r="N1079" s="73"/>
      <c r="O1079" s="73"/>
      <c r="P1079" s="73"/>
      <c r="Q1079" s="73"/>
      <c r="R1079" s="73"/>
      <c r="S1079" s="73"/>
      <c r="T1079" s="73"/>
      <c r="U1079" s="73"/>
      <c r="V1079" s="73"/>
    </row>
    <row r="1080" spans="1:22" ht="14.25">
      <c r="A1080" s="73"/>
      <c r="B1080" s="78"/>
      <c r="C1080" s="79"/>
      <c r="D1080" s="76"/>
      <c r="E1080" s="99"/>
      <c r="F1080" s="71"/>
      <c r="G1080" s="71"/>
      <c r="H1080" s="71"/>
      <c r="I1080" s="99"/>
      <c r="J1080" s="99"/>
      <c r="K1080" s="99"/>
      <c r="L1080" s="73"/>
      <c r="M1080" s="73"/>
      <c r="N1080" s="73"/>
      <c r="O1080" s="73"/>
      <c r="P1080" s="73"/>
      <c r="Q1080" s="73"/>
      <c r="R1080" s="73"/>
      <c r="S1080" s="73"/>
      <c r="T1080" s="73"/>
      <c r="U1080" s="73"/>
      <c r="V1080" s="73"/>
    </row>
    <row r="1081" spans="1:22" ht="14.25">
      <c r="A1081" s="73"/>
      <c r="B1081" s="78"/>
      <c r="C1081" s="79"/>
      <c r="D1081" s="76"/>
      <c r="E1081" s="99"/>
      <c r="F1081" s="71"/>
      <c r="G1081" s="71"/>
      <c r="H1081" s="71"/>
      <c r="I1081" s="99"/>
      <c r="J1081" s="99"/>
      <c r="K1081" s="99"/>
      <c r="L1081" s="73"/>
      <c r="M1081" s="73"/>
      <c r="N1081" s="73"/>
      <c r="O1081" s="73"/>
      <c r="P1081" s="73"/>
      <c r="Q1081" s="73"/>
      <c r="R1081" s="73"/>
      <c r="S1081" s="73"/>
      <c r="T1081" s="73"/>
      <c r="U1081" s="73"/>
      <c r="V1081" s="73"/>
    </row>
    <row r="1082" spans="1:22" ht="14.25">
      <c r="A1082" s="73"/>
      <c r="B1082" s="78"/>
      <c r="C1082" s="79"/>
      <c r="D1082" s="76"/>
      <c r="E1082" s="99"/>
      <c r="F1082" s="71"/>
      <c r="G1082" s="71"/>
      <c r="H1082" s="71"/>
      <c r="I1082" s="99"/>
      <c r="J1082" s="99"/>
      <c r="K1082" s="99"/>
      <c r="L1082" s="73"/>
      <c r="M1082" s="73"/>
      <c r="N1082" s="73"/>
      <c r="O1082" s="73"/>
      <c r="P1082" s="73"/>
      <c r="Q1082" s="73"/>
      <c r="R1082" s="73"/>
      <c r="S1082" s="73"/>
      <c r="T1082" s="73"/>
      <c r="U1082" s="73"/>
      <c r="V1082" s="73"/>
    </row>
    <row r="1083" spans="1:22" ht="14.25">
      <c r="A1083" s="73"/>
      <c r="B1083" s="78"/>
      <c r="C1083" s="79"/>
      <c r="D1083" s="76"/>
      <c r="E1083" s="99"/>
      <c r="F1083" s="71"/>
      <c r="G1083" s="71"/>
      <c r="H1083" s="71"/>
      <c r="I1083" s="99"/>
      <c r="J1083" s="99"/>
      <c r="K1083" s="99"/>
      <c r="L1083" s="73"/>
      <c r="M1083" s="73"/>
      <c r="N1083" s="73"/>
      <c r="O1083" s="73"/>
      <c r="P1083" s="73"/>
      <c r="Q1083" s="73"/>
      <c r="R1083" s="73"/>
      <c r="S1083" s="73"/>
      <c r="T1083" s="73"/>
      <c r="U1083" s="73"/>
      <c r="V1083" s="73"/>
    </row>
    <row r="1084" spans="1:22" ht="14.25">
      <c r="A1084" s="73"/>
      <c r="B1084" s="78"/>
      <c r="C1084" s="79"/>
      <c r="D1084" s="76"/>
      <c r="E1084" s="99"/>
      <c r="F1084" s="71"/>
      <c r="G1084" s="71"/>
      <c r="H1084" s="71"/>
      <c r="I1084" s="99"/>
      <c r="J1084" s="99"/>
      <c r="K1084" s="99"/>
      <c r="L1084" s="73"/>
      <c r="M1084" s="73"/>
      <c r="N1084" s="73"/>
      <c r="O1084" s="73"/>
      <c r="P1084" s="73"/>
      <c r="Q1084" s="73"/>
      <c r="R1084" s="73"/>
      <c r="S1084" s="73"/>
      <c r="T1084" s="73"/>
      <c r="U1084" s="73"/>
      <c r="V1084" s="73"/>
    </row>
    <row r="1085" spans="1:22" ht="14.25">
      <c r="A1085" s="73"/>
      <c r="B1085" s="78"/>
      <c r="C1085" s="79"/>
      <c r="D1085" s="76"/>
      <c r="E1085" s="99"/>
      <c r="F1085" s="71"/>
      <c r="G1085" s="71"/>
      <c r="H1085" s="71"/>
      <c r="I1085" s="99"/>
      <c r="J1085" s="99"/>
      <c r="K1085" s="99"/>
      <c r="L1085" s="73"/>
      <c r="M1085" s="73"/>
      <c r="N1085" s="73"/>
      <c r="O1085" s="73"/>
      <c r="P1085" s="73"/>
      <c r="Q1085" s="73"/>
      <c r="R1085" s="73"/>
      <c r="S1085" s="73"/>
      <c r="T1085" s="73"/>
      <c r="U1085" s="73"/>
      <c r="V1085" s="73"/>
    </row>
    <row r="1086" spans="1:22" ht="14.25">
      <c r="A1086" s="73"/>
      <c r="B1086" s="78"/>
      <c r="C1086" s="79"/>
      <c r="D1086" s="76"/>
      <c r="E1086" s="99"/>
      <c r="F1086" s="71"/>
      <c r="G1086" s="71"/>
      <c r="H1086" s="71"/>
      <c r="I1086" s="99"/>
      <c r="J1086" s="99"/>
      <c r="K1086" s="99"/>
      <c r="L1086" s="73"/>
      <c r="M1086" s="73"/>
      <c r="N1086" s="73"/>
      <c r="O1086" s="73"/>
      <c r="P1086" s="73"/>
      <c r="Q1086" s="73"/>
      <c r="R1086" s="73"/>
      <c r="S1086" s="73"/>
      <c r="T1086" s="73"/>
      <c r="U1086" s="73"/>
      <c r="V1086" s="73"/>
    </row>
    <row r="1087" spans="1:22" ht="14.25">
      <c r="A1087" s="73"/>
      <c r="B1087" s="78"/>
      <c r="C1087" s="79"/>
      <c r="D1087" s="76"/>
      <c r="E1087" s="99"/>
      <c r="F1087" s="71"/>
      <c r="G1087" s="71"/>
      <c r="H1087" s="71"/>
      <c r="I1087" s="99"/>
      <c r="J1087" s="99"/>
      <c r="K1087" s="99"/>
      <c r="L1087" s="73"/>
      <c r="M1087" s="73"/>
      <c r="N1087" s="73"/>
      <c r="O1087" s="73"/>
      <c r="P1087" s="73"/>
      <c r="Q1087" s="73"/>
      <c r="R1087" s="73"/>
      <c r="S1087" s="73"/>
      <c r="T1087" s="73"/>
      <c r="U1087" s="73"/>
      <c r="V1087" s="73"/>
    </row>
    <row r="1088" spans="1:22" ht="14.25">
      <c r="A1088" s="73"/>
      <c r="B1088" s="78"/>
      <c r="C1088" s="79"/>
      <c r="D1088" s="76"/>
      <c r="E1088" s="99"/>
      <c r="F1088" s="71"/>
      <c r="G1088" s="71"/>
      <c r="H1088" s="71"/>
      <c r="I1088" s="99"/>
      <c r="J1088" s="99"/>
      <c r="K1088" s="99"/>
      <c r="L1088" s="73"/>
      <c r="M1088" s="73"/>
      <c r="N1088" s="73"/>
      <c r="O1088" s="73"/>
      <c r="P1088" s="73"/>
      <c r="Q1088" s="73"/>
      <c r="R1088" s="73"/>
      <c r="S1088" s="73"/>
      <c r="T1088" s="73"/>
      <c r="U1088" s="73"/>
      <c r="V1088" s="73"/>
    </row>
    <row r="1089" spans="1:22" ht="14.25">
      <c r="A1089" s="73"/>
      <c r="B1089" s="78"/>
      <c r="C1089" s="79"/>
      <c r="D1089" s="76"/>
      <c r="E1089" s="99"/>
      <c r="F1089" s="71"/>
      <c r="G1089" s="71"/>
      <c r="H1089" s="71"/>
      <c r="I1089" s="99"/>
      <c r="J1089" s="99"/>
      <c r="K1089" s="99"/>
      <c r="L1089" s="73"/>
      <c r="M1089" s="73"/>
      <c r="N1089" s="73"/>
      <c r="O1089" s="73"/>
      <c r="P1089" s="73"/>
      <c r="Q1089" s="73"/>
      <c r="R1089" s="73"/>
      <c r="S1089" s="73"/>
      <c r="T1089" s="73"/>
      <c r="U1089" s="73"/>
      <c r="V1089" s="73"/>
    </row>
    <row r="1090" spans="1:22" ht="14.25">
      <c r="A1090" s="73"/>
      <c r="B1090" s="78"/>
      <c r="C1090" s="79"/>
      <c r="D1090" s="76"/>
      <c r="E1090" s="99"/>
      <c r="F1090" s="71"/>
      <c r="G1090" s="71"/>
      <c r="H1090" s="71"/>
      <c r="I1090" s="99"/>
      <c r="J1090" s="99"/>
      <c r="K1090" s="99"/>
      <c r="L1090" s="73"/>
      <c r="M1090" s="73"/>
      <c r="N1090" s="73"/>
      <c r="O1090" s="73"/>
      <c r="P1090" s="73"/>
      <c r="Q1090" s="73"/>
      <c r="R1090" s="73"/>
      <c r="S1090" s="73"/>
      <c r="T1090" s="73"/>
      <c r="U1090" s="73"/>
      <c r="V1090" s="73"/>
    </row>
    <row r="1091" spans="1:22" ht="14.25">
      <c r="A1091" s="73"/>
      <c r="B1091" s="78"/>
      <c r="C1091" s="79"/>
      <c r="D1091" s="76"/>
      <c r="E1091" s="99"/>
      <c r="F1091" s="71"/>
      <c r="G1091" s="71"/>
      <c r="H1091" s="71"/>
      <c r="I1091" s="99"/>
      <c r="J1091" s="99"/>
      <c r="K1091" s="99"/>
      <c r="L1091" s="73"/>
      <c r="M1091" s="73"/>
      <c r="N1091" s="73"/>
      <c r="O1091" s="73"/>
      <c r="P1091" s="73"/>
      <c r="Q1091" s="73"/>
      <c r="R1091" s="73"/>
      <c r="S1091" s="73"/>
      <c r="T1091" s="73"/>
      <c r="U1091" s="73"/>
      <c r="V1091" s="73"/>
    </row>
    <row r="1092" spans="1:22" ht="14.25">
      <c r="A1092" s="73"/>
      <c r="B1092" s="78"/>
      <c r="C1092" s="79"/>
      <c r="D1092" s="76"/>
      <c r="E1092" s="99"/>
      <c r="F1092" s="71"/>
      <c r="G1092" s="71"/>
      <c r="H1092" s="71"/>
      <c r="I1092" s="99"/>
      <c r="J1092" s="99"/>
      <c r="K1092" s="99"/>
      <c r="L1092" s="73"/>
      <c r="M1092" s="73"/>
      <c r="N1092" s="73"/>
      <c r="O1092" s="73"/>
      <c r="P1092" s="73"/>
      <c r="Q1092" s="73"/>
      <c r="R1092" s="73"/>
      <c r="S1092" s="73"/>
      <c r="T1092" s="73"/>
      <c r="U1092" s="73"/>
      <c r="V1092" s="73"/>
    </row>
    <row r="1093" spans="1:22" ht="14.25">
      <c r="A1093" s="73"/>
      <c r="B1093" s="78"/>
      <c r="C1093" s="79"/>
      <c r="D1093" s="76"/>
      <c r="E1093" s="99"/>
      <c r="F1093" s="71"/>
      <c r="G1093" s="71"/>
      <c r="H1093" s="71"/>
      <c r="I1093" s="99"/>
      <c r="J1093" s="99"/>
      <c r="K1093" s="99"/>
      <c r="L1093" s="73"/>
      <c r="M1093" s="73"/>
      <c r="N1093" s="73"/>
      <c r="O1093" s="73"/>
      <c r="P1093" s="73"/>
      <c r="Q1093" s="73"/>
      <c r="R1093" s="73"/>
      <c r="S1093" s="73"/>
      <c r="T1093" s="73"/>
      <c r="U1093" s="73"/>
      <c r="V1093" s="73"/>
    </row>
    <row r="1094" spans="1:22" ht="14.25">
      <c r="A1094" s="73"/>
      <c r="B1094" s="78"/>
      <c r="C1094" s="79"/>
      <c r="D1094" s="76"/>
      <c r="E1094" s="99"/>
      <c r="F1094" s="71"/>
      <c r="G1094" s="71"/>
      <c r="H1094" s="71"/>
      <c r="I1094" s="99"/>
      <c r="J1094" s="99"/>
      <c r="K1094" s="99"/>
      <c r="L1094" s="73"/>
      <c r="M1094" s="73"/>
      <c r="N1094" s="73"/>
      <c r="O1094" s="73"/>
      <c r="P1094" s="73"/>
      <c r="Q1094" s="73"/>
      <c r="R1094" s="73"/>
      <c r="S1094" s="73"/>
      <c r="T1094" s="73"/>
      <c r="U1094" s="73"/>
      <c r="V1094" s="73"/>
    </row>
    <row r="1095" spans="1:22" ht="14.25">
      <c r="A1095" s="73"/>
      <c r="B1095" s="78"/>
      <c r="C1095" s="79"/>
      <c r="D1095" s="76"/>
      <c r="E1095" s="99"/>
      <c r="F1095" s="71"/>
      <c r="G1095" s="71"/>
      <c r="H1095" s="71"/>
      <c r="I1095" s="99"/>
      <c r="J1095" s="99"/>
      <c r="K1095" s="99"/>
      <c r="L1095" s="73"/>
      <c r="M1095" s="73"/>
      <c r="N1095" s="73"/>
      <c r="O1095" s="73"/>
      <c r="P1095" s="73"/>
      <c r="Q1095" s="73"/>
      <c r="R1095" s="73"/>
      <c r="S1095" s="73"/>
      <c r="T1095" s="73"/>
      <c r="U1095" s="73"/>
      <c r="V1095" s="73"/>
    </row>
    <row r="1096" spans="1:22" ht="14.25">
      <c r="A1096" s="73"/>
      <c r="B1096" s="78"/>
      <c r="C1096" s="79"/>
      <c r="D1096" s="76"/>
      <c r="E1096" s="99"/>
      <c r="F1096" s="71"/>
      <c r="G1096" s="71"/>
      <c r="H1096" s="71"/>
      <c r="I1096" s="99"/>
      <c r="J1096" s="99"/>
      <c r="K1096" s="99"/>
      <c r="L1096" s="73"/>
      <c r="M1096" s="73"/>
      <c r="N1096" s="73"/>
      <c r="O1096" s="73"/>
      <c r="P1096" s="73"/>
      <c r="Q1096" s="73"/>
      <c r="R1096" s="73"/>
      <c r="S1096" s="73"/>
      <c r="T1096" s="73"/>
      <c r="U1096" s="73"/>
      <c r="V1096" s="73"/>
    </row>
    <row r="1097" spans="1:22" ht="14.25">
      <c r="A1097" s="73"/>
      <c r="B1097" s="78"/>
      <c r="C1097" s="79"/>
      <c r="D1097" s="76"/>
      <c r="E1097" s="99"/>
      <c r="F1097" s="71"/>
      <c r="G1097" s="71"/>
      <c r="H1097" s="71"/>
      <c r="I1097" s="99"/>
      <c r="J1097" s="99"/>
      <c r="K1097" s="99"/>
      <c r="L1097" s="73"/>
      <c r="M1097" s="73"/>
      <c r="N1097" s="73"/>
      <c r="O1097" s="73"/>
      <c r="P1097" s="73"/>
      <c r="Q1097" s="73"/>
      <c r="R1097" s="73"/>
      <c r="S1097" s="73"/>
      <c r="T1097" s="73"/>
      <c r="U1097" s="73"/>
      <c r="V1097" s="73"/>
    </row>
    <row r="1098" spans="1:22" ht="14.25">
      <c r="A1098" s="73"/>
      <c r="B1098" s="78"/>
      <c r="C1098" s="79"/>
      <c r="D1098" s="76"/>
      <c r="E1098" s="99"/>
      <c r="F1098" s="71"/>
      <c r="G1098" s="71"/>
      <c r="H1098" s="71"/>
      <c r="I1098" s="99"/>
      <c r="J1098" s="99"/>
      <c r="K1098" s="99"/>
      <c r="L1098" s="73"/>
      <c r="M1098" s="73"/>
      <c r="N1098" s="73"/>
      <c r="O1098" s="73"/>
      <c r="P1098" s="73"/>
      <c r="Q1098" s="73"/>
      <c r="R1098" s="73"/>
      <c r="S1098" s="73"/>
      <c r="T1098" s="73"/>
      <c r="U1098" s="73"/>
      <c r="V1098" s="73"/>
    </row>
    <row r="1099" spans="1:22" ht="14.25">
      <c r="A1099" s="73"/>
      <c r="B1099" s="78"/>
      <c r="C1099" s="79"/>
      <c r="D1099" s="76"/>
      <c r="E1099" s="99"/>
      <c r="F1099" s="71"/>
      <c r="G1099" s="71"/>
      <c r="H1099" s="71"/>
      <c r="I1099" s="99"/>
      <c r="J1099" s="99"/>
      <c r="K1099" s="99"/>
      <c r="L1099" s="73"/>
      <c r="M1099" s="73"/>
      <c r="N1099" s="73"/>
      <c r="O1099" s="73"/>
      <c r="P1099" s="73"/>
      <c r="Q1099" s="73"/>
      <c r="R1099" s="73"/>
      <c r="S1099" s="73"/>
      <c r="T1099" s="73"/>
      <c r="U1099" s="73"/>
      <c r="V1099" s="73"/>
    </row>
    <row r="1100" spans="1:22" ht="14.25">
      <c r="A1100" s="73"/>
      <c r="B1100" s="78"/>
      <c r="C1100" s="79"/>
      <c r="D1100" s="76"/>
      <c r="E1100" s="99"/>
      <c r="F1100" s="71"/>
      <c r="G1100" s="71"/>
      <c r="H1100" s="71"/>
      <c r="I1100" s="99"/>
      <c r="J1100" s="99"/>
      <c r="K1100" s="99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</row>
    <row r="1101" spans="1:22" ht="14.25">
      <c r="A1101" s="73"/>
      <c r="B1101" s="78"/>
      <c r="C1101" s="79"/>
      <c r="D1101" s="76"/>
      <c r="E1101" s="99"/>
      <c r="F1101" s="71"/>
      <c r="G1101" s="71"/>
      <c r="H1101" s="71"/>
      <c r="I1101" s="99"/>
      <c r="J1101" s="99"/>
      <c r="K1101" s="99"/>
      <c r="L1101" s="73"/>
      <c r="M1101" s="73"/>
      <c r="N1101" s="73"/>
      <c r="O1101" s="73"/>
      <c r="P1101" s="73"/>
      <c r="Q1101" s="73"/>
      <c r="R1101" s="73"/>
      <c r="S1101" s="73"/>
      <c r="T1101" s="73"/>
      <c r="U1101" s="73"/>
      <c r="V1101" s="73"/>
    </row>
    <row r="1102" spans="1:22" ht="14.25">
      <c r="A1102" s="73"/>
      <c r="B1102" s="78"/>
      <c r="C1102" s="79"/>
      <c r="D1102" s="76"/>
      <c r="E1102" s="99"/>
      <c r="F1102" s="71"/>
      <c r="G1102" s="71"/>
      <c r="H1102" s="71"/>
      <c r="I1102" s="99"/>
      <c r="J1102" s="99"/>
      <c r="K1102" s="99"/>
      <c r="L1102" s="73"/>
      <c r="M1102" s="73"/>
      <c r="N1102" s="73"/>
      <c r="O1102" s="73"/>
      <c r="P1102" s="73"/>
      <c r="Q1102" s="73"/>
      <c r="R1102" s="73"/>
      <c r="S1102" s="73"/>
      <c r="T1102" s="73"/>
      <c r="U1102" s="73"/>
      <c r="V1102" s="73"/>
    </row>
    <row r="1103" spans="1:22" ht="14.25">
      <c r="A1103" s="73"/>
      <c r="B1103" s="78"/>
      <c r="C1103" s="79"/>
      <c r="D1103" s="76"/>
      <c r="E1103" s="99"/>
      <c r="F1103" s="71"/>
      <c r="G1103" s="71"/>
      <c r="H1103" s="71"/>
      <c r="I1103" s="99"/>
      <c r="J1103" s="99"/>
      <c r="K1103" s="99"/>
      <c r="L1103" s="73"/>
      <c r="M1103" s="73"/>
      <c r="N1103" s="73"/>
      <c r="O1103" s="73"/>
      <c r="P1103" s="73"/>
      <c r="Q1103" s="73"/>
      <c r="R1103" s="73"/>
      <c r="S1103" s="73"/>
      <c r="T1103" s="73"/>
      <c r="U1103" s="73"/>
      <c r="V1103" s="73"/>
    </row>
    <row r="1104" spans="1:22" ht="14.25">
      <c r="A1104" s="73"/>
      <c r="B1104" s="78"/>
      <c r="C1104" s="79"/>
      <c r="D1104" s="76"/>
      <c r="E1104" s="99"/>
      <c r="F1104" s="71"/>
      <c r="G1104" s="71"/>
      <c r="H1104" s="71"/>
      <c r="I1104" s="99"/>
      <c r="J1104" s="99"/>
      <c r="K1104" s="99"/>
      <c r="L1104" s="73"/>
      <c r="M1104" s="73"/>
      <c r="N1104" s="73"/>
      <c r="O1104" s="73"/>
      <c r="P1104" s="73"/>
      <c r="Q1104" s="73"/>
      <c r="R1104" s="73"/>
      <c r="S1104" s="73"/>
      <c r="T1104" s="73"/>
      <c r="U1104" s="73"/>
      <c r="V1104" s="73"/>
    </row>
    <row r="1105" spans="1:22" ht="14.25">
      <c r="A1105" s="73"/>
      <c r="B1105" s="78"/>
      <c r="C1105" s="79"/>
      <c r="D1105" s="76"/>
      <c r="E1105" s="99"/>
      <c r="F1105" s="71"/>
      <c r="G1105" s="71"/>
      <c r="H1105" s="71"/>
      <c r="I1105" s="99"/>
      <c r="J1105" s="99"/>
      <c r="K1105" s="99"/>
      <c r="L1105" s="73"/>
      <c r="M1105" s="73"/>
      <c r="N1105" s="73"/>
      <c r="O1105" s="73"/>
      <c r="P1105" s="73"/>
      <c r="Q1105" s="73"/>
      <c r="R1105" s="73"/>
      <c r="S1105" s="73"/>
      <c r="T1105" s="73"/>
      <c r="U1105" s="73"/>
      <c r="V1105" s="73"/>
    </row>
    <row r="1106" spans="1:22" ht="14.25">
      <c r="A1106" s="73"/>
      <c r="B1106" s="78"/>
      <c r="C1106" s="79"/>
      <c r="D1106" s="76"/>
      <c r="E1106" s="99"/>
      <c r="F1106" s="71"/>
      <c r="G1106" s="71"/>
      <c r="H1106" s="71"/>
      <c r="I1106" s="99"/>
      <c r="J1106" s="99"/>
      <c r="K1106" s="99"/>
      <c r="L1106" s="73"/>
      <c r="M1106" s="73"/>
      <c r="N1106" s="73"/>
      <c r="O1106" s="73"/>
      <c r="P1106" s="73"/>
      <c r="Q1106" s="73"/>
      <c r="R1106" s="73"/>
      <c r="S1106" s="73"/>
      <c r="T1106" s="73"/>
      <c r="U1106" s="73"/>
      <c r="V1106" s="73"/>
    </row>
    <row r="1107" spans="1:22" ht="14.25">
      <c r="A1107" s="73"/>
      <c r="B1107" s="78"/>
      <c r="C1107" s="79"/>
      <c r="D1107" s="76"/>
      <c r="E1107" s="99"/>
      <c r="F1107" s="71"/>
      <c r="G1107" s="71"/>
      <c r="H1107" s="71"/>
      <c r="I1107" s="99"/>
      <c r="J1107" s="99"/>
      <c r="K1107" s="99"/>
      <c r="L1107" s="73"/>
      <c r="M1107" s="73"/>
      <c r="N1107" s="73"/>
      <c r="O1107" s="73"/>
      <c r="P1107" s="73"/>
      <c r="Q1107" s="73"/>
      <c r="R1107" s="73"/>
      <c r="S1107" s="73"/>
      <c r="T1107" s="73"/>
      <c r="U1107" s="73"/>
      <c r="V1107" s="73"/>
    </row>
    <row r="1108" spans="1:22" ht="14.25">
      <c r="A1108" s="73"/>
      <c r="B1108" s="78"/>
      <c r="C1108" s="79"/>
      <c r="D1108" s="76"/>
      <c r="E1108" s="99"/>
      <c r="F1108" s="71"/>
      <c r="G1108" s="71"/>
      <c r="H1108" s="71"/>
      <c r="I1108" s="99"/>
      <c r="J1108" s="99"/>
      <c r="K1108" s="99"/>
      <c r="L1108" s="73"/>
      <c r="M1108" s="73"/>
      <c r="N1108" s="73"/>
      <c r="O1108" s="73"/>
      <c r="P1108" s="73"/>
      <c r="Q1108" s="73"/>
      <c r="R1108" s="73"/>
      <c r="S1108" s="73"/>
      <c r="T1108" s="73"/>
      <c r="U1108" s="73"/>
      <c r="V1108" s="73"/>
    </row>
    <row r="1109" spans="1:22" ht="14.25">
      <c r="A1109" s="73"/>
      <c r="B1109" s="78"/>
      <c r="C1109" s="79"/>
      <c r="D1109" s="76"/>
      <c r="E1109" s="99"/>
      <c r="F1109" s="71"/>
      <c r="G1109" s="71"/>
      <c r="H1109" s="71"/>
      <c r="I1109" s="99"/>
      <c r="J1109" s="99"/>
      <c r="K1109" s="99"/>
      <c r="L1109" s="73"/>
      <c r="M1109" s="73"/>
      <c r="N1109" s="73"/>
      <c r="O1109" s="73"/>
      <c r="P1109" s="73"/>
      <c r="Q1109" s="73"/>
      <c r="R1109" s="73"/>
      <c r="S1109" s="73"/>
      <c r="T1109" s="73"/>
      <c r="U1109" s="73"/>
      <c r="V1109" s="73"/>
    </row>
    <row r="1110" spans="1:22" ht="14.25">
      <c r="A1110" s="73"/>
      <c r="B1110" s="78"/>
      <c r="C1110" s="79"/>
      <c r="D1110" s="76"/>
      <c r="E1110" s="99"/>
      <c r="F1110" s="71"/>
      <c r="G1110" s="71"/>
      <c r="H1110" s="71"/>
      <c r="I1110" s="99"/>
      <c r="J1110" s="99"/>
      <c r="K1110" s="99"/>
      <c r="L1110" s="73"/>
      <c r="M1110" s="73"/>
      <c r="N1110" s="73"/>
      <c r="O1110" s="73"/>
      <c r="P1110" s="73"/>
      <c r="Q1110" s="73"/>
      <c r="R1110" s="73"/>
      <c r="S1110" s="73"/>
      <c r="T1110" s="73"/>
      <c r="U1110" s="73"/>
      <c r="V1110" s="73"/>
    </row>
    <row r="1111" spans="1:22" ht="14.25">
      <c r="A1111" s="73"/>
      <c r="B1111" s="78"/>
      <c r="C1111" s="79"/>
      <c r="D1111" s="76"/>
      <c r="E1111" s="99"/>
      <c r="F1111" s="71"/>
      <c r="G1111" s="71"/>
      <c r="H1111" s="71"/>
      <c r="I1111" s="99"/>
      <c r="J1111" s="99"/>
      <c r="K1111" s="99"/>
      <c r="L1111" s="73"/>
      <c r="M1111" s="73"/>
      <c r="N1111" s="73"/>
      <c r="O1111" s="73"/>
      <c r="P1111" s="73"/>
      <c r="Q1111" s="73"/>
      <c r="R1111" s="73"/>
      <c r="S1111" s="73"/>
      <c r="T1111" s="73"/>
      <c r="U1111" s="73"/>
      <c r="V1111" s="73"/>
    </row>
    <row r="1112" spans="1:22" ht="14.25">
      <c r="A1112" s="73"/>
      <c r="B1112" s="78"/>
      <c r="C1112" s="79"/>
      <c r="D1112" s="76"/>
      <c r="E1112" s="99"/>
      <c r="F1112" s="71"/>
      <c r="G1112" s="71"/>
      <c r="H1112" s="71"/>
      <c r="I1112" s="99"/>
      <c r="J1112" s="99"/>
      <c r="K1112" s="99"/>
      <c r="L1112" s="73"/>
      <c r="M1112" s="73"/>
      <c r="N1112" s="73"/>
      <c r="O1112" s="73"/>
      <c r="P1112" s="73"/>
      <c r="Q1112" s="73"/>
      <c r="R1112" s="73"/>
      <c r="S1112" s="73"/>
      <c r="T1112" s="73"/>
      <c r="U1112" s="73"/>
      <c r="V1112" s="73"/>
    </row>
    <row r="1113" spans="1:22" ht="14.25">
      <c r="A1113" s="73"/>
      <c r="B1113" s="78"/>
      <c r="C1113" s="79"/>
      <c r="D1113" s="76"/>
      <c r="E1113" s="99"/>
      <c r="F1113" s="71"/>
      <c r="G1113" s="71"/>
      <c r="H1113" s="71"/>
      <c r="I1113" s="99"/>
      <c r="J1113" s="99"/>
      <c r="K1113" s="99"/>
      <c r="L1113" s="73"/>
      <c r="M1113" s="73"/>
      <c r="N1113" s="73"/>
      <c r="O1113" s="73"/>
      <c r="P1113" s="73"/>
      <c r="Q1113" s="73"/>
      <c r="R1113" s="73"/>
      <c r="S1113" s="73"/>
      <c r="T1113" s="73"/>
      <c r="U1113" s="73"/>
      <c r="V1113" s="73"/>
    </row>
    <row r="1114" spans="1:22" ht="14.25">
      <c r="A1114" s="73"/>
      <c r="B1114" s="78"/>
      <c r="C1114" s="79"/>
      <c r="D1114" s="76"/>
      <c r="E1114" s="99"/>
      <c r="F1114" s="71"/>
      <c r="G1114" s="71"/>
      <c r="H1114" s="71"/>
      <c r="I1114" s="99"/>
      <c r="J1114" s="99"/>
      <c r="K1114" s="99"/>
      <c r="L1114" s="73"/>
      <c r="M1114" s="73"/>
      <c r="N1114" s="73"/>
      <c r="O1114" s="73"/>
      <c r="P1114" s="73"/>
      <c r="Q1114" s="73"/>
      <c r="R1114" s="73"/>
      <c r="S1114" s="73"/>
      <c r="T1114" s="73"/>
      <c r="U1114" s="73"/>
      <c r="V1114" s="73"/>
    </row>
    <row r="1115" spans="1:22" ht="14.25">
      <c r="A1115" s="73"/>
      <c r="B1115" s="78"/>
      <c r="C1115" s="79"/>
      <c r="D1115" s="76"/>
      <c r="E1115" s="99"/>
      <c r="F1115" s="71"/>
      <c r="G1115" s="71"/>
      <c r="H1115" s="71"/>
      <c r="I1115" s="99"/>
      <c r="J1115" s="99"/>
      <c r="K1115" s="99"/>
      <c r="L1115" s="73"/>
      <c r="M1115" s="73"/>
      <c r="N1115" s="73"/>
      <c r="O1115" s="73"/>
      <c r="P1115" s="73"/>
      <c r="Q1115" s="73"/>
      <c r="R1115" s="73"/>
      <c r="S1115" s="73"/>
      <c r="T1115" s="73"/>
      <c r="U1115" s="73"/>
      <c r="V1115" s="73"/>
    </row>
    <row r="1116" spans="1:22" ht="14.25">
      <c r="A1116" s="73"/>
      <c r="B1116" s="78"/>
      <c r="C1116" s="79"/>
      <c r="D1116" s="76"/>
      <c r="E1116" s="99"/>
      <c r="F1116" s="71"/>
      <c r="G1116" s="71"/>
      <c r="H1116" s="71"/>
      <c r="I1116" s="99"/>
      <c r="J1116" s="99"/>
      <c r="K1116" s="99"/>
      <c r="L1116" s="73"/>
      <c r="M1116" s="73"/>
      <c r="N1116" s="73"/>
      <c r="O1116" s="73"/>
      <c r="P1116" s="73"/>
      <c r="Q1116" s="73"/>
      <c r="R1116" s="73"/>
      <c r="S1116" s="73"/>
      <c r="T1116" s="73"/>
      <c r="U1116" s="73"/>
      <c r="V1116" s="73"/>
    </row>
    <row r="1117" spans="1:22" ht="14.25">
      <c r="A1117" s="73"/>
      <c r="B1117" s="78"/>
      <c r="C1117" s="79"/>
      <c r="D1117" s="76"/>
      <c r="E1117" s="99"/>
      <c r="F1117" s="71"/>
      <c r="G1117" s="71"/>
      <c r="H1117" s="71"/>
      <c r="I1117" s="99"/>
      <c r="J1117" s="99"/>
      <c r="K1117" s="99"/>
      <c r="L1117" s="73"/>
      <c r="M1117" s="73"/>
      <c r="N1117" s="73"/>
      <c r="O1117" s="73"/>
      <c r="P1117" s="73"/>
      <c r="Q1117" s="73"/>
      <c r="R1117" s="73"/>
      <c r="S1117" s="73"/>
      <c r="T1117" s="73"/>
      <c r="U1117" s="73"/>
      <c r="V1117" s="73"/>
    </row>
    <row r="1118" spans="1:22" ht="14.25">
      <c r="A1118" s="73"/>
      <c r="B1118" s="78"/>
      <c r="C1118" s="79"/>
      <c r="D1118" s="76"/>
      <c r="E1118" s="99"/>
      <c r="F1118" s="71"/>
      <c r="G1118" s="71"/>
      <c r="H1118" s="71"/>
      <c r="I1118" s="99"/>
      <c r="J1118" s="99"/>
      <c r="K1118" s="99"/>
      <c r="L1118" s="73"/>
      <c r="M1118" s="73"/>
      <c r="N1118" s="73"/>
      <c r="O1118" s="73"/>
      <c r="P1118" s="73"/>
      <c r="Q1118" s="73"/>
      <c r="R1118" s="73"/>
      <c r="S1118" s="73"/>
      <c r="T1118" s="73"/>
      <c r="U1118" s="73"/>
      <c r="V1118" s="73"/>
    </row>
    <row r="1119" spans="1:22" ht="14.25">
      <c r="A1119" s="73"/>
      <c r="B1119" s="78"/>
      <c r="C1119" s="79"/>
      <c r="D1119" s="76"/>
      <c r="E1119" s="99"/>
      <c r="F1119" s="71"/>
      <c r="G1119" s="71"/>
      <c r="H1119" s="71"/>
      <c r="I1119" s="99"/>
      <c r="J1119" s="99"/>
      <c r="K1119" s="99"/>
      <c r="L1119" s="73"/>
      <c r="M1119" s="73"/>
      <c r="N1119" s="73"/>
      <c r="O1119" s="73"/>
      <c r="P1119" s="73"/>
      <c r="Q1119" s="73"/>
      <c r="R1119" s="73"/>
      <c r="S1119" s="73"/>
      <c r="T1119" s="73"/>
      <c r="U1119" s="73"/>
      <c r="V1119" s="73"/>
    </row>
    <row r="1120" spans="1:22" ht="14.25">
      <c r="A1120" s="73"/>
      <c r="B1120" s="78"/>
      <c r="C1120" s="79"/>
      <c r="D1120" s="76"/>
      <c r="E1120" s="99"/>
      <c r="F1120" s="71"/>
      <c r="G1120" s="71"/>
      <c r="H1120" s="71"/>
      <c r="I1120" s="99"/>
      <c r="J1120" s="99"/>
      <c r="K1120" s="99"/>
      <c r="L1120" s="73"/>
      <c r="M1120" s="73"/>
      <c r="N1120" s="73"/>
      <c r="O1120" s="73"/>
      <c r="P1120" s="73"/>
      <c r="Q1120" s="73"/>
      <c r="R1120" s="73"/>
      <c r="S1120" s="73"/>
      <c r="T1120" s="73"/>
      <c r="U1120" s="73"/>
      <c r="V1120" s="73"/>
    </row>
    <row r="1121" spans="1:22" ht="14.25">
      <c r="A1121" s="73"/>
      <c r="B1121" s="78"/>
      <c r="C1121" s="79"/>
      <c r="D1121" s="76"/>
      <c r="E1121" s="99"/>
      <c r="F1121" s="71"/>
      <c r="G1121" s="71"/>
      <c r="H1121" s="71"/>
      <c r="I1121" s="99"/>
      <c r="J1121" s="99"/>
      <c r="K1121" s="99"/>
      <c r="L1121" s="73"/>
      <c r="M1121" s="73"/>
      <c r="N1121" s="73"/>
      <c r="O1121" s="73"/>
      <c r="P1121" s="73"/>
      <c r="Q1121" s="73"/>
      <c r="R1121" s="73"/>
      <c r="S1121" s="73"/>
      <c r="T1121" s="73"/>
      <c r="U1121" s="73"/>
      <c r="V1121" s="73"/>
    </row>
    <row r="1122" spans="1:22" ht="14.25">
      <c r="A1122" s="73"/>
      <c r="B1122" s="78"/>
      <c r="C1122" s="79"/>
      <c r="D1122" s="76"/>
      <c r="E1122" s="99"/>
      <c r="F1122" s="71"/>
      <c r="G1122" s="71"/>
      <c r="H1122" s="71"/>
      <c r="I1122" s="99"/>
      <c r="J1122" s="99"/>
      <c r="K1122" s="99"/>
      <c r="L1122" s="73"/>
      <c r="M1122" s="73"/>
      <c r="N1122" s="73"/>
      <c r="O1122" s="73"/>
      <c r="P1122" s="73"/>
      <c r="Q1122" s="73"/>
      <c r="R1122" s="73"/>
      <c r="S1122" s="73"/>
      <c r="T1122" s="73"/>
      <c r="U1122" s="73"/>
      <c r="V1122" s="73"/>
    </row>
    <row r="1123" spans="1:22" ht="14.25">
      <c r="A1123" s="73"/>
      <c r="B1123" s="78"/>
      <c r="C1123" s="79"/>
      <c r="D1123" s="76"/>
      <c r="E1123" s="99"/>
      <c r="F1123" s="71"/>
      <c r="G1123" s="71"/>
      <c r="H1123" s="71"/>
      <c r="I1123" s="99"/>
      <c r="J1123" s="99"/>
      <c r="K1123" s="99"/>
      <c r="L1123" s="73"/>
      <c r="M1123" s="73"/>
      <c r="N1123" s="73"/>
      <c r="O1123" s="73"/>
      <c r="P1123" s="73"/>
      <c r="Q1123" s="73"/>
      <c r="R1123" s="73"/>
      <c r="S1123" s="73"/>
      <c r="T1123" s="73"/>
      <c r="U1123" s="73"/>
      <c r="V1123" s="73"/>
    </row>
    <row r="1124" spans="1:22" ht="14.25">
      <c r="A1124" s="73"/>
      <c r="B1124" s="78"/>
      <c r="C1124" s="79"/>
      <c r="D1124" s="76"/>
      <c r="E1124" s="99"/>
      <c r="F1124" s="71"/>
      <c r="G1124" s="71"/>
      <c r="H1124" s="71"/>
      <c r="I1124" s="99"/>
      <c r="J1124" s="99"/>
      <c r="K1124" s="99"/>
      <c r="L1124" s="73"/>
      <c r="M1124" s="73"/>
      <c r="N1124" s="73"/>
      <c r="O1124" s="73"/>
      <c r="P1124" s="73"/>
      <c r="Q1124" s="73"/>
      <c r="R1124" s="73"/>
      <c r="S1124" s="73"/>
      <c r="T1124" s="73"/>
      <c r="U1124" s="73"/>
      <c r="V1124" s="73"/>
    </row>
    <row r="1125" spans="1:22" ht="14.25">
      <c r="A1125" s="73"/>
      <c r="B1125" s="78"/>
      <c r="C1125" s="79"/>
      <c r="D1125" s="76"/>
      <c r="E1125" s="99"/>
      <c r="F1125" s="71"/>
      <c r="G1125" s="71"/>
      <c r="H1125" s="71"/>
      <c r="I1125" s="99"/>
      <c r="J1125" s="99"/>
      <c r="K1125" s="99"/>
      <c r="L1125" s="73"/>
      <c r="M1125" s="73"/>
      <c r="N1125" s="73"/>
      <c r="O1125" s="73"/>
      <c r="P1125" s="73"/>
      <c r="Q1125" s="73"/>
      <c r="R1125" s="73"/>
      <c r="S1125" s="73"/>
      <c r="T1125" s="73"/>
      <c r="U1125" s="73"/>
      <c r="V1125" s="73"/>
    </row>
    <row r="1126" spans="1:22" ht="14.25">
      <c r="A1126" s="73"/>
      <c r="B1126" s="78"/>
      <c r="C1126" s="79"/>
      <c r="D1126" s="76"/>
      <c r="E1126" s="99"/>
      <c r="F1126" s="71"/>
      <c r="G1126" s="71"/>
      <c r="H1126" s="71"/>
      <c r="I1126" s="99"/>
      <c r="J1126" s="99"/>
      <c r="K1126" s="99"/>
      <c r="L1126" s="73"/>
      <c r="M1126" s="73"/>
      <c r="N1126" s="73"/>
      <c r="O1126" s="73"/>
      <c r="P1126" s="73"/>
      <c r="Q1126" s="73"/>
      <c r="R1126" s="73"/>
      <c r="S1126" s="73"/>
      <c r="T1126" s="73"/>
      <c r="U1126" s="73"/>
      <c r="V1126" s="73"/>
    </row>
    <row r="1127" spans="1:22" ht="14.25">
      <c r="A1127" s="73"/>
      <c r="B1127" s="78"/>
      <c r="C1127" s="79"/>
      <c r="D1127" s="76"/>
      <c r="E1127" s="99"/>
      <c r="F1127" s="71"/>
      <c r="G1127" s="71"/>
      <c r="H1127" s="71"/>
      <c r="I1127" s="99"/>
      <c r="J1127" s="99"/>
      <c r="K1127" s="99"/>
      <c r="L1127" s="73"/>
      <c r="M1127" s="73"/>
      <c r="N1127" s="73"/>
      <c r="O1127" s="73"/>
      <c r="P1127" s="73"/>
      <c r="Q1127" s="73"/>
      <c r="R1127" s="73"/>
      <c r="S1127" s="73"/>
      <c r="T1127" s="73"/>
      <c r="U1127" s="73"/>
      <c r="V1127" s="73"/>
    </row>
    <row r="1128" spans="1:22" ht="14.25">
      <c r="A1128" s="73"/>
      <c r="B1128" s="78"/>
      <c r="C1128" s="79"/>
      <c r="D1128" s="76"/>
      <c r="E1128" s="99"/>
      <c r="F1128" s="71"/>
      <c r="G1128" s="71"/>
      <c r="H1128" s="71"/>
      <c r="I1128" s="99"/>
      <c r="J1128" s="99"/>
      <c r="K1128" s="99"/>
      <c r="L1128" s="73"/>
      <c r="M1128" s="73"/>
      <c r="N1128" s="73"/>
      <c r="O1128" s="73"/>
      <c r="P1128" s="73"/>
      <c r="Q1128" s="73"/>
      <c r="R1128" s="73"/>
      <c r="S1128" s="73"/>
      <c r="T1128" s="73"/>
      <c r="U1128" s="73"/>
      <c r="V1128" s="73"/>
    </row>
    <row r="1129" spans="1:22" ht="14.25">
      <c r="A1129" s="73"/>
      <c r="B1129" s="78"/>
      <c r="C1129" s="79"/>
      <c r="D1129" s="76"/>
      <c r="E1129" s="99"/>
      <c r="F1129" s="71"/>
      <c r="G1129" s="71"/>
      <c r="H1129" s="71"/>
      <c r="I1129" s="99"/>
      <c r="J1129" s="99"/>
      <c r="K1129" s="99"/>
      <c r="L1129" s="73"/>
      <c r="M1129" s="73"/>
      <c r="N1129" s="73"/>
      <c r="O1129" s="73"/>
      <c r="P1129" s="73"/>
      <c r="Q1129" s="73"/>
      <c r="R1129" s="73"/>
      <c r="S1129" s="73"/>
      <c r="T1129" s="73"/>
      <c r="U1129" s="73"/>
      <c r="V1129" s="73"/>
    </row>
    <row r="1130" spans="1:22" ht="14.25">
      <c r="A1130" s="73"/>
      <c r="B1130" s="78"/>
      <c r="C1130" s="79"/>
      <c r="D1130" s="76"/>
      <c r="E1130" s="99"/>
      <c r="F1130" s="71"/>
      <c r="G1130" s="71"/>
      <c r="H1130" s="71"/>
      <c r="I1130" s="99"/>
      <c r="J1130" s="99"/>
      <c r="K1130" s="99"/>
      <c r="L1130" s="73"/>
      <c r="M1130" s="73"/>
      <c r="N1130" s="73"/>
      <c r="O1130" s="73"/>
      <c r="P1130" s="73"/>
      <c r="Q1130" s="73"/>
      <c r="R1130" s="73"/>
      <c r="S1130" s="73"/>
      <c r="T1130" s="73"/>
      <c r="U1130" s="73"/>
      <c r="V1130" s="73"/>
    </row>
    <row r="1131" spans="1:22" ht="14.25">
      <c r="A1131" s="73"/>
      <c r="B1131" s="78"/>
      <c r="C1131" s="79"/>
      <c r="D1131" s="76"/>
      <c r="E1131" s="99"/>
      <c r="F1131" s="71"/>
      <c r="G1131" s="71"/>
      <c r="H1131" s="71"/>
      <c r="I1131" s="99"/>
      <c r="J1131" s="99"/>
      <c r="K1131" s="99"/>
      <c r="L1131" s="73"/>
      <c r="M1131" s="73"/>
      <c r="N1131" s="73"/>
      <c r="O1131" s="73"/>
      <c r="P1131" s="73"/>
      <c r="Q1131" s="73"/>
      <c r="R1131" s="73"/>
      <c r="S1131" s="73"/>
      <c r="T1131" s="73"/>
      <c r="U1131" s="73"/>
      <c r="V1131" s="73"/>
    </row>
    <row r="1132" spans="1:22" ht="14.25">
      <c r="A1132" s="73"/>
      <c r="B1132" s="78"/>
      <c r="C1132" s="79"/>
      <c r="D1132" s="76"/>
      <c r="E1132" s="99"/>
      <c r="F1132" s="71"/>
      <c r="G1132" s="71"/>
      <c r="H1132" s="71"/>
      <c r="I1132" s="99"/>
      <c r="J1132" s="99"/>
      <c r="K1132" s="99"/>
      <c r="L1132" s="73"/>
      <c r="M1132" s="73"/>
      <c r="N1132" s="73"/>
      <c r="O1132" s="73"/>
      <c r="P1132" s="73"/>
      <c r="Q1132" s="73"/>
      <c r="R1132" s="73"/>
      <c r="S1132" s="73"/>
      <c r="T1132" s="73"/>
      <c r="U1132" s="73"/>
      <c r="V1132" s="73"/>
    </row>
    <row r="1133" spans="1:22" ht="14.25">
      <c r="A1133" s="73"/>
      <c r="B1133" s="78"/>
      <c r="C1133" s="79"/>
      <c r="D1133" s="76"/>
      <c r="E1133" s="99"/>
      <c r="F1133" s="71"/>
      <c r="G1133" s="71"/>
      <c r="H1133" s="71"/>
      <c r="I1133" s="99"/>
      <c r="J1133" s="99"/>
      <c r="K1133" s="99"/>
      <c r="L1133" s="73"/>
      <c r="M1133" s="73"/>
      <c r="N1133" s="73"/>
      <c r="O1133" s="73"/>
      <c r="P1133" s="73"/>
      <c r="Q1133" s="73"/>
      <c r="R1133" s="73"/>
      <c r="S1133" s="73"/>
      <c r="T1133" s="73"/>
      <c r="U1133" s="73"/>
      <c r="V1133" s="73"/>
    </row>
    <row r="1134" spans="1:22" ht="14.25">
      <c r="A1134" s="73"/>
      <c r="B1134" s="78"/>
      <c r="C1134" s="79"/>
      <c r="D1134" s="76"/>
      <c r="E1134" s="99"/>
      <c r="F1134" s="71"/>
      <c r="G1134" s="71"/>
      <c r="H1134" s="71"/>
      <c r="I1134" s="99"/>
      <c r="J1134" s="99"/>
      <c r="K1134" s="99"/>
      <c r="L1134" s="73"/>
      <c r="M1134" s="73"/>
      <c r="N1134" s="73"/>
      <c r="O1134" s="73"/>
      <c r="P1134" s="73"/>
      <c r="Q1134" s="73"/>
      <c r="R1134" s="73"/>
      <c r="S1134" s="73"/>
      <c r="T1134" s="73"/>
      <c r="U1134" s="73"/>
      <c r="V1134" s="73"/>
    </row>
    <row r="1135" spans="1:22" ht="14.25">
      <c r="A1135" s="73"/>
      <c r="B1135" s="78"/>
      <c r="C1135" s="79"/>
      <c r="D1135" s="76"/>
      <c r="E1135" s="99"/>
      <c r="F1135" s="71"/>
      <c r="G1135" s="71"/>
      <c r="H1135" s="71"/>
      <c r="I1135" s="99"/>
      <c r="J1135" s="99"/>
      <c r="K1135" s="99"/>
      <c r="L1135" s="73"/>
      <c r="M1135" s="73"/>
      <c r="N1135" s="73"/>
      <c r="O1135" s="73"/>
      <c r="P1135" s="73"/>
      <c r="Q1135" s="73"/>
      <c r="R1135" s="73"/>
      <c r="S1135" s="73"/>
      <c r="T1135" s="73"/>
      <c r="U1135" s="73"/>
      <c r="V1135" s="73"/>
    </row>
    <row r="1136" spans="1:22" ht="14.25">
      <c r="A1136" s="73"/>
      <c r="B1136" s="78"/>
      <c r="C1136" s="79"/>
      <c r="D1136" s="76"/>
      <c r="E1136" s="99"/>
      <c r="F1136" s="71"/>
      <c r="G1136" s="71"/>
      <c r="H1136" s="71"/>
      <c r="I1136" s="99"/>
      <c r="J1136" s="99"/>
      <c r="K1136" s="99"/>
      <c r="L1136" s="73"/>
      <c r="M1136" s="73"/>
      <c r="N1136" s="73"/>
      <c r="O1136" s="73"/>
      <c r="P1136" s="73"/>
      <c r="Q1136" s="73"/>
      <c r="R1136" s="73"/>
      <c r="S1136" s="73"/>
      <c r="T1136" s="73"/>
      <c r="U1136" s="73"/>
      <c r="V1136" s="73"/>
    </row>
    <row r="1137" spans="1:22" ht="14.25">
      <c r="A1137" s="73"/>
      <c r="B1137" s="78"/>
      <c r="C1137" s="79"/>
      <c r="D1137" s="76"/>
      <c r="E1137" s="99"/>
      <c r="F1137" s="71"/>
      <c r="G1137" s="71"/>
      <c r="H1137" s="71"/>
      <c r="I1137" s="99"/>
      <c r="J1137" s="99"/>
      <c r="K1137" s="99"/>
      <c r="L1137" s="73"/>
      <c r="M1137" s="73"/>
      <c r="N1137" s="73"/>
      <c r="O1137" s="73"/>
      <c r="P1137" s="73"/>
      <c r="Q1137" s="73"/>
      <c r="R1137" s="73"/>
      <c r="S1137" s="73"/>
      <c r="T1137" s="73"/>
      <c r="U1137" s="73"/>
      <c r="V1137" s="73"/>
    </row>
    <row r="1138" spans="1:22" ht="14.25">
      <c r="A1138" s="73"/>
      <c r="B1138" s="78"/>
      <c r="C1138" s="79"/>
      <c r="D1138" s="76"/>
      <c r="E1138" s="99"/>
      <c r="F1138" s="71"/>
      <c r="G1138" s="71"/>
      <c r="H1138" s="71"/>
      <c r="I1138" s="99"/>
      <c r="J1138" s="99"/>
      <c r="K1138" s="99"/>
      <c r="L1138" s="73"/>
      <c r="M1138" s="73"/>
      <c r="N1138" s="73"/>
      <c r="O1138" s="73"/>
      <c r="P1138" s="73"/>
      <c r="Q1138" s="73"/>
      <c r="R1138" s="73"/>
      <c r="S1138" s="73"/>
      <c r="T1138" s="73"/>
      <c r="U1138" s="73"/>
      <c r="V1138" s="73"/>
    </row>
    <row r="1139" spans="1:22" ht="14.25">
      <c r="A1139" s="73"/>
      <c r="B1139" s="78"/>
      <c r="C1139" s="79"/>
      <c r="D1139" s="76"/>
      <c r="E1139" s="99"/>
      <c r="F1139" s="71"/>
      <c r="G1139" s="71"/>
      <c r="H1139" s="71"/>
      <c r="I1139" s="99"/>
      <c r="J1139" s="99"/>
      <c r="K1139" s="99"/>
      <c r="L1139" s="73"/>
      <c r="M1139" s="73"/>
      <c r="N1139" s="73"/>
      <c r="O1139" s="73"/>
      <c r="P1139" s="73"/>
      <c r="Q1139" s="73"/>
      <c r="R1139" s="73"/>
      <c r="S1139" s="73"/>
      <c r="T1139" s="73"/>
      <c r="U1139" s="73"/>
      <c r="V1139" s="73"/>
    </row>
    <row r="1140" spans="1:22" ht="14.25">
      <c r="A1140" s="73"/>
      <c r="B1140" s="78"/>
      <c r="C1140" s="79"/>
      <c r="D1140" s="76"/>
      <c r="E1140" s="99"/>
      <c r="F1140" s="71"/>
      <c r="G1140" s="71"/>
      <c r="H1140" s="71"/>
      <c r="I1140" s="99"/>
      <c r="J1140" s="99"/>
      <c r="K1140" s="99"/>
      <c r="L1140" s="73"/>
      <c r="M1140" s="73"/>
      <c r="N1140" s="73"/>
      <c r="O1140" s="73"/>
      <c r="P1140" s="73"/>
      <c r="Q1140" s="73"/>
      <c r="R1140" s="73"/>
      <c r="S1140" s="73"/>
      <c r="T1140" s="73"/>
      <c r="U1140" s="73"/>
      <c r="V1140" s="73"/>
    </row>
    <row r="1141" spans="1:22" ht="14.25">
      <c r="A1141" s="73"/>
      <c r="B1141" s="78"/>
      <c r="C1141" s="79"/>
      <c r="D1141" s="76"/>
      <c r="E1141" s="99"/>
      <c r="F1141" s="71"/>
      <c r="G1141" s="71"/>
      <c r="H1141" s="71"/>
      <c r="I1141" s="99"/>
      <c r="J1141" s="99"/>
      <c r="K1141" s="99"/>
      <c r="L1141" s="73"/>
      <c r="M1141" s="73"/>
      <c r="N1141" s="73"/>
      <c r="O1141" s="73"/>
      <c r="P1141" s="73"/>
      <c r="Q1141" s="73"/>
      <c r="R1141" s="73"/>
      <c r="S1141" s="73"/>
      <c r="T1141" s="73"/>
      <c r="U1141" s="73"/>
      <c r="V1141" s="73"/>
    </row>
    <row r="1142" spans="1:22" ht="14.25">
      <c r="A1142" s="73"/>
      <c r="B1142" s="78"/>
      <c r="C1142" s="79"/>
      <c r="D1142" s="76"/>
      <c r="E1142" s="99"/>
      <c r="F1142" s="71"/>
      <c r="G1142" s="71"/>
      <c r="H1142" s="71"/>
      <c r="I1142" s="99"/>
      <c r="J1142" s="99"/>
      <c r="K1142" s="99"/>
      <c r="L1142" s="73"/>
      <c r="M1142" s="73"/>
      <c r="N1142" s="73"/>
      <c r="O1142" s="73"/>
      <c r="P1142" s="73"/>
      <c r="Q1142" s="73"/>
      <c r="R1142" s="73"/>
      <c r="S1142" s="73"/>
      <c r="T1142" s="73"/>
      <c r="U1142" s="73"/>
      <c r="V1142" s="73"/>
    </row>
    <row r="1143" spans="1:22" ht="14.25">
      <c r="A1143" s="73"/>
      <c r="B1143" s="78"/>
      <c r="C1143" s="79"/>
      <c r="D1143" s="76"/>
      <c r="E1143" s="99"/>
      <c r="F1143" s="71"/>
      <c r="G1143" s="71"/>
      <c r="H1143" s="71"/>
      <c r="I1143" s="99"/>
      <c r="J1143" s="99"/>
      <c r="K1143" s="99"/>
      <c r="L1143" s="73"/>
      <c r="M1143" s="73"/>
      <c r="N1143" s="73"/>
      <c r="O1143" s="73"/>
      <c r="P1143" s="73"/>
      <c r="Q1143" s="73"/>
      <c r="R1143" s="73"/>
      <c r="S1143" s="73"/>
      <c r="T1143" s="73"/>
      <c r="U1143" s="73"/>
      <c r="V1143" s="73"/>
    </row>
    <row r="1144" spans="1:22" ht="14.25">
      <c r="A1144" s="73"/>
      <c r="B1144" s="78"/>
      <c r="C1144" s="79"/>
      <c r="D1144" s="76"/>
      <c r="E1144" s="99"/>
      <c r="F1144" s="71"/>
      <c r="G1144" s="71"/>
      <c r="H1144" s="71"/>
      <c r="I1144" s="99"/>
      <c r="J1144" s="99"/>
      <c r="K1144" s="99"/>
      <c r="L1144" s="73"/>
      <c r="M1144" s="73"/>
      <c r="N1144" s="73"/>
      <c r="O1144" s="73"/>
      <c r="P1144" s="73"/>
      <c r="Q1144" s="73"/>
      <c r="R1144" s="73"/>
      <c r="S1144" s="73"/>
      <c r="T1144" s="73"/>
      <c r="U1144" s="73"/>
      <c r="V1144" s="73"/>
    </row>
    <row r="1145" spans="1:22" ht="14.25">
      <c r="A1145" s="73"/>
      <c r="B1145" s="78"/>
      <c r="C1145" s="79"/>
      <c r="D1145" s="76"/>
      <c r="E1145" s="99"/>
      <c r="F1145" s="71"/>
      <c r="G1145" s="71"/>
      <c r="H1145" s="71"/>
      <c r="I1145" s="99"/>
      <c r="J1145" s="99"/>
      <c r="K1145" s="99"/>
      <c r="L1145" s="73"/>
      <c r="M1145" s="73"/>
      <c r="N1145" s="73"/>
      <c r="O1145" s="73"/>
      <c r="P1145" s="73"/>
      <c r="Q1145" s="73"/>
      <c r="R1145" s="73"/>
      <c r="S1145" s="73"/>
      <c r="T1145" s="73"/>
      <c r="U1145" s="73"/>
      <c r="V1145" s="73"/>
    </row>
    <row r="1146" spans="1:22" ht="14.25">
      <c r="A1146" s="73"/>
      <c r="B1146" s="78"/>
      <c r="C1146" s="79"/>
      <c r="D1146" s="76"/>
      <c r="E1146" s="99"/>
      <c r="F1146" s="71"/>
      <c r="G1146" s="71"/>
      <c r="H1146" s="71"/>
      <c r="I1146" s="99"/>
      <c r="J1146" s="99"/>
      <c r="K1146" s="99"/>
      <c r="L1146" s="73"/>
      <c r="M1146" s="73"/>
      <c r="N1146" s="73"/>
      <c r="O1146" s="73"/>
      <c r="P1146" s="73"/>
      <c r="Q1146" s="73"/>
      <c r="R1146" s="73"/>
      <c r="S1146" s="73"/>
      <c r="T1146" s="73"/>
      <c r="U1146" s="73"/>
      <c r="V1146" s="73"/>
    </row>
    <row r="1147" spans="1:22" ht="14.25">
      <c r="A1147" s="73"/>
      <c r="B1147" s="78"/>
      <c r="C1147" s="79"/>
      <c r="D1147" s="76"/>
      <c r="E1147" s="99"/>
      <c r="F1147" s="71"/>
      <c r="G1147" s="71"/>
      <c r="H1147" s="71"/>
      <c r="I1147" s="99"/>
      <c r="J1147" s="99"/>
      <c r="K1147" s="99"/>
      <c r="L1147" s="73"/>
      <c r="M1147" s="73"/>
      <c r="N1147" s="73"/>
      <c r="O1147" s="73"/>
      <c r="P1147" s="73"/>
      <c r="Q1147" s="73"/>
      <c r="R1147" s="73"/>
      <c r="S1147" s="73"/>
      <c r="T1147" s="73"/>
      <c r="U1147" s="73"/>
      <c r="V1147" s="73"/>
    </row>
    <row r="1148" spans="1:22" ht="14.25">
      <c r="A1148" s="73"/>
      <c r="B1148" s="78"/>
      <c r="C1148" s="79"/>
      <c r="D1148" s="76"/>
      <c r="E1148" s="99"/>
      <c r="F1148" s="71"/>
      <c r="G1148" s="71"/>
      <c r="H1148" s="71"/>
      <c r="I1148" s="99"/>
      <c r="J1148" s="99"/>
      <c r="K1148" s="99"/>
      <c r="L1148" s="73"/>
      <c r="M1148" s="73"/>
      <c r="N1148" s="73"/>
      <c r="O1148" s="73"/>
      <c r="P1148" s="73"/>
      <c r="Q1148" s="73"/>
      <c r="R1148" s="73"/>
      <c r="S1148" s="73"/>
      <c r="T1148" s="73"/>
      <c r="U1148" s="73"/>
      <c r="V1148" s="73"/>
    </row>
    <row r="1149" spans="1:22" ht="14.25">
      <c r="A1149" s="73"/>
      <c r="B1149" s="78"/>
      <c r="C1149" s="79"/>
      <c r="D1149" s="76"/>
      <c r="E1149" s="99"/>
      <c r="F1149" s="71"/>
      <c r="G1149" s="71"/>
      <c r="H1149" s="71"/>
      <c r="I1149" s="99"/>
      <c r="J1149" s="99"/>
      <c r="K1149" s="99"/>
      <c r="L1149" s="73"/>
      <c r="M1149" s="73"/>
      <c r="N1149" s="73"/>
      <c r="O1149" s="73"/>
      <c r="P1149" s="73"/>
      <c r="Q1149" s="73"/>
      <c r="R1149" s="73"/>
      <c r="S1149" s="73"/>
      <c r="T1149" s="73"/>
      <c r="U1149" s="73"/>
      <c r="V1149" s="73"/>
    </row>
    <row r="1150" spans="1:22" ht="14.25">
      <c r="A1150" s="73"/>
      <c r="B1150" s="78"/>
      <c r="C1150" s="79"/>
      <c r="D1150" s="76"/>
      <c r="E1150" s="99"/>
      <c r="F1150" s="71"/>
      <c r="G1150" s="71"/>
      <c r="H1150" s="71"/>
      <c r="I1150" s="99"/>
      <c r="J1150" s="99"/>
      <c r="K1150" s="99"/>
      <c r="L1150" s="73"/>
      <c r="M1150" s="73"/>
      <c r="N1150" s="73"/>
      <c r="O1150" s="73"/>
      <c r="P1150" s="73"/>
      <c r="Q1150" s="73"/>
      <c r="R1150" s="73"/>
      <c r="S1150" s="73"/>
      <c r="T1150" s="73"/>
      <c r="U1150" s="73"/>
      <c r="V1150" s="73"/>
    </row>
    <row r="1151" spans="1:22" ht="14.25">
      <c r="A1151" s="73"/>
      <c r="B1151" s="78"/>
      <c r="C1151" s="79"/>
      <c r="D1151" s="76"/>
      <c r="E1151" s="99"/>
      <c r="F1151" s="71"/>
      <c r="G1151" s="71"/>
      <c r="H1151" s="71"/>
      <c r="I1151" s="99"/>
      <c r="J1151" s="99"/>
      <c r="K1151" s="99"/>
      <c r="L1151" s="73"/>
      <c r="M1151" s="73"/>
      <c r="N1151" s="73"/>
      <c r="O1151" s="73"/>
      <c r="P1151" s="73"/>
      <c r="Q1151" s="73"/>
      <c r="R1151" s="73"/>
      <c r="S1151" s="73"/>
      <c r="T1151" s="73"/>
      <c r="U1151" s="73"/>
      <c r="V1151" s="73"/>
    </row>
    <row r="1152" spans="1:22" ht="14.25">
      <c r="A1152" s="73"/>
      <c r="B1152" s="78"/>
      <c r="C1152" s="79"/>
      <c r="D1152" s="76"/>
      <c r="E1152" s="99"/>
      <c r="F1152" s="71"/>
      <c r="G1152" s="71"/>
      <c r="H1152" s="71"/>
      <c r="I1152" s="99"/>
      <c r="J1152" s="99"/>
      <c r="K1152" s="99"/>
      <c r="L1152" s="73"/>
      <c r="M1152" s="73"/>
      <c r="N1152" s="73"/>
      <c r="O1152" s="73"/>
      <c r="P1152" s="73"/>
      <c r="Q1152" s="73"/>
      <c r="R1152" s="73"/>
      <c r="S1152" s="73"/>
      <c r="T1152" s="73"/>
      <c r="U1152" s="73"/>
      <c r="V1152" s="73"/>
    </row>
    <row r="1153" spans="1:22" ht="14.25">
      <c r="A1153" s="73"/>
      <c r="B1153" s="78"/>
      <c r="C1153" s="79"/>
      <c r="D1153" s="76"/>
      <c r="E1153" s="99"/>
      <c r="F1153" s="71"/>
      <c r="G1153" s="71"/>
      <c r="H1153" s="71"/>
      <c r="I1153" s="99"/>
      <c r="J1153" s="99"/>
      <c r="K1153" s="99"/>
      <c r="L1153" s="73"/>
      <c r="M1153" s="73"/>
      <c r="N1153" s="73"/>
      <c r="O1153" s="73"/>
      <c r="P1153" s="73"/>
      <c r="Q1153" s="73"/>
      <c r="R1153" s="73"/>
      <c r="S1153" s="73"/>
      <c r="T1153" s="73"/>
      <c r="U1153" s="73"/>
      <c r="V1153" s="73"/>
    </row>
    <row r="1154" spans="1:22" ht="14.25">
      <c r="A1154" s="73"/>
      <c r="B1154" s="78"/>
      <c r="C1154" s="79"/>
      <c r="D1154" s="76"/>
      <c r="E1154" s="99"/>
      <c r="F1154" s="71"/>
      <c r="G1154" s="71"/>
      <c r="H1154" s="71"/>
      <c r="I1154" s="99"/>
      <c r="J1154" s="99"/>
      <c r="K1154" s="99"/>
      <c r="L1154" s="73"/>
      <c r="M1154" s="73"/>
      <c r="N1154" s="73"/>
      <c r="O1154" s="73"/>
      <c r="P1154" s="73"/>
      <c r="Q1154" s="73"/>
      <c r="R1154" s="73"/>
      <c r="S1154" s="73"/>
      <c r="T1154" s="73"/>
      <c r="U1154" s="73"/>
      <c r="V1154" s="73"/>
    </row>
    <row r="1155" spans="1:22" ht="14.25">
      <c r="A1155" s="73"/>
      <c r="B1155" s="78"/>
      <c r="C1155" s="79"/>
      <c r="D1155" s="76"/>
      <c r="E1155" s="99"/>
      <c r="F1155" s="71"/>
      <c r="G1155" s="71"/>
      <c r="H1155" s="71"/>
      <c r="I1155" s="99"/>
      <c r="J1155" s="99"/>
      <c r="K1155" s="99"/>
      <c r="L1155" s="73"/>
      <c r="M1155" s="73"/>
      <c r="N1155" s="73"/>
      <c r="O1155" s="73"/>
      <c r="P1155" s="73"/>
      <c r="Q1155" s="73"/>
      <c r="R1155" s="73"/>
      <c r="S1155" s="73"/>
      <c r="T1155" s="73"/>
      <c r="U1155" s="73"/>
      <c r="V1155" s="73"/>
    </row>
    <row r="1156" spans="1:22" ht="14.25">
      <c r="A1156" s="73"/>
      <c r="B1156" s="78"/>
      <c r="C1156" s="79"/>
      <c r="D1156" s="76"/>
      <c r="E1156" s="99"/>
      <c r="F1156" s="71"/>
      <c r="G1156" s="71"/>
      <c r="H1156" s="71"/>
      <c r="I1156" s="99"/>
      <c r="J1156" s="99"/>
      <c r="K1156" s="99"/>
      <c r="L1156" s="73"/>
      <c r="M1156" s="73"/>
      <c r="N1156" s="73"/>
      <c r="O1156" s="73"/>
      <c r="P1156" s="73"/>
      <c r="Q1156" s="73"/>
      <c r="R1156" s="73"/>
      <c r="S1156" s="73"/>
      <c r="T1156" s="73"/>
      <c r="U1156" s="73"/>
      <c r="V1156" s="73"/>
    </row>
    <row r="1157" spans="1:22" ht="14.25">
      <c r="A1157" s="73"/>
      <c r="B1157" s="78"/>
      <c r="C1157" s="79"/>
      <c r="D1157" s="76"/>
      <c r="E1157" s="99"/>
      <c r="F1157" s="71"/>
      <c r="G1157" s="71"/>
      <c r="H1157" s="71"/>
      <c r="I1157" s="99"/>
      <c r="J1157" s="99"/>
      <c r="K1157" s="99"/>
      <c r="L1157" s="73"/>
      <c r="M1157" s="73"/>
      <c r="N1157" s="73"/>
      <c r="O1157" s="73"/>
      <c r="P1157" s="73"/>
      <c r="Q1157" s="73"/>
      <c r="R1157" s="73"/>
      <c r="S1157" s="73"/>
      <c r="T1157" s="73"/>
      <c r="U1157" s="73"/>
      <c r="V1157" s="73"/>
    </row>
    <row r="1158" spans="1:22" ht="14.25">
      <c r="A1158" s="73"/>
      <c r="B1158" s="78"/>
      <c r="C1158" s="79"/>
      <c r="D1158" s="76"/>
      <c r="E1158" s="99"/>
      <c r="F1158" s="71"/>
      <c r="G1158" s="71"/>
      <c r="H1158" s="71"/>
      <c r="I1158" s="99"/>
      <c r="J1158" s="99"/>
      <c r="K1158" s="99"/>
      <c r="L1158" s="73"/>
      <c r="M1158" s="73"/>
      <c r="N1158" s="73"/>
      <c r="O1158" s="73"/>
      <c r="P1158" s="73"/>
      <c r="Q1158" s="73"/>
      <c r="R1158" s="73"/>
      <c r="S1158" s="73"/>
      <c r="T1158" s="73"/>
      <c r="U1158" s="73"/>
      <c r="V1158" s="73"/>
    </row>
    <row r="1159" spans="1:22" ht="14.25">
      <c r="A1159" s="73"/>
      <c r="B1159" s="78"/>
      <c r="C1159" s="79"/>
      <c r="D1159" s="76"/>
      <c r="E1159" s="99"/>
      <c r="F1159" s="71"/>
      <c r="G1159" s="71"/>
      <c r="H1159" s="71"/>
      <c r="I1159" s="99"/>
      <c r="J1159" s="99"/>
      <c r="K1159" s="99"/>
      <c r="L1159" s="73"/>
      <c r="M1159" s="73"/>
      <c r="N1159" s="73"/>
      <c r="O1159" s="73"/>
      <c r="P1159" s="73"/>
      <c r="Q1159" s="73"/>
      <c r="R1159" s="73"/>
      <c r="S1159" s="73"/>
      <c r="T1159" s="73"/>
      <c r="U1159" s="73"/>
      <c r="V1159" s="73"/>
    </row>
    <row r="1160" spans="1:22" ht="14.25">
      <c r="A1160" s="73"/>
      <c r="B1160" s="78"/>
      <c r="C1160" s="79"/>
      <c r="D1160" s="76"/>
      <c r="E1160" s="99"/>
      <c r="F1160" s="71"/>
      <c r="G1160" s="71"/>
      <c r="H1160" s="71"/>
      <c r="I1160" s="99"/>
      <c r="J1160" s="99"/>
      <c r="K1160" s="99"/>
      <c r="L1160" s="73"/>
      <c r="M1160" s="73"/>
      <c r="N1160" s="73"/>
      <c r="O1160" s="73"/>
      <c r="P1160" s="73"/>
      <c r="Q1160" s="73"/>
      <c r="R1160" s="73"/>
      <c r="S1160" s="73"/>
      <c r="T1160" s="73"/>
      <c r="U1160" s="73"/>
      <c r="V1160" s="73"/>
    </row>
    <row r="1161" spans="1:22" ht="14.25">
      <c r="A1161" s="73"/>
      <c r="B1161" s="78"/>
      <c r="C1161" s="79"/>
      <c r="D1161" s="76"/>
      <c r="E1161" s="99"/>
      <c r="F1161" s="71"/>
      <c r="G1161" s="71"/>
      <c r="H1161" s="71"/>
      <c r="I1161" s="99"/>
      <c r="J1161" s="99"/>
      <c r="K1161" s="99"/>
      <c r="L1161" s="73"/>
      <c r="M1161" s="73"/>
      <c r="N1161" s="73"/>
      <c r="O1161" s="73"/>
      <c r="P1161" s="73"/>
      <c r="Q1161" s="73"/>
      <c r="R1161" s="73"/>
      <c r="S1161" s="73"/>
      <c r="T1161" s="73"/>
      <c r="U1161" s="73"/>
      <c r="V1161" s="73"/>
    </row>
    <row r="1162" spans="1:22" ht="14.25">
      <c r="A1162" s="73"/>
      <c r="B1162" s="78"/>
      <c r="C1162" s="79"/>
      <c r="D1162" s="76"/>
      <c r="E1162" s="99"/>
      <c r="F1162" s="71"/>
      <c r="G1162" s="71"/>
      <c r="H1162" s="71"/>
      <c r="I1162" s="99"/>
      <c r="J1162" s="99"/>
      <c r="K1162" s="99"/>
      <c r="L1162" s="73"/>
      <c r="M1162" s="73"/>
      <c r="N1162" s="73"/>
      <c r="O1162" s="73"/>
      <c r="P1162" s="73"/>
      <c r="Q1162" s="73"/>
      <c r="R1162" s="73"/>
      <c r="S1162" s="73"/>
      <c r="T1162" s="73"/>
      <c r="U1162" s="73"/>
      <c r="V1162" s="73"/>
    </row>
    <row r="1163" spans="1:22" ht="14.25">
      <c r="A1163" s="73"/>
      <c r="B1163" s="78"/>
      <c r="C1163" s="79"/>
      <c r="D1163" s="76"/>
      <c r="E1163" s="99"/>
      <c r="F1163" s="71"/>
      <c r="G1163" s="71"/>
      <c r="H1163" s="71"/>
      <c r="I1163" s="99"/>
      <c r="J1163" s="99"/>
      <c r="K1163" s="99"/>
      <c r="L1163" s="73"/>
      <c r="M1163" s="73"/>
      <c r="N1163" s="73"/>
      <c r="O1163" s="73"/>
      <c r="P1163" s="73"/>
      <c r="Q1163" s="73"/>
      <c r="R1163" s="73"/>
      <c r="S1163" s="73"/>
      <c r="T1163" s="73"/>
      <c r="U1163" s="73"/>
      <c r="V1163" s="73"/>
    </row>
    <row r="1164" spans="1:22" ht="14.25">
      <c r="A1164" s="73"/>
      <c r="B1164" s="78"/>
      <c r="C1164" s="79"/>
      <c r="D1164" s="76"/>
      <c r="E1164" s="99"/>
      <c r="F1164" s="71"/>
      <c r="G1164" s="71"/>
      <c r="H1164" s="71"/>
      <c r="I1164" s="99"/>
      <c r="J1164" s="99"/>
      <c r="K1164" s="99"/>
      <c r="L1164" s="73"/>
      <c r="M1164" s="73"/>
      <c r="N1164" s="73"/>
      <c r="O1164" s="73"/>
      <c r="P1164" s="73"/>
      <c r="Q1164" s="73"/>
      <c r="R1164" s="73"/>
      <c r="S1164" s="73"/>
      <c r="T1164" s="73"/>
      <c r="U1164" s="73"/>
      <c r="V1164" s="73"/>
    </row>
    <row r="1165" spans="1:22" ht="14.25">
      <c r="A1165" s="73"/>
      <c r="B1165" s="78"/>
      <c r="C1165" s="79"/>
      <c r="D1165" s="76"/>
      <c r="E1165" s="99"/>
      <c r="F1165" s="71"/>
      <c r="G1165" s="71"/>
      <c r="H1165" s="71"/>
      <c r="I1165" s="99"/>
      <c r="J1165" s="99"/>
      <c r="K1165" s="99"/>
      <c r="L1165" s="73"/>
      <c r="M1165" s="73"/>
      <c r="N1165" s="73"/>
      <c r="O1165" s="73"/>
      <c r="P1165" s="73"/>
      <c r="Q1165" s="73"/>
      <c r="R1165" s="73"/>
      <c r="S1165" s="73"/>
      <c r="T1165" s="73"/>
      <c r="U1165" s="73"/>
      <c r="V1165" s="73"/>
    </row>
    <row r="1166" spans="1:22" ht="14.25">
      <c r="A1166" s="73"/>
      <c r="B1166" s="78"/>
      <c r="C1166" s="79"/>
      <c r="D1166" s="76"/>
      <c r="E1166" s="99"/>
      <c r="F1166" s="71"/>
      <c r="G1166" s="71"/>
      <c r="H1166" s="71"/>
      <c r="I1166" s="99"/>
      <c r="J1166" s="99"/>
      <c r="K1166" s="99"/>
      <c r="L1166" s="73"/>
      <c r="M1166" s="73"/>
      <c r="N1166" s="73"/>
      <c r="O1166" s="73"/>
      <c r="P1166" s="73"/>
      <c r="Q1166" s="73"/>
      <c r="R1166" s="73"/>
      <c r="S1166" s="73"/>
      <c r="T1166" s="73"/>
      <c r="U1166" s="73"/>
      <c r="V1166" s="73"/>
    </row>
    <row r="1167" spans="1:22" ht="14.25">
      <c r="A1167" s="73"/>
      <c r="B1167" s="78"/>
      <c r="C1167" s="79"/>
      <c r="D1167" s="76"/>
      <c r="E1167" s="99"/>
      <c r="F1167" s="71"/>
      <c r="G1167" s="71"/>
      <c r="H1167" s="71"/>
      <c r="I1167" s="99"/>
      <c r="J1167" s="99"/>
      <c r="K1167" s="99"/>
      <c r="L1167" s="73"/>
      <c r="M1167" s="73"/>
      <c r="N1167" s="73"/>
      <c r="O1167" s="73"/>
      <c r="P1167" s="73"/>
      <c r="Q1167" s="73"/>
      <c r="R1167" s="73"/>
      <c r="S1167" s="73"/>
      <c r="T1167" s="73"/>
      <c r="U1167" s="73"/>
      <c r="V1167" s="73"/>
    </row>
    <row r="1168" spans="1:22" ht="14.25">
      <c r="A1168" s="73"/>
      <c r="B1168" s="78"/>
      <c r="C1168" s="79"/>
      <c r="D1168" s="76"/>
      <c r="E1168" s="99"/>
      <c r="F1168" s="71"/>
      <c r="G1168" s="71"/>
      <c r="H1168" s="71"/>
      <c r="I1168" s="99"/>
      <c r="J1168" s="99"/>
      <c r="K1168" s="99"/>
      <c r="L1168" s="73"/>
      <c r="M1168" s="73"/>
      <c r="N1168" s="73"/>
      <c r="O1168" s="73"/>
      <c r="P1168" s="73"/>
      <c r="Q1168" s="73"/>
      <c r="R1168" s="73"/>
      <c r="S1168" s="73"/>
      <c r="T1168" s="73"/>
      <c r="U1168" s="73"/>
      <c r="V1168" s="73"/>
    </row>
    <row r="1169" spans="1:22" ht="14.25">
      <c r="A1169" s="73"/>
      <c r="B1169" s="78"/>
      <c r="C1169" s="79"/>
      <c r="D1169" s="76"/>
      <c r="E1169" s="99"/>
      <c r="F1169" s="71"/>
      <c r="G1169" s="71"/>
      <c r="H1169" s="71"/>
      <c r="I1169" s="99"/>
      <c r="J1169" s="99"/>
      <c r="K1169" s="99"/>
      <c r="L1169" s="73"/>
      <c r="M1169" s="73"/>
      <c r="N1169" s="73"/>
      <c r="O1169" s="73"/>
      <c r="P1169" s="73"/>
      <c r="Q1169" s="73"/>
      <c r="R1169" s="73"/>
      <c r="S1169" s="73"/>
      <c r="T1169" s="73"/>
      <c r="U1169" s="73"/>
      <c r="V1169" s="73"/>
    </row>
    <row r="1170" spans="1:22" ht="14.25">
      <c r="A1170" s="73"/>
      <c r="B1170" s="78"/>
      <c r="C1170" s="79"/>
      <c r="D1170" s="76"/>
      <c r="E1170" s="99"/>
      <c r="F1170" s="71"/>
      <c r="G1170" s="71"/>
      <c r="H1170" s="71"/>
      <c r="I1170" s="99"/>
      <c r="J1170" s="99"/>
      <c r="K1170" s="99"/>
      <c r="L1170" s="73"/>
      <c r="M1170" s="73"/>
      <c r="N1170" s="73"/>
      <c r="O1170" s="73"/>
      <c r="P1170" s="73"/>
      <c r="Q1170" s="73"/>
      <c r="R1170" s="73"/>
      <c r="S1170" s="73"/>
      <c r="T1170" s="73"/>
      <c r="U1170" s="73"/>
      <c r="V1170" s="73"/>
    </row>
    <row r="1171" spans="1:22" ht="14.25">
      <c r="A1171" s="73"/>
      <c r="B1171" s="78"/>
      <c r="C1171" s="79"/>
      <c r="D1171" s="76"/>
      <c r="E1171" s="99"/>
      <c r="F1171" s="71"/>
      <c r="G1171" s="71"/>
      <c r="H1171" s="71"/>
      <c r="I1171" s="99"/>
      <c r="J1171" s="99"/>
      <c r="K1171" s="99"/>
      <c r="L1171" s="73"/>
      <c r="M1171" s="73"/>
      <c r="N1171" s="73"/>
      <c r="O1171" s="73"/>
      <c r="P1171" s="73"/>
      <c r="Q1171" s="73"/>
      <c r="R1171" s="73"/>
      <c r="S1171" s="73"/>
      <c r="T1171" s="73"/>
      <c r="U1171" s="73"/>
      <c r="V1171" s="73"/>
    </row>
    <row r="1172" spans="1:22" ht="14.25">
      <c r="A1172" s="73"/>
      <c r="B1172" s="78"/>
      <c r="C1172" s="79"/>
      <c r="D1172" s="76"/>
      <c r="E1172" s="99"/>
      <c r="F1172" s="71"/>
      <c r="G1172" s="71"/>
      <c r="H1172" s="71"/>
      <c r="I1172" s="99"/>
      <c r="J1172" s="99"/>
      <c r="K1172" s="99"/>
      <c r="L1172" s="73"/>
      <c r="M1172" s="73"/>
      <c r="N1172" s="73"/>
      <c r="O1172" s="73"/>
      <c r="P1172" s="73"/>
      <c r="Q1172" s="73"/>
      <c r="R1172" s="73"/>
      <c r="S1172" s="73"/>
      <c r="T1172" s="73"/>
      <c r="U1172" s="73"/>
      <c r="V1172" s="73"/>
    </row>
    <row r="1173" spans="1:22" ht="14.25">
      <c r="A1173" s="73"/>
      <c r="B1173" s="78"/>
      <c r="C1173" s="79"/>
      <c r="D1173" s="76"/>
      <c r="E1173" s="99"/>
      <c r="F1173" s="71"/>
      <c r="G1173" s="71"/>
      <c r="H1173" s="71"/>
      <c r="I1173" s="99"/>
      <c r="J1173" s="99"/>
      <c r="K1173" s="99"/>
      <c r="L1173" s="73"/>
      <c r="M1173" s="73"/>
      <c r="N1173" s="73"/>
      <c r="O1173" s="73"/>
      <c r="P1173" s="73"/>
      <c r="Q1173" s="73"/>
      <c r="R1173" s="73"/>
      <c r="S1173" s="73"/>
      <c r="T1173" s="73"/>
      <c r="U1173" s="73"/>
      <c r="V1173" s="73"/>
    </row>
    <row r="1174" spans="1:22" ht="14.25">
      <c r="A1174" s="73"/>
      <c r="B1174" s="78"/>
      <c r="C1174" s="79"/>
      <c r="D1174" s="76"/>
      <c r="E1174" s="99"/>
      <c r="F1174" s="71"/>
      <c r="G1174" s="71"/>
      <c r="H1174" s="71"/>
      <c r="I1174" s="99"/>
      <c r="J1174" s="99"/>
      <c r="K1174" s="99"/>
      <c r="L1174" s="73"/>
      <c r="M1174" s="73"/>
      <c r="N1174" s="73"/>
      <c r="O1174" s="73"/>
      <c r="P1174" s="73"/>
      <c r="Q1174" s="73"/>
      <c r="R1174" s="73"/>
      <c r="S1174" s="73"/>
      <c r="T1174" s="73"/>
      <c r="U1174" s="73"/>
      <c r="V1174" s="73"/>
    </row>
    <row r="1175" spans="1:22" ht="14.25">
      <c r="A1175" s="73"/>
      <c r="B1175" s="78"/>
      <c r="C1175" s="79"/>
      <c r="D1175" s="76"/>
      <c r="E1175" s="99"/>
      <c r="F1175" s="71"/>
      <c r="G1175" s="71"/>
      <c r="H1175" s="71"/>
      <c r="I1175" s="99"/>
      <c r="J1175" s="99"/>
      <c r="K1175" s="99"/>
      <c r="L1175" s="73"/>
      <c r="M1175" s="73"/>
      <c r="N1175" s="73"/>
      <c r="O1175" s="73"/>
      <c r="P1175" s="73"/>
      <c r="Q1175" s="73"/>
      <c r="R1175" s="73"/>
      <c r="S1175" s="73"/>
      <c r="T1175" s="73"/>
      <c r="U1175" s="73"/>
      <c r="V1175" s="73"/>
    </row>
    <row r="1176" spans="1:22" ht="14.25">
      <c r="A1176" s="73"/>
      <c r="B1176" s="78"/>
      <c r="C1176" s="79"/>
      <c r="D1176" s="76"/>
      <c r="E1176" s="99"/>
      <c r="F1176" s="71"/>
      <c r="G1176" s="71"/>
      <c r="H1176" s="71"/>
      <c r="I1176" s="99"/>
      <c r="J1176" s="99"/>
      <c r="K1176" s="99"/>
      <c r="L1176" s="73"/>
      <c r="M1176" s="73"/>
      <c r="N1176" s="73"/>
      <c r="O1176" s="73"/>
      <c r="P1176" s="73"/>
      <c r="Q1176" s="73"/>
      <c r="R1176" s="73"/>
      <c r="S1176" s="73"/>
      <c r="T1176" s="73"/>
      <c r="U1176" s="73"/>
      <c r="V1176" s="73"/>
    </row>
    <row r="1177" spans="1:22" ht="14.25">
      <c r="A1177" s="73"/>
      <c r="B1177" s="78"/>
      <c r="C1177" s="79"/>
      <c r="D1177" s="76"/>
      <c r="E1177" s="99"/>
      <c r="F1177" s="71"/>
      <c r="G1177" s="71"/>
      <c r="H1177" s="71"/>
      <c r="I1177" s="99"/>
      <c r="J1177" s="99"/>
      <c r="K1177" s="99"/>
      <c r="L1177" s="73"/>
      <c r="M1177" s="73"/>
      <c r="N1177" s="73"/>
      <c r="O1177" s="73"/>
      <c r="P1177" s="73"/>
      <c r="Q1177" s="73"/>
      <c r="R1177" s="73"/>
      <c r="S1177" s="73"/>
      <c r="T1177" s="73"/>
      <c r="U1177" s="73"/>
      <c r="V1177" s="73"/>
    </row>
    <row r="1178" spans="1:22" ht="14.25">
      <c r="A1178" s="73"/>
      <c r="B1178" s="78"/>
      <c r="C1178" s="79"/>
      <c r="D1178" s="76"/>
      <c r="E1178" s="99"/>
      <c r="F1178" s="71"/>
      <c r="G1178" s="71"/>
      <c r="H1178" s="71"/>
      <c r="I1178" s="99"/>
      <c r="J1178" s="99"/>
      <c r="K1178" s="99"/>
      <c r="L1178" s="73"/>
      <c r="M1178" s="73"/>
      <c r="N1178" s="73"/>
      <c r="O1178" s="73"/>
      <c r="P1178" s="73"/>
      <c r="Q1178" s="73"/>
      <c r="R1178" s="73"/>
      <c r="S1178" s="73"/>
      <c r="T1178" s="73"/>
      <c r="U1178" s="73"/>
      <c r="V1178" s="73"/>
    </row>
    <row r="1179" spans="1:22" ht="14.25">
      <c r="A1179" s="73"/>
      <c r="B1179" s="78"/>
      <c r="C1179" s="79"/>
      <c r="D1179" s="76"/>
      <c r="E1179" s="99"/>
      <c r="F1179" s="71"/>
      <c r="G1179" s="71"/>
      <c r="H1179" s="71"/>
      <c r="I1179" s="99"/>
      <c r="J1179" s="99"/>
      <c r="K1179" s="99"/>
      <c r="L1179" s="73"/>
      <c r="M1179" s="73"/>
      <c r="N1179" s="73"/>
      <c r="O1179" s="73"/>
      <c r="P1179" s="73"/>
      <c r="Q1179" s="73"/>
      <c r="R1179" s="73"/>
      <c r="S1179" s="73"/>
      <c r="T1179" s="73"/>
      <c r="U1179" s="73"/>
      <c r="V1179" s="73"/>
    </row>
    <row r="1180" spans="1:22" ht="14.25">
      <c r="A1180" s="73"/>
      <c r="B1180" s="78"/>
      <c r="C1180" s="79"/>
      <c r="D1180" s="76"/>
      <c r="E1180" s="99"/>
      <c r="F1180" s="71"/>
      <c r="G1180" s="71"/>
      <c r="H1180" s="71"/>
      <c r="I1180" s="99"/>
      <c r="J1180" s="99"/>
      <c r="K1180" s="99"/>
      <c r="L1180" s="73"/>
      <c r="M1180" s="73"/>
      <c r="N1180" s="73"/>
      <c r="O1180" s="73"/>
      <c r="P1180" s="73"/>
      <c r="Q1180" s="73"/>
      <c r="R1180" s="73"/>
      <c r="S1180" s="73"/>
      <c r="T1180" s="73"/>
      <c r="U1180" s="73"/>
      <c r="V1180" s="73"/>
    </row>
    <row r="1181" spans="1:22" ht="14.25">
      <c r="A1181" s="73"/>
      <c r="B1181" s="78"/>
      <c r="C1181" s="79"/>
      <c r="D1181" s="76"/>
      <c r="E1181" s="99"/>
      <c r="F1181" s="71"/>
      <c r="G1181" s="71"/>
      <c r="H1181" s="71"/>
      <c r="I1181" s="99"/>
      <c r="J1181" s="99"/>
      <c r="K1181" s="99"/>
      <c r="L1181" s="73"/>
      <c r="M1181" s="73"/>
      <c r="N1181" s="73"/>
      <c r="O1181" s="73"/>
      <c r="P1181" s="73"/>
      <c r="Q1181" s="73"/>
      <c r="R1181" s="73"/>
      <c r="S1181" s="73"/>
      <c r="T1181" s="73"/>
      <c r="U1181" s="73"/>
      <c r="V1181" s="73"/>
    </row>
    <row r="1182" spans="1:22" ht="14.25">
      <c r="A1182" s="73"/>
      <c r="B1182" s="78"/>
      <c r="C1182" s="79"/>
      <c r="D1182" s="76"/>
      <c r="E1182" s="99"/>
      <c r="F1182" s="71"/>
      <c r="G1182" s="71"/>
      <c r="H1182" s="71"/>
      <c r="I1182" s="99"/>
      <c r="J1182" s="99"/>
      <c r="K1182" s="99"/>
      <c r="L1182" s="73"/>
      <c r="M1182" s="73"/>
      <c r="N1182" s="73"/>
      <c r="O1182" s="73"/>
      <c r="P1182" s="73"/>
      <c r="Q1182" s="73"/>
      <c r="R1182" s="73"/>
      <c r="S1182" s="73"/>
      <c r="T1182" s="73"/>
      <c r="U1182" s="73"/>
      <c r="V1182" s="73"/>
    </row>
    <row r="1183" spans="1:22" ht="14.25">
      <c r="A1183" s="73"/>
      <c r="B1183" s="78"/>
      <c r="C1183" s="79"/>
      <c r="D1183" s="76"/>
      <c r="E1183" s="99"/>
      <c r="F1183" s="71"/>
      <c r="G1183" s="71"/>
      <c r="H1183" s="71"/>
      <c r="I1183" s="99"/>
      <c r="J1183" s="99"/>
      <c r="K1183" s="99"/>
      <c r="L1183" s="73"/>
      <c r="M1183" s="73"/>
      <c r="N1183" s="73"/>
      <c r="O1183" s="73"/>
      <c r="P1183" s="73"/>
      <c r="Q1183" s="73"/>
      <c r="R1183" s="73"/>
      <c r="S1183" s="73"/>
      <c r="T1183" s="73"/>
      <c r="U1183" s="73"/>
      <c r="V1183" s="73"/>
    </row>
    <row r="1184" spans="1:22" ht="14.25">
      <c r="A1184" s="73"/>
      <c r="B1184" s="78"/>
      <c r="C1184" s="79"/>
      <c r="D1184" s="76"/>
      <c r="E1184" s="99"/>
      <c r="F1184" s="71"/>
      <c r="G1184" s="71"/>
      <c r="H1184" s="71"/>
      <c r="I1184" s="99"/>
      <c r="J1184" s="99"/>
      <c r="K1184" s="99"/>
      <c r="L1184" s="73"/>
      <c r="M1184" s="73"/>
      <c r="N1184" s="73"/>
      <c r="O1184" s="73"/>
      <c r="P1184" s="73"/>
      <c r="Q1184" s="73"/>
      <c r="R1184" s="73"/>
      <c r="S1184" s="73"/>
      <c r="T1184" s="73"/>
      <c r="U1184" s="73"/>
      <c r="V1184" s="73"/>
    </row>
    <row r="1185" spans="1:22" ht="14.25">
      <c r="A1185" s="73"/>
      <c r="B1185" s="78"/>
      <c r="C1185" s="79"/>
      <c r="D1185" s="76"/>
      <c r="E1185" s="99"/>
      <c r="F1185" s="71"/>
      <c r="G1185" s="71"/>
      <c r="H1185" s="71"/>
      <c r="I1185" s="99"/>
      <c r="J1185" s="99"/>
      <c r="K1185" s="99"/>
      <c r="L1185" s="73"/>
      <c r="M1185" s="73"/>
      <c r="N1185" s="73"/>
      <c r="O1185" s="73"/>
      <c r="P1185" s="73"/>
      <c r="Q1185" s="73"/>
      <c r="R1185" s="73"/>
      <c r="S1185" s="73"/>
      <c r="T1185" s="73"/>
      <c r="U1185" s="73"/>
      <c r="V1185" s="73"/>
    </row>
    <row r="1186" spans="1:22" ht="14.25">
      <c r="A1186" s="73"/>
      <c r="B1186" s="78"/>
      <c r="C1186" s="79"/>
      <c r="D1186" s="76"/>
      <c r="E1186" s="99"/>
      <c r="F1186" s="71"/>
      <c r="G1186" s="71"/>
      <c r="H1186" s="71"/>
      <c r="I1186" s="99"/>
      <c r="J1186" s="99"/>
      <c r="K1186" s="99"/>
      <c r="L1186" s="73"/>
      <c r="M1186" s="73"/>
      <c r="N1186" s="73"/>
      <c r="O1186" s="73"/>
      <c r="P1186" s="73"/>
      <c r="Q1186" s="73"/>
      <c r="R1186" s="73"/>
      <c r="S1186" s="73"/>
      <c r="T1186" s="73"/>
      <c r="U1186" s="73"/>
      <c r="V1186" s="73"/>
    </row>
    <row r="1187" spans="1:22" ht="14.25">
      <c r="A1187" s="73"/>
      <c r="B1187" s="78"/>
      <c r="C1187" s="79"/>
      <c r="D1187" s="76"/>
      <c r="E1187" s="99"/>
      <c r="F1187" s="71"/>
      <c r="G1187" s="71"/>
      <c r="H1187" s="71"/>
      <c r="I1187" s="99"/>
      <c r="J1187" s="99"/>
      <c r="K1187" s="99"/>
      <c r="L1187" s="73"/>
      <c r="M1187" s="73"/>
      <c r="N1187" s="73"/>
      <c r="O1187" s="73"/>
      <c r="P1187" s="73"/>
      <c r="Q1187" s="73"/>
      <c r="R1187" s="73"/>
      <c r="S1187" s="73"/>
      <c r="T1187" s="73"/>
      <c r="U1187" s="73"/>
      <c r="V1187" s="73"/>
    </row>
    <row r="1188" spans="1:22" ht="14.25">
      <c r="A1188" s="73"/>
      <c r="B1188" s="78"/>
      <c r="C1188" s="79"/>
      <c r="D1188" s="76"/>
      <c r="E1188" s="99"/>
      <c r="F1188" s="71"/>
      <c r="G1188" s="71"/>
      <c r="H1188" s="71"/>
      <c r="I1188" s="99"/>
      <c r="J1188" s="99"/>
      <c r="K1188" s="99"/>
      <c r="L1188" s="73"/>
      <c r="M1188" s="73"/>
      <c r="N1188" s="73"/>
      <c r="O1188" s="73"/>
      <c r="P1188" s="73"/>
      <c r="Q1188" s="73"/>
      <c r="R1188" s="73"/>
      <c r="S1188" s="73"/>
      <c r="T1188" s="73"/>
      <c r="U1188" s="73"/>
      <c r="V1188" s="73"/>
    </row>
    <row r="1189" spans="1:22" ht="14.25">
      <c r="A1189" s="73"/>
      <c r="B1189" s="78"/>
      <c r="C1189" s="79"/>
      <c r="D1189" s="76"/>
      <c r="E1189" s="99"/>
      <c r="F1189" s="71"/>
      <c r="G1189" s="71"/>
      <c r="H1189" s="71"/>
      <c r="I1189" s="99"/>
      <c r="J1189" s="99"/>
      <c r="K1189" s="99"/>
      <c r="L1189" s="73"/>
      <c r="M1189" s="73"/>
      <c r="N1189" s="73"/>
      <c r="O1189" s="73"/>
      <c r="P1189" s="73"/>
      <c r="Q1189" s="73"/>
      <c r="R1189" s="73"/>
      <c r="S1189" s="73"/>
      <c r="T1189" s="73"/>
      <c r="U1189" s="73"/>
      <c r="V1189" s="73"/>
    </row>
    <row r="1190" spans="1:22" ht="14.25">
      <c r="A1190" s="73"/>
      <c r="B1190" s="78"/>
      <c r="C1190" s="79"/>
      <c r="D1190" s="76"/>
      <c r="E1190" s="99"/>
      <c r="F1190" s="71"/>
      <c r="G1190" s="71"/>
      <c r="H1190" s="71"/>
      <c r="I1190" s="99"/>
      <c r="J1190" s="99"/>
      <c r="K1190" s="99"/>
      <c r="L1190" s="73"/>
      <c r="M1190" s="73"/>
      <c r="N1190" s="73"/>
      <c r="O1190" s="73"/>
      <c r="P1190" s="73"/>
      <c r="Q1190" s="73"/>
      <c r="R1190" s="73"/>
      <c r="S1190" s="73"/>
      <c r="T1190" s="73"/>
      <c r="U1190" s="73"/>
      <c r="V1190" s="73"/>
    </row>
    <row r="1191" spans="1:22" ht="14.25">
      <c r="A1191" s="73"/>
      <c r="B1191" s="78"/>
      <c r="C1191" s="79"/>
      <c r="D1191" s="76"/>
      <c r="E1191" s="99"/>
      <c r="F1191" s="71"/>
      <c r="G1191" s="71"/>
      <c r="H1191" s="71"/>
      <c r="I1191" s="99"/>
      <c r="J1191" s="99"/>
      <c r="K1191" s="99"/>
      <c r="L1191" s="73"/>
      <c r="M1191" s="73"/>
      <c r="N1191" s="73"/>
      <c r="O1191" s="73"/>
      <c r="P1191" s="73"/>
      <c r="Q1191" s="73"/>
      <c r="R1191" s="73"/>
      <c r="S1191" s="73"/>
      <c r="T1191" s="73"/>
      <c r="U1191" s="73"/>
      <c r="V1191" s="73"/>
    </row>
    <row r="1192" spans="1:22" ht="14.25">
      <c r="A1192" s="73"/>
      <c r="B1192" s="78"/>
      <c r="C1192" s="79"/>
      <c r="D1192" s="76"/>
      <c r="E1192" s="99"/>
      <c r="F1192" s="71"/>
      <c r="G1192" s="71"/>
      <c r="H1192" s="71"/>
      <c r="I1192" s="99"/>
      <c r="J1192" s="99"/>
      <c r="K1192" s="99"/>
      <c r="L1192" s="73"/>
      <c r="M1192" s="73"/>
      <c r="N1192" s="73"/>
      <c r="O1192" s="73"/>
      <c r="P1192" s="73"/>
      <c r="Q1192" s="73"/>
      <c r="R1192" s="73"/>
      <c r="S1192" s="73"/>
      <c r="T1192" s="73"/>
      <c r="U1192" s="73"/>
      <c r="V1192" s="73"/>
    </row>
    <row r="1193" spans="1:22" ht="14.25">
      <c r="A1193" s="73"/>
      <c r="B1193" s="78"/>
      <c r="C1193" s="79"/>
      <c r="D1193" s="76"/>
      <c r="E1193" s="99"/>
      <c r="F1193" s="71"/>
      <c r="G1193" s="71"/>
      <c r="H1193" s="71"/>
      <c r="I1193" s="99"/>
      <c r="J1193" s="99"/>
      <c r="K1193" s="99"/>
      <c r="L1193" s="73"/>
      <c r="M1193" s="73"/>
      <c r="N1193" s="73"/>
      <c r="O1193" s="73"/>
      <c r="P1193" s="73"/>
      <c r="Q1193" s="73"/>
      <c r="R1193" s="73"/>
      <c r="S1193" s="73"/>
      <c r="T1193" s="73"/>
      <c r="U1193" s="73"/>
      <c r="V1193" s="73"/>
    </row>
    <row r="1194" spans="1:22" ht="14.25">
      <c r="A1194" s="73"/>
      <c r="B1194" s="78"/>
      <c r="C1194" s="79"/>
      <c r="D1194" s="76"/>
      <c r="E1194" s="99"/>
      <c r="F1194" s="71"/>
      <c r="G1194" s="71"/>
      <c r="H1194" s="71"/>
      <c r="I1194" s="99"/>
      <c r="J1194" s="99"/>
      <c r="K1194" s="99"/>
      <c r="L1194" s="73"/>
      <c r="M1194" s="73"/>
      <c r="N1194" s="73"/>
      <c r="O1194" s="73"/>
      <c r="P1194" s="73"/>
      <c r="Q1194" s="73"/>
      <c r="R1194" s="73"/>
      <c r="S1194" s="73"/>
      <c r="T1194" s="73"/>
      <c r="U1194" s="73"/>
      <c r="V1194" s="73"/>
    </row>
    <row r="1195" spans="1:22" ht="14.25">
      <c r="A1195" s="73"/>
      <c r="B1195" s="78"/>
      <c r="C1195" s="79"/>
      <c r="D1195" s="76"/>
      <c r="E1195" s="99"/>
      <c r="F1195" s="71"/>
      <c r="G1195" s="71"/>
      <c r="H1195" s="71"/>
      <c r="I1195" s="99"/>
      <c r="J1195" s="99"/>
      <c r="K1195" s="99"/>
      <c r="L1195" s="73"/>
      <c r="M1195" s="73"/>
      <c r="N1195" s="73"/>
      <c r="O1195" s="73"/>
      <c r="P1195" s="73"/>
      <c r="Q1195" s="73"/>
      <c r="R1195" s="73"/>
      <c r="S1195" s="73"/>
      <c r="T1195" s="73"/>
      <c r="U1195" s="73"/>
      <c r="V1195" s="73"/>
    </row>
    <row r="1196" spans="1:22" ht="14.25">
      <c r="A1196" s="73"/>
      <c r="B1196" s="78"/>
      <c r="C1196" s="79"/>
      <c r="D1196" s="76"/>
      <c r="E1196" s="99"/>
      <c r="F1196" s="71"/>
      <c r="G1196" s="71"/>
      <c r="H1196" s="71"/>
      <c r="I1196" s="99"/>
      <c r="J1196" s="99"/>
      <c r="K1196" s="99"/>
      <c r="L1196" s="73"/>
      <c r="M1196" s="73"/>
      <c r="N1196" s="73"/>
      <c r="O1196" s="73"/>
      <c r="P1196" s="73"/>
      <c r="Q1196" s="73"/>
      <c r="R1196" s="73"/>
      <c r="S1196" s="73"/>
      <c r="T1196" s="73"/>
      <c r="U1196" s="73"/>
      <c r="V1196" s="73"/>
    </row>
    <row r="1197" spans="1:22" ht="14.25">
      <c r="A1197" s="73"/>
      <c r="B1197" s="78"/>
      <c r="C1197" s="79"/>
      <c r="D1197" s="76"/>
      <c r="E1197" s="99"/>
      <c r="F1197" s="71"/>
      <c r="G1197" s="71"/>
      <c r="H1197" s="71"/>
      <c r="I1197" s="99"/>
      <c r="J1197" s="99"/>
      <c r="K1197" s="99"/>
      <c r="L1197" s="73"/>
      <c r="M1197" s="73"/>
      <c r="N1197" s="73"/>
      <c r="O1197" s="73"/>
      <c r="P1197" s="73"/>
      <c r="Q1197" s="73"/>
      <c r="R1197" s="73"/>
      <c r="S1197" s="73"/>
      <c r="T1197" s="73"/>
      <c r="U1197" s="73"/>
      <c r="V1197" s="73"/>
    </row>
    <row r="1198" spans="1:22" ht="14.25">
      <c r="A1198" s="73"/>
      <c r="B1198" s="78"/>
      <c r="C1198" s="79"/>
      <c r="D1198" s="76"/>
      <c r="E1198" s="99"/>
      <c r="F1198" s="71"/>
      <c r="G1198" s="71"/>
      <c r="H1198" s="71"/>
      <c r="I1198" s="99"/>
      <c r="J1198" s="99"/>
      <c r="K1198" s="99"/>
      <c r="L1198" s="73"/>
      <c r="M1198" s="73"/>
      <c r="N1198" s="73"/>
      <c r="O1198" s="73"/>
      <c r="P1198" s="73"/>
      <c r="Q1198" s="73"/>
      <c r="R1198" s="73"/>
      <c r="S1198" s="73"/>
      <c r="T1198" s="73"/>
      <c r="U1198" s="73"/>
      <c r="V1198" s="73"/>
    </row>
    <row r="1199" spans="1:22" ht="14.25">
      <c r="A1199" s="73"/>
      <c r="B1199" s="78"/>
      <c r="C1199" s="79"/>
      <c r="D1199" s="76"/>
      <c r="E1199" s="99"/>
      <c r="F1199" s="71"/>
      <c r="G1199" s="71"/>
      <c r="H1199" s="71"/>
      <c r="I1199" s="99"/>
      <c r="J1199" s="99"/>
      <c r="K1199" s="99"/>
      <c r="L1199" s="73"/>
      <c r="M1199" s="73"/>
      <c r="N1199" s="73"/>
      <c r="O1199" s="73"/>
      <c r="P1199" s="73"/>
      <c r="Q1199" s="73"/>
      <c r="R1199" s="73"/>
      <c r="S1199" s="73"/>
      <c r="T1199" s="73"/>
      <c r="U1199" s="73"/>
      <c r="V1199" s="73"/>
    </row>
    <row r="1200" spans="1:22" ht="14.25">
      <c r="A1200" s="73"/>
      <c r="B1200" s="78"/>
      <c r="C1200" s="79"/>
      <c r="D1200" s="76"/>
      <c r="E1200" s="99"/>
      <c r="F1200" s="71"/>
      <c r="G1200" s="71"/>
      <c r="H1200" s="71"/>
      <c r="I1200" s="99"/>
      <c r="J1200" s="99"/>
      <c r="K1200" s="99"/>
      <c r="L1200" s="73"/>
      <c r="M1200" s="73"/>
      <c r="N1200" s="73"/>
      <c r="O1200" s="73"/>
      <c r="P1200" s="73"/>
      <c r="Q1200" s="73"/>
      <c r="R1200" s="73"/>
      <c r="S1200" s="73"/>
      <c r="T1200" s="73"/>
      <c r="U1200" s="73"/>
      <c r="V1200" s="73"/>
    </row>
    <row r="1201" spans="1:22" ht="14.25">
      <c r="A1201" s="73"/>
      <c r="B1201" s="78"/>
      <c r="C1201" s="79"/>
      <c r="D1201" s="76"/>
      <c r="E1201" s="99"/>
      <c r="F1201" s="71"/>
      <c r="G1201" s="71"/>
      <c r="H1201" s="71"/>
      <c r="I1201" s="99"/>
      <c r="J1201" s="99"/>
      <c r="K1201" s="99"/>
      <c r="L1201" s="73"/>
      <c r="M1201" s="73"/>
      <c r="N1201" s="73"/>
      <c r="O1201" s="73"/>
      <c r="P1201" s="73"/>
      <c r="Q1201" s="73"/>
      <c r="R1201" s="73"/>
      <c r="S1201" s="73"/>
      <c r="T1201" s="73"/>
      <c r="U1201" s="73"/>
      <c r="V1201" s="73"/>
    </row>
    <row r="1202" spans="1:22" ht="14.25">
      <c r="A1202" s="73"/>
      <c r="B1202" s="78"/>
      <c r="C1202" s="79"/>
      <c r="D1202" s="76"/>
      <c r="E1202" s="99"/>
      <c r="F1202" s="71"/>
      <c r="G1202" s="71"/>
      <c r="H1202" s="71"/>
      <c r="I1202" s="99"/>
      <c r="J1202" s="99"/>
      <c r="K1202" s="99"/>
      <c r="L1202" s="73"/>
      <c r="M1202" s="73"/>
      <c r="N1202" s="73"/>
      <c r="O1202" s="73"/>
      <c r="P1202" s="73"/>
      <c r="Q1202" s="73"/>
      <c r="R1202" s="73"/>
      <c r="S1202" s="73"/>
      <c r="T1202" s="73"/>
      <c r="U1202" s="73"/>
      <c r="V1202" s="73"/>
    </row>
    <row r="1203" spans="1:22" ht="14.25">
      <c r="A1203" s="73"/>
      <c r="B1203" s="78"/>
      <c r="C1203" s="79"/>
      <c r="D1203" s="76"/>
      <c r="E1203" s="99"/>
      <c r="F1203" s="71"/>
      <c r="G1203" s="71"/>
      <c r="H1203" s="71"/>
      <c r="I1203" s="99"/>
      <c r="J1203" s="99"/>
      <c r="K1203" s="99"/>
      <c r="L1203" s="73"/>
      <c r="M1203" s="73"/>
      <c r="N1203" s="73"/>
      <c r="O1203" s="73"/>
      <c r="P1203" s="73"/>
      <c r="Q1203" s="73"/>
      <c r="R1203" s="73"/>
      <c r="S1203" s="73"/>
      <c r="T1203" s="73"/>
      <c r="U1203" s="73"/>
      <c r="V1203" s="73"/>
    </row>
    <row r="1204" spans="1:22" ht="14.25">
      <c r="A1204" s="73"/>
      <c r="B1204" s="78"/>
      <c r="C1204" s="79"/>
      <c r="D1204" s="76"/>
      <c r="E1204" s="99"/>
      <c r="F1204" s="71"/>
      <c r="G1204" s="71"/>
      <c r="H1204" s="71"/>
      <c r="I1204" s="99"/>
      <c r="J1204" s="99"/>
      <c r="K1204" s="99"/>
      <c r="L1204" s="73"/>
      <c r="M1204" s="73"/>
      <c r="N1204" s="73"/>
      <c r="O1204" s="73"/>
      <c r="P1204" s="73"/>
      <c r="Q1204" s="73"/>
      <c r="R1204" s="73"/>
      <c r="S1204" s="73"/>
      <c r="T1204" s="73"/>
      <c r="U1204" s="73"/>
      <c r="V1204" s="73"/>
    </row>
    <row r="1205" spans="1:22" ht="14.25">
      <c r="A1205" s="73"/>
      <c r="B1205" s="78"/>
      <c r="C1205" s="79"/>
      <c r="D1205" s="76"/>
      <c r="E1205" s="99"/>
      <c r="F1205" s="71"/>
      <c r="G1205" s="71"/>
      <c r="H1205" s="71"/>
      <c r="I1205" s="99"/>
      <c r="J1205" s="99"/>
      <c r="K1205" s="99"/>
      <c r="L1205" s="73"/>
      <c r="M1205" s="73"/>
      <c r="N1205" s="73"/>
      <c r="O1205" s="73"/>
      <c r="P1205" s="73"/>
      <c r="Q1205" s="73"/>
      <c r="R1205" s="73"/>
      <c r="S1205" s="73"/>
      <c r="T1205" s="73"/>
      <c r="U1205" s="73"/>
      <c r="V1205" s="73"/>
    </row>
    <row r="1206" spans="1:22" ht="14.25">
      <c r="A1206" s="73"/>
      <c r="B1206" s="78"/>
      <c r="C1206" s="79"/>
      <c r="D1206" s="76"/>
      <c r="E1206" s="99"/>
      <c r="F1206" s="71"/>
      <c r="G1206" s="71"/>
      <c r="H1206" s="71"/>
      <c r="I1206" s="99"/>
      <c r="J1206" s="99"/>
      <c r="K1206" s="99"/>
      <c r="L1206" s="73"/>
      <c r="M1206" s="73"/>
      <c r="N1206" s="73"/>
      <c r="O1206" s="73"/>
      <c r="P1206" s="73"/>
      <c r="Q1206" s="73"/>
      <c r="R1206" s="73"/>
      <c r="S1206" s="73"/>
      <c r="T1206" s="73"/>
      <c r="U1206" s="73"/>
      <c r="V1206" s="73"/>
    </row>
    <row r="1207" spans="1:22" ht="14.25">
      <c r="A1207" s="73"/>
      <c r="B1207" s="78"/>
      <c r="C1207" s="79"/>
      <c r="D1207" s="76"/>
      <c r="E1207" s="99"/>
      <c r="F1207" s="71"/>
      <c r="G1207" s="71"/>
      <c r="H1207" s="71"/>
      <c r="I1207" s="99"/>
      <c r="J1207" s="99"/>
      <c r="K1207" s="99"/>
      <c r="L1207" s="73"/>
      <c r="M1207" s="73"/>
      <c r="N1207" s="73"/>
      <c r="O1207" s="73"/>
      <c r="P1207" s="73"/>
      <c r="Q1207" s="73"/>
      <c r="R1207" s="73"/>
      <c r="S1207" s="73"/>
      <c r="T1207" s="73"/>
      <c r="U1207" s="73"/>
      <c r="V1207" s="73"/>
    </row>
    <row r="1208" spans="1:22" ht="14.25">
      <c r="A1208" s="73"/>
      <c r="B1208" s="78"/>
      <c r="C1208" s="79"/>
      <c r="D1208" s="76"/>
      <c r="E1208" s="99"/>
      <c r="F1208" s="71"/>
      <c r="G1208" s="71"/>
      <c r="H1208" s="71"/>
      <c r="I1208" s="99"/>
      <c r="J1208" s="99"/>
      <c r="K1208" s="99"/>
      <c r="L1208" s="73"/>
      <c r="M1208" s="73"/>
      <c r="N1208" s="73"/>
      <c r="O1208" s="73"/>
      <c r="P1208" s="73"/>
      <c r="Q1208" s="73"/>
      <c r="R1208" s="73"/>
      <c r="S1208" s="73"/>
      <c r="T1208" s="73"/>
      <c r="U1208" s="73"/>
      <c r="V1208" s="73"/>
    </row>
    <row r="1209" spans="1:22" ht="14.25">
      <c r="A1209" s="73"/>
      <c r="B1209" s="78"/>
      <c r="C1209" s="79"/>
      <c r="D1209" s="76"/>
      <c r="E1209" s="99"/>
      <c r="F1209" s="71"/>
      <c r="G1209" s="71"/>
      <c r="H1209" s="71"/>
      <c r="I1209" s="99"/>
      <c r="J1209" s="99"/>
      <c r="K1209" s="99"/>
      <c r="L1209" s="73"/>
      <c r="M1209" s="73"/>
      <c r="N1209" s="73"/>
      <c r="O1209" s="73"/>
      <c r="P1209" s="73"/>
      <c r="Q1209" s="73"/>
      <c r="R1209" s="73"/>
      <c r="S1209" s="73"/>
      <c r="T1209" s="73"/>
      <c r="U1209" s="73"/>
      <c r="V1209" s="73"/>
    </row>
    <row r="1210" spans="1:22" ht="14.25">
      <c r="A1210" s="73"/>
      <c r="B1210" s="78"/>
      <c r="C1210" s="79"/>
      <c r="D1210" s="76"/>
      <c r="E1210" s="99"/>
      <c r="F1210" s="71"/>
      <c r="G1210" s="71"/>
      <c r="H1210" s="71"/>
      <c r="I1210" s="99"/>
      <c r="J1210" s="99"/>
      <c r="K1210" s="99"/>
      <c r="L1210" s="73"/>
      <c r="M1210" s="73"/>
      <c r="N1210" s="73"/>
      <c r="O1210" s="73"/>
      <c r="P1210" s="73"/>
      <c r="Q1210" s="73"/>
      <c r="R1210" s="73"/>
      <c r="S1210" s="73"/>
      <c r="T1210" s="73"/>
      <c r="U1210" s="73"/>
      <c r="V1210" s="73"/>
    </row>
    <row r="1211" spans="1:22" ht="14.25">
      <c r="A1211" s="73"/>
      <c r="B1211" s="78"/>
      <c r="C1211" s="79"/>
      <c r="D1211" s="76"/>
      <c r="E1211" s="99"/>
      <c r="F1211" s="71"/>
      <c r="G1211" s="71"/>
      <c r="H1211" s="71"/>
      <c r="I1211" s="99"/>
      <c r="J1211" s="99"/>
      <c r="K1211" s="99"/>
      <c r="L1211" s="73"/>
      <c r="M1211" s="73"/>
      <c r="N1211" s="73"/>
      <c r="O1211" s="73"/>
      <c r="P1211" s="73"/>
      <c r="Q1211" s="73"/>
      <c r="R1211" s="73"/>
      <c r="S1211" s="73"/>
      <c r="T1211" s="73"/>
      <c r="U1211" s="73"/>
      <c r="V1211" s="73"/>
    </row>
    <row r="1212" spans="1:22" ht="14.25">
      <c r="A1212" s="73"/>
      <c r="B1212" s="78"/>
      <c r="C1212" s="79"/>
      <c r="D1212" s="76"/>
      <c r="E1212" s="99"/>
      <c r="F1212" s="71"/>
      <c r="G1212" s="71"/>
      <c r="H1212" s="71"/>
      <c r="I1212" s="99"/>
      <c r="J1212" s="99"/>
      <c r="K1212" s="99"/>
      <c r="L1212" s="73"/>
      <c r="M1212" s="73"/>
      <c r="N1212" s="73"/>
      <c r="O1212" s="73"/>
      <c r="P1212" s="73"/>
      <c r="Q1212" s="73"/>
      <c r="R1212" s="73"/>
      <c r="S1212" s="73"/>
      <c r="T1212" s="73"/>
      <c r="U1212" s="73"/>
      <c r="V1212" s="73"/>
    </row>
    <row r="1213" spans="1:22" ht="14.25">
      <c r="A1213" s="73"/>
      <c r="B1213" s="78"/>
      <c r="C1213" s="79"/>
      <c r="D1213" s="76"/>
      <c r="E1213" s="99"/>
      <c r="F1213" s="71"/>
      <c r="G1213" s="71"/>
      <c r="H1213" s="71"/>
      <c r="I1213" s="99"/>
      <c r="J1213" s="99"/>
      <c r="K1213" s="99"/>
      <c r="L1213" s="73"/>
      <c r="M1213" s="73"/>
      <c r="N1213" s="73"/>
      <c r="O1213" s="73"/>
      <c r="P1213" s="73"/>
      <c r="Q1213" s="73"/>
      <c r="R1213" s="73"/>
      <c r="S1213" s="73"/>
      <c r="T1213" s="73"/>
      <c r="U1213" s="73"/>
      <c r="V1213" s="73"/>
    </row>
    <row r="1214" spans="1:22" ht="14.25">
      <c r="A1214" s="73"/>
      <c r="B1214" s="78"/>
      <c r="C1214" s="79"/>
      <c r="D1214" s="76"/>
      <c r="E1214" s="99"/>
      <c r="F1214" s="71"/>
      <c r="G1214" s="71"/>
      <c r="H1214" s="71"/>
      <c r="I1214" s="99"/>
      <c r="J1214" s="99"/>
      <c r="K1214" s="99"/>
      <c r="L1214" s="73"/>
      <c r="M1214" s="73"/>
      <c r="N1214" s="73"/>
      <c r="O1214" s="73"/>
      <c r="P1214" s="73"/>
      <c r="Q1214" s="73"/>
      <c r="R1214" s="73"/>
      <c r="S1214" s="73"/>
      <c r="T1214" s="73"/>
      <c r="U1214" s="73"/>
      <c r="V1214" s="73"/>
    </row>
    <row r="1215" spans="1:22" ht="14.25">
      <c r="A1215" s="73"/>
      <c r="B1215" s="78"/>
      <c r="C1215" s="79"/>
      <c r="D1215" s="76"/>
      <c r="E1215" s="99"/>
      <c r="F1215" s="71"/>
      <c r="G1215" s="71"/>
      <c r="H1215" s="71"/>
      <c r="I1215" s="99"/>
      <c r="J1215" s="99"/>
      <c r="K1215" s="99"/>
      <c r="L1215" s="73"/>
      <c r="M1215" s="73"/>
      <c r="N1215" s="73"/>
      <c r="O1215" s="73"/>
      <c r="P1215" s="73"/>
      <c r="Q1215" s="73"/>
      <c r="R1215" s="73"/>
      <c r="S1215" s="73"/>
      <c r="T1215" s="73"/>
      <c r="U1215" s="73"/>
      <c r="V1215" s="73"/>
    </row>
    <row r="1216" spans="1:22" ht="14.25">
      <c r="A1216" s="73"/>
      <c r="B1216" s="78"/>
      <c r="C1216" s="79"/>
      <c r="D1216" s="76"/>
      <c r="E1216" s="99"/>
      <c r="F1216" s="71"/>
      <c r="G1216" s="71"/>
      <c r="H1216" s="71"/>
      <c r="I1216" s="99"/>
      <c r="J1216" s="99"/>
      <c r="K1216" s="99"/>
      <c r="L1216" s="73"/>
      <c r="M1216" s="73"/>
      <c r="N1216" s="73"/>
      <c r="O1216" s="73"/>
      <c r="P1216" s="73"/>
      <c r="Q1216" s="73"/>
      <c r="R1216" s="73"/>
      <c r="S1216" s="73"/>
      <c r="T1216" s="73"/>
      <c r="U1216" s="73"/>
      <c r="V1216" s="73"/>
    </row>
    <row r="1217" spans="1:22" ht="14.25">
      <c r="A1217" s="73"/>
      <c r="B1217" s="78"/>
      <c r="C1217" s="79"/>
      <c r="D1217" s="76"/>
      <c r="E1217" s="99"/>
      <c r="F1217" s="71"/>
      <c r="G1217" s="71"/>
      <c r="H1217" s="71"/>
      <c r="I1217" s="99"/>
      <c r="J1217" s="99"/>
      <c r="K1217" s="99"/>
      <c r="L1217" s="73"/>
      <c r="M1217" s="73"/>
      <c r="N1217" s="73"/>
      <c r="O1217" s="73"/>
      <c r="P1217" s="73"/>
      <c r="Q1217" s="73"/>
      <c r="R1217" s="73"/>
      <c r="S1217" s="73"/>
      <c r="T1217" s="73"/>
      <c r="U1217" s="73"/>
      <c r="V1217" s="73"/>
    </row>
    <row r="1218" spans="1:22" ht="14.25">
      <c r="A1218" s="73"/>
      <c r="B1218" s="78"/>
      <c r="C1218" s="79"/>
      <c r="D1218" s="76"/>
      <c r="E1218" s="99"/>
      <c r="F1218" s="71"/>
      <c r="G1218" s="71"/>
      <c r="H1218" s="71"/>
      <c r="I1218" s="99"/>
      <c r="J1218" s="99"/>
      <c r="K1218" s="99"/>
      <c r="L1218" s="73"/>
      <c r="M1218" s="73"/>
      <c r="N1218" s="73"/>
      <c r="O1218" s="73"/>
      <c r="P1218" s="73"/>
      <c r="Q1218" s="73"/>
      <c r="R1218" s="73"/>
      <c r="S1218" s="73"/>
      <c r="T1218" s="73"/>
      <c r="U1218" s="73"/>
      <c r="V1218" s="73"/>
    </row>
    <row r="1219" spans="1:22" ht="14.25">
      <c r="A1219" s="73"/>
      <c r="B1219" s="78"/>
      <c r="C1219" s="79"/>
      <c r="D1219" s="76"/>
      <c r="E1219" s="99"/>
      <c r="F1219" s="71"/>
      <c r="G1219" s="71"/>
      <c r="H1219" s="71"/>
      <c r="I1219" s="99"/>
      <c r="J1219" s="99"/>
      <c r="K1219" s="99"/>
      <c r="L1219" s="73"/>
      <c r="M1219" s="73"/>
      <c r="N1219" s="73"/>
      <c r="O1219" s="73"/>
      <c r="P1219" s="73"/>
      <c r="Q1219" s="73"/>
      <c r="R1219" s="73"/>
      <c r="S1219" s="73"/>
      <c r="T1219" s="73"/>
      <c r="U1219" s="73"/>
      <c r="V1219" s="73"/>
    </row>
    <row r="1220" spans="1:22" ht="14.25">
      <c r="A1220" s="73"/>
      <c r="B1220" s="78"/>
      <c r="C1220" s="79"/>
      <c r="D1220" s="76"/>
      <c r="E1220" s="99"/>
      <c r="F1220" s="71"/>
      <c r="G1220" s="71"/>
      <c r="H1220" s="71"/>
      <c r="I1220" s="99"/>
      <c r="J1220" s="99"/>
      <c r="K1220" s="99"/>
      <c r="L1220" s="73"/>
      <c r="M1220" s="73"/>
      <c r="N1220" s="73"/>
      <c r="O1220" s="73"/>
      <c r="P1220" s="73"/>
      <c r="Q1220" s="73"/>
      <c r="R1220" s="73"/>
      <c r="S1220" s="73"/>
      <c r="T1220" s="73"/>
      <c r="U1220" s="73"/>
      <c r="V1220" s="73"/>
    </row>
    <row r="1221" spans="1:22" ht="14.25">
      <c r="A1221" s="73"/>
      <c r="B1221" s="78"/>
      <c r="C1221" s="79"/>
      <c r="D1221" s="76"/>
      <c r="E1221" s="99"/>
      <c r="F1221" s="71"/>
      <c r="G1221" s="71"/>
      <c r="H1221" s="71"/>
      <c r="I1221" s="99"/>
      <c r="J1221" s="99"/>
      <c r="K1221" s="99"/>
      <c r="L1221" s="73"/>
      <c r="M1221" s="73"/>
      <c r="N1221" s="73"/>
      <c r="O1221" s="73"/>
      <c r="P1221" s="73"/>
      <c r="Q1221" s="73"/>
      <c r="R1221" s="73"/>
      <c r="S1221" s="73"/>
      <c r="T1221" s="73"/>
      <c r="U1221" s="73"/>
      <c r="V1221" s="73"/>
    </row>
    <row r="1222" spans="1:22" ht="14.25">
      <c r="A1222" s="73"/>
      <c r="B1222" s="78"/>
      <c r="C1222" s="79"/>
      <c r="D1222" s="76"/>
      <c r="E1222" s="99"/>
      <c r="F1222" s="71"/>
      <c r="G1222" s="71"/>
      <c r="H1222" s="71"/>
      <c r="I1222" s="99"/>
      <c r="J1222" s="99"/>
      <c r="K1222" s="99"/>
      <c r="L1222" s="73"/>
      <c r="M1222" s="73"/>
      <c r="N1222" s="73"/>
      <c r="O1222" s="73"/>
      <c r="P1222" s="73"/>
      <c r="Q1222" s="73"/>
      <c r="R1222" s="73"/>
      <c r="S1222" s="73"/>
      <c r="T1222" s="73"/>
      <c r="U1222" s="73"/>
      <c r="V1222" s="73"/>
    </row>
    <row r="1223" spans="1:22" ht="14.25">
      <c r="A1223" s="73"/>
      <c r="B1223" s="78"/>
      <c r="C1223" s="79"/>
      <c r="D1223" s="76"/>
      <c r="E1223" s="99"/>
      <c r="F1223" s="71"/>
      <c r="G1223" s="71"/>
      <c r="H1223" s="71"/>
      <c r="I1223" s="99"/>
      <c r="J1223" s="99"/>
      <c r="K1223" s="99"/>
      <c r="L1223" s="73"/>
      <c r="M1223" s="73"/>
      <c r="N1223" s="73"/>
      <c r="O1223" s="73"/>
      <c r="P1223" s="73"/>
      <c r="Q1223" s="73"/>
      <c r="R1223" s="73"/>
      <c r="S1223" s="73"/>
      <c r="T1223" s="73"/>
      <c r="U1223" s="73"/>
      <c r="V1223" s="73"/>
    </row>
    <row r="1224" spans="1:22" ht="14.25">
      <c r="A1224" s="73"/>
      <c r="B1224" s="78"/>
      <c r="C1224" s="79"/>
      <c r="D1224" s="76"/>
      <c r="E1224" s="99"/>
      <c r="F1224" s="71"/>
      <c r="G1224" s="71"/>
      <c r="H1224" s="71"/>
      <c r="I1224" s="99"/>
      <c r="J1224" s="99"/>
      <c r="K1224" s="99"/>
      <c r="L1224" s="73"/>
      <c r="M1224" s="73"/>
      <c r="N1224" s="73"/>
      <c r="O1224" s="73"/>
      <c r="P1224" s="73"/>
      <c r="Q1224" s="73"/>
      <c r="R1224" s="73"/>
      <c r="S1224" s="73"/>
      <c r="T1224" s="73"/>
      <c r="U1224" s="73"/>
      <c r="V1224" s="73"/>
    </row>
    <row r="1225" spans="1:22" ht="14.25">
      <c r="A1225" s="73"/>
      <c r="B1225" s="78"/>
      <c r="C1225" s="79"/>
      <c r="D1225" s="76"/>
      <c r="E1225" s="99"/>
      <c r="F1225" s="71"/>
      <c r="G1225" s="71"/>
      <c r="H1225" s="71"/>
      <c r="I1225" s="99"/>
      <c r="J1225" s="99"/>
      <c r="K1225" s="99"/>
      <c r="L1225" s="73"/>
      <c r="M1225" s="73"/>
      <c r="N1225" s="73"/>
      <c r="O1225" s="73"/>
      <c r="P1225" s="73"/>
      <c r="Q1225" s="73"/>
      <c r="R1225" s="73"/>
      <c r="S1225" s="73"/>
      <c r="T1225" s="73"/>
      <c r="U1225" s="73"/>
      <c r="V1225" s="73"/>
    </row>
    <row r="1226" spans="1:22" ht="14.25">
      <c r="A1226" s="73"/>
      <c r="B1226" s="78"/>
      <c r="C1226" s="79"/>
      <c r="D1226" s="76"/>
      <c r="E1226" s="99"/>
      <c r="F1226" s="71"/>
      <c r="G1226" s="71"/>
      <c r="H1226" s="71"/>
      <c r="I1226" s="99"/>
      <c r="J1226" s="99"/>
      <c r="K1226" s="99"/>
      <c r="L1226" s="73"/>
      <c r="M1226" s="73"/>
      <c r="N1226" s="73"/>
      <c r="O1226" s="73"/>
      <c r="P1226" s="73"/>
      <c r="Q1226" s="73"/>
      <c r="R1226" s="73"/>
      <c r="S1226" s="73"/>
      <c r="T1226" s="73"/>
      <c r="U1226" s="73"/>
      <c r="V1226" s="73"/>
    </row>
    <row r="1227" spans="1:22" ht="14.25">
      <c r="A1227" s="73"/>
      <c r="B1227" s="78"/>
      <c r="C1227" s="79"/>
      <c r="D1227" s="76"/>
      <c r="E1227" s="99"/>
      <c r="F1227" s="71"/>
      <c r="G1227" s="71"/>
      <c r="H1227" s="71"/>
      <c r="I1227" s="99"/>
      <c r="J1227" s="99"/>
      <c r="K1227" s="99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</row>
    <row r="1228" spans="1:22" ht="14.25">
      <c r="A1228" s="73"/>
      <c r="B1228" s="78"/>
      <c r="C1228" s="79"/>
      <c r="D1228" s="76"/>
      <c r="E1228" s="99"/>
      <c r="F1228" s="71"/>
      <c r="G1228" s="71"/>
      <c r="H1228" s="71"/>
      <c r="I1228" s="99"/>
      <c r="J1228" s="99"/>
      <c r="K1228" s="99"/>
      <c r="L1228" s="73"/>
      <c r="M1228" s="73"/>
      <c r="N1228" s="73"/>
      <c r="O1228" s="73"/>
      <c r="P1228" s="73"/>
      <c r="Q1228" s="73"/>
      <c r="R1228" s="73"/>
      <c r="S1228" s="73"/>
      <c r="T1228" s="73"/>
      <c r="U1228" s="73"/>
      <c r="V1228" s="73"/>
    </row>
    <row r="1229" spans="1:22" ht="14.25">
      <c r="A1229" s="73"/>
      <c r="B1229" s="78"/>
      <c r="C1229" s="79"/>
      <c r="D1229" s="76"/>
      <c r="E1229" s="99"/>
      <c r="F1229" s="71"/>
      <c r="G1229" s="71"/>
      <c r="H1229" s="71"/>
      <c r="I1229" s="99"/>
      <c r="J1229" s="99"/>
      <c r="K1229" s="99"/>
      <c r="L1229" s="73"/>
      <c r="M1229" s="73"/>
      <c r="N1229" s="73"/>
      <c r="O1229" s="73"/>
      <c r="P1229" s="73"/>
      <c r="Q1229" s="73"/>
      <c r="R1229" s="73"/>
      <c r="S1229" s="73"/>
      <c r="T1229" s="73"/>
      <c r="U1229" s="73"/>
      <c r="V1229" s="73"/>
    </row>
    <row r="1230" spans="1:22" ht="14.25">
      <c r="A1230" s="73"/>
      <c r="B1230" s="78"/>
      <c r="C1230" s="79"/>
      <c r="D1230" s="76"/>
      <c r="E1230" s="99"/>
      <c r="F1230" s="71"/>
      <c r="G1230" s="71"/>
      <c r="H1230" s="71"/>
      <c r="I1230" s="99"/>
      <c r="J1230" s="99"/>
      <c r="K1230" s="99"/>
      <c r="L1230" s="73"/>
      <c r="M1230" s="73"/>
      <c r="N1230" s="73"/>
      <c r="O1230" s="73"/>
      <c r="P1230" s="73"/>
      <c r="Q1230" s="73"/>
      <c r="R1230" s="73"/>
      <c r="S1230" s="73"/>
      <c r="T1230" s="73"/>
      <c r="U1230" s="73"/>
      <c r="V1230" s="73"/>
    </row>
    <row r="1231" spans="1:22" ht="14.25">
      <c r="A1231" s="73"/>
      <c r="B1231" s="78"/>
      <c r="C1231" s="79"/>
      <c r="D1231" s="76"/>
      <c r="E1231" s="99"/>
      <c r="F1231" s="71"/>
      <c r="G1231" s="71"/>
      <c r="H1231" s="71"/>
      <c r="I1231" s="99"/>
      <c r="J1231" s="99"/>
      <c r="K1231" s="99"/>
      <c r="L1231" s="73"/>
      <c r="M1231" s="73"/>
      <c r="N1231" s="73"/>
      <c r="O1231" s="73"/>
      <c r="P1231" s="73"/>
      <c r="Q1231" s="73"/>
      <c r="R1231" s="73"/>
      <c r="S1231" s="73"/>
      <c r="T1231" s="73"/>
      <c r="U1231" s="73"/>
      <c r="V1231" s="73"/>
    </row>
    <row r="1232" spans="1:22" ht="14.25">
      <c r="A1232" s="73"/>
      <c r="B1232" s="78"/>
      <c r="C1232" s="79"/>
      <c r="D1232" s="76"/>
      <c r="E1232" s="99"/>
      <c r="F1232" s="71"/>
      <c r="G1232" s="71"/>
      <c r="H1232" s="71"/>
      <c r="I1232" s="99"/>
      <c r="J1232" s="99"/>
      <c r="K1232" s="99"/>
      <c r="L1232" s="73"/>
      <c r="M1232" s="73"/>
      <c r="N1232" s="73"/>
      <c r="O1232" s="73"/>
      <c r="P1232" s="73"/>
      <c r="Q1232" s="73"/>
      <c r="R1232" s="73"/>
      <c r="S1232" s="73"/>
      <c r="T1232" s="73"/>
      <c r="U1232" s="73"/>
      <c r="V1232" s="73"/>
    </row>
    <row r="1233" spans="1:22" ht="14.25">
      <c r="A1233" s="73"/>
      <c r="B1233" s="78"/>
      <c r="C1233" s="79"/>
      <c r="D1233" s="76"/>
      <c r="E1233" s="99"/>
      <c r="F1233" s="71"/>
      <c r="G1233" s="71"/>
      <c r="H1233" s="71"/>
      <c r="I1233" s="99"/>
      <c r="J1233" s="99"/>
      <c r="K1233" s="99"/>
      <c r="L1233" s="73"/>
      <c r="M1233" s="73"/>
      <c r="N1233" s="73"/>
      <c r="O1233" s="73"/>
      <c r="P1233" s="73"/>
      <c r="Q1233" s="73"/>
      <c r="R1233" s="73"/>
      <c r="S1233" s="73"/>
      <c r="T1233" s="73"/>
      <c r="U1233" s="73"/>
      <c r="V1233" s="73"/>
    </row>
    <row r="1234" spans="1:22" ht="14.25">
      <c r="A1234" s="73"/>
      <c r="B1234" s="78"/>
      <c r="C1234" s="79"/>
      <c r="D1234" s="76"/>
      <c r="E1234" s="99"/>
      <c r="F1234" s="71"/>
      <c r="G1234" s="71"/>
      <c r="H1234" s="71"/>
      <c r="I1234" s="99"/>
      <c r="J1234" s="99"/>
      <c r="K1234" s="99"/>
      <c r="L1234" s="73"/>
      <c r="M1234" s="73"/>
      <c r="N1234" s="73"/>
      <c r="O1234" s="73"/>
      <c r="P1234" s="73"/>
      <c r="Q1234" s="73"/>
      <c r="R1234" s="73"/>
      <c r="S1234" s="73"/>
      <c r="T1234" s="73"/>
      <c r="U1234" s="73"/>
      <c r="V1234" s="73"/>
    </row>
    <row r="1235" spans="1:22" ht="14.25">
      <c r="A1235" s="73"/>
      <c r="B1235" s="78"/>
      <c r="C1235" s="79"/>
      <c r="D1235" s="76"/>
      <c r="E1235" s="99"/>
      <c r="F1235" s="71"/>
      <c r="G1235" s="71"/>
      <c r="H1235" s="71"/>
      <c r="I1235" s="99"/>
      <c r="J1235" s="99"/>
      <c r="K1235" s="99"/>
      <c r="L1235" s="73"/>
      <c r="M1235" s="73"/>
      <c r="N1235" s="73"/>
      <c r="O1235" s="73"/>
      <c r="P1235" s="73"/>
      <c r="Q1235" s="73"/>
      <c r="R1235" s="73"/>
      <c r="S1235" s="73"/>
      <c r="T1235" s="73"/>
      <c r="U1235" s="73"/>
      <c r="V1235" s="73"/>
    </row>
    <row r="1236" spans="1:22" ht="14.25">
      <c r="A1236" s="73"/>
      <c r="B1236" s="78"/>
      <c r="C1236" s="79"/>
      <c r="D1236" s="76"/>
      <c r="E1236" s="99"/>
      <c r="F1236" s="71"/>
      <c r="G1236" s="71"/>
      <c r="H1236" s="71"/>
      <c r="I1236" s="99"/>
      <c r="J1236" s="99"/>
      <c r="K1236" s="99"/>
      <c r="L1236" s="73"/>
      <c r="M1236" s="73"/>
      <c r="N1236" s="73"/>
      <c r="O1236" s="73"/>
      <c r="P1236" s="73"/>
      <c r="Q1236" s="73"/>
      <c r="R1236" s="73"/>
      <c r="S1236" s="73"/>
      <c r="T1236" s="73"/>
      <c r="U1236" s="73"/>
      <c r="V1236" s="73"/>
    </row>
    <row r="1237" spans="1:22" ht="14.25">
      <c r="A1237" s="73"/>
      <c r="B1237" s="78"/>
      <c r="C1237" s="79"/>
      <c r="D1237" s="76"/>
      <c r="E1237" s="99"/>
      <c r="F1237" s="71"/>
      <c r="G1237" s="71"/>
      <c r="H1237" s="71"/>
      <c r="I1237" s="99"/>
      <c r="J1237" s="99"/>
      <c r="K1237" s="99"/>
      <c r="L1237" s="73"/>
      <c r="M1237" s="73"/>
      <c r="N1237" s="73"/>
      <c r="O1237" s="73"/>
      <c r="P1237" s="73"/>
      <c r="Q1237" s="73"/>
      <c r="R1237" s="73"/>
      <c r="S1237" s="73"/>
      <c r="T1237" s="73"/>
      <c r="U1237" s="73"/>
      <c r="V1237" s="73"/>
    </row>
    <row r="1238" spans="1:22" ht="14.25">
      <c r="A1238" s="73"/>
      <c r="B1238" s="78"/>
      <c r="C1238" s="79"/>
      <c r="D1238" s="76"/>
      <c r="E1238" s="99"/>
      <c r="F1238" s="71"/>
      <c r="G1238" s="71"/>
      <c r="H1238" s="71"/>
      <c r="I1238" s="99"/>
      <c r="J1238" s="99"/>
      <c r="K1238" s="99"/>
      <c r="L1238" s="73"/>
      <c r="M1238" s="73"/>
      <c r="N1238" s="73"/>
      <c r="O1238" s="73"/>
      <c r="P1238" s="73"/>
      <c r="Q1238" s="73"/>
      <c r="R1238" s="73"/>
      <c r="S1238" s="73"/>
      <c r="T1238" s="73"/>
      <c r="U1238" s="73"/>
      <c r="V1238" s="73"/>
    </row>
    <row r="1239" spans="1:22" ht="14.25">
      <c r="A1239" s="73"/>
      <c r="B1239" s="78"/>
      <c r="C1239" s="79"/>
      <c r="D1239" s="76"/>
      <c r="E1239" s="99"/>
      <c r="F1239" s="71"/>
      <c r="G1239" s="71"/>
      <c r="H1239" s="71"/>
      <c r="I1239" s="99"/>
      <c r="J1239" s="99"/>
      <c r="K1239" s="99"/>
      <c r="L1239" s="73"/>
      <c r="M1239" s="73"/>
      <c r="N1239" s="73"/>
      <c r="O1239" s="73"/>
      <c r="P1239" s="73"/>
      <c r="Q1239" s="73"/>
      <c r="R1239" s="73"/>
      <c r="S1239" s="73"/>
      <c r="T1239" s="73"/>
      <c r="U1239" s="73"/>
      <c r="V1239" s="73"/>
    </row>
    <row r="1240" spans="1:22" ht="14.25">
      <c r="A1240" s="73"/>
      <c r="B1240" s="78"/>
      <c r="C1240" s="79"/>
      <c r="D1240" s="76"/>
      <c r="E1240" s="99"/>
      <c r="F1240" s="71"/>
      <c r="G1240" s="71"/>
      <c r="H1240" s="71"/>
      <c r="I1240" s="99"/>
      <c r="J1240" s="99"/>
      <c r="K1240" s="99"/>
      <c r="L1240" s="73"/>
      <c r="M1240" s="73"/>
      <c r="N1240" s="73"/>
      <c r="O1240" s="73"/>
      <c r="P1240" s="73"/>
      <c r="Q1240" s="73"/>
      <c r="R1240" s="73"/>
      <c r="S1240" s="73"/>
      <c r="T1240" s="73"/>
      <c r="U1240" s="73"/>
      <c r="V1240" s="73"/>
    </row>
    <row r="1241" spans="1:22" ht="14.25">
      <c r="A1241" s="73"/>
      <c r="B1241" s="78"/>
      <c r="C1241" s="79"/>
      <c r="D1241" s="76"/>
      <c r="E1241" s="99"/>
      <c r="F1241" s="71"/>
      <c r="G1241" s="71"/>
      <c r="H1241" s="71"/>
      <c r="I1241" s="99"/>
      <c r="J1241" s="99"/>
      <c r="K1241" s="99"/>
      <c r="L1241" s="73"/>
      <c r="M1241" s="73"/>
      <c r="N1241" s="73"/>
      <c r="O1241" s="73"/>
      <c r="P1241" s="73"/>
      <c r="Q1241" s="73"/>
      <c r="R1241" s="73"/>
      <c r="S1241" s="73"/>
      <c r="T1241" s="73"/>
      <c r="U1241" s="73"/>
      <c r="V1241" s="73"/>
    </row>
    <row r="1242" spans="1:22" ht="14.25">
      <c r="A1242" s="73"/>
      <c r="B1242" s="78"/>
      <c r="C1242" s="79"/>
      <c r="D1242" s="76"/>
      <c r="E1242" s="99"/>
      <c r="F1242" s="71"/>
      <c r="G1242" s="71"/>
      <c r="H1242" s="71"/>
      <c r="I1242" s="99"/>
      <c r="J1242" s="99"/>
      <c r="K1242" s="99"/>
      <c r="L1242" s="73"/>
      <c r="M1242" s="73"/>
      <c r="N1242" s="73"/>
      <c r="O1242" s="73"/>
      <c r="P1242" s="73"/>
      <c r="Q1242" s="73"/>
      <c r="R1242" s="73"/>
      <c r="S1242" s="73"/>
      <c r="T1242" s="73"/>
      <c r="U1242" s="73"/>
      <c r="V1242" s="73"/>
    </row>
    <row r="1243" spans="1:22" ht="14.25">
      <c r="A1243" s="73"/>
      <c r="B1243" s="78"/>
      <c r="C1243" s="79"/>
      <c r="D1243" s="76"/>
      <c r="E1243" s="99"/>
      <c r="F1243" s="71"/>
      <c r="G1243" s="71"/>
      <c r="H1243" s="71"/>
      <c r="I1243" s="99"/>
      <c r="J1243" s="99"/>
      <c r="K1243" s="99"/>
      <c r="L1243" s="73"/>
      <c r="M1243" s="73"/>
      <c r="N1243" s="73"/>
      <c r="O1243" s="73"/>
      <c r="P1243" s="73"/>
      <c r="Q1243" s="73"/>
      <c r="R1243" s="73"/>
      <c r="S1243" s="73"/>
      <c r="T1243" s="73"/>
      <c r="U1243" s="73"/>
      <c r="V1243" s="73"/>
    </row>
  </sheetData>
  <dataValidations count="1">
    <dataValidation type="list" allowBlank="1" showInputMessage="1" sqref="B18 M36 B36:B1048576 M18" xr:uid="{C3D0D92F-94DE-4106-AB21-8AAD8B483217}">
      <formula1>#REF!</formula1>
    </dataValidation>
  </dataValidations>
  <pageMargins left="0.7" right="0.7" top="0.75" bottom="0.75" header="0.3" footer="0.3"/>
  <pageSetup orientation="portrait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18C78E3-B989-4D0F-A801-F4E6B0A338AC}">
          <x14:formula1>
            <xm:f>Catalog!$B$3:$B$227</xm:f>
          </x14:formula1>
          <xm:sqref>B4 M26 M24 M32 M34 M22 B26 B24 B32 B34 B22 M8 M6 M14 M16 M4 B8 B6 B14 B16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4E12-5037-41B3-9E2B-F95C966AD87D}">
  <dimension ref="B1:J209"/>
  <sheetViews>
    <sheetView showGridLines="0" workbookViewId="0">
      <selection activeCell="B20" sqref="B20"/>
    </sheetView>
  </sheetViews>
  <sheetFormatPr defaultColWidth="8.5703125" defaultRowHeight="15.95"/>
  <cols>
    <col min="1" max="1" width="1.140625" style="61" customWidth="1"/>
    <col min="2" max="2" width="30" style="57" customWidth="1"/>
    <col min="3" max="3" width="8.5703125" style="58"/>
    <col min="4" max="4" width="7.7109375" style="59" customWidth="1"/>
    <col min="5" max="6" width="7.7109375" style="60" customWidth="1"/>
    <col min="7" max="7" width="7.7109375" style="86" customWidth="1"/>
    <col min="8" max="10" width="7.7109375" style="59" customWidth="1"/>
    <col min="11" max="11" width="1.140625" style="61" customWidth="1"/>
    <col min="12" max="16384" width="8.5703125" style="61"/>
  </cols>
  <sheetData>
    <row r="1" spans="2:10" ht="6" customHeight="1">
      <c r="B1" s="78"/>
      <c r="C1" s="76"/>
      <c r="D1" s="99"/>
      <c r="E1" s="71"/>
      <c r="F1" s="71"/>
      <c r="G1" s="113"/>
      <c r="H1" s="99"/>
      <c r="I1" s="99"/>
      <c r="J1" s="99"/>
    </row>
    <row r="2" spans="2:10" s="63" customFormat="1" ht="25.15" customHeight="1">
      <c r="B2" s="101" t="s">
        <v>1</v>
      </c>
      <c r="C2" s="70" t="s">
        <v>3</v>
      </c>
      <c r="D2" s="62" t="s">
        <v>435</v>
      </c>
      <c r="E2" s="72" t="s">
        <v>436</v>
      </c>
      <c r="F2" s="72" t="s">
        <v>437</v>
      </c>
      <c r="G2" s="87" t="s">
        <v>438</v>
      </c>
      <c r="H2" s="70" t="s">
        <v>439</v>
      </c>
      <c r="I2" s="70" t="s">
        <v>440</v>
      </c>
      <c r="J2" s="70" t="s">
        <v>441</v>
      </c>
    </row>
    <row r="3" spans="2:10" s="66" customFormat="1" ht="25.15" customHeight="1">
      <c r="B3" s="78" t="s">
        <v>322</v>
      </c>
      <c r="C3" s="76" t="str">
        <f>VLOOKUP(tbDensity[[#This Row],[Item]],Calories[],2,FALSE)</f>
        <v>g</v>
      </c>
      <c r="D3" s="65">
        <f>_xlfn.XLOOKUP(tbDensity[[#This Row],[Item]],Calories[Name],Calories[Cals])*100</f>
        <v>81</v>
      </c>
      <c r="E3" s="71">
        <f>_xlfn.XLOOKUP(tbDensity[[#This Row],[Item]],Calories[Name],Calories[Carbs])*100</f>
        <v>14.46</v>
      </c>
      <c r="F3" s="71">
        <f>_xlfn.XLOOKUP(tbDensity[[#This Row],[Item]],Calories[Name],Calories[Fibre])*100</f>
        <v>5.0999999999999996</v>
      </c>
      <c r="G3" s="113">
        <f>(tbDensity[[#This Row],[Carb / 100g]]-tbDensity[[#This Row],[Fibre / 100g]])</f>
        <v>9.3600000000000012</v>
      </c>
      <c r="H3" s="71">
        <f>_xlfn.XLOOKUP(tbDensity[[#This Row],[Item]],Calories[Name],Calories[Sodium])* 100</f>
        <v>5</v>
      </c>
      <c r="I3" s="71">
        <f>_xlfn.XLOOKUP(tbDensity[[#This Row],[Item]],Calories[Name],Calories[Protein]) * 100</f>
        <v>5.42</v>
      </c>
      <c r="J3" s="103">
        <f>_xlfn.XLOOKUP(tbDensity[[#This Row],[Item]],Calories[Name],Calories[Chol.]) * 100</f>
        <v>0</v>
      </c>
    </row>
    <row r="4" spans="2:10" s="66" customFormat="1" ht="25.15" customHeight="1">
      <c r="B4" s="78" t="s">
        <v>277</v>
      </c>
      <c r="C4" s="76" t="str">
        <f>VLOOKUP(tbDensity[[#This Row],[Item]],Calories[],2,FALSE)</f>
        <v>g</v>
      </c>
      <c r="D4" s="65">
        <f>_xlfn.XLOOKUP(tbDensity[[#This Row],[Item]],Calories[Name],Calories[Cals])*100</f>
        <v>165</v>
      </c>
      <c r="E4" s="71">
        <f>_xlfn.XLOOKUP(tbDensity[[#This Row],[Item]],Calories[Name],Calories[Carbs])*100</f>
        <v>18.73</v>
      </c>
      <c r="F4" s="71">
        <f>_xlfn.XLOOKUP(tbDensity[[#This Row],[Item]],Calories[Name],Calories[Fibre])*100</f>
        <v>7.4000000000000012</v>
      </c>
      <c r="G4" s="113">
        <f>(tbDensity[[#This Row],[Carb / 100g]]-tbDensity[[#This Row],[Fibre / 100g]])</f>
        <v>11.329999999999998</v>
      </c>
      <c r="H4" s="71">
        <f>_xlfn.XLOOKUP(tbDensity[[#This Row],[Item]],Calories[Name],Calories[Sodium])* 100</f>
        <v>220.00000000000003</v>
      </c>
      <c r="I4" s="71">
        <f>_xlfn.XLOOKUP(tbDensity[[#This Row],[Item]],Calories[Name],Calories[Protein]) * 100</f>
        <v>8.39</v>
      </c>
      <c r="J4" s="103">
        <f>_xlfn.XLOOKUP(tbDensity[[#This Row],[Item]],Calories[Name],Calories[Chol.]) * 100</f>
        <v>0</v>
      </c>
    </row>
    <row r="5" spans="2:10" s="66" customFormat="1" ht="25.15" customHeight="1">
      <c r="B5" s="78" t="s">
        <v>332</v>
      </c>
      <c r="C5" s="76" t="str">
        <f>VLOOKUP(tbDensity[[#This Row],[Item]],Calories[],2,FALSE)</f>
        <v>g</v>
      </c>
      <c r="D5" s="65">
        <f>_xlfn.XLOOKUP(tbDensity[[#This Row],[Item]],Calories[Name],Calories[Cals])*100</f>
        <v>85</v>
      </c>
      <c r="E5" s="71">
        <f>_xlfn.XLOOKUP(tbDensity[[#This Row],[Item]],Calories[Name],Calories[Carbs])*100</f>
        <v>18.100000000000001</v>
      </c>
      <c r="F5" s="71">
        <f>_xlfn.XLOOKUP(tbDensity[[#This Row],[Item]],Calories[Name],Calories[Fibre])*100</f>
        <v>1.7000000000000002</v>
      </c>
      <c r="G5" s="113">
        <f>(tbDensity[[#This Row],[Carb / 100g]]-tbDensity[[#This Row],[Fibre / 100g]])</f>
        <v>16.400000000000002</v>
      </c>
      <c r="H5" s="71">
        <f>_xlfn.XLOOKUP(tbDensity[[#This Row],[Item]],Calories[Name],Calories[Sodium])* 100</f>
        <v>96</v>
      </c>
      <c r="I5" s="71">
        <f>_xlfn.XLOOKUP(tbDensity[[#This Row],[Item]],Calories[Name],Calories[Protein]) * 100</f>
        <v>1.9799999999999998</v>
      </c>
      <c r="J5" s="103">
        <f>_xlfn.XLOOKUP(tbDensity[[#This Row],[Item]],Calories[Name],Calories[Chol.]) * 100</f>
        <v>0</v>
      </c>
    </row>
    <row r="6" spans="2:10" s="66" customFormat="1" ht="25.15" customHeight="1">
      <c r="B6" s="78" t="s">
        <v>141</v>
      </c>
      <c r="C6" s="76" t="str">
        <f>VLOOKUP(tbDensity[[#This Row],[Item]],Calories[],2,FALSE)</f>
        <v>g</v>
      </c>
      <c r="D6" s="65">
        <f>_xlfn.XLOOKUP(tbDensity[[#This Row],[Item]],Calories[Name],Calories[Cals])*100</f>
        <v>142.44186046511629</v>
      </c>
      <c r="E6" s="71">
        <f>_xlfn.XLOOKUP(tbDensity[[#This Row],[Item]],Calories[Name],Calories[Carbs])*100</f>
        <v>26.162790697674421</v>
      </c>
      <c r="F6" s="71">
        <f>_xlfn.XLOOKUP(tbDensity[[#This Row],[Item]],Calories[Name],Calories[Fibre])*100</f>
        <v>8.720930232558139</v>
      </c>
      <c r="G6" s="113">
        <f>(tbDensity[[#This Row],[Carb / 100g]]-tbDensity[[#This Row],[Fibre / 100g]])</f>
        <v>17.441860465116282</v>
      </c>
      <c r="H6" s="71">
        <f>_xlfn.XLOOKUP(tbDensity[[#This Row],[Item]],Calories[Name],Calories[Sodium])* 100</f>
        <v>1.1627906976744187</v>
      </c>
      <c r="I6" s="71">
        <f>_xlfn.XLOOKUP(tbDensity[[#This Row],[Item]],Calories[Name],Calories[Protein]) * 100</f>
        <v>8.720930232558139</v>
      </c>
      <c r="J6" s="103">
        <f>_xlfn.XLOOKUP(tbDensity[[#This Row],[Item]],Calories[Name],Calories[Chol.]) * 100</f>
        <v>0</v>
      </c>
    </row>
    <row r="7" spans="2:10" s="66" customFormat="1" ht="25.15" customHeight="1">
      <c r="B7" s="64" t="s">
        <v>19</v>
      </c>
      <c r="C7" s="76" t="str">
        <f>VLOOKUP(tbDensity[[#This Row],[Item]],Calories[],2,FALSE)</f>
        <v>g</v>
      </c>
      <c r="D7" s="65">
        <f>_xlfn.XLOOKUP(tbDensity[[#This Row],[Item]],Calories[Name],Calories[Cals])*100</f>
        <v>120</v>
      </c>
      <c r="E7" s="71">
        <f>_xlfn.XLOOKUP(tbDensity[[#This Row],[Item]],Calories[Name],Calories[Carbs])*100</f>
        <v>21.081081081081081</v>
      </c>
      <c r="F7" s="71">
        <f>_xlfn.XLOOKUP(tbDensity[[#This Row],[Item]],Calories[Name],Calories[Fibre])*100</f>
        <v>2.7027027027027026</v>
      </c>
      <c r="G7" s="113">
        <f>(tbDensity[[#This Row],[Carb / 100g]]-tbDensity[[#This Row],[Fibre / 100g]])</f>
        <v>18.378378378378379</v>
      </c>
      <c r="H7" s="71">
        <f>_xlfn.XLOOKUP(tbDensity[[#This Row],[Item]],Calories[Name],Calories[Sodium])* 100</f>
        <v>7.0270270270270272</v>
      </c>
      <c r="I7" s="71">
        <f>_xlfn.XLOOKUP(tbDensity[[#This Row],[Item]],Calories[Name],Calories[Protein]) * 100</f>
        <v>4.3243243243243246</v>
      </c>
      <c r="J7" s="103">
        <f>_xlfn.XLOOKUP(tbDensity[[#This Row],[Item]],Calories[Name],Calories[Chol.]) * 100</f>
        <v>0</v>
      </c>
    </row>
    <row r="8" spans="2:10" s="66" customFormat="1" ht="25.15" customHeight="1">
      <c r="B8" s="78" t="s">
        <v>340</v>
      </c>
      <c r="C8" s="76" t="str">
        <f>VLOOKUP(tbDensity[[#This Row],[Item]],Calories[],2,FALSE)</f>
        <v>g</v>
      </c>
      <c r="D8" s="65">
        <f>_xlfn.XLOOKUP(tbDensity[[#This Row],[Item]],Calories[Name],Calories[Cals])*100</f>
        <v>93.063583815028906</v>
      </c>
      <c r="E8" s="71">
        <f>_xlfn.XLOOKUP(tbDensity[[#This Row],[Item]],Calories[Name],Calories[Carbs])*100</f>
        <v>21.156069364161851</v>
      </c>
      <c r="F8" s="71">
        <f>_xlfn.XLOOKUP(tbDensity[[#This Row],[Item]],Calories[Name],Calories[Fibre])*100</f>
        <v>2.1965317919075145</v>
      </c>
      <c r="G8" s="113">
        <f>(tbDensity[[#This Row],[Carb / 100g]]-tbDensity[[#This Row],[Fibre / 100g]])</f>
        <v>18.959537572254337</v>
      </c>
      <c r="H8" s="71">
        <f>_xlfn.XLOOKUP(tbDensity[[#This Row],[Item]],Calories[Name],Calories[Sodium])* 100</f>
        <v>10</v>
      </c>
      <c r="I8" s="71">
        <f>_xlfn.XLOOKUP(tbDensity[[#This Row],[Item]],Calories[Name],Calories[Protein]) * 100</f>
        <v>2.4855491329479769</v>
      </c>
      <c r="J8" s="103">
        <f>_xlfn.XLOOKUP(tbDensity[[#This Row],[Item]],Calories[Name],Calories[Chol.]) * 100</f>
        <v>0</v>
      </c>
    </row>
    <row r="9" spans="2:10" s="66" customFormat="1" ht="25.15" customHeight="1">
      <c r="B9" s="78" t="s">
        <v>356</v>
      </c>
      <c r="C9" s="76" t="str">
        <f>VLOOKUP(tbDensity[[#This Row],[Item]],Calories[],2,FALSE)</f>
        <v>g</v>
      </c>
      <c r="D9" s="65">
        <f>_xlfn.XLOOKUP(tbDensity[[#This Row],[Item]],Calories[Name],Calories[Cals])*100</f>
        <v>101</v>
      </c>
      <c r="E9" s="71">
        <f>_xlfn.XLOOKUP(tbDensity[[#This Row],[Item]],Calories[Name],Calories[Carbs])*100</f>
        <v>21.3</v>
      </c>
      <c r="F9" s="71">
        <f>_xlfn.XLOOKUP(tbDensity[[#This Row],[Item]],Calories[Name],Calories[Fibre])*100</f>
        <v>1.8000000000000003</v>
      </c>
      <c r="G9" s="113">
        <f>(tbDensity[[#This Row],[Carb / 100g]]-tbDensity[[#This Row],[Fibre / 100g]])</f>
        <v>19.5</v>
      </c>
      <c r="H9" s="71">
        <f>_xlfn.XLOOKUP(tbDensity[[#This Row],[Item]],Calories[Name],Calories[Sodium])* 100</f>
        <v>3</v>
      </c>
      <c r="I9" s="71">
        <f>_xlfn.XLOOKUP(tbDensity[[#This Row],[Item]],Calories[Name],Calories[Protein]) * 100</f>
        <v>4</v>
      </c>
      <c r="J9" s="103">
        <f>_xlfn.XLOOKUP(tbDensity[[#This Row],[Item]],Calories[Name],Calories[Chol.]) * 100</f>
        <v>0</v>
      </c>
    </row>
    <row r="10" spans="2:10" s="66" customFormat="1" ht="25.15" customHeight="1">
      <c r="B10" s="78" t="s">
        <v>206</v>
      </c>
      <c r="C10" s="76" t="str">
        <f>VLOOKUP(tbDensity[[#This Row],[Item]],Calories[],2,FALSE)</f>
        <v>g</v>
      </c>
      <c r="D10" s="65">
        <f>_xlfn.XLOOKUP(tbDensity[[#This Row],[Item]],Calories[Name],Calories[Cals])*100</f>
        <v>105.88235294117648</v>
      </c>
      <c r="E10" s="71">
        <f>_xlfn.XLOOKUP(tbDensity[[#This Row],[Item]],Calories[Name],Calories[Carbs])*100</f>
        <v>22.352941176470591</v>
      </c>
      <c r="F10" s="71">
        <f>_xlfn.XLOOKUP(tbDensity[[#This Row],[Item]],Calories[Name],Calories[Fibre])*100</f>
        <v>2.3529411764705883</v>
      </c>
      <c r="G10" s="113">
        <f>(tbDensity[[#This Row],[Carb / 100g]]-tbDensity[[#This Row],[Fibre / 100g]])</f>
        <v>20.000000000000004</v>
      </c>
      <c r="H10" s="71">
        <f>_xlfn.XLOOKUP(tbDensity[[#This Row],[Item]],Calories[Name],Calories[Sodium])* 100</f>
        <v>41.17647058823529</v>
      </c>
      <c r="I10" s="71">
        <f>_xlfn.XLOOKUP(tbDensity[[#This Row],[Item]],Calories[Name],Calories[Protein]) * 100</f>
        <v>2.3529411764705883</v>
      </c>
      <c r="J10" s="103">
        <f>_xlfn.XLOOKUP(tbDensity[[#This Row],[Item]],Calories[Name],Calories[Chol.]) * 100</f>
        <v>0</v>
      </c>
    </row>
    <row r="11" spans="2:10" s="66" customFormat="1" ht="25.15" customHeight="1">
      <c r="B11" s="64" t="s">
        <v>191</v>
      </c>
      <c r="C11" s="76" t="str">
        <f>VLOOKUP(tbDensity[[#This Row],[Item]],Calories[],2,FALSE)</f>
        <v>g</v>
      </c>
      <c r="D11" s="65">
        <f>_xlfn.XLOOKUP(tbDensity[[#This Row],[Item]],Calories[Name],Calories[Cals])*100</f>
        <v>180</v>
      </c>
      <c r="E11" s="71">
        <f>_xlfn.XLOOKUP(tbDensity[[#This Row],[Item]],Calories[Name],Calories[Carbs])*100</f>
        <v>29.98</v>
      </c>
      <c r="F11" s="71">
        <f>_xlfn.XLOOKUP(tbDensity[[#This Row],[Item]],Calories[Name],Calories[Fibre])*100</f>
        <v>8.6</v>
      </c>
      <c r="G11" s="113">
        <f>(tbDensity[[#This Row],[Carb / 100g]]-tbDensity[[#This Row],[Fibre / 100g]])</f>
        <v>21.380000000000003</v>
      </c>
      <c r="H11" s="71">
        <f>_xlfn.XLOOKUP(tbDensity[[#This Row],[Item]],Calories[Name],Calories[Sodium])* 100</f>
        <v>242</v>
      </c>
      <c r="I11" s="71">
        <f>_xlfn.XLOOKUP(tbDensity[[#This Row],[Item]],Calories[Name],Calories[Protein]) * 100</f>
        <v>9.5399999999999991</v>
      </c>
      <c r="J11" s="103">
        <f>_xlfn.XLOOKUP(tbDensity[[#This Row],[Item]],Calories[Name],Calories[Chol.]) * 100</f>
        <v>0</v>
      </c>
    </row>
    <row r="12" spans="2:10" s="66" customFormat="1" ht="25.15" customHeight="1">
      <c r="B12" s="78" t="s">
        <v>292</v>
      </c>
      <c r="C12" s="76" t="str">
        <f>VLOOKUP(tbDensity[[#This Row],[Item]],Calories[],2,FALSE)</f>
        <v>g</v>
      </c>
      <c r="D12" s="65">
        <f>_xlfn.XLOOKUP(tbDensity[[#This Row],[Item]],Calories[Name],Calories[Cals])*100</f>
        <v>118</v>
      </c>
      <c r="E12" s="71">
        <f>_xlfn.XLOOKUP(tbDensity[[#This Row],[Item]],Calories[Name],Calories[Carbs])*100</f>
        <v>23.57</v>
      </c>
      <c r="F12" s="71">
        <f>_xlfn.XLOOKUP(tbDensity[[#This Row],[Item]],Calories[Name],Calories[Fibre])*100</f>
        <v>1.3</v>
      </c>
      <c r="G12" s="113">
        <f>(tbDensity[[#This Row],[Carb / 100g]]-tbDensity[[#This Row],[Fibre / 100g]])</f>
        <v>22.27</v>
      </c>
      <c r="H12" s="71">
        <f>_xlfn.XLOOKUP(tbDensity[[#This Row],[Item]],Calories[Name],Calories[Sodium])* 100</f>
        <v>168</v>
      </c>
      <c r="I12" s="71">
        <f>_xlfn.XLOOKUP(tbDensity[[#This Row],[Item]],Calories[Name],Calories[Protein]) * 100</f>
        <v>3.5000000000000004</v>
      </c>
      <c r="J12" s="103">
        <f>_xlfn.XLOOKUP(tbDensity[[#This Row],[Item]],Calories[Name],Calories[Chol.]) * 100</f>
        <v>0</v>
      </c>
    </row>
    <row r="13" spans="2:10" s="66" customFormat="1" ht="25.15" customHeight="1">
      <c r="B13" s="78" t="s">
        <v>135</v>
      </c>
      <c r="C13" s="76" t="str">
        <f>VLOOKUP(tbDensity[[#This Row],[Item]],Calories[],2,FALSE)</f>
        <v>g</v>
      </c>
      <c r="D13" s="65">
        <f>_xlfn.XLOOKUP(tbDensity[[#This Row],[Item]],Calories[Name],Calories[Cals])*100</f>
        <v>123</v>
      </c>
      <c r="E13" s="71">
        <f>_xlfn.XLOOKUP(tbDensity[[#This Row],[Item]],Calories[Name],Calories[Carbs])*100</f>
        <v>28.22</v>
      </c>
      <c r="F13" s="71">
        <f>_xlfn.XLOOKUP(tbDensity[[#This Row],[Item]],Calories[Name],Calories[Fibre])*100</f>
        <v>3.8</v>
      </c>
      <c r="G13" s="113">
        <f>(tbDensity[[#This Row],[Carb / 100g]]-tbDensity[[#This Row],[Fibre / 100g]])</f>
        <v>24.419999999999998</v>
      </c>
      <c r="H13" s="71">
        <f>_xlfn.XLOOKUP(tbDensity[[#This Row],[Item]],Calories[Name],Calories[Sodium])* 100</f>
        <v>3</v>
      </c>
      <c r="I13" s="71">
        <f>_xlfn.XLOOKUP(tbDensity[[#This Row],[Item]],Calories[Name],Calories[Protein]) * 100</f>
        <v>2.2599999999999998</v>
      </c>
      <c r="J13" s="103">
        <f>_xlfn.XLOOKUP(tbDensity[[#This Row],[Item]],Calories[Name],Calories[Chol.]) * 100</f>
        <v>0</v>
      </c>
    </row>
    <row r="14" spans="2:10" s="66" customFormat="1" ht="25.15" customHeight="1">
      <c r="B14" s="64" t="s">
        <v>167</v>
      </c>
      <c r="C14" s="76" t="str">
        <f>VLOOKUP(tbDensity[[#This Row],[Item]],Calories[],2,FALSE)</f>
        <v>g</v>
      </c>
      <c r="D14" s="65">
        <f>_xlfn.XLOOKUP(tbDensity[[#This Row],[Item]],Calories[Name],Calories[Cals])*100</f>
        <v>560.71428571428567</v>
      </c>
      <c r="E14" s="65">
        <f>_xlfn.XLOOKUP(tbDensity[[#This Row],[Item]],Calories[Name],Calories[Carbs])*100</f>
        <v>30.714285714285712</v>
      </c>
      <c r="F14" s="65">
        <f>_xlfn.XLOOKUP(tbDensity[[#This Row],[Item]],Calories[Name],Calories[Fibre])*100</f>
        <v>3.2142857142857149</v>
      </c>
      <c r="G14" s="113">
        <f>(tbDensity[[#This Row],[Carb / 100g]]-tbDensity[[#This Row],[Fibre / 100g]])</f>
        <v>27.499999999999996</v>
      </c>
      <c r="H14" s="88">
        <f>_xlfn.XLOOKUP(tbDensity[[#This Row],[Item]],Calories[Name],Calories[Sodium])* 100</f>
        <v>36.428571428571423</v>
      </c>
      <c r="I14" s="88">
        <f>_xlfn.XLOOKUP(tbDensity[[#This Row],[Item]],Calories[Name],Calories[Protein]) * 100</f>
        <v>18.571428571428573</v>
      </c>
      <c r="J14" s="65">
        <f>_xlfn.XLOOKUP(tbDensity[[#This Row],[Item]],Calories[Name],Calories[Chol.]) * 100</f>
        <v>0</v>
      </c>
    </row>
    <row r="15" spans="2:10" s="66" customFormat="1" ht="25.15" customHeight="1">
      <c r="B15" s="78" t="s">
        <v>353</v>
      </c>
      <c r="C15" s="76" t="str">
        <f>VLOOKUP(tbDensity[[#This Row],[Item]],Calories[],2,FALSE)</f>
        <v>g</v>
      </c>
      <c r="D15" s="65">
        <f>_xlfn.XLOOKUP(tbDensity[[#This Row],[Item]],Calories[Name],Calories[Cals])*100</f>
        <v>129.74683544303798</v>
      </c>
      <c r="E15" s="71">
        <f>_xlfn.XLOOKUP(tbDensity[[#This Row],[Item]],Calories[Name],Calories[Carbs])*100</f>
        <v>28.481012658227851</v>
      </c>
      <c r="F15" s="71">
        <f>_xlfn.XLOOKUP(tbDensity[[#This Row],[Item]],Calories[Name],Calories[Fibre])*100</f>
        <v>0.37974683544303794</v>
      </c>
      <c r="G15" s="113">
        <f>(tbDensity[[#This Row],[Carb / 100g]]-tbDensity[[#This Row],[Fibre / 100g]])</f>
        <v>28.101265822784814</v>
      </c>
      <c r="H15" s="71">
        <f>_xlfn.XLOOKUP(tbDensity[[#This Row],[Item]],Calories[Name],Calories[Sodium])* 100</f>
        <v>1.0126582278481013</v>
      </c>
      <c r="I15" s="71">
        <f>_xlfn.XLOOKUP(tbDensity[[#This Row],[Item]],Calories[Name],Calories[Protein]) * 100</f>
        <v>2.721518987341772</v>
      </c>
      <c r="J15" s="103">
        <f>_xlfn.XLOOKUP(tbDensity[[#This Row],[Item]],Calories[Name],Calories[Chol.]) * 100</f>
        <v>0</v>
      </c>
    </row>
    <row r="16" spans="2:10" s="66" customFormat="1" ht="25.15" customHeight="1">
      <c r="B16" s="78" t="s">
        <v>317</v>
      </c>
      <c r="C16" s="76" t="str">
        <f>VLOOKUP(tbDensity[[#This Row],[Item]],Calories[],2,FALSE)</f>
        <v>g</v>
      </c>
      <c r="D16" s="65">
        <f>_xlfn.XLOOKUP(tbDensity[[#This Row],[Item]],Calories[Name],Calories[Cals])*100</f>
        <v>157.14285714285714</v>
      </c>
      <c r="E16" s="71">
        <f>_xlfn.XLOOKUP(tbDensity[[#This Row],[Item]],Calories[Name],Calories[Carbs])*100</f>
        <v>30.714285714285715</v>
      </c>
      <c r="F16" s="71">
        <f>_xlfn.XLOOKUP(tbDensity[[#This Row],[Item]],Calories[Name],Calories[Fibre])*100</f>
        <v>2.1428571428571428</v>
      </c>
      <c r="G16" s="113">
        <f>(tbDensity[[#This Row],[Carb / 100g]]-tbDensity[[#This Row],[Fibre / 100g]])</f>
        <v>28.571428571428573</v>
      </c>
      <c r="H16" s="71">
        <f>_xlfn.XLOOKUP(tbDensity[[#This Row],[Item]],Calories[Name],Calories[Sodium])* 100</f>
        <v>130.71428571428572</v>
      </c>
      <c r="I16" s="71">
        <f>_xlfn.XLOOKUP(tbDensity[[#This Row],[Item]],Calories[Name],Calories[Protein]) * 100</f>
        <v>5.7142857142857144</v>
      </c>
      <c r="J16" s="103">
        <f>_xlfn.XLOOKUP(tbDensity[[#This Row],[Item]],Calories[Name],Calories[Chol.]) * 100</f>
        <v>0</v>
      </c>
    </row>
    <row r="17" spans="2:10" s="66" customFormat="1" ht="25.15" customHeight="1">
      <c r="B17" s="78" t="s">
        <v>386</v>
      </c>
      <c r="C17" s="76" t="str">
        <f>VLOOKUP(tbDensity[[#This Row],[Item]],Calories[],2,FALSE)</f>
        <v>g</v>
      </c>
      <c r="D17" s="65">
        <f>_xlfn.XLOOKUP(tbDensity[[#This Row],[Item]],Calories[Name],Calories[Cals])*100</f>
        <v>165</v>
      </c>
      <c r="E17" s="71">
        <f>_xlfn.XLOOKUP(tbDensity[[#This Row],[Item]],Calories[Name],Calories[Carbs])*100</f>
        <v>38.119999999999997</v>
      </c>
      <c r="F17" s="71">
        <f>_xlfn.XLOOKUP(tbDensity[[#This Row],[Item]],Calories[Name],Calories[Fibre])*100</f>
        <v>6.3</v>
      </c>
      <c r="G17" s="113">
        <f>(tbDensity[[#This Row],[Carb / 100g]]-tbDensity[[#This Row],[Fibre / 100g]])</f>
        <v>31.819999999999997</v>
      </c>
      <c r="H17" s="71">
        <f>_xlfn.XLOOKUP(tbDensity[[#This Row],[Item]],Calories[Name],Calories[Sodium])* 100</f>
        <v>416</v>
      </c>
      <c r="I17" s="71">
        <f>_xlfn.XLOOKUP(tbDensity[[#This Row],[Item]],Calories[Name],Calories[Protein]) * 100</f>
        <v>3.65</v>
      </c>
      <c r="J17" s="103">
        <f>_xlfn.XLOOKUP(tbDensity[[#This Row],[Item]],Calories[Name],Calories[Chol.]) * 100</f>
        <v>0</v>
      </c>
    </row>
    <row r="18" spans="2:10" s="66" customFormat="1" ht="25.15" customHeight="1">
      <c r="B18" s="78" t="s">
        <v>330</v>
      </c>
      <c r="C18" s="76" t="str">
        <f>VLOOKUP(tbDensity[[#This Row],[Item]],Calories[],2,FALSE)</f>
        <v>g</v>
      </c>
      <c r="D18" s="65">
        <f>_xlfn.XLOOKUP(tbDensity[[#This Row],[Item]],Calories[Name],Calories[Cals])*100</f>
        <v>154.67625899280574</v>
      </c>
      <c r="E18" s="71">
        <f>_xlfn.XLOOKUP(tbDensity[[#This Row],[Item]],Calories[Name],Calories[Carbs])*100</f>
        <v>41.726618705035975</v>
      </c>
      <c r="F18" s="71">
        <f>_xlfn.XLOOKUP(tbDensity[[#This Row],[Item]],Calories[Name],Calories[Fibre])*100</f>
        <v>2.1582733812949639</v>
      </c>
      <c r="G18" s="113">
        <f>(tbDensity[[#This Row],[Carb / 100g]]-tbDensity[[#This Row],[Fibre / 100g]])</f>
        <v>39.568345323741013</v>
      </c>
      <c r="H18" s="71">
        <f>_xlfn.XLOOKUP(tbDensity[[#This Row],[Item]],Calories[Name],Calories[Sodium])* 100</f>
        <v>0</v>
      </c>
      <c r="I18" s="71">
        <f>_xlfn.XLOOKUP(tbDensity[[#This Row],[Item]],Calories[Name],Calories[Protein]) * 100</f>
        <v>1.4388489208633095</v>
      </c>
      <c r="J18" s="103">
        <f>_xlfn.XLOOKUP(tbDensity[[#This Row],[Item]],Calories[Name],Calories[Chol.]) * 100</f>
        <v>0</v>
      </c>
    </row>
    <row r="19" spans="2:10" s="66" customFormat="1" ht="25.15" customHeight="1">
      <c r="B19" s="78" t="s">
        <v>239</v>
      </c>
      <c r="C19" s="76" t="str">
        <f>VLOOKUP(tbDensity[[#This Row],[Item]],Calories[],2,FALSE)</f>
        <v>g</v>
      </c>
      <c r="D19" s="65">
        <f>_xlfn.XLOOKUP(tbDensity[[#This Row],[Item]],Calories[Name],Calories[Cals])*100</f>
        <v>337</v>
      </c>
      <c r="E19" s="71">
        <f>_xlfn.XLOOKUP(tbDensity[[#This Row],[Item]],Calories[Name],Calories[Carbs])*100</f>
        <v>71</v>
      </c>
      <c r="F19" s="71">
        <f>_xlfn.XLOOKUP(tbDensity[[#This Row],[Item]],Calories[Name],Calories[Fibre])*100</f>
        <v>11</v>
      </c>
      <c r="G19" s="113">
        <f>(tbDensity[[#This Row],[Carb / 100g]]-tbDensity[[#This Row],[Fibre / 100g]])</f>
        <v>60</v>
      </c>
      <c r="H19" s="71">
        <f>_xlfn.XLOOKUP(tbDensity[[#This Row],[Item]],Calories[Name],Calories[Sodium])* 100</f>
        <v>5</v>
      </c>
      <c r="I19" s="71">
        <f>_xlfn.XLOOKUP(tbDensity[[#This Row],[Item]],Calories[Name],Calories[Protein]) * 100</f>
        <v>15</v>
      </c>
      <c r="J19" s="103">
        <f>_xlfn.XLOOKUP(tbDensity[[#This Row],[Item]],Calories[Name],Calories[Chol.]) * 100</f>
        <v>0</v>
      </c>
    </row>
    <row r="20" spans="2:10" s="66" customFormat="1" ht="25.15" customHeight="1">
      <c r="B20" s="64"/>
      <c r="C20" s="76" t="e">
        <f>VLOOKUP(tbDensity[[#This Row],[Item]],Calories[],2,FALSE)</f>
        <v>#N/A</v>
      </c>
      <c r="D20" s="65" t="e">
        <f>_xlfn.XLOOKUP(tbDensity[[#This Row],[Item]],Calories[Name],Calories[Cals])*100</f>
        <v>#N/A</v>
      </c>
      <c r="E20" s="71" t="e">
        <f>_xlfn.XLOOKUP(tbDensity[[#This Row],[Item]],Calories[Name],Calories[Carbs])*100</f>
        <v>#N/A</v>
      </c>
      <c r="F20" s="71" t="e">
        <f>_xlfn.XLOOKUP(tbDensity[[#This Row],[Item]],Calories[Name],Calories[Fibre])*100</f>
        <v>#N/A</v>
      </c>
      <c r="G20" s="113" t="e">
        <f>(tbDensity[[#This Row],[Carb / 100g]]-tbDensity[[#This Row],[Fibre / 100g]])</f>
        <v>#N/A</v>
      </c>
      <c r="H20" s="71" t="e">
        <f>_xlfn.XLOOKUP(tbDensity[[#This Row],[Item]],Calories[Name],Calories[Sodium])* 100</f>
        <v>#N/A</v>
      </c>
      <c r="I20" s="71" t="e">
        <f>_xlfn.XLOOKUP(tbDensity[[#This Row],[Item]],Calories[Name],Calories[Protein]) * 100</f>
        <v>#N/A</v>
      </c>
      <c r="J20" s="103" t="e">
        <f>_xlfn.XLOOKUP(tbDensity[[#This Row],[Item]],Calories[Name],Calories[Chol.]) * 100</f>
        <v>#N/A</v>
      </c>
    </row>
    <row r="21" spans="2:10" s="66" customFormat="1" ht="25.15" customHeight="1">
      <c r="B21" s="64"/>
      <c r="C21" s="76" t="e">
        <f>VLOOKUP(tbDensity[[#This Row],[Item]],Calories[],2,FALSE)</f>
        <v>#N/A</v>
      </c>
      <c r="D21" s="65" t="e">
        <f>_xlfn.XLOOKUP(tbDensity[[#This Row],[Item]],Calories[Name],Calories[Cals])*100</f>
        <v>#N/A</v>
      </c>
      <c r="E21" s="71" t="e">
        <f>_xlfn.XLOOKUP(tbDensity[[#This Row],[Item]],Calories[Name],Calories[Carbs])*100</f>
        <v>#N/A</v>
      </c>
      <c r="F21" s="71" t="e">
        <f>_xlfn.XLOOKUP(tbDensity[[#This Row],[Item]],Calories[Name],Calories[Fibre])*100</f>
        <v>#N/A</v>
      </c>
      <c r="G21" s="113" t="e">
        <f>(tbDensity[[#This Row],[Carb / 100g]]-tbDensity[[#This Row],[Fibre / 100g]])</f>
        <v>#N/A</v>
      </c>
      <c r="H21" s="71" t="e">
        <f>_xlfn.XLOOKUP(tbDensity[[#This Row],[Item]],Calories[Name],Calories[Sodium])* 100</f>
        <v>#N/A</v>
      </c>
      <c r="I21" s="71" t="e">
        <f>_xlfn.XLOOKUP(tbDensity[[#This Row],[Item]],Calories[Name],Calories[Protein]) * 100</f>
        <v>#N/A</v>
      </c>
      <c r="J21" s="103" t="e">
        <f>_xlfn.XLOOKUP(tbDensity[[#This Row],[Item]],Calories[Name],Calories[Chol.]) * 100</f>
        <v>#N/A</v>
      </c>
    </row>
    <row r="22" spans="2:10" s="66" customFormat="1" ht="25.15" customHeight="1">
      <c r="B22" s="78"/>
      <c r="C22" s="76" t="e">
        <f>VLOOKUP(tbDensity[[#This Row],[Item]],Calories[],2,FALSE)</f>
        <v>#N/A</v>
      </c>
      <c r="D22" s="65" t="e">
        <f>_xlfn.XLOOKUP(tbDensity[[#This Row],[Item]],Calories[Name],Calories[Cals])*100</f>
        <v>#N/A</v>
      </c>
      <c r="E22" s="71" t="e">
        <f>_xlfn.XLOOKUP(tbDensity[[#This Row],[Item]],Calories[Name],Calories[Carbs])*100</f>
        <v>#N/A</v>
      </c>
      <c r="F22" s="71" t="e">
        <f>_xlfn.XLOOKUP(tbDensity[[#This Row],[Item]],Calories[Name],Calories[Fibre])*100</f>
        <v>#N/A</v>
      </c>
      <c r="G22" s="113" t="e">
        <f>(tbDensity[[#This Row],[Carb / 100g]]-tbDensity[[#This Row],[Fibre / 100g]])</f>
        <v>#N/A</v>
      </c>
      <c r="H22" s="71" t="e">
        <f>_xlfn.XLOOKUP(tbDensity[[#This Row],[Item]],Calories[Name],Calories[Sodium])* 100</f>
        <v>#N/A</v>
      </c>
      <c r="I22" s="71" t="e">
        <f>_xlfn.XLOOKUP(tbDensity[[#This Row],[Item]],Calories[Name],Calories[Protein]) * 100</f>
        <v>#N/A</v>
      </c>
      <c r="J22" s="103" t="e">
        <f>_xlfn.XLOOKUP(tbDensity[[#This Row],[Item]],Calories[Name],Calories[Chol.]) * 100</f>
        <v>#N/A</v>
      </c>
    </row>
    <row r="23" spans="2:10" s="66" customFormat="1" ht="25.15" customHeight="1">
      <c r="B23" s="78"/>
      <c r="C23" s="76" t="e">
        <f>VLOOKUP(tbDensity[[#This Row],[Item]],Calories[],2,FALSE)</f>
        <v>#N/A</v>
      </c>
      <c r="D23" s="65" t="e">
        <f>_xlfn.XLOOKUP(tbDensity[[#This Row],[Item]],Calories[Name],Calories[Cals])*100</f>
        <v>#N/A</v>
      </c>
      <c r="E23" s="71" t="e">
        <f>_xlfn.XLOOKUP(tbDensity[[#This Row],[Item]],Calories[Name],Calories[Carbs])*100</f>
        <v>#N/A</v>
      </c>
      <c r="F23" s="71" t="e">
        <f>_xlfn.XLOOKUP(tbDensity[[#This Row],[Item]],Calories[Name],Calories[Fibre])*100</f>
        <v>#N/A</v>
      </c>
      <c r="G23" s="113" t="e">
        <f>(tbDensity[[#This Row],[Carb / 100g]]-tbDensity[[#This Row],[Fibre / 100g]])</f>
        <v>#N/A</v>
      </c>
      <c r="H23" s="71" t="e">
        <f>_xlfn.XLOOKUP(tbDensity[[#This Row],[Item]],Calories[Name],Calories[Sodium])* 100</f>
        <v>#N/A</v>
      </c>
      <c r="I23" s="71" t="e">
        <f>_xlfn.XLOOKUP(tbDensity[[#This Row],[Item]],Calories[Name],Calories[Protein]) * 100</f>
        <v>#N/A</v>
      </c>
      <c r="J23" s="103" t="e">
        <f>_xlfn.XLOOKUP(tbDensity[[#This Row],[Item]],Calories[Name],Calories[Chol.]) * 100</f>
        <v>#N/A</v>
      </c>
    </row>
    <row r="24" spans="2:10" s="66" customFormat="1" ht="25.15" customHeight="1">
      <c r="B24" s="78"/>
      <c r="C24" s="76" t="e">
        <f>VLOOKUP(tbDensity[[#This Row],[Item]],Calories[],2,FALSE)</f>
        <v>#N/A</v>
      </c>
      <c r="D24" s="65" t="e">
        <f>_xlfn.XLOOKUP(tbDensity[[#This Row],[Item]],Calories[Name],Calories[Cals])*100</f>
        <v>#N/A</v>
      </c>
      <c r="E24" s="71" t="e">
        <f>_xlfn.XLOOKUP(tbDensity[[#This Row],[Item]],Calories[Name],Calories[Carbs])*100</f>
        <v>#N/A</v>
      </c>
      <c r="F24" s="71" t="e">
        <f>_xlfn.XLOOKUP(tbDensity[[#This Row],[Item]],Calories[Name],Calories[Fibre])*100</f>
        <v>#N/A</v>
      </c>
      <c r="G24" s="113" t="e">
        <f>(tbDensity[[#This Row],[Carb / 100g]]-tbDensity[[#This Row],[Fibre / 100g]])</f>
        <v>#N/A</v>
      </c>
      <c r="H24" s="71" t="e">
        <f>_xlfn.XLOOKUP(tbDensity[[#This Row],[Item]],Calories[Name],Calories[Sodium])* 100</f>
        <v>#N/A</v>
      </c>
      <c r="I24" s="71" t="e">
        <f>_xlfn.XLOOKUP(tbDensity[[#This Row],[Item]],Calories[Name],Calories[Protein]) * 100</f>
        <v>#N/A</v>
      </c>
      <c r="J24" s="103" t="e">
        <f>_xlfn.XLOOKUP(tbDensity[[#This Row],[Item]],Calories[Name],Calories[Chol.]) * 100</f>
        <v>#N/A</v>
      </c>
    </row>
    <row r="25" spans="2:10" s="66" customFormat="1" ht="25.15" customHeight="1">
      <c r="B25" s="64"/>
      <c r="C25" s="76" t="e">
        <f>VLOOKUP(tbDensity[[#This Row],[Item]],Calories[],2,FALSE)</f>
        <v>#N/A</v>
      </c>
      <c r="D25" s="65" t="e">
        <f>_xlfn.XLOOKUP(tbDensity[[#This Row],[Item]],Calories[Name],Calories[Cals])*100</f>
        <v>#N/A</v>
      </c>
      <c r="E25" s="71" t="e">
        <f>_xlfn.XLOOKUP(tbDensity[[#This Row],[Item]],Calories[Name],Calories[Carbs])*100</f>
        <v>#N/A</v>
      </c>
      <c r="F25" s="71" t="e">
        <f>_xlfn.XLOOKUP(tbDensity[[#This Row],[Item]],Calories[Name],Calories[Fibre])*100</f>
        <v>#N/A</v>
      </c>
      <c r="G25" s="113" t="e">
        <f>(tbDensity[[#This Row],[Carb / 100g]]-tbDensity[[#This Row],[Fibre / 100g]])</f>
        <v>#N/A</v>
      </c>
      <c r="H25" s="71" t="e">
        <f>_xlfn.XLOOKUP(tbDensity[[#This Row],[Item]],Calories[Name],Calories[Sodium])* 100</f>
        <v>#N/A</v>
      </c>
      <c r="I25" s="71" t="e">
        <f>_xlfn.XLOOKUP(tbDensity[[#This Row],[Item]],Calories[Name],Calories[Protein]) * 100</f>
        <v>#N/A</v>
      </c>
      <c r="J25" s="103" t="e">
        <f>_xlfn.XLOOKUP(tbDensity[[#This Row],[Item]],Calories[Name],Calories[Chol.]) * 100</f>
        <v>#N/A</v>
      </c>
    </row>
    <row r="26" spans="2:10" s="66" customFormat="1" ht="25.15" customHeight="1">
      <c r="B26" s="64"/>
      <c r="C26" s="76" t="e">
        <f>VLOOKUP(tbDensity[[#This Row],[Item]],Calories[],2,FALSE)</f>
        <v>#N/A</v>
      </c>
      <c r="D26" s="65" t="e">
        <f>_xlfn.XLOOKUP(tbDensity[[#This Row],[Item]],Calories[Name],Calories[Cals])*100</f>
        <v>#N/A</v>
      </c>
      <c r="E26" s="71" t="e">
        <f>_xlfn.XLOOKUP(tbDensity[[#This Row],[Item]],Calories[Name],Calories[Carbs])*100</f>
        <v>#N/A</v>
      </c>
      <c r="F26" s="71" t="e">
        <f>_xlfn.XLOOKUP(tbDensity[[#This Row],[Item]],Calories[Name],Calories[Fibre])*100</f>
        <v>#N/A</v>
      </c>
      <c r="G26" s="113" t="e">
        <f>(tbDensity[[#This Row],[Carb / 100g]]-tbDensity[[#This Row],[Fibre / 100g]])</f>
        <v>#N/A</v>
      </c>
      <c r="H26" s="71" t="e">
        <f>_xlfn.XLOOKUP(tbDensity[[#This Row],[Item]],Calories[Name],Calories[Sodium])* 100</f>
        <v>#N/A</v>
      </c>
      <c r="I26" s="71" t="e">
        <f>_xlfn.XLOOKUP(tbDensity[[#This Row],[Item]],Calories[Name],Calories[Protein]) * 100</f>
        <v>#N/A</v>
      </c>
      <c r="J26" s="103" t="e">
        <f>_xlfn.XLOOKUP(tbDensity[[#This Row],[Item]],Calories[Name],Calories[Chol.]) * 100</f>
        <v>#N/A</v>
      </c>
    </row>
    <row r="27" spans="2:10" s="66" customFormat="1" ht="25.15" customHeight="1">
      <c r="B27" s="78"/>
      <c r="C27" s="76" t="e">
        <f>VLOOKUP(tbDensity[[#This Row],[Item]],Calories[],2,FALSE)</f>
        <v>#N/A</v>
      </c>
      <c r="D27" s="65" t="e">
        <f>_xlfn.XLOOKUP(tbDensity[[#This Row],[Item]],Calories[Name],Calories[Cals])*100</f>
        <v>#N/A</v>
      </c>
      <c r="E27" s="71" t="e">
        <f>_xlfn.XLOOKUP(tbDensity[[#This Row],[Item]],Calories[Name],Calories[Carbs])*100</f>
        <v>#N/A</v>
      </c>
      <c r="F27" s="71" t="e">
        <f>_xlfn.XLOOKUP(tbDensity[[#This Row],[Item]],Calories[Name],Calories[Fibre])*100</f>
        <v>#N/A</v>
      </c>
      <c r="G27" s="113" t="e">
        <f>(tbDensity[[#This Row],[Carb / 100g]]-tbDensity[[#This Row],[Fibre / 100g]])</f>
        <v>#N/A</v>
      </c>
      <c r="H27" s="71" t="e">
        <f>_xlfn.XLOOKUP(tbDensity[[#This Row],[Item]],Calories[Name],Calories[Sodium])* 100</f>
        <v>#N/A</v>
      </c>
      <c r="I27" s="71" t="e">
        <f>_xlfn.XLOOKUP(tbDensity[[#This Row],[Item]],Calories[Name],Calories[Protein]) * 100</f>
        <v>#N/A</v>
      </c>
      <c r="J27" s="103" t="e">
        <f>_xlfn.XLOOKUP(tbDensity[[#This Row],[Item]],Calories[Name],Calories[Chol.]) * 100</f>
        <v>#N/A</v>
      </c>
    </row>
    <row r="28" spans="2:10" s="66" customFormat="1" ht="25.15" customHeight="1">
      <c r="B28" s="78"/>
      <c r="C28" s="76" t="e">
        <f>VLOOKUP(tbDensity[[#This Row],[Item]],Calories[],2,FALSE)</f>
        <v>#N/A</v>
      </c>
      <c r="D28" s="65" t="e">
        <f>_xlfn.XLOOKUP(tbDensity[[#This Row],[Item]],Calories[Name],Calories[Cals])*100</f>
        <v>#N/A</v>
      </c>
      <c r="E28" s="71" t="e">
        <f>_xlfn.XLOOKUP(tbDensity[[#This Row],[Item]],Calories[Name],Calories[Carbs])*100</f>
        <v>#N/A</v>
      </c>
      <c r="F28" s="71" t="e">
        <f>_xlfn.XLOOKUP(tbDensity[[#This Row],[Item]],Calories[Name],Calories[Fibre])*100</f>
        <v>#N/A</v>
      </c>
      <c r="G28" s="113" t="e">
        <f>(tbDensity[[#This Row],[Carb / 100g]]-tbDensity[[#This Row],[Fibre / 100g]])</f>
        <v>#N/A</v>
      </c>
      <c r="H28" s="71" t="e">
        <f>_xlfn.XLOOKUP(tbDensity[[#This Row],[Item]],Calories[Name],Calories[Sodium])* 100</f>
        <v>#N/A</v>
      </c>
      <c r="I28" s="71" t="e">
        <f>_xlfn.XLOOKUP(tbDensity[[#This Row],[Item]],Calories[Name],Calories[Protein]) * 100</f>
        <v>#N/A</v>
      </c>
      <c r="J28" s="103" t="e">
        <f>_xlfn.XLOOKUP(tbDensity[[#This Row],[Item]],Calories[Name],Calories[Chol.]) * 100</f>
        <v>#N/A</v>
      </c>
    </row>
    <row r="29" spans="2:10" s="66" customFormat="1" ht="25.15" customHeight="1">
      <c r="B29" s="64"/>
      <c r="C29" s="76" t="e">
        <f>VLOOKUP(tbDensity[[#This Row],[Item]],Calories[],2,FALSE)</f>
        <v>#N/A</v>
      </c>
      <c r="D29" s="65" t="e">
        <f>_xlfn.XLOOKUP(tbDensity[[#This Row],[Item]],Calories[Name],Calories[Cals])*100</f>
        <v>#N/A</v>
      </c>
      <c r="E29" s="71" t="e">
        <f>_xlfn.XLOOKUP(tbDensity[[#This Row],[Item]],Calories[Name],Calories[Carbs])*100</f>
        <v>#N/A</v>
      </c>
      <c r="F29" s="71" t="e">
        <f>_xlfn.XLOOKUP(tbDensity[[#This Row],[Item]],Calories[Name],Calories[Fibre])*100</f>
        <v>#N/A</v>
      </c>
      <c r="G29" s="113" t="e">
        <f>(tbDensity[[#This Row],[Carb / 100g]]-tbDensity[[#This Row],[Fibre / 100g]])</f>
        <v>#N/A</v>
      </c>
      <c r="H29" s="71" t="e">
        <f>_xlfn.XLOOKUP(tbDensity[[#This Row],[Item]],Calories[Name],Calories[Sodium])* 100</f>
        <v>#N/A</v>
      </c>
      <c r="I29" s="71" t="e">
        <f>_xlfn.XLOOKUP(tbDensity[[#This Row],[Item]],Calories[Name],Calories[Protein]) * 100</f>
        <v>#N/A</v>
      </c>
      <c r="J29" s="103" t="e">
        <f>_xlfn.XLOOKUP(tbDensity[[#This Row],[Item]],Calories[Name],Calories[Chol.]) * 100</f>
        <v>#N/A</v>
      </c>
    </row>
    <row r="30" spans="2:10" s="66" customFormat="1" ht="25.15" customHeight="1">
      <c r="B30" s="64"/>
      <c r="C30" s="76" t="e">
        <f>VLOOKUP(tbDensity[[#This Row],[Item]],Calories[],2,FALSE)</f>
        <v>#N/A</v>
      </c>
      <c r="D30" s="65" t="e">
        <f>_xlfn.XLOOKUP(tbDensity[[#This Row],[Item]],Calories[Name],Calories[Cals])*100</f>
        <v>#N/A</v>
      </c>
      <c r="E30" s="71" t="e">
        <f>_xlfn.XLOOKUP(tbDensity[[#This Row],[Item]],Calories[Name],Calories[Carbs])*100</f>
        <v>#N/A</v>
      </c>
      <c r="F30" s="71" t="e">
        <f>_xlfn.XLOOKUP(tbDensity[[#This Row],[Item]],Calories[Name],Calories[Fibre])*100</f>
        <v>#N/A</v>
      </c>
      <c r="G30" s="113" t="e">
        <f>(tbDensity[[#This Row],[Carb / 100g]]-tbDensity[[#This Row],[Fibre / 100g]])</f>
        <v>#N/A</v>
      </c>
      <c r="H30" s="71" t="e">
        <f>_xlfn.XLOOKUP(tbDensity[[#This Row],[Item]],Calories[Name],Calories[Sodium])* 100</f>
        <v>#N/A</v>
      </c>
      <c r="I30" s="71" t="e">
        <f>_xlfn.XLOOKUP(tbDensity[[#This Row],[Item]],Calories[Name],Calories[Protein]) * 100</f>
        <v>#N/A</v>
      </c>
      <c r="J30" s="103" t="e">
        <f>_xlfn.XLOOKUP(tbDensity[[#This Row],[Item]],Calories[Name],Calories[Chol.]) * 100</f>
        <v>#N/A</v>
      </c>
    </row>
    <row r="31" spans="2:10" s="66" customFormat="1" ht="25.15" customHeight="1">
      <c r="B31" s="78"/>
      <c r="C31" s="76" t="e">
        <f>VLOOKUP(tbDensity[[#This Row],[Item]],Calories[],2,FALSE)</f>
        <v>#N/A</v>
      </c>
      <c r="D31" s="65" t="e">
        <f>_xlfn.XLOOKUP(tbDensity[[#This Row],[Item]],Calories[Name],Calories[Cals])*100</f>
        <v>#N/A</v>
      </c>
      <c r="E31" s="71" t="e">
        <f>_xlfn.XLOOKUP(tbDensity[[#This Row],[Item]],Calories[Name],Calories[Carbs])*100</f>
        <v>#N/A</v>
      </c>
      <c r="F31" s="71" t="e">
        <f>_xlfn.XLOOKUP(tbDensity[[#This Row],[Item]],Calories[Name],Calories[Fibre])*100</f>
        <v>#N/A</v>
      </c>
      <c r="G31" s="113" t="e">
        <f>(tbDensity[[#This Row],[Carb / 100g]]-tbDensity[[#This Row],[Fibre / 100g]])</f>
        <v>#N/A</v>
      </c>
      <c r="H31" s="71" t="e">
        <f>_xlfn.XLOOKUP(tbDensity[[#This Row],[Item]],Calories[Name],Calories[Sodium])* 100</f>
        <v>#N/A</v>
      </c>
      <c r="I31" s="71" t="e">
        <f>_xlfn.XLOOKUP(tbDensity[[#This Row],[Item]],Calories[Name],Calories[Protein]) * 100</f>
        <v>#N/A</v>
      </c>
      <c r="J31" s="103" t="e">
        <f>_xlfn.XLOOKUP(tbDensity[[#This Row],[Item]],Calories[Name],Calories[Chol.]) * 100</f>
        <v>#N/A</v>
      </c>
    </row>
    <row r="32" spans="2:10" s="66" customFormat="1" ht="25.15" customHeight="1">
      <c r="B32" s="78"/>
      <c r="C32" s="76" t="e">
        <f>VLOOKUP(tbDensity[[#This Row],[Item]],Calories[],2,FALSE)</f>
        <v>#N/A</v>
      </c>
      <c r="D32" s="65" t="e">
        <f>_xlfn.XLOOKUP(tbDensity[[#This Row],[Item]],Calories[Name],Calories[Cals])*100</f>
        <v>#N/A</v>
      </c>
      <c r="E32" s="71" t="e">
        <f>_xlfn.XLOOKUP(tbDensity[[#This Row],[Item]],Calories[Name],Calories[Carbs])*100</f>
        <v>#N/A</v>
      </c>
      <c r="F32" s="71" t="e">
        <f>_xlfn.XLOOKUP(tbDensity[[#This Row],[Item]],Calories[Name],Calories[Fibre])*100</f>
        <v>#N/A</v>
      </c>
      <c r="G32" s="113" t="e">
        <f>(tbDensity[[#This Row],[Carb / 100g]]-tbDensity[[#This Row],[Fibre / 100g]])</f>
        <v>#N/A</v>
      </c>
      <c r="H32" s="71" t="e">
        <f>_xlfn.XLOOKUP(tbDensity[[#This Row],[Item]],Calories[Name],Calories[Sodium])* 100</f>
        <v>#N/A</v>
      </c>
      <c r="I32" s="71" t="e">
        <f>_xlfn.XLOOKUP(tbDensity[[#This Row],[Item]],Calories[Name],Calories[Protein]) * 100</f>
        <v>#N/A</v>
      </c>
      <c r="J32" s="103" t="e">
        <f>_xlfn.XLOOKUP(tbDensity[[#This Row],[Item]],Calories[Name],Calories[Chol.]) * 100</f>
        <v>#N/A</v>
      </c>
    </row>
    <row r="33" spans="2:10" s="66" customFormat="1" ht="25.15" customHeight="1">
      <c r="B33" s="64"/>
      <c r="C33" s="76" t="e">
        <f>VLOOKUP(tbDensity[[#This Row],[Item]],Calories[],2,FALSE)</f>
        <v>#N/A</v>
      </c>
      <c r="D33" s="65" t="e">
        <f>_xlfn.XLOOKUP(tbDensity[[#This Row],[Item]],Calories[Name],Calories[Cals])*100</f>
        <v>#N/A</v>
      </c>
      <c r="E33" s="71" t="e">
        <f>_xlfn.XLOOKUP(tbDensity[[#This Row],[Item]],Calories[Name],Calories[Carbs])*100</f>
        <v>#N/A</v>
      </c>
      <c r="F33" s="71" t="e">
        <f>_xlfn.XLOOKUP(tbDensity[[#This Row],[Item]],Calories[Name],Calories[Fibre])*100</f>
        <v>#N/A</v>
      </c>
      <c r="G33" s="113" t="e">
        <f>(tbDensity[[#This Row],[Carb / 100g]]-tbDensity[[#This Row],[Fibre / 100g]])</f>
        <v>#N/A</v>
      </c>
      <c r="H33" s="71" t="e">
        <f>_xlfn.XLOOKUP(tbDensity[[#This Row],[Item]],Calories[Name],Calories[Sodium])* 100</f>
        <v>#N/A</v>
      </c>
      <c r="I33" s="71" t="e">
        <f>_xlfn.XLOOKUP(tbDensity[[#This Row],[Item]],Calories[Name],Calories[Protein]) * 100</f>
        <v>#N/A</v>
      </c>
      <c r="J33" s="103" t="e">
        <f>_xlfn.XLOOKUP(tbDensity[[#This Row],[Item]],Calories[Name],Calories[Chol.]) * 100</f>
        <v>#N/A</v>
      </c>
    </row>
    <row r="34" spans="2:10" s="66" customFormat="1" ht="25.15" customHeight="1">
      <c r="B34" s="64"/>
      <c r="C34" s="76" t="e">
        <f>VLOOKUP(tbDensity[[#This Row],[Item]],Calories[],2,FALSE)</f>
        <v>#N/A</v>
      </c>
      <c r="D34" s="65" t="e">
        <f>_xlfn.XLOOKUP(tbDensity[[#This Row],[Item]],Calories[Name],Calories[Cals])*100</f>
        <v>#N/A</v>
      </c>
      <c r="E34" s="71" t="e">
        <f>_xlfn.XLOOKUP(tbDensity[[#This Row],[Item]],Calories[Name],Calories[Carbs])*100</f>
        <v>#N/A</v>
      </c>
      <c r="F34" s="71" t="e">
        <f>_xlfn.XLOOKUP(tbDensity[[#This Row],[Item]],Calories[Name],Calories[Fibre])*100</f>
        <v>#N/A</v>
      </c>
      <c r="G34" s="113" t="e">
        <f>(tbDensity[[#This Row],[Carb / 100g]]-tbDensity[[#This Row],[Fibre / 100g]])</f>
        <v>#N/A</v>
      </c>
      <c r="H34" s="71" t="e">
        <f>_xlfn.XLOOKUP(tbDensity[[#This Row],[Item]],Calories[Name],Calories[Sodium])* 100</f>
        <v>#N/A</v>
      </c>
      <c r="I34" s="71" t="e">
        <f>_xlfn.XLOOKUP(tbDensity[[#This Row],[Item]],Calories[Name],Calories[Protein]) * 100</f>
        <v>#N/A</v>
      </c>
      <c r="J34" s="103" t="e">
        <f>_xlfn.XLOOKUP(tbDensity[[#This Row],[Item]],Calories[Name],Calories[Chol.]) * 100</f>
        <v>#N/A</v>
      </c>
    </row>
    <row r="35" spans="2:10" s="66" customFormat="1" ht="25.15" customHeight="1">
      <c r="B35" s="64"/>
      <c r="C35" s="76" t="e">
        <f>VLOOKUP(tbDensity[[#This Row],[Item]],Calories[],2,FALSE)</f>
        <v>#N/A</v>
      </c>
      <c r="D35" s="65" t="e">
        <f>_xlfn.XLOOKUP(tbDensity[[#This Row],[Item]],Calories[Name],Calories[Cals])*100</f>
        <v>#N/A</v>
      </c>
      <c r="E35" s="71" t="e">
        <f>_xlfn.XLOOKUP(tbDensity[[#This Row],[Item]],Calories[Name],Calories[Carbs])*100</f>
        <v>#N/A</v>
      </c>
      <c r="F35" s="71" t="e">
        <f>_xlfn.XLOOKUP(tbDensity[[#This Row],[Item]],Calories[Name],Calories[Fibre])*100</f>
        <v>#N/A</v>
      </c>
      <c r="G35" s="113" t="e">
        <f>(tbDensity[[#This Row],[Carb / 100g]]-tbDensity[[#This Row],[Fibre / 100g]])</f>
        <v>#N/A</v>
      </c>
      <c r="H35" s="71" t="e">
        <f>_xlfn.XLOOKUP(tbDensity[[#This Row],[Item]],Calories[Name],Calories[Sodium])* 100</f>
        <v>#N/A</v>
      </c>
      <c r="I35" s="71" t="e">
        <f>_xlfn.XLOOKUP(tbDensity[[#This Row],[Item]],Calories[Name],Calories[Protein]) * 100</f>
        <v>#N/A</v>
      </c>
      <c r="J35" s="103" t="e">
        <f>_xlfn.XLOOKUP(tbDensity[[#This Row],[Item]],Calories[Name],Calories[Chol.]) * 100</f>
        <v>#N/A</v>
      </c>
    </row>
    <row r="36" spans="2:10" s="66" customFormat="1" ht="25.15" customHeight="1">
      <c r="B36" s="78"/>
      <c r="C36" s="76" t="e">
        <f>VLOOKUP(tbDensity[[#This Row],[Item]],Calories[],2,FALSE)</f>
        <v>#N/A</v>
      </c>
      <c r="D36" s="65" t="e">
        <f>_xlfn.XLOOKUP(tbDensity[[#This Row],[Item]],Calories[Name],Calories[Cals])*100</f>
        <v>#N/A</v>
      </c>
      <c r="E36" s="71" t="e">
        <f>_xlfn.XLOOKUP(tbDensity[[#This Row],[Item]],Calories[Name],Calories[Carbs])*100</f>
        <v>#N/A</v>
      </c>
      <c r="F36" s="71" t="e">
        <f>_xlfn.XLOOKUP(tbDensity[[#This Row],[Item]],Calories[Name],Calories[Fibre])*100</f>
        <v>#N/A</v>
      </c>
      <c r="G36" s="113" t="e">
        <f>(tbDensity[[#This Row],[Carb / 100g]]-tbDensity[[#This Row],[Fibre / 100g]])</f>
        <v>#N/A</v>
      </c>
      <c r="H36" s="71" t="e">
        <f>_xlfn.XLOOKUP(tbDensity[[#This Row],[Item]],Calories[Name],Calories[Sodium])* 100</f>
        <v>#N/A</v>
      </c>
      <c r="I36" s="71" t="e">
        <f>_xlfn.XLOOKUP(tbDensity[[#This Row],[Item]],Calories[Name],Calories[Protein]) * 100</f>
        <v>#N/A</v>
      </c>
      <c r="J36" s="103" t="e">
        <f>_xlfn.XLOOKUP(tbDensity[[#This Row],[Item]],Calories[Name],Calories[Chol.]) * 100</f>
        <v>#N/A</v>
      </c>
    </row>
    <row r="37" spans="2:10" s="66" customFormat="1" ht="25.15" customHeight="1">
      <c r="B37" s="78"/>
      <c r="C37" s="76" t="e">
        <f>VLOOKUP(tbDensity[[#This Row],[Item]],Calories[],2,FALSE)</f>
        <v>#N/A</v>
      </c>
      <c r="D37" s="65" t="e">
        <f>_xlfn.XLOOKUP(tbDensity[[#This Row],[Item]],Calories[Name],Calories[Cals])*100</f>
        <v>#N/A</v>
      </c>
      <c r="E37" s="71" t="e">
        <f>_xlfn.XLOOKUP(tbDensity[[#This Row],[Item]],Calories[Name],Calories[Carbs])*100</f>
        <v>#N/A</v>
      </c>
      <c r="F37" s="71" t="e">
        <f>_xlfn.XLOOKUP(tbDensity[[#This Row],[Item]],Calories[Name],Calories[Fibre])*100</f>
        <v>#N/A</v>
      </c>
      <c r="G37" s="113" t="e">
        <f>(tbDensity[[#This Row],[Carb / 100g]]-tbDensity[[#This Row],[Fibre / 100g]])</f>
        <v>#N/A</v>
      </c>
      <c r="H37" s="71" t="e">
        <f>_xlfn.XLOOKUP(tbDensity[[#This Row],[Item]],Calories[Name],Calories[Sodium])* 100</f>
        <v>#N/A</v>
      </c>
      <c r="I37" s="71" t="e">
        <f>_xlfn.XLOOKUP(tbDensity[[#This Row],[Item]],Calories[Name],Calories[Protein]) * 100</f>
        <v>#N/A</v>
      </c>
      <c r="J37" s="103" t="e">
        <f>_xlfn.XLOOKUP(tbDensity[[#This Row],[Item]],Calories[Name],Calories[Chol.]) * 100</f>
        <v>#N/A</v>
      </c>
    </row>
    <row r="38" spans="2:10" s="66" customFormat="1" ht="25.15" customHeight="1">
      <c r="B38" s="64"/>
      <c r="C38" s="76" t="e">
        <f>VLOOKUP(tbDensity[[#This Row],[Item]],Calories[],2,FALSE)</f>
        <v>#N/A</v>
      </c>
      <c r="D38" s="65" t="e">
        <f>_xlfn.XLOOKUP(tbDensity[[#This Row],[Item]],Calories[Name],Calories[Cals])*100</f>
        <v>#N/A</v>
      </c>
      <c r="E38" s="71" t="e">
        <f>_xlfn.XLOOKUP(tbDensity[[#This Row],[Item]],Calories[Name],Calories[Carbs])*100</f>
        <v>#N/A</v>
      </c>
      <c r="F38" s="71" t="e">
        <f>_xlfn.XLOOKUP(tbDensity[[#This Row],[Item]],Calories[Name],Calories[Fibre])*100</f>
        <v>#N/A</v>
      </c>
      <c r="G38" s="113" t="e">
        <f>(tbDensity[[#This Row],[Carb / 100g]]-tbDensity[[#This Row],[Fibre / 100g]])</f>
        <v>#N/A</v>
      </c>
      <c r="H38" s="71" t="e">
        <f>_xlfn.XLOOKUP(tbDensity[[#This Row],[Item]],Calories[Name],Calories[Sodium])* 100</f>
        <v>#N/A</v>
      </c>
      <c r="I38" s="71" t="e">
        <f>_xlfn.XLOOKUP(tbDensity[[#This Row],[Item]],Calories[Name],Calories[Protein]) * 100</f>
        <v>#N/A</v>
      </c>
      <c r="J38" s="103" t="e">
        <f>_xlfn.XLOOKUP(tbDensity[[#This Row],[Item]],Calories[Name],Calories[Chol.]) * 100</f>
        <v>#N/A</v>
      </c>
    </row>
    <row r="39" spans="2:10" s="66" customFormat="1" ht="25.15" customHeight="1">
      <c r="B39" s="78"/>
      <c r="C39" s="76" t="e">
        <f>VLOOKUP(tbDensity[[#This Row],[Item]],Calories[],2,FALSE)</f>
        <v>#N/A</v>
      </c>
      <c r="D39" s="65" t="e">
        <f>_xlfn.XLOOKUP(tbDensity[[#This Row],[Item]],Calories[Name],Calories[Cals])*100</f>
        <v>#N/A</v>
      </c>
      <c r="E39" s="71" t="e">
        <f>_xlfn.XLOOKUP(tbDensity[[#This Row],[Item]],Calories[Name],Calories[Carbs])*100</f>
        <v>#N/A</v>
      </c>
      <c r="F39" s="71" t="e">
        <f>_xlfn.XLOOKUP(tbDensity[[#This Row],[Item]],Calories[Name],Calories[Fibre])*100</f>
        <v>#N/A</v>
      </c>
      <c r="G39" s="113" t="e">
        <f>(tbDensity[[#This Row],[Carb / 100g]]-tbDensity[[#This Row],[Fibre / 100g]])</f>
        <v>#N/A</v>
      </c>
      <c r="H39" s="71" t="e">
        <f>_xlfn.XLOOKUP(tbDensity[[#This Row],[Item]],Calories[Name],Calories[Sodium])* 100</f>
        <v>#N/A</v>
      </c>
      <c r="I39" s="71" t="e">
        <f>_xlfn.XLOOKUP(tbDensity[[#This Row],[Item]],Calories[Name],Calories[Protein]) * 100</f>
        <v>#N/A</v>
      </c>
      <c r="J39" s="103" t="e">
        <f>_xlfn.XLOOKUP(tbDensity[[#This Row],[Item]],Calories[Name],Calories[Chol.]) * 100</f>
        <v>#N/A</v>
      </c>
    </row>
    <row r="40" spans="2:10" s="66" customFormat="1" ht="25.15" customHeight="1">
      <c r="B40" s="78"/>
      <c r="C40" s="76" t="e">
        <f>VLOOKUP(tbDensity[[#This Row],[Item]],Calories[],2,FALSE)</f>
        <v>#N/A</v>
      </c>
      <c r="D40" s="65" t="e">
        <f>_xlfn.XLOOKUP(tbDensity[[#This Row],[Item]],Calories[Name],Calories[Cals])*100</f>
        <v>#N/A</v>
      </c>
      <c r="E40" s="71" t="e">
        <f>_xlfn.XLOOKUP(tbDensity[[#This Row],[Item]],Calories[Name],Calories[Carbs])*100</f>
        <v>#N/A</v>
      </c>
      <c r="F40" s="71" t="e">
        <f>_xlfn.XLOOKUP(tbDensity[[#This Row],[Item]],Calories[Name],Calories[Fibre])*100</f>
        <v>#N/A</v>
      </c>
      <c r="G40" s="113" t="e">
        <f>(tbDensity[[#This Row],[Carb / 100g]]-tbDensity[[#This Row],[Fibre / 100g]])</f>
        <v>#N/A</v>
      </c>
      <c r="H40" s="71" t="e">
        <f>_xlfn.XLOOKUP(tbDensity[[#This Row],[Item]],Calories[Name],Calories[Sodium])* 100</f>
        <v>#N/A</v>
      </c>
      <c r="I40" s="71" t="e">
        <f>_xlfn.XLOOKUP(tbDensity[[#This Row],[Item]],Calories[Name],Calories[Protein]) * 100</f>
        <v>#N/A</v>
      </c>
      <c r="J40" s="103" t="e">
        <f>_xlfn.XLOOKUP(tbDensity[[#This Row],[Item]],Calories[Name],Calories[Chol.]) * 100</f>
        <v>#N/A</v>
      </c>
    </row>
    <row r="41" spans="2:10" s="66" customFormat="1" ht="25.15" customHeight="1">
      <c r="B41" s="78"/>
      <c r="C41" s="76" t="e">
        <f>VLOOKUP(tbDensity[[#This Row],[Item]],Calories[],2,FALSE)</f>
        <v>#N/A</v>
      </c>
      <c r="D41" s="65" t="e">
        <f>_xlfn.XLOOKUP(tbDensity[[#This Row],[Item]],Calories[Name],Calories[Cals])*100</f>
        <v>#N/A</v>
      </c>
      <c r="E41" s="71" t="e">
        <f>_xlfn.XLOOKUP(tbDensity[[#This Row],[Item]],Calories[Name],Calories[Carbs])*100</f>
        <v>#N/A</v>
      </c>
      <c r="F41" s="71" t="e">
        <f>_xlfn.XLOOKUP(tbDensity[[#This Row],[Item]],Calories[Name],Calories[Fibre])*100</f>
        <v>#N/A</v>
      </c>
      <c r="G41" s="113" t="e">
        <f>(tbDensity[[#This Row],[Carb / 100g]]-tbDensity[[#This Row],[Fibre / 100g]])</f>
        <v>#N/A</v>
      </c>
      <c r="H41" s="71" t="e">
        <f>_xlfn.XLOOKUP(tbDensity[[#This Row],[Item]],Calories[Name],Calories[Sodium])* 100</f>
        <v>#N/A</v>
      </c>
      <c r="I41" s="71" t="e">
        <f>_xlfn.XLOOKUP(tbDensity[[#This Row],[Item]],Calories[Name],Calories[Protein]) * 100</f>
        <v>#N/A</v>
      </c>
      <c r="J41" s="103" t="e">
        <f>_xlfn.XLOOKUP(tbDensity[[#This Row],[Item]],Calories[Name],Calories[Chol.]) * 100</f>
        <v>#N/A</v>
      </c>
    </row>
    <row r="42" spans="2:10" s="66" customFormat="1" ht="25.15" customHeight="1">
      <c r="B42" s="78"/>
      <c r="C42" s="76" t="e">
        <f>VLOOKUP(tbDensity[[#This Row],[Item]],Calories[],2,FALSE)</f>
        <v>#N/A</v>
      </c>
      <c r="D42" s="65" t="e">
        <f>_xlfn.XLOOKUP(tbDensity[[#This Row],[Item]],Calories[Name],Calories[Cals])*100</f>
        <v>#N/A</v>
      </c>
      <c r="E42" s="71" t="e">
        <f>_xlfn.XLOOKUP(tbDensity[[#This Row],[Item]],Calories[Name],Calories[Carbs])*100</f>
        <v>#N/A</v>
      </c>
      <c r="F42" s="71" t="e">
        <f>_xlfn.XLOOKUP(tbDensity[[#This Row],[Item]],Calories[Name],Calories[Fibre])*100</f>
        <v>#N/A</v>
      </c>
      <c r="G42" s="113" t="e">
        <f>(tbDensity[[#This Row],[Carb / 100g]]-tbDensity[[#This Row],[Fibre / 100g]])</f>
        <v>#N/A</v>
      </c>
      <c r="H42" s="71" t="e">
        <f>_xlfn.XLOOKUP(tbDensity[[#This Row],[Item]],Calories[Name],Calories[Sodium])* 100</f>
        <v>#N/A</v>
      </c>
      <c r="I42" s="71" t="e">
        <f>_xlfn.XLOOKUP(tbDensity[[#This Row],[Item]],Calories[Name],Calories[Protein]) * 100</f>
        <v>#N/A</v>
      </c>
      <c r="J42" s="103" t="e">
        <f>_xlfn.XLOOKUP(tbDensity[[#This Row],[Item]],Calories[Name],Calories[Chol.]) * 100</f>
        <v>#N/A</v>
      </c>
    </row>
    <row r="43" spans="2:10" s="66" customFormat="1" ht="25.15" customHeight="1">
      <c r="B43" s="78"/>
      <c r="C43" s="76" t="e">
        <f>VLOOKUP(tbDensity[[#This Row],[Item]],Calories[],2,FALSE)</f>
        <v>#N/A</v>
      </c>
      <c r="D43" s="65" t="e">
        <f>_xlfn.XLOOKUP(tbDensity[[#This Row],[Item]],Calories[Name],Calories[Cals])*100</f>
        <v>#N/A</v>
      </c>
      <c r="E43" s="71" t="e">
        <f>_xlfn.XLOOKUP(tbDensity[[#This Row],[Item]],Calories[Name],Calories[Carbs])*100</f>
        <v>#N/A</v>
      </c>
      <c r="F43" s="71" t="e">
        <f>_xlfn.XLOOKUP(tbDensity[[#This Row],[Item]],Calories[Name],Calories[Fibre])*100</f>
        <v>#N/A</v>
      </c>
      <c r="G43" s="113" t="e">
        <f>(tbDensity[[#This Row],[Carb / 100g]]-tbDensity[[#This Row],[Fibre / 100g]])</f>
        <v>#N/A</v>
      </c>
      <c r="H43" s="71" t="e">
        <f>_xlfn.XLOOKUP(tbDensity[[#This Row],[Item]],Calories[Name],Calories[Sodium])* 100</f>
        <v>#N/A</v>
      </c>
      <c r="I43" s="71" t="e">
        <f>_xlfn.XLOOKUP(tbDensity[[#This Row],[Item]],Calories[Name],Calories[Protein]) * 100</f>
        <v>#N/A</v>
      </c>
      <c r="J43" s="103" t="e">
        <f>_xlfn.XLOOKUP(tbDensity[[#This Row],[Item]],Calories[Name],Calories[Chol.]) * 100</f>
        <v>#N/A</v>
      </c>
    </row>
    <row r="44" spans="2:10" s="66" customFormat="1" ht="25.15" customHeight="1">
      <c r="B44" s="78"/>
      <c r="C44" s="76" t="e">
        <f>VLOOKUP(tbDensity[[#This Row],[Item]],Calories[],2,FALSE)</f>
        <v>#N/A</v>
      </c>
      <c r="D44" s="65" t="e">
        <f>_xlfn.XLOOKUP(tbDensity[[#This Row],[Item]],Calories[Name],Calories[Cals])*100</f>
        <v>#N/A</v>
      </c>
      <c r="E44" s="71" t="e">
        <f>_xlfn.XLOOKUP(tbDensity[[#This Row],[Item]],Calories[Name],Calories[Carbs])*100</f>
        <v>#N/A</v>
      </c>
      <c r="F44" s="71" t="e">
        <f>_xlfn.XLOOKUP(tbDensity[[#This Row],[Item]],Calories[Name],Calories[Fibre])*100</f>
        <v>#N/A</v>
      </c>
      <c r="G44" s="113" t="e">
        <f>(tbDensity[[#This Row],[Carb / 100g]]-tbDensity[[#This Row],[Fibre / 100g]])</f>
        <v>#N/A</v>
      </c>
      <c r="H44" s="71" t="e">
        <f>_xlfn.XLOOKUP(tbDensity[[#This Row],[Item]],Calories[Name],Calories[Sodium])* 100</f>
        <v>#N/A</v>
      </c>
      <c r="I44" s="71" t="e">
        <f>_xlfn.XLOOKUP(tbDensity[[#This Row],[Item]],Calories[Name],Calories[Protein]) * 100</f>
        <v>#N/A</v>
      </c>
      <c r="J44" s="103" t="e">
        <f>_xlfn.XLOOKUP(tbDensity[[#This Row],[Item]],Calories[Name],Calories[Chol.]) * 100</f>
        <v>#N/A</v>
      </c>
    </row>
    <row r="45" spans="2:10" s="66" customFormat="1" ht="25.15" customHeight="1">
      <c r="B45" s="78"/>
      <c r="C45" s="76" t="e">
        <f>VLOOKUP(tbDensity[[#This Row],[Item]],Calories[],2,FALSE)</f>
        <v>#N/A</v>
      </c>
      <c r="D45" s="65" t="e">
        <f>_xlfn.XLOOKUP(tbDensity[[#This Row],[Item]],Calories[Name],Calories[Cals])*100</f>
        <v>#N/A</v>
      </c>
      <c r="E45" s="71" t="e">
        <f>_xlfn.XLOOKUP(tbDensity[[#This Row],[Item]],Calories[Name],Calories[Carbs])*100</f>
        <v>#N/A</v>
      </c>
      <c r="F45" s="71" t="e">
        <f>_xlfn.XLOOKUP(tbDensity[[#This Row],[Item]],Calories[Name],Calories[Fibre])*100</f>
        <v>#N/A</v>
      </c>
      <c r="G45" s="113" t="e">
        <f>(tbDensity[[#This Row],[Carb / 100g]]-tbDensity[[#This Row],[Fibre / 100g]])</f>
        <v>#N/A</v>
      </c>
      <c r="H45" s="71" t="e">
        <f>_xlfn.XLOOKUP(tbDensity[[#This Row],[Item]],Calories[Name],Calories[Sodium])* 100</f>
        <v>#N/A</v>
      </c>
      <c r="I45" s="71" t="e">
        <f>_xlfn.XLOOKUP(tbDensity[[#This Row],[Item]],Calories[Name],Calories[Protein]) * 100</f>
        <v>#N/A</v>
      </c>
      <c r="J45" s="103" t="e">
        <f>_xlfn.XLOOKUP(tbDensity[[#This Row],[Item]],Calories[Name],Calories[Chol.]) * 100</f>
        <v>#N/A</v>
      </c>
    </row>
    <row r="46" spans="2:10" s="66" customFormat="1" ht="25.15" customHeight="1">
      <c r="B46" s="78"/>
      <c r="C46" s="76" t="e">
        <f>VLOOKUP(tbDensity[[#This Row],[Item]],Calories[],2,FALSE)</f>
        <v>#N/A</v>
      </c>
      <c r="D46" s="65" t="e">
        <f>_xlfn.XLOOKUP(tbDensity[[#This Row],[Item]],Calories[Name],Calories[Cals])*100</f>
        <v>#N/A</v>
      </c>
      <c r="E46" s="71" t="e">
        <f>_xlfn.XLOOKUP(tbDensity[[#This Row],[Item]],Calories[Name],Calories[Carbs])*100</f>
        <v>#N/A</v>
      </c>
      <c r="F46" s="71" t="e">
        <f>_xlfn.XLOOKUP(tbDensity[[#This Row],[Item]],Calories[Name],Calories[Fibre])*100</f>
        <v>#N/A</v>
      </c>
      <c r="G46" s="113" t="e">
        <f>(tbDensity[[#This Row],[Carb / 100g]]-tbDensity[[#This Row],[Fibre / 100g]])</f>
        <v>#N/A</v>
      </c>
      <c r="H46" s="71" t="e">
        <f>_xlfn.XLOOKUP(tbDensity[[#This Row],[Item]],Calories[Name],Calories[Sodium])* 100</f>
        <v>#N/A</v>
      </c>
      <c r="I46" s="71" t="e">
        <f>_xlfn.XLOOKUP(tbDensity[[#This Row],[Item]],Calories[Name],Calories[Protein]) * 100</f>
        <v>#N/A</v>
      </c>
      <c r="J46" s="103" t="e">
        <f>_xlfn.XLOOKUP(tbDensity[[#This Row],[Item]],Calories[Name],Calories[Chol.]) * 100</f>
        <v>#N/A</v>
      </c>
    </row>
    <row r="47" spans="2:10" s="66" customFormat="1" ht="25.15" customHeight="1">
      <c r="B47" s="64"/>
      <c r="C47" s="76" t="e">
        <f>VLOOKUP(tbDensity[[#This Row],[Item]],Calories[],2,FALSE)</f>
        <v>#N/A</v>
      </c>
      <c r="D47" s="65" t="e">
        <f>_xlfn.XLOOKUP(tbDensity[[#This Row],[Item]],Calories[Name],Calories[Cals])*100</f>
        <v>#N/A</v>
      </c>
      <c r="E47" s="71" t="e">
        <f>_xlfn.XLOOKUP(tbDensity[[#This Row],[Item]],Calories[Name],Calories[Carbs])*100</f>
        <v>#N/A</v>
      </c>
      <c r="F47" s="71" t="e">
        <f>_xlfn.XLOOKUP(tbDensity[[#This Row],[Item]],Calories[Name],Calories[Fibre])*100</f>
        <v>#N/A</v>
      </c>
      <c r="G47" s="113" t="e">
        <f>(tbDensity[[#This Row],[Carb / 100g]]-tbDensity[[#This Row],[Fibre / 100g]])</f>
        <v>#N/A</v>
      </c>
      <c r="H47" s="71" t="e">
        <f>_xlfn.XLOOKUP(tbDensity[[#This Row],[Item]],Calories[Name],Calories[Sodium])* 100</f>
        <v>#N/A</v>
      </c>
      <c r="I47" s="71" t="e">
        <f>_xlfn.XLOOKUP(tbDensity[[#This Row],[Item]],Calories[Name],Calories[Protein]) * 100</f>
        <v>#N/A</v>
      </c>
      <c r="J47" s="103" t="e">
        <f>_xlfn.XLOOKUP(tbDensity[[#This Row],[Item]],Calories[Name],Calories[Chol.]) * 100</f>
        <v>#N/A</v>
      </c>
    </row>
    <row r="48" spans="2:10" s="66" customFormat="1" ht="25.15" customHeight="1">
      <c r="B48" s="78"/>
      <c r="C48" s="76" t="e">
        <f>VLOOKUP(tbDensity[[#This Row],[Item]],Calories[],2,FALSE)</f>
        <v>#N/A</v>
      </c>
      <c r="D48" s="65" t="e">
        <f>_xlfn.XLOOKUP(tbDensity[[#This Row],[Item]],Calories[Name],Calories[Cals])*100</f>
        <v>#N/A</v>
      </c>
      <c r="E48" s="71" t="e">
        <f>_xlfn.XLOOKUP(tbDensity[[#This Row],[Item]],Calories[Name],Calories[Carbs])*100</f>
        <v>#N/A</v>
      </c>
      <c r="F48" s="71" t="e">
        <f>_xlfn.XLOOKUP(tbDensity[[#This Row],[Item]],Calories[Name],Calories[Fibre])*100</f>
        <v>#N/A</v>
      </c>
      <c r="G48" s="113" t="e">
        <f>(tbDensity[[#This Row],[Carb / 100g]]-tbDensity[[#This Row],[Fibre / 100g]])</f>
        <v>#N/A</v>
      </c>
      <c r="H48" s="71" t="e">
        <f>_xlfn.XLOOKUP(tbDensity[[#This Row],[Item]],Calories[Name],Calories[Sodium])* 100</f>
        <v>#N/A</v>
      </c>
      <c r="I48" s="71" t="e">
        <f>_xlfn.XLOOKUP(tbDensity[[#This Row],[Item]],Calories[Name],Calories[Protein]) * 100</f>
        <v>#N/A</v>
      </c>
      <c r="J48" s="103" t="e">
        <f>_xlfn.XLOOKUP(tbDensity[[#This Row],[Item]],Calories[Name],Calories[Chol.]) * 100</f>
        <v>#N/A</v>
      </c>
    </row>
    <row r="49" spans="2:10" s="66" customFormat="1" ht="25.15" customHeight="1">
      <c r="B49" s="78"/>
      <c r="C49" s="76" t="e">
        <f>VLOOKUP(tbDensity[[#This Row],[Item]],Calories[],2,FALSE)</f>
        <v>#N/A</v>
      </c>
      <c r="D49" s="65" t="e">
        <f>_xlfn.XLOOKUP(tbDensity[[#This Row],[Item]],Calories[Name],Calories[Cals])*100</f>
        <v>#N/A</v>
      </c>
      <c r="E49" s="71" t="e">
        <f>_xlfn.XLOOKUP(tbDensity[[#This Row],[Item]],Calories[Name],Calories[Carbs])*100</f>
        <v>#N/A</v>
      </c>
      <c r="F49" s="71" t="e">
        <f>_xlfn.XLOOKUP(tbDensity[[#This Row],[Item]],Calories[Name],Calories[Fibre])*100</f>
        <v>#N/A</v>
      </c>
      <c r="G49" s="113" t="e">
        <f>(tbDensity[[#This Row],[Carb / 100g]]-tbDensity[[#This Row],[Fibre / 100g]])</f>
        <v>#N/A</v>
      </c>
      <c r="H49" s="71" t="e">
        <f>_xlfn.XLOOKUP(tbDensity[[#This Row],[Item]],Calories[Name],Calories[Sodium])* 100</f>
        <v>#N/A</v>
      </c>
      <c r="I49" s="71" t="e">
        <f>_xlfn.XLOOKUP(tbDensity[[#This Row],[Item]],Calories[Name],Calories[Protein]) * 100</f>
        <v>#N/A</v>
      </c>
      <c r="J49" s="103" t="e">
        <f>_xlfn.XLOOKUP(tbDensity[[#This Row],[Item]],Calories[Name],Calories[Chol.]) * 100</f>
        <v>#N/A</v>
      </c>
    </row>
    <row r="50" spans="2:10" s="66" customFormat="1" ht="25.15" customHeight="1">
      <c r="B50" s="78"/>
      <c r="C50" s="76" t="e">
        <f>VLOOKUP(tbDensity[[#This Row],[Item]],Calories[],2,FALSE)</f>
        <v>#N/A</v>
      </c>
      <c r="D50" s="65" t="e">
        <f>_xlfn.XLOOKUP(tbDensity[[#This Row],[Item]],Calories[Name],Calories[Cals])*100</f>
        <v>#N/A</v>
      </c>
      <c r="E50" s="71" t="e">
        <f>_xlfn.XLOOKUP(tbDensity[[#This Row],[Item]],Calories[Name],Calories[Carbs])*100</f>
        <v>#N/A</v>
      </c>
      <c r="F50" s="71" t="e">
        <f>_xlfn.XLOOKUP(tbDensity[[#This Row],[Item]],Calories[Name],Calories[Fibre])*100</f>
        <v>#N/A</v>
      </c>
      <c r="G50" s="113" t="e">
        <f>(tbDensity[[#This Row],[Carb / 100g]]-tbDensity[[#This Row],[Fibre / 100g]])</f>
        <v>#N/A</v>
      </c>
      <c r="H50" s="71" t="e">
        <f>_xlfn.XLOOKUP(tbDensity[[#This Row],[Item]],Calories[Name],Calories[Sodium])* 100</f>
        <v>#N/A</v>
      </c>
      <c r="I50" s="71" t="e">
        <f>_xlfn.XLOOKUP(tbDensity[[#This Row],[Item]],Calories[Name],Calories[Protein]) * 100</f>
        <v>#N/A</v>
      </c>
      <c r="J50" s="103" t="e">
        <f>_xlfn.XLOOKUP(tbDensity[[#This Row],[Item]],Calories[Name],Calories[Chol.]) * 100</f>
        <v>#N/A</v>
      </c>
    </row>
    <row r="51" spans="2:10" s="66" customFormat="1" ht="25.15" customHeight="1">
      <c r="B51" s="64"/>
      <c r="C51" s="76" t="e">
        <f>VLOOKUP(tbDensity[[#This Row],[Item]],Calories[],2,FALSE)</f>
        <v>#N/A</v>
      </c>
      <c r="D51" s="65" t="e">
        <f>_xlfn.XLOOKUP(tbDensity[[#This Row],[Item]],Calories[Name],Calories[Cals])*100</f>
        <v>#N/A</v>
      </c>
      <c r="E51" s="71" t="e">
        <f>_xlfn.XLOOKUP(tbDensity[[#This Row],[Item]],Calories[Name],Calories[Carbs])*100</f>
        <v>#N/A</v>
      </c>
      <c r="F51" s="71" t="e">
        <f>_xlfn.XLOOKUP(tbDensity[[#This Row],[Item]],Calories[Name],Calories[Fibre])*100</f>
        <v>#N/A</v>
      </c>
      <c r="G51" s="113" t="e">
        <f>(tbDensity[[#This Row],[Carb / 100g]]-tbDensity[[#This Row],[Fibre / 100g]])</f>
        <v>#N/A</v>
      </c>
      <c r="H51" s="71" t="e">
        <f>_xlfn.XLOOKUP(tbDensity[[#This Row],[Item]],Calories[Name],Calories[Sodium])* 100</f>
        <v>#N/A</v>
      </c>
      <c r="I51" s="71" t="e">
        <f>_xlfn.XLOOKUP(tbDensity[[#This Row],[Item]],Calories[Name],Calories[Protein]) * 100</f>
        <v>#N/A</v>
      </c>
      <c r="J51" s="103" t="e">
        <f>_xlfn.XLOOKUP(tbDensity[[#This Row],[Item]],Calories[Name],Calories[Chol.]) * 100</f>
        <v>#N/A</v>
      </c>
    </row>
    <row r="52" spans="2:10" s="66" customFormat="1" ht="25.15" customHeight="1">
      <c r="B52" s="78"/>
      <c r="C52" s="76" t="e">
        <f>VLOOKUP(tbDensity[[#This Row],[Item]],Calories[],2,FALSE)</f>
        <v>#N/A</v>
      </c>
      <c r="D52" s="65" t="e">
        <f>_xlfn.XLOOKUP(tbDensity[[#This Row],[Item]],Calories[Name],Calories[Cals])*100</f>
        <v>#N/A</v>
      </c>
      <c r="E52" s="71" t="e">
        <f>_xlfn.XLOOKUP(tbDensity[[#This Row],[Item]],Calories[Name],Calories[Carbs])*100</f>
        <v>#N/A</v>
      </c>
      <c r="F52" s="71" t="e">
        <f>_xlfn.XLOOKUP(tbDensity[[#This Row],[Item]],Calories[Name],Calories[Fibre])*100</f>
        <v>#N/A</v>
      </c>
      <c r="G52" s="113" t="e">
        <f>(tbDensity[[#This Row],[Carb / 100g]]-tbDensity[[#This Row],[Fibre / 100g]])</f>
        <v>#N/A</v>
      </c>
      <c r="H52" s="71" t="e">
        <f>_xlfn.XLOOKUP(tbDensity[[#This Row],[Item]],Calories[Name],Calories[Sodium])* 100</f>
        <v>#N/A</v>
      </c>
      <c r="I52" s="71" t="e">
        <f>_xlfn.XLOOKUP(tbDensity[[#This Row],[Item]],Calories[Name],Calories[Protein]) * 100</f>
        <v>#N/A</v>
      </c>
      <c r="J52" s="103" t="e">
        <f>_xlfn.XLOOKUP(tbDensity[[#This Row],[Item]],Calories[Name],Calories[Chol.]) * 100</f>
        <v>#N/A</v>
      </c>
    </row>
    <row r="53" spans="2:10" s="66" customFormat="1" ht="25.15" customHeight="1">
      <c r="B53" s="78"/>
      <c r="C53" s="76" t="e">
        <f>VLOOKUP(tbDensity[[#This Row],[Item]],Calories[],2,FALSE)</f>
        <v>#N/A</v>
      </c>
      <c r="D53" s="65" t="e">
        <f>_xlfn.XLOOKUP(tbDensity[[#This Row],[Item]],Calories[Name],Calories[Cals])*100</f>
        <v>#N/A</v>
      </c>
      <c r="E53" s="71" t="e">
        <f>_xlfn.XLOOKUP(tbDensity[[#This Row],[Item]],Calories[Name],Calories[Carbs])*100</f>
        <v>#N/A</v>
      </c>
      <c r="F53" s="71" t="e">
        <f>_xlfn.XLOOKUP(tbDensity[[#This Row],[Item]],Calories[Name],Calories[Fibre])*100</f>
        <v>#N/A</v>
      </c>
      <c r="G53" s="113" t="e">
        <f>(tbDensity[[#This Row],[Carb / 100g]]-tbDensity[[#This Row],[Fibre / 100g]])</f>
        <v>#N/A</v>
      </c>
      <c r="H53" s="71" t="e">
        <f>_xlfn.XLOOKUP(tbDensity[[#This Row],[Item]],Calories[Name],Calories[Sodium])* 100</f>
        <v>#N/A</v>
      </c>
      <c r="I53" s="71" t="e">
        <f>_xlfn.XLOOKUP(tbDensity[[#This Row],[Item]],Calories[Name],Calories[Protein]) * 100</f>
        <v>#N/A</v>
      </c>
      <c r="J53" s="103" t="e">
        <f>_xlfn.XLOOKUP(tbDensity[[#This Row],[Item]],Calories[Name],Calories[Chol.]) * 100</f>
        <v>#N/A</v>
      </c>
    </row>
    <row r="54" spans="2:10" s="66" customFormat="1" ht="25.15" customHeight="1">
      <c r="B54" s="64"/>
      <c r="C54" s="76" t="e">
        <f>VLOOKUP(tbDensity[[#This Row],[Item]],Calories[],2,FALSE)</f>
        <v>#N/A</v>
      </c>
      <c r="D54" s="65" t="e">
        <f>_xlfn.XLOOKUP(tbDensity[[#This Row],[Item]],Calories[Name],Calories[Cals])*100</f>
        <v>#N/A</v>
      </c>
      <c r="E54" s="71" t="e">
        <f>_xlfn.XLOOKUP(tbDensity[[#This Row],[Item]],Calories[Name],Calories[Carbs])*100</f>
        <v>#N/A</v>
      </c>
      <c r="F54" s="71" t="e">
        <f>_xlfn.XLOOKUP(tbDensity[[#This Row],[Item]],Calories[Name],Calories[Fibre])*100</f>
        <v>#N/A</v>
      </c>
      <c r="G54" s="113" t="e">
        <f>(tbDensity[[#This Row],[Carb / 100g]]-tbDensity[[#This Row],[Fibre / 100g]])</f>
        <v>#N/A</v>
      </c>
      <c r="H54" s="71" t="e">
        <f>_xlfn.XLOOKUP(tbDensity[[#This Row],[Item]],Calories[Name],Calories[Sodium])* 100</f>
        <v>#N/A</v>
      </c>
      <c r="I54" s="71" t="e">
        <f>_xlfn.XLOOKUP(tbDensity[[#This Row],[Item]],Calories[Name],Calories[Protein]) * 100</f>
        <v>#N/A</v>
      </c>
      <c r="J54" s="103" t="e">
        <f>_xlfn.XLOOKUP(tbDensity[[#This Row],[Item]],Calories[Name],Calories[Chol.]) * 100</f>
        <v>#N/A</v>
      </c>
    </row>
    <row r="55" spans="2:10" s="66" customFormat="1" ht="25.15" customHeight="1">
      <c r="B55" s="78"/>
      <c r="C55" s="76" t="e">
        <f>VLOOKUP(tbDensity[[#This Row],[Item]],Calories[],2,FALSE)</f>
        <v>#N/A</v>
      </c>
      <c r="D55" s="65" t="e">
        <f>_xlfn.XLOOKUP(tbDensity[[#This Row],[Item]],Calories[Name],Calories[Cals])*100</f>
        <v>#N/A</v>
      </c>
      <c r="E55" s="71" t="e">
        <f>_xlfn.XLOOKUP(tbDensity[[#This Row],[Item]],Calories[Name],Calories[Carbs])*100</f>
        <v>#N/A</v>
      </c>
      <c r="F55" s="71" t="e">
        <f>_xlfn.XLOOKUP(tbDensity[[#This Row],[Item]],Calories[Name],Calories[Fibre])*100</f>
        <v>#N/A</v>
      </c>
      <c r="G55" s="113" t="e">
        <f>(tbDensity[[#This Row],[Carb / 100g]]-tbDensity[[#This Row],[Fibre / 100g]])</f>
        <v>#N/A</v>
      </c>
      <c r="H55" s="71" t="e">
        <f>_xlfn.XLOOKUP(tbDensity[[#This Row],[Item]],Calories[Name],Calories[Sodium])* 100</f>
        <v>#N/A</v>
      </c>
      <c r="I55" s="71" t="e">
        <f>_xlfn.XLOOKUP(tbDensity[[#This Row],[Item]],Calories[Name],Calories[Protein]) * 100</f>
        <v>#N/A</v>
      </c>
      <c r="J55" s="103" t="e">
        <f>_xlfn.XLOOKUP(tbDensity[[#This Row],[Item]],Calories[Name],Calories[Chol.]) * 100</f>
        <v>#N/A</v>
      </c>
    </row>
    <row r="56" spans="2:10" s="66" customFormat="1" ht="25.15" customHeight="1">
      <c r="B56" s="64"/>
      <c r="C56" s="76" t="e">
        <f>VLOOKUP(tbDensity[[#This Row],[Item]],Calories[],2,FALSE)</f>
        <v>#N/A</v>
      </c>
      <c r="D56" s="65" t="e">
        <f>_xlfn.XLOOKUP(tbDensity[[#This Row],[Item]],Calories[Name],Calories[Cals])*100</f>
        <v>#N/A</v>
      </c>
      <c r="E56" s="71" t="e">
        <f>_xlfn.XLOOKUP(tbDensity[[#This Row],[Item]],Calories[Name],Calories[Carbs])*100</f>
        <v>#N/A</v>
      </c>
      <c r="F56" s="71" t="e">
        <f>_xlfn.XLOOKUP(tbDensity[[#This Row],[Item]],Calories[Name],Calories[Fibre])*100</f>
        <v>#N/A</v>
      </c>
      <c r="G56" s="113" t="e">
        <f>(tbDensity[[#This Row],[Carb / 100g]]-tbDensity[[#This Row],[Fibre / 100g]])</f>
        <v>#N/A</v>
      </c>
      <c r="H56" s="71" t="e">
        <f>_xlfn.XLOOKUP(tbDensity[[#This Row],[Item]],Calories[Name],Calories[Sodium])* 100</f>
        <v>#N/A</v>
      </c>
      <c r="I56" s="71" t="e">
        <f>_xlfn.XLOOKUP(tbDensity[[#This Row],[Item]],Calories[Name],Calories[Protein]) * 100</f>
        <v>#N/A</v>
      </c>
      <c r="J56" s="103" t="e">
        <f>_xlfn.XLOOKUP(tbDensity[[#This Row],[Item]],Calories[Name],Calories[Chol.]) * 100</f>
        <v>#N/A</v>
      </c>
    </row>
    <row r="57" spans="2:10" s="66" customFormat="1" ht="25.15" customHeight="1">
      <c r="B57" s="64"/>
      <c r="C57" s="76" t="e">
        <f>VLOOKUP(tbDensity[[#This Row],[Item]],Calories[],2,FALSE)</f>
        <v>#N/A</v>
      </c>
      <c r="D57" s="65" t="e">
        <f>_xlfn.XLOOKUP(tbDensity[[#This Row],[Item]],Calories[Name],Calories[Cals])*100</f>
        <v>#N/A</v>
      </c>
      <c r="E57" s="71" t="e">
        <f>_xlfn.XLOOKUP(tbDensity[[#This Row],[Item]],Calories[Name],Calories[Carbs])*100</f>
        <v>#N/A</v>
      </c>
      <c r="F57" s="71" t="e">
        <f>_xlfn.XLOOKUP(tbDensity[[#This Row],[Item]],Calories[Name],Calories[Fibre])*100</f>
        <v>#N/A</v>
      </c>
      <c r="G57" s="113" t="e">
        <f>(tbDensity[[#This Row],[Carb / 100g]]-tbDensity[[#This Row],[Fibre / 100g]])</f>
        <v>#N/A</v>
      </c>
      <c r="H57" s="71" t="e">
        <f>_xlfn.XLOOKUP(tbDensity[[#This Row],[Item]],Calories[Name],Calories[Sodium])* 100</f>
        <v>#N/A</v>
      </c>
      <c r="I57" s="71" t="e">
        <f>_xlfn.XLOOKUP(tbDensity[[#This Row],[Item]],Calories[Name],Calories[Protein]) * 100</f>
        <v>#N/A</v>
      </c>
      <c r="J57" s="103" t="e">
        <f>_xlfn.XLOOKUP(tbDensity[[#This Row],[Item]],Calories[Name],Calories[Chol.]) * 100</f>
        <v>#N/A</v>
      </c>
    </row>
    <row r="58" spans="2:10" s="66" customFormat="1" ht="25.15" customHeight="1">
      <c r="B58" s="78"/>
      <c r="C58" s="76" t="e">
        <f>VLOOKUP(tbDensity[[#This Row],[Item]],Calories[],2,FALSE)</f>
        <v>#N/A</v>
      </c>
      <c r="D58" s="65" t="e">
        <f>_xlfn.XLOOKUP(tbDensity[[#This Row],[Item]],Calories[Name],Calories[Cals])*100</f>
        <v>#N/A</v>
      </c>
      <c r="E58" s="71" t="e">
        <f>_xlfn.XLOOKUP(tbDensity[[#This Row],[Item]],Calories[Name],Calories[Carbs])*100</f>
        <v>#N/A</v>
      </c>
      <c r="F58" s="71" t="e">
        <f>_xlfn.XLOOKUP(tbDensity[[#This Row],[Item]],Calories[Name],Calories[Fibre])*100</f>
        <v>#N/A</v>
      </c>
      <c r="G58" s="113" t="e">
        <f>(tbDensity[[#This Row],[Carb / 100g]]-tbDensity[[#This Row],[Fibre / 100g]])</f>
        <v>#N/A</v>
      </c>
      <c r="H58" s="71" t="e">
        <f>_xlfn.XLOOKUP(tbDensity[[#This Row],[Item]],Calories[Name],Calories[Sodium])* 100</f>
        <v>#N/A</v>
      </c>
      <c r="I58" s="71" t="e">
        <f>_xlfn.XLOOKUP(tbDensity[[#This Row],[Item]],Calories[Name],Calories[Protein]) * 100</f>
        <v>#N/A</v>
      </c>
      <c r="J58" s="103" t="e">
        <f>_xlfn.XLOOKUP(tbDensity[[#This Row],[Item]],Calories[Name],Calories[Chol.]) * 100</f>
        <v>#N/A</v>
      </c>
    </row>
    <row r="59" spans="2:10" s="66" customFormat="1" ht="25.15" customHeight="1">
      <c r="B59" s="78"/>
      <c r="C59" s="76" t="e">
        <f>VLOOKUP(tbDensity[[#This Row],[Item]],Calories[],2,FALSE)</f>
        <v>#N/A</v>
      </c>
      <c r="D59" s="65" t="e">
        <f>_xlfn.XLOOKUP(tbDensity[[#This Row],[Item]],Calories[Name],Calories[Cals])*100</f>
        <v>#N/A</v>
      </c>
      <c r="E59" s="71" t="e">
        <f>_xlfn.XLOOKUP(tbDensity[[#This Row],[Item]],Calories[Name],Calories[Carbs])*100</f>
        <v>#N/A</v>
      </c>
      <c r="F59" s="71" t="e">
        <f>_xlfn.XLOOKUP(tbDensity[[#This Row],[Item]],Calories[Name],Calories[Fibre])*100</f>
        <v>#N/A</v>
      </c>
      <c r="G59" s="113" t="e">
        <f>(tbDensity[[#This Row],[Carb / 100g]]-tbDensity[[#This Row],[Fibre / 100g]])</f>
        <v>#N/A</v>
      </c>
      <c r="H59" s="71" t="e">
        <f>_xlfn.XLOOKUP(tbDensity[[#This Row],[Item]],Calories[Name],Calories[Sodium])* 100</f>
        <v>#N/A</v>
      </c>
      <c r="I59" s="71" t="e">
        <f>_xlfn.XLOOKUP(tbDensity[[#This Row],[Item]],Calories[Name],Calories[Protein]) * 100</f>
        <v>#N/A</v>
      </c>
      <c r="J59" s="103" t="e">
        <f>_xlfn.XLOOKUP(tbDensity[[#This Row],[Item]],Calories[Name],Calories[Chol.]) * 100</f>
        <v>#N/A</v>
      </c>
    </row>
    <row r="60" spans="2:10" s="66" customFormat="1" ht="25.15" customHeight="1">
      <c r="B60" s="78"/>
      <c r="C60" s="76" t="e">
        <f>VLOOKUP(tbDensity[[#This Row],[Item]],Calories[],2,FALSE)</f>
        <v>#N/A</v>
      </c>
      <c r="D60" s="65" t="e">
        <f>_xlfn.XLOOKUP(tbDensity[[#This Row],[Item]],Calories[Name],Calories[Cals])*100</f>
        <v>#N/A</v>
      </c>
      <c r="E60" s="71" t="e">
        <f>_xlfn.XLOOKUP(tbDensity[[#This Row],[Item]],Calories[Name],Calories[Carbs])*100</f>
        <v>#N/A</v>
      </c>
      <c r="F60" s="71" t="e">
        <f>_xlfn.XLOOKUP(tbDensity[[#This Row],[Item]],Calories[Name],Calories[Fibre])*100</f>
        <v>#N/A</v>
      </c>
      <c r="G60" s="113" t="e">
        <f>(tbDensity[[#This Row],[Carb / 100g]]-tbDensity[[#This Row],[Fibre / 100g]])</f>
        <v>#N/A</v>
      </c>
      <c r="H60" s="71" t="e">
        <f>_xlfn.XLOOKUP(tbDensity[[#This Row],[Item]],Calories[Name],Calories[Sodium])* 100</f>
        <v>#N/A</v>
      </c>
      <c r="I60" s="71" t="e">
        <f>_xlfn.XLOOKUP(tbDensity[[#This Row],[Item]],Calories[Name],Calories[Protein]) * 100</f>
        <v>#N/A</v>
      </c>
      <c r="J60" s="103" t="e">
        <f>_xlfn.XLOOKUP(tbDensity[[#This Row],[Item]],Calories[Name],Calories[Chol.]) * 100</f>
        <v>#N/A</v>
      </c>
    </row>
    <row r="61" spans="2:10" s="66" customFormat="1" ht="25.15" customHeight="1">
      <c r="B61" s="78"/>
      <c r="C61" s="76" t="e">
        <f>VLOOKUP(tbDensity[[#This Row],[Item]],Calories[],2,FALSE)</f>
        <v>#N/A</v>
      </c>
      <c r="D61" s="65" t="e">
        <f>_xlfn.XLOOKUP(tbDensity[[#This Row],[Item]],Calories[Name],Calories[Cals])*100</f>
        <v>#N/A</v>
      </c>
      <c r="E61" s="71" t="e">
        <f>_xlfn.XLOOKUP(tbDensity[[#This Row],[Item]],Calories[Name],Calories[Carbs])*100</f>
        <v>#N/A</v>
      </c>
      <c r="F61" s="71" t="e">
        <f>_xlfn.XLOOKUP(tbDensity[[#This Row],[Item]],Calories[Name],Calories[Fibre])*100</f>
        <v>#N/A</v>
      </c>
      <c r="G61" s="113" t="e">
        <f>(tbDensity[[#This Row],[Carb / 100g]]-tbDensity[[#This Row],[Fibre / 100g]])</f>
        <v>#N/A</v>
      </c>
      <c r="H61" s="71" t="e">
        <f>_xlfn.XLOOKUP(tbDensity[[#This Row],[Item]],Calories[Name],Calories[Sodium])* 100</f>
        <v>#N/A</v>
      </c>
      <c r="I61" s="71" t="e">
        <f>_xlfn.XLOOKUP(tbDensity[[#This Row],[Item]],Calories[Name],Calories[Protein]) * 100</f>
        <v>#N/A</v>
      </c>
      <c r="J61" s="103" t="e">
        <f>_xlfn.XLOOKUP(tbDensity[[#This Row],[Item]],Calories[Name],Calories[Chol.]) * 100</f>
        <v>#N/A</v>
      </c>
    </row>
    <row r="62" spans="2:10" s="66" customFormat="1" ht="25.15" customHeight="1">
      <c r="B62" s="78"/>
      <c r="C62" s="76" t="e">
        <f>VLOOKUP(tbDensity[[#This Row],[Item]],Calories[],2,FALSE)</f>
        <v>#N/A</v>
      </c>
      <c r="D62" s="65" t="e">
        <f>_xlfn.XLOOKUP(tbDensity[[#This Row],[Item]],Calories[Name],Calories[Cals])*100</f>
        <v>#N/A</v>
      </c>
      <c r="E62" s="71" t="e">
        <f>_xlfn.XLOOKUP(tbDensity[[#This Row],[Item]],Calories[Name],Calories[Carbs])*100</f>
        <v>#N/A</v>
      </c>
      <c r="F62" s="71" t="e">
        <f>_xlfn.XLOOKUP(tbDensity[[#This Row],[Item]],Calories[Name],Calories[Fibre])*100</f>
        <v>#N/A</v>
      </c>
      <c r="G62" s="113" t="e">
        <f>(tbDensity[[#This Row],[Carb / 100g]]-tbDensity[[#This Row],[Fibre / 100g]])</f>
        <v>#N/A</v>
      </c>
      <c r="H62" s="71" t="e">
        <f>_xlfn.XLOOKUP(tbDensity[[#This Row],[Item]],Calories[Name],Calories[Sodium])* 100</f>
        <v>#N/A</v>
      </c>
      <c r="I62" s="71" t="e">
        <f>_xlfn.XLOOKUP(tbDensity[[#This Row],[Item]],Calories[Name],Calories[Protein]) * 100</f>
        <v>#N/A</v>
      </c>
      <c r="J62" s="103" t="e">
        <f>_xlfn.XLOOKUP(tbDensity[[#This Row],[Item]],Calories[Name],Calories[Chol.]) * 100</f>
        <v>#N/A</v>
      </c>
    </row>
    <row r="63" spans="2:10" s="66" customFormat="1" ht="25.15" customHeight="1">
      <c r="B63" s="78"/>
      <c r="C63" s="76" t="e">
        <f>VLOOKUP(tbDensity[[#This Row],[Item]],Calories[],2,FALSE)</f>
        <v>#N/A</v>
      </c>
      <c r="D63" s="65" t="e">
        <f>_xlfn.XLOOKUP(tbDensity[[#This Row],[Item]],Calories[Name],Calories[Cals])*100</f>
        <v>#N/A</v>
      </c>
      <c r="E63" s="71" t="e">
        <f>_xlfn.XLOOKUP(tbDensity[[#This Row],[Item]],Calories[Name],Calories[Carbs])*100</f>
        <v>#N/A</v>
      </c>
      <c r="F63" s="71" t="e">
        <f>_xlfn.XLOOKUP(tbDensity[[#This Row],[Item]],Calories[Name],Calories[Fibre])*100</f>
        <v>#N/A</v>
      </c>
      <c r="G63" s="113" t="e">
        <f>(tbDensity[[#This Row],[Carb / 100g]]-tbDensity[[#This Row],[Fibre / 100g]])</f>
        <v>#N/A</v>
      </c>
      <c r="H63" s="71" t="e">
        <f>_xlfn.XLOOKUP(tbDensity[[#This Row],[Item]],Calories[Name],Calories[Sodium])* 100</f>
        <v>#N/A</v>
      </c>
      <c r="I63" s="71" t="e">
        <f>_xlfn.XLOOKUP(tbDensity[[#This Row],[Item]],Calories[Name],Calories[Protein]) * 100</f>
        <v>#N/A</v>
      </c>
      <c r="J63" s="103" t="e">
        <f>_xlfn.XLOOKUP(tbDensity[[#This Row],[Item]],Calories[Name],Calories[Chol.]) * 100</f>
        <v>#N/A</v>
      </c>
    </row>
    <row r="64" spans="2:10" s="66" customFormat="1" ht="25.15" customHeight="1">
      <c r="B64" s="78"/>
      <c r="C64" s="76" t="e">
        <f>VLOOKUP(tbDensity[[#This Row],[Item]],Calories[],2,FALSE)</f>
        <v>#N/A</v>
      </c>
      <c r="D64" s="65" t="e">
        <f>_xlfn.XLOOKUP(tbDensity[[#This Row],[Item]],Calories[Name],Calories[Cals])*100</f>
        <v>#N/A</v>
      </c>
      <c r="E64" s="71" t="e">
        <f>_xlfn.XLOOKUP(tbDensity[[#This Row],[Item]],Calories[Name],Calories[Carbs])*100</f>
        <v>#N/A</v>
      </c>
      <c r="F64" s="71" t="e">
        <f>_xlfn.XLOOKUP(tbDensity[[#This Row],[Item]],Calories[Name],Calories[Fibre])*100</f>
        <v>#N/A</v>
      </c>
      <c r="G64" s="113" t="e">
        <f>(tbDensity[[#This Row],[Carb / 100g]]-tbDensity[[#This Row],[Fibre / 100g]])</f>
        <v>#N/A</v>
      </c>
      <c r="H64" s="71" t="e">
        <f>_xlfn.XLOOKUP(tbDensity[[#This Row],[Item]],Calories[Name],Calories[Sodium])* 100</f>
        <v>#N/A</v>
      </c>
      <c r="I64" s="71" t="e">
        <f>_xlfn.XLOOKUP(tbDensity[[#This Row],[Item]],Calories[Name],Calories[Protein]) * 100</f>
        <v>#N/A</v>
      </c>
      <c r="J64" s="103" t="e">
        <f>_xlfn.XLOOKUP(tbDensity[[#This Row],[Item]],Calories[Name],Calories[Chol.]) * 100</f>
        <v>#N/A</v>
      </c>
    </row>
    <row r="65" spans="2:10" s="66" customFormat="1" ht="25.15" customHeight="1">
      <c r="B65" s="64"/>
      <c r="C65" s="76" t="e">
        <f>VLOOKUP(tbDensity[[#This Row],[Item]],Calories[],2,FALSE)</f>
        <v>#N/A</v>
      </c>
      <c r="D65" s="65" t="e">
        <f>_xlfn.XLOOKUP(tbDensity[[#This Row],[Item]],Calories[Name],Calories[Cals])*100</f>
        <v>#N/A</v>
      </c>
      <c r="E65" s="71" t="e">
        <f>_xlfn.XLOOKUP(tbDensity[[#This Row],[Item]],Calories[Name],Calories[Carbs])*100</f>
        <v>#N/A</v>
      </c>
      <c r="F65" s="71" t="e">
        <f>_xlfn.XLOOKUP(tbDensity[[#This Row],[Item]],Calories[Name],Calories[Fibre])*100</f>
        <v>#N/A</v>
      </c>
      <c r="G65" s="113" t="e">
        <f>(tbDensity[[#This Row],[Carb / 100g]]-tbDensity[[#This Row],[Fibre / 100g]])</f>
        <v>#N/A</v>
      </c>
      <c r="H65" s="71" t="e">
        <f>_xlfn.XLOOKUP(tbDensity[[#This Row],[Item]],Calories[Name],Calories[Sodium])* 100</f>
        <v>#N/A</v>
      </c>
      <c r="I65" s="71" t="e">
        <f>_xlfn.XLOOKUP(tbDensity[[#This Row],[Item]],Calories[Name],Calories[Protein]) * 100</f>
        <v>#N/A</v>
      </c>
      <c r="J65" s="103" t="e">
        <f>_xlfn.XLOOKUP(tbDensity[[#This Row],[Item]],Calories[Name],Calories[Chol.]) * 100</f>
        <v>#N/A</v>
      </c>
    </row>
    <row r="66" spans="2:10" s="66" customFormat="1" ht="25.15" customHeight="1">
      <c r="B66" s="78"/>
      <c r="C66" s="76" t="e">
        <f>VLOOKUP(tbDensity[[#This Row],[Item]],Calories[],2,FALSE)</f>
        <v>#N/A</v>
      </c>
      <c r="D66" s="65" t="e">
        <f>_xlfn.XLOOKUP(tbDensity[[#This Row],[Item]],Calories[Name],Calories[Cals])*100</f>
        <v>#N/A</v>
      </c>
      <c r="E66" s="71" t="e">
        <f>_xlfn.XLOOKUP(tbDensity[[#This Row],[Item]],Calories[Name],Calories[Carbs])*100</f>
        <v>#N/A</v>
      </c>
      <c r="F66" s="71" t="e">
        <f>_xlfn.XLOOKUP(tbDensity[[#This Row],[Item]],Calories[Name],Calories[Fibre])*100</f>
        <v>#N/A</v>
      </c>
      <c r="G66" s="113" t="e">
        <f>(tbDensity[[#This Row],[Carb / 100g]]-tbDensity[[#This Row],[Fibre / 100g]])</f>
        <v>#N/A</v>
      </c>
      <c r="H66" s="71" t="e">
        <f>_xlfn.XLOOKUP(tbDensity[[#This Row],[Item]],Calories[Name],Calories[Sodium])* 100</f>
        <v>#N/A</v>
      </c>
      <c r="I66" s="71" t="e">
        <f>_xlfn.XLOOKUP(tbDensity[[#This Row],[Item]],Calories[Name],Calories[Protein]) * 100</f>
        <v>#N/A</v>
      </c>
      <c r="J66" s="103" t="e">
        <f>_xlfn.XLOOKUP(tbDensity[[#This Row],[Item]],Calories[Name],Calories[Chol.]) * 100</f>
        <v>#N/A</v>
      </c>
    </row>
    <row r="67" spans="2:10" s="66" customFormat="1" ht="25.15" customHeight="1">
      <c r="B67" s="78"/>
      <c r="C67" s="76" t="e">
        <f>VLOOKUP(tbDensity[[#This Row],[Item]],Calories[],2,FALSE)</f>
        <v>#N/A</v>
      </c>
      <c r="D67" s="65" t="e">
        <f>_xlfn.XLOOKUP(tbDensity[[#This Row],[Item]],Calories[Name],Calories[Cals])*100</f>
        <v>#N/A</v>
      </c>
      <c r="E67" s="71" t="e">
        <f>_xlfn.XLOOKUP(tbDensity[[#This Row],[Item]],Calories[Name],Calories[Carbs])*100</f>
        <v>#N/A</v>
      </c>
      <c r="F67" s="71" t="e">
        <f>_xlfn.XLOOKUP(tbDensity[[#This Row],[Item]],Calories[Name],Calories[Fibre])*100</f>
        <v>#N/A</v>
      </c>
      <c r="G67" s="113" t="e">
        <f>(tbDensity[[#This Row],[Carb / 100g]]-tbDensity[[#This Row],[Fibre / 100g]])</f>
        <v>#N/A</v>
      </c>
      <c r="H67" s="71" t="e">
        <f>_xlfn.XLOOKUP(tbDensity[[#This Row],[Item]],Calories[Name],Calories[Sodium])* 100</f>
        <v>#N/A</v>
      </c>
      <c r="I67" s="71" t="e">
        <f>_xlfn.XLOOKUP(tbDensity[[#This Row],[Item]],Calories[Name],Calories[Protein]) * 100</f>
        <v>#N/A</v>
      </c>
      <c r="J67" s="103" t="e">
        <f>_xlfn.XLOOKUP(tbDensity[[#This Row],[Item]],Calories[Name],Calories[Chol.]) * 100</f>
        <v>#N/A</v>
      </c>
    </row>
    <row r="68" spans="2:10" s="66" customFormat="1" ht="25.15" customHeight="1">
      <c r="B68" s="78"/>
      <c r="C68" s="76" t="e">
        <f>VLOOKUP(tbDensity[[#This Row],[Item]],Calories[],2,FALSE)</f>
        <v>#N/A</v>
      </c>
      <c r="D68" s="65" t="e">
        <f>_xlfn.XLOOKUP(tbDensity[[#This Row],[Item]],Calories[Name],Calories[Cals])*100</f>
        <v>#N/A</v>
      </c>
      <c r="E68" s="71" t="e">
        <f>_xlfn.XLOOKUP(tbDensity[[#This Row],[Item]],Calories[Name],Calories[Carbs])*100</f>
        <v>#N/A</v>
      </c>
      <c r="F68" s="71" t="e">
        <f>_xlfn.XLOOKUP(tbDensity[[#This Row],[Item]],Calories[Name],Calories[Fibre])*100</f>
        <v>#N/A</v>
      </c>
      <c r="G68" s="113" t="e">
        <f>(tbDensity[[#This Row],[Carb / 100g]]-tbDensity[[#This Row],[Fibre / 100g]])</f>
        <v>#N/A</v>
      </c>
      <c r="H68" s="71" t="e">
        <f>_xlfn.XLOOKUP(tbDensity[[#This Row],[Item]],Calories[Name],Calories[Sodium])* 100</f>
        <v>#N/A</v>
      </c>
      <c r="I68" s="71" t="e">
        <f>_xlfn.XLOOKUP(tbDensity[[#This Row],[Item]],Calories[Name],Calories[Protein]) * 100</f>
        <v>#N/A</v>
      </c>
      <c r="J68" s="103" t="e">
        <f>_xlfn.XLOOKUP(tbDensity[[#This Row],[Item]],Calories[Name],Calories[Chol.]) * 100</f>
        <v>#N/A</v>
      </c>
    </row>
    <row r="69" spans="2:10" s="66" customFormat="1" ht="25.15" customHeight="1">
      <c r="B69" s="78"/>
      <c r="C69" s="76" t="e">
        <f>VLOOKUP(tbDensity[[#This Row],[Item]],Calories[],2,FALSE)</f>
        <v>#N/A</v>
      </c>
      <c r="D69" s="65" t="e">
        <f>_xlfn.XLOOKUP(tbDensity[[#This Row],[Item]],Calories[Name],Calories[Cals])*100</f>
        <v>#N/A</v>
      </c>
      <c r="E69" s="71" t="e">
        <f>_xlfn.XLOOKUP(tbDensity[[#This Row],[Item]],Calories[Name],Calories[Carbs])*100</f>
        <v>#N/A</v>
      </c>
      <c r="F69" s="71" t="e">
        <f>_xlfn.XLOOKUP(tbDensity[[#This Row],[Item]],Calories[Name],Calories[Fibre])*100</f>
        <v>#N/A</v>
      </c>
      <c r="G69" s="113" t="e">
        <f>(tbDensity[[#This Row],[Carb / 100g]]-tbDensity[[#This Row],[Fibre / 100g]])</f>
        <v>#N/A</v>
      </c>
      <c r="H69" s="71" t="e">
        <f>_xlfn.XLOOKUP(tbDensity[[#This Row],[Item]],Calories[Name],Calories[Sodium])* 100</f>
        <v>#N/A</v>
      </c>
      <c r="I69" s="71" t="e">
        <f>_xlfn.XLOOKUP(tbDensity[[#This Row],[Item]],Calories[Name],Calories[Protein]) * 100</f>
        <v>#N/A</v>
      </c>
      <c r="J69" s="103" t="e">
        <f>_xlfn.XLOOKUP(tbDensity[[#This Row],[Item]],Calories[Name],Calories[Chol.]) * 100</f>
        <v>#N/A</v>
      </c>
    </row>
    <row r="70" spans="2:10" s="66" customFormat="1" ht="25.15" customHeight="1">
      <c r="B70" s="78"/>
      <c r="C70" s="76" t="e">
        <f>VLOOKUP(tbDensity[[#This Row],[Item]],Calories[],2,FALSE)</f>
        <v>#N/A</v>
      </c>
      <c r="D70" s="65" t="e">
        <f>_xlfn.XLOOKUP(tbDensity[[#This Row],[Item]],Calories[Name],Calories[Cals])*100</f>
        <v>#N/A</v>
      </c>
      <c r="E70" s="71" t="e">
        <f>_xlfn.XLOOKUP(tbDensity[[#This Row],[Item]],Calories[Name],Calories[Carbs])*100</f>
        <v>#N/A</v>
      </c>
      <c r="F70" s="71" t="e">
        <f>_xlfn.XLOOKUP(tbDensity[[#This Row],[Item]],Calories[Name],Calories[Fibre])*100</f>
        <v>#N/A</v>
      </c>
      <c r="G70" s="113" t="e">
        <f>(tbDensity[[#This Row],[Carb / 100g]]-tbDensity[[#This Row],[Fibre / 100g]])</f>
        <v>#N/A</v>
      </c>
      <c r="H70" s="71" t="e">
        <f>_xlfn.XLOOKUP(tbDensity[[#This Row],[Item]],Calories[Name],Calories[Sodium])* 100</f>
        <v>#N/A</v>
      </c>
      <c r="I70" s="71" t="e">
        <f>_xlfn.XLOOKUP(tbDensity[[#This Row],[Item]],Calories[Name],Calories[Protein]) * 100</f>
        <v>#N/A</v>
      </c>
      <c r="J70" s="103" t="e">
        <f>_xlfn.XLOOKUP(tbDensity[[#This Row],[Item]],Calories[Name],Calories[Chol.]) * 100</f>
        <v>#N/A</v>
      </c>
    </row>
    <row r="71" spans="2:10" s="66" customFormat="1" ht="25.15" customHeight="1">
      <c r="B71" s="78"/>
      <c r="C71" s="76" t="e">
        <f>VLOOKUP(tbDensity[[#This Row],[Item]],Calories[],2,FALSE)</f>
        <v>#N/A</v>
      </c>
      <c r="D71" s="65" t="e">
        <f>_xlfn.XLOOKUP(tbDensity[[#This Row],[Item]],Calories[Name],Calories[Cals])*100</f>
        <v>#N/A</v>
      </c>
      <c r="E71" s="71" t="e">
        <f>_xlfn.XLOOKUP(tbDensity[[#This Row],[Item]],Calories[Name],Calories[Carbs])*100</f>
        <v>#N/A</v>
      </c>
      <c r="F71" s="71" t="e">
        <f>_xlfn.XLOOKUP(tbDensity[[#This Row],[Item]],Calories[Name],Calories[Fibre])*100</f>
        <v>#N/A</v>
      </c>
      <c r="G71" s="113" t="e">
        <f>(tbDensity[[#This Row],[Carb / 100g]]-tbDensity[[#This Row],[Fibre / 100g]])</f>
        <v>#N/A</v>
      </c>
      <c r="H71" s="71" t="e">
        <f>_xlfn.XLOOKUP(tbDensity[[#This Row],[Item]],Calories[Name],Calories[Sodium])* 100</f>
        <v>#N/A</v>
      </c>
      <c r="I71" s="71" t="e">
        <f>_xlfn.XLOOKUP(tbDensity[[#This Row],[Item]],Calories[Name],Calories[Protein]) * 100</f>
        <v>#N/A</v>
      </c>
      <c r="J71" s="103" t="e">
        <f>_xlfn.XLOOKUP(tbDensity[[#This Row],[Item]],Calories[Name],Calories[Chol.]) * 100</f>
        <v>#N/A</v>
      </c>
    </row>
    <row r="72" spans="2:10" s="66" customFormat="1" ht="25.15" customHeight="1">
      <c r="B72" s="64"/>
      <c r="C72" s="76" t="e">
        <f>VLOOKUP(tbDensity[[#This Row],[Item]],Calories[],2,FALSE)</f>
        <v>#N/A</v>
      </c>
      <c r="D72" s="65" t="e">
        <f>_xlfn.XLOOKUP(tbDensity[[#This Row],[Item]],Calories[Name],Calories[Cals])*100</f>
        <v>#N/A</v>
      </c>
      <c r="E72" s="71" t="e">
        <f>_xlfn.XLOOKUP(tbDensity[[#This Row],[Item]],Calories[Name],Calories[Carbs])*100</f>
        <v>#N/A</v>
      </c>
      <c r="F72" s="71" t="e">
        <f>_xlfn.XLOOKUP(tbDensity[[#This Row],[Item]],Calories[Name],Calories[Fibre])*100</f>
        <v>#N/A</v>
      </c>
      <c r="G72" s="113" t="e">
        <f>(tbDensity[[#This Row],[Carb / 100g]]-tbDensity[[#This Row],[Fibre / 100g]])</f>
        <v>#N/A</v>
      </c>
      <c r="H72" s="71" t="e">
        <f>_xlfn.XLOOKUP(tbDensity[[#This Row],[Item]],Calories[Name],Calories[Sodium])* 100</f>
        <v>#N/A</v>
      </c>
      <c r="I72" s="71" t="e">
        <f>_xlfn.XLOOKUP(tbDensity[[#This Row],[Item]],Calories[Name],Calories[Protein]) * 100</f>
        <v>#N/A</v>
      </c>
      <c r="J72" s="103" t="e">
        <f>_xlfn.XLOOKUP(tbDensity[[#This Row],[Item]],Calories[Name],Calories[Chol.]) * 100</f>
        <v>#N/A</v>
      </c>
    </row>
    <row r="73" spans="2:10" s="66" customFormat="1" ht="25.15" customHeight="1">
      <c r="B73" s="78"/>
      <c r="C73" s="76" t="e">
        <f>VLOOKUP(tbDensity[[#This Row],[Item]],Calories[],2,FALSE)</f>
        <v>#N/A</v>
      </c>
      <c r="D73" s="65" t="e">
        <f>_xlfn.XLOOKUP(tbDensity[[#This Row],[Item]],Calories[Name],Calories[Cals])*100</f>
        <v>#N/A</v>
      </c>
      <c r="E73" s="71" t="e">
        <f>_xlfn.XLOOKUP(tbDensity[[#This Row],[Item]],Calories[Name],Calories[Carbs])*100</f>
        <v>#N/A</v>
      </c>
      <c r="F73" s="71" t="e">
        <f>_xlfn.XLOOKUP(tbDensity[[#This Row],[Item]],Calories[Name],Calories[Fibre])*100</f>
        <v>#N/A</v>
      </c>
      <c r="G73" s="113" t="e">
        <f>(tbDensity[[#This Row],[Carb / 100g]]-tbDensity[[#This Row],[Fibre / 100g]])</f>
        <v>#N/A</v>
      </c>
      <c r="H73" s="71" t="e">
        <f>_xlfn.XLOOKUP(tbDensity[[#This Row],[Item]],Calories[Name],Calories[Sodium])* 100</f>
        <v>#N/A</v>
      </c>
      <c r="I73" s="71" t="e">
        <f>_xlfn.XLOOKUP(tbDensity[[#This Row],[Item]],Calories[Name],Calories[Protein]) * 100</f>
        <v>#N/A</v>
      </c>
      <c r="J73" s="103" t="e">
        <f>_xlfn.XLOOKUP(tbDensity[[#This Row],[Item]],Calories[Name],Calories[Chol.]) * 100</f>
        <v>#N/A</v>
      </c>
    </row>
    <row r="74" spans="2:10" s="66" customFormat="1" ht="25.15" customHeight="1">
      <c r="B74" s="78"/>
      <c r="C74" s="76" t="e">
        <f>VLOOKUP(tbDensity[[#This Row],[Item]],Calories[],2,FALSE)</f>
        <v>#N/A</v>
      </c>
      <c r="D74" s="65" t="e">
        <f>_xlfn.XLOOKUP(tbDensity[[#This Row],[Item]],Calories[Name],Calories[Cals])*100</f>
        <v>#N/A</v>
      </c>
      <c r="E74" s="71" t="e">
        <f>_xlfn.XLOOKUP(tbDensity[[#This Row],[Item]],Calories[Name],Calories[Carbs])*100</f>
        <v>#N/A</v>
      </c>
      <c r="F74" s="71" t="e">
        <f>_xlfn.XLOOKUP(tbDensity[[#This Row],[Item]],Calories[Name],Calories[Fibre])*100</f>
        <v>#N/A</v>
      </c>
      <c r="G74" s="113" t="e">
        <f>(tbDensity[[#This Row],[Carb / 100g]]-tbDensity[[#This Row],[Fibre / 100g]])</f>
        <v>#N/A</v>
      </c>
      <c r="H74" s="71" t="e">
        <f>_xlfn.XLOOKUP(tbDensity[[#This Row],[Item]],Calories[Name],Calories[Sodium])* 100</f>
        <v>#N/A</v>
      </c>
      <c r="I74" s="71" t="e">
        <f>_xlfn.XLOOKUP(tbDensity[[#This Row],[Item]],Calories[Name],Calories[Protein]) * 100</f>
        <v>#N/A</v>
      </c>
      <c r="J74" s="103" t="e">
        <f>_xlfn.XLOOKUP(tbDensity[[#This Row],[Item]],Calories[Name],Calories[Chol.]) * 100</f>
        <v>#N/A</v>
      </c>
    </row>
    <row r="75" spans="2:10" s="66" customFormat="1" ht="25.15" customHeight="1">
      <c r="B75" s="78"/>
      <c r="C75" s="76" t="e">
        <f>VLOOKUP(tbDensity[[#This Row],[Item]],Calories[],2,FALSE)</f>
        <v>#N/A</v>
      </c>
      <c r="D75" s="65" t="e">
        <f>_xlfn.XLOOKUP(tbDensity[[#This Row],[Item]],Calories[Name],Calories[Cals])*100</f>
        <v>#N/A</v>
      </c>
      <c r="E75" s="71" t="e">
        <f>_xlfn.XLOOKUP(tbDensity[[#This Row],[Item]],Calories[Name],Calories[Carbs])*100</f>
        <v>#N/A</v>
      </c>
      <c r="F75" s="71" t="e">
        <f>_xlfn.XLOOKUP(tbDensity[[#This Row],[Item]],Calories[Name],Calories[Fibre])*100</f>
        <v>#N/A</v>
      </c>
      <c r="G75" s="113" t="e">
        <f>(tbDensity[[#This Row],[Carb / 100g]]-tbDensity[[#This Row],[Fibre / 100g]])</f>
        <v>#N/A</v>
      </c>
      <c r="H75" s="71" t="e">
        <f>_xlfn.XLOOKUP(tbDensity[[#This Row],[Item]],Calories[Name],Calories[Sodium])* 100</f>
        <v>#N/A</v>
      </c>
      <c r="I75" s="71" t="e">
        <f>_xlfn.XLOOKUP(tbDensity[[#This Row],[Item]],Calories[Name],Calories[Protein]) * 100</f>
        <v>#N/A</v>
      </c>
      <c r="J75" s="103" t="e">
        <f>_xlfn.XLOOKUP(tbDensity[[#This Row],[Item]],Calories[Name],Calories[Chol.]) * 100</f>
        <v>#N/A</v>
      </c>
    </row>
    <row r="76" spans="2:10" s="66" customFormat="1" ht="25.15" customHeight="1">
      <c r="B76" s="78"/>
      <c r="C76" s="76" t="e">
        <f>VLOOKUP(tbDensity[[#This Row],[Item]],Calories[],2,FALSE)</f>
        <v>#N/A</v>
      </c>
      <c r="D76" s="65" t="e">
        <f>_xlfn.XLOOKUP(tbDensity[[#This Row],[Item]],Calories[Name],Calories[Cals])*100</f>
        <v>#N/A</v>
      </c>
      <c r="E76" s="71" t="e">
        <f>_xlfn.XLOOKUP(tbDensity[[#This Row],[Item]],Calories[Name],Calories[Carbs])*100</f>
        <v>#N/A</v>
      </c>
      <c r="F76" s="71" t="e">
        <f>_xlfn.XLOOKUP(tbDensity[[#This Row],[Item]],Calories[Name],Calories[Fibre])*100</f>
        <v>#N/A</v>
      </c>
      <c r="G76" s="113" t="e">
        <f>(tbDensity[[#This Row],[Carb / 100g]]-tbDensity[[#This Row],[Fibre / 100g]])</f>
        <v>#N/A</v>
      </c>
      <c r="H76" s="71" t="e">
        <f>_xlfn.XLOOKUP(tbDensity[[#This Row],[Item]],Calories[Name],Calories[Sodium])* 100</f>
        <v>#N/A</v>
      </c>
      <c r="I76" s="71" t="e">
        <f>_xlfn.XLOOKUP(tbDensity[[#This Row],[Item]],Calories[Name],Calories[Protein]) * 100</f>
        <v>#N/A</v>
      </c>
      <c r="J76" s="103" t="e">
        <f>_xlfn.XLOOKUP(tbDensity[[#This Row],[Item]],Calories[Name],Calories[Chol.]) * 100</f>
        <v>#N/A</v>
      </c>
    </row>
    <row r="77" spans="2:10" s="66" customFormat="1" ht="25.15" customHeight="1">
      <c r="B77" s="64"/>
      <c r="C77" s="76" t="e">
        <f>VLOOKUP(tbDensity[[#This Row],[Item]],Calories[],2,FALSE)</f>
        <v>#N/A</v>
      </c>
      <c r="D77" s="65" t="e">
        <f>_xlfn.XLOOKUP(tbDensity[[#This Row],[Item]],Calories[Name],Calories[Cals])*100</f>
        <v>#N/A</v>
      </c>
      <c r="E77" s="71" t="e">
        <f>_xlfn.XLOOKUP(tbDensity[[#This Row],[Item]],Calories[Name],Calories[Carbs])*100</f>
        <v>#N/A</v>
      </c>
      <c r="F77" s="71" t="e">
        <f>_xlfn.XLOOKUP(tbDensity[[#This Row],[Item]],Calories[Name],Calories[Fibre])*100</f>
        <v>#N/A</v>
      </c>
      <c r="G77" s="113" t="e">
        <f>(tbDensity[[#This Row],[Carb / 100g]]-tbDensity[[#This Row],[Fibre / 100g]])</f>
        <v>#N/A</v>
      </c>
      <c r="H77" s="71" t="e">
        <f>_xlfn.XLOOKUP(tbDensity[[#This Row],[Item]],Calories[Name],Calories[Sodium])* 100</f>
        <v>#N/A</v>
      </c>
      <c r="I77" s="71" t="e">
        <f>_xlfn.XLOOKUP(tbDensity[[#This Row],[Item]],Calories[Name],Calories[Protein]) * 100</f>
        <v>#N/A</v>
      </c>
      <c r="J77" s="103" t="e">
        <f>_xlfn.XLOOKUP(tbDensity[[#This Row],[Item]],Calories[Name],Calories[Chol.]) * 100</f>
        <v>#N/A</v>
      </c>
    </row>
    <row r="78" spans="2:10" s="66" customFormat="1" ht="25.15" customHeight="1">
      <c r="B78" s="64"/>
      <c r="C78" s="76" t="e">
        <f>VLOOKUP(tbDensity[[#This Row],[Item]],Calories[],2,FALSE)</f>
        <v>#N/A</v>
      </c>
      <c r="D78" s="65" t="e">
        <f>_xlfn.XLOOKUP(tbDensity[[#This Row],[Item]],Calories[Name],Calories[Cals])*100</f>
        <v>#N/A</v>
      </c>
      <c r="E78" s="71" t="e">
        <f>_xlfn.XLOOKUP(tbDensity[[#This Row],[Item]],Calories[Name],Calories[Carbs])*100</f>
        <v>#N/A</v>
      </c>
      <c r="F78" s="71" t="e">
        <f>_xlfn.XLOOKUP(tbDensity[[#This Row],[Item]],Calories[Name],Calories[Fibre])*100</f>
        <v>#N/A</v>
      </c>
      <c r="G78" s="113" t="e">
        <f>(tbDensity[[#This Row],[Carb / 100g]]-tbDensity[[#This Row],[Fibre / 100g]])</f>
        <v>#N/A</v>
      </c>
      <c r="H78" s="71" t="e">
        <f>_xlfn.XLOOKUP(tbDensity[[#This Row],[Item]],Calories[Name],Calories[Sodium])* 100</f>
        <v>#N/A</v>
      </c>
      <c r="I78" s="71" t="e">
        <f>_xlfn.XLOOKUP(tbDensity[[#This Row],[Item]],Calories[Name],Calories[Protein]) * 100</f>
        <v>#N/A</v>
      </c>
      <c r="J78" s="103" t="e">
        <f>_xlfn.XLOOKUP(tbDensity[[#This Row],[Item]],Calories[Name],Calories[Chol.]) * 100</f>
        <v>#N/A</v>
      </c>
    </row>
    <row r="79" spans="2:10" s="66" customFormat="1" ht="25.15" customHeight="1">
      <c r="B79" s="64"/>
      <c r="C79" s="76" t="e">
        <f>VLOOKUP(tbDensity[[#This Row],[Item]],Calories[],2,FALSE)</f>
        <v>#N/A</v>
      </c>
      <c r="D79" s="65" t="e">
        <f>_xlfn.XLOOKUP(tbDensity[[#This Row],[Item]],Calories[Name],Calories[Cals])*100</f>
        <v>#N/A</v>
      </c>
      <c r="E79" s="71" t="e">
        <f>_xlfn.XLOOKUP(tbDensity[[#This Row],[Item]],Calories[Name],Calories[Carbs])*100</f>
        <v>#N/A</v>
      </c>
      <c r="F79" s="71" t="e">
        <f>_xlfn.XLOOKUP(tbDensity[[#This Row],[Item]],Calories[Name],Calories[Fibre])*100</f>
        <v>#N/A</v>
      </c>
      <c r="G79" s="113" t="e">
        <f>(tbDensity[[#This Row],[Carb / 100g]]-tbDensity[[#This Row],[Fibre / 100g]])</f>
        <v>#N/A</v>
      </c>
      <c r="H79" s="71" t="e">
        <f>_xlfn.XLOOKUP(tbDensity[[#This Row],[Item]],Calories[Name],Calories[Sodium])* 100</f>
        <v>#N/A</v>
      </c>
      <c r="I79" s="71" t="e">
        <f>_xlfn.XLOOKUP(tbDensity[[#This Row],[Item]],Calories[Name],Calories[Protein]) * 100</f>
        <v>#N/A</v>
      </c>
      <c r="J79" s="103" t="e">
        <f>_xlfn.XLOOKUP(tbDensity[[#This Row],[Item]],Calories[Name],Calories[Chol.]) * 100</f>
        <v>#N/A</v>
      </c>
    </row>
    <row r="80" spans="2:10" s="66" customFormat="1" ht="25.15" customHeight="1">
      <c r="B80" s="64"/>
      <c r="C80" s="76" t="e">
        <f>VLOOKUP(tbDensity[[#This Row],[Item]],Calories[],2,FALSE)</f>
        <v>#N/A</v>
      </c>
      <c r="D80" s="65" t="e">
        <f>_xlfn.XLOOKUP(tbDensity[[#This Row],[Item]],Calories[Name],Calories[Cals])*100</f>
        <v>#N/A</v>
      </c>
      <c r="E80" s="71" t="e">
        <f>_xlfn.XLOOKUP(tbDensity[[#This Row],[Item]],Calories[Name],Calories[Carbs])*100</f>
        <v>#N/A</v>
      </c>
      <c r="F80" s="71" t="e">
        <f>_xlfn.XLOOKUP(tbDensity[[#This Row],[Item]],Calories[Name],Calories[Fibre])*100</f>
        <v>#N/A</v>
      </c>
      <c r="G80" s="113" t="e">
        <f>(tbDensity[[#This Row],[Carb / 100g]]-tbDensity[[#This Row],[Fibre / 100g]])</f>
        <v>#N/A</v>
      </c>
      <c r="H80" s="71" t="e">
        <f>_xlfn.XLOOKUP(tbDensity[[#This Row],[Item]],Calories[Name],Calories[Sodium])* 100</f>
        <v>#N/A</v>
      </c>
      <c r="I80" s="71" t="e">
        <f>_xlfn.XLOOKUP(tbDensity[[#This Row],[Item]],Calories[Name],Calories[Protein]) * 100</f>
        <v>#N/A</v>
      </c>
      <c r="J80" s="103" t="e">
        <f>_xlfn.XLOOKUP(tbDensity[[#This Row],[Item]],Calories[Name],Calories[Chol.]) * 100</f>
        <v>#N/A</v>
      </c>
    </row>
    <row r="81" spans="2:10" s="66" customFormat="1" ht="25.15" customHeight="1">
      <c r="B81" s="64"/>
      <c r="C81" s="76" t="e">
        <f>VLOOKUP(tbDensity[[#This Row],[Item]],Calories[],2,FALSE)</f>
        <v>#N/A</v>
      </c>
      <c r="D81" s="65" t="e">
        <f>_xlfn.XLOOKUP(tbDensity[[#This Row],[Item]],Calories[Name],Calories[Cals])*100</f>
        <v>#N/A</v>
      </c>
      <c r="E81" s="71" t="e">
        <f>_xlfn.XLOOKUP(tbDensity[[#This Row],[Item]],Calories[Name],Calories[Carbs])*100</f>
        <v>#N/A</v>
      </c>
      <c r="F81" s="71" t="e">
        <f>_xlfn.XLOOKUP(tbDensity[[#This Row],[Item]],Calories[Name],Calories[Fibre])*100</f>
        <v>#N/A</v>
      </c>
      <c r="G81" s="113" t="e">
        <f>(tbDensity[[#This Row],[Carb / 100g]]-tbDensity[[#This Row],[Fibre / 100g]])</f>
        <v>#N/A</v>
      </c>
      <c r="H81" s="71" t="e">
        <f>_xlfn.XLOOKUP(tbDensity[[#This Row],[Item]],Calories[Name],Calories[Sodium])* 100</f>
        <v>#N/A</v>
      </c>
      <c r="I81" s="71" t="e">
        <f>_xlfn.XLOOKUP(tbDensity[[#This Row],[Item]],Calories[Name],Calories[Protein]) * 100</f>
        <v>#N/A</v>
      </c>
      <c r="J81" s="103" t="e">
        <f>_xlfn.XLOOKUP(tbDensity[[#This Row],[Item]],Calories[Name],Calories[Chol.]) * 100</f>
        <v>#N/A</v>
      </c>
    </row>
    <row r="82" spans="2:10" s="66" customFormat="1" ht="25.15" customHeight="1">
      <c r="B82" s="78"/>
      <c r="C82" s="76" t="e">
        <f>VLOOKUP(tbDensity[[#This Row],[Item]],Calories[],2,FALSE)</f>
        <v>#N/A</v>
      </c>
      <c r="D82" s="65" t="e">
        <f>_xlfn.XLOOKUP(tbDensity[[#This Row],[Item]],Calories[Name],Calories[Cals])*100</f>
        <v>#N/A</v>
      </c>
      <c r="E82" s="71" t="e">
        <f>_xlfn.XLOOKUP(tbDensity[[#This Row],[Item]],Calories[Name],Calories[Carbs])*100</f>
        <v>#N/A</v>
      </c>
      <c r="F82" s="71" t="e">
        <f>_xlfn.XLOOKUP(tbDensity[[#This Row],[Item]],Calories[Name],Calories[Fibre])*100</f>
        <v>#N/A</v>
      </c>
      <c r="G82" s="113" t="e">
        <f>(tbDensity[[#This Row],[Carb / 100g]]-tbDensity[[#This Row],[Fibre / 100g]])</f>
        <v>#N/A</v>
      </c>
      <c r="H82" s="71" t="e">
        <f>_xlfn.XLOOKUP(tbDensity[[#This Row],[Item]],Calories[Name],Calories[Sodium])* 100</f>
        <v>#N/A</v>
      </c>
      <c r="I82" s="71" t="e">
        <f>_xlfn.XLOOKUP(tbDensity[[#This Row],[Item]],Calories[Name],Calories[Protein]) * 100</f>
        <v>#N/A</v>
      </c>
      <c r="J82" s="103" t="e">
        <f>_xlfn.XLOOKUP(tbDensity[[#This Row],[Item]],Calories[Name],Calories[Chol.]) * 100</f>
        <v>#N/A</v>
      </c>
    </row>
    <row r="83" spans="2:10" s="66" customFormat="1" ht="25.15" customHeight="1">
      <c r="B83" s="64"/>
      <c r="C83" s="76" t="e">
        <f>VLOOKUP(tbDensity[[#This Row],[Item]],Calories[],2,FALSE)</f>
        <v>#N/A</v>
      </c>
      <c r="D83" s="65" t="e">
        <f>_xlfn.XLOOKUP(tbDensity[[#This Row],[Item]],Calories[Name],Calories[Cals])*100</f>
        <v>#N/A</v>
      </c>
      <c r="E83" s="71" t="e">
        <f>_xlfn.XLOOKUP(tbDensity[[#This Row],[Item]],Calories[Name],Calories[Carbs])*100</f>
        <v>#N/A</v>
      </c>
      <c r="F83" s="71" t="e">
        <f>_xlfn.XLOOKUP(tbDensity[[#This Row],[Item]],Calories[Name],Calories[Fibre])*100</f>
        <v>#N/A</v>
      </c>
      <c r="G83" s="113" t="e">
        <f>(tbDensity[[#This Row],[Carb / 100g]]-tbDensity[[#This Row],[Fibre / 100g]])</f>
        <v>#N/A</v>
      </c>
      <c r="H83" s="71" t="e">
        <f>_xlfn.XLOOKUP(tbDensity[[#This Row],[Item]],Calories[Name],Calories[Sodium])* 100</f>
        <v>#N/A</v>
      </c>
      <c r="I83" s="71" t="e">
        <f>_xlfn.XLOOKUP(tbDensity[[#This Row],[Item]],Calories[Name],Calories[Protein]) * 100</f>
        <v>#N/A</v>
      </c>
      <c r="J83" s="103" t="e">
        <f>_xlfn.XLOOKUP(tbDensity[[#This Row],[Item]],Calories[Name],Calories[Chol.]) * 100</f>
        <v>#N/A</v>
      </c>
    </row>
    <row r="84" spans="2:10" s="66" customFormat="1" ht="25.15" customHeight="1">
      <c r="B84" s="78"/>
      <c r="C84" s="76" t="e">
        <f>VLOOKUP(tbDensity[[#This Row],[Item]],Calories[],2,FALSE)</f>
        <v>#N/A</v>
      </c>
      <c r="D84" s="65" t="e">
        <f>_xlfn.XLOOKUP(tbDensity[[#This Row],[Item]],Calories[Name],Calories[Cals])*100</f>
        <v>#N/A</v>
      </c>
      <c r="E84" s="71" t="e">
        <f>_xlfn.XLOOKUP(tbDensity[[#This Row],[Item]],Calories[Name],Calories[Carbs])*100</f>
        <v>#N/A</v>
      </c>
      <c r="F84" s="71" t="e">
        <f>_xlfn.XLOOKUP(tbDensity[[#This Row],[Item]],Calories[Name],Calories[Fibre])*100</f>
        <v>#N/A</v>
      </c>
      <c r="G84" s="113" t="e">
        <f>(tbDensity[[#This Row],[Carb / 100g]]-tbDensity[[#This Row],[Fibre / 100g]])</f>
        <v>#N/A</v>
      </c>
      <c r="H84" s="71" t="e">
        <f>_xlfn.XLOOKUP(tbDensity[[#This Row],[Item]],Calories[Name],Calories[Sodium])* 100</f>
        <v>#N/A</v>
      </c>
      <c r="I84" s="71" t="e">
        <f>_xlfn.XLOOKUP(tbDensity[[#This Row],[Item]],Calories[Name],Calories[Protein]) * 100</f>
        <v>#N/A</v>
      </c>
      <c r="J84" s="103" t="e">
        <f>_xlfn.XLOOKUP(tbDensity[[#This Row],[Item]],Calories[Name],Calories[Chol.]) * 100</f>
        <v>#N/A</v>
      </c>
    </row>
    <row r="85" spans="2:10" s="66" customFormat="1" ht="25.15" customHeight="1">
      <c r="B85" s="78"/>
      <c r="C85" s="76" t="e">
        <f>VLOOKUP(tbDensity[[#This Row],[Item]],Calories[],2,FALSE)</f>
        <v>#N/A</v>
      </c>
      <c r="D85" s="65" t="e">
        <f>_xlfn.XLOOKUP(tbDensity[[#This Row],[Item]],Calories[Name],Calories[Cals])*100</f>
        <v>#N/A</v>
      </c>
      <c r="E85" s="71" t="e">
        <f>_xlfn.XLOOKUP(tbDensity[[#This Row],[Item]],Calories[Name],Calories[Carbs])*100</f>
        <v>#N/A</v>
      </c>
      <c r="F85" s="71" t="e">
        <f>_xlfn.XLOOKUP(tbDensity[[#This Row],[Item]],Calories[Name],Calories[Fibre])*100</f>
        <v>#N/A</v>
      </c>
      <c r="G85" s="113" t="e">
        <f>(tbDensity[[#This Row],[Carb / 100g]]-tbDensity[[#This Row],[Fibre / 100g]])</f>
        <v>#N/A</v>
      </c>
      <c r="H85" s="71" t="e">
        <f>_xlfn.XLOOKUP(tbDensity[[#This Row],[Item]],Calories[Name],Calories[Sodium])* 100</f>
        <v>#N/A</v>
      </c>
      <c r="I85" s="71" t="e">
        <f>_xlfn.XLOOKUP(tbDensity[[#This Row],[Item]],Calories[Name],Calories[Protein]) * 100</f>
        <v>#N/A</v>
      </c>
      <c r="J85" s="103" t="e">
        <f>_xlfn.XLOOKUP(tbDensity[[#This Row],[Item]],Calories[Name],Calories[Chol.]) * 100</f>
        <v>#N/A</v>
      </c>
    </row>
    <row r="86" spans="2:10" s="66" customFormat="1" ht="25.15" customHeight="1">
      <c r="B86" s="78"/>
      <c r="C86" s="76" t="e">
        <f>VLOOKUP(tbDensity[[#This Row],[Item]],Calories[],2,FALSE)</f>
        <v>#N/A</v>
      </c>
      <c r="D86" s="65" t="e">
        <f>_xlfn.XLOOKUP(tbDensity[[#This Row],[Item]],Calories[Name],Calories[Cals])*100</f>
        <v>#N/A</v>
      </c>
      <c r="E86" s="71" t="e">
        <f>_xlfn.XLOOKUP(tbDensity[[#This Row],[Item]],Calories[Name],Calories[Carbs])*100</f>
        <v>#N/A</v>
      </c>
      <c r="F86" s="71" t="e">
        <f>_xlfn.XLOOKUP(tbDensity[[#This Row],[Item]],Calories[Name],Calories[Fibre])*100</f>
        <v>#N/A</v>
      </c>
      <c r="G86" s="113" t="e">
        <f>(tbDensity[[#This Row],[Carb / 100g]]-tbDensity[[#This Row],[Fibre / 100g]])</f>
        <v>#N/A</v>
      </c>
      <c r="H86" s="71" t="e">
        <f>_xlfn.XLOOKUP(tbDensity[[#This Row],[Item]],Calories[Name],Calories[Sodium])* 100</f>
        <v>#N/A</v>
      </c>
      <c r="I86" s="71" t="e">
        <f>_xlfn.XLOOKUP(tbDensity[[#This Row],[Item]],Calories[Name],Calories[Protein]) * 100</f>
        <v>#N/A</v>
      </c>
      <c r="J86" s="103" t="e">
        <f>_xlfn.XLOOKUP(tbDensity[[#This Row],[Item]],Calories[Name],Calories[Chol.]) * 100</f>
        <v>#N/A</v>
      </c>
    </row>
    <row r="87" spans="2:10" s="66" customFormat="1" ht="25.15" customHeight="1">
      <c r="B87" s="78"/>
      <c r="C87" s="76" t="e">
        <f>VLOOKUP(tbDensity[[#This Row],[Item]],Calories[],2,FALSE)</f>
        <v>#N/A</v>
      </c>
      <c r="D87" s="65" t="e">
        <f>_xlfn.XLOOKUP(tbDensity[[#This Row],[Item]],Calories[Name],Calories[Cals])*100</f>
        <v>#N/A</v>
      </c>
      <c r="E87" s="71" t="e">
        <f>_xlfn.XLOOKUP(tbDensity[[#This Row],[Item]],Calories[Name],Calories[Carbs])*100</f>
        <v>#N/A</v>
      </c>
      <c r="F87" s="71" t="e">
        <f>_xlfn.XLOOKUP(tbDensity[[#This Row],[Item]],Calories[Name],Calories[Fibre])*100</f>
        <v>#N/A</v>
      </c>
      <c r="G87" s="113" t="e">
        <f>(tbDensity[[#This Row],[Carb / 100g]]-tbDensity[[#This Row],[Fibre / 100g]])</f>
        <v>#N/A</v>
      </c>
      <c r="H87" s="71" t="e">
        <f>_xlfn.XLOOKUP(tbDensity[[#This Row],[Item]],Calories[Name],Calories[Sodium])* 100</f>
        <v>#N/A</v>
      </c>
      <c r="I87" s="71" t="e">
        <f>_xlfn.XLOOKUP(tbDensity[[#This Row],[Item]],Calories[Name],Calories[Protein]) * 100</f>
        <v>#N/A</v>
      </c>
      <c r="J87" s="103" t="e">
        <f>_xlfn.XLOOKUP(tbDensity[[#This Row],[Item]],Calories[Name],Calories[Chol.]) * 100</f>
        <v>#N/A</v>
      </c>
    </row>
    <row r="88" spans="2:10" s="66" customFormat="1" ht="25.15" customHeight="1">
      <c r="B88" s="78"/>
      <c r="C88" s="76" t="e">
        <f>VLOOKUP(tbDensity[[#This Row],[Item]],Calories[],2,FALSE)</f>
        <v>#N/A</v>
      </c>
      <c r="D88" s="65" t="e">
        <f>_xlfn.XLOOKUP(tbDensity[[#This Row],[Item]],Calories[Name],Calories[Cals])*100</f>
        <v>#N/A</v>
      </c>
      <c r="E88" s="71" t="e">
        <f>_xlfn.XLOOKUP(tbDensity[[#This Row],[Item]],Calories[Name],Calories[Carbs])*100</f>
        <v>#N/A</v>
      </c>
      <c r="F88" s="71" t="e">
        <f>_xlfn.XLOOKUP(tbDensity[[#This Row],[Item]],Calories[Name],Calories[Fibre])*100</f>
        <v>#N/A</v>
      </c>
      <c r="G88" s="113" t="e">
        <f>(tbDensity[[#This Row],[Carb / 100g]]-tbDensity[[#This Row],[Fibre / 100g]])</f>
        <v>#N/A</v>
      </c>
      <c r="H88" s="71" t="e">
        <f>_xlfn.XLOOKUP(tbDensity[[#This Row],[Item]],Calories[Name],Calories[Sodium])* 100</f>
        <v>#N/A</v>
      </c>
      <c r="I88" s="71" t="e">
        <f>_xlfn.XLOOKUP(tbDensity[[#This Row],[Item]],Calories[Name],Calories[Protein]) * 100</f>
        <v>#N/A</v>
      </c>
      <c r="J88" s="103" t="e">
        <f>_xlfn.XLOOKUP(tbDensity[[#This Row],[Item]],Calories[Name],Calories[Chol.]) * 100</f>
        <v>#N/A</v>
      </c>
    </row>
    <row r="89" spans="2:10" s="66" customFormat="1" ht="25.15" customHeight="1">
      <c r="B89" s="78"/>
      <c r="C89" s="76" t="e">
        <f>VLOOKUP(tbDensity[[#This Row],[Item]],Calories[],2,FALSE)</f>
        <v>#N/A</v>
      </c>
      <c r="D89" s="65" t="e">
        <f>_xlfn.XLOOKUP(tbDensity[[#This Row],[Item]],Calories[Name],Calories[Cals])*100</f>
        <v>#N/A</v>
      </c>
      <c r="E89" s="71" t="e">
        <f>_xlfn.XLOOKUP(tbDensity[[#This Row],[Item]],Calories[Name],Calories[Carbs])*100</f>
        <v>#N/A</v>
      </c>
      <c r="F89" s="71" t="e">
        <f>_xlfn.XLOOKUP(tbDensity[[#This Row],[Item]],Calories[Name],Calories[Fibre])*100</f>
        <v>#N/A</v>
      </c>
      <c r="G89" s="113" t="e">
        <f>(tbDensity[[#This Row],[Carb / 100g]]-tbDensity[[#This Row],[Fibre / 100g]])</f>
        <v>#N/A</v>
      </c>
      <c r="H89" s="71" t="e">
        <f>_xlfn.XLOOKUP(tbDensity[[#This Row],[Item]],Calories[Name],Calories[Sodium])* 100</f>
        <v>#N/A</v>
      </c>
      <c r="I89" s="71" t="e">
        <f>_xlfn.XLOOKUP(tbDensity[[#This Row],[Item]],Calories[Name],Calories[Protein]) * 100</f>
        <v>#N/A</v>
      </c>
      <c r="J89" s="103" t="e">
        <f>_xlfn.XLOOKUP(tbDensity[[#This Row],[Item]],Calories[Name],Calories[Chol.]) * 100</f>
        <v>#N/A</v>
      </c>
    </row>
    <row r="90" spans="2:10" s="66" customFormat="1" ht="25.15" customHeight="1">
      <c r="B90" s="78"/>
      <c r="C90" s="76" t="e">
        <f>VLOOKUP(tbDensity[[#This Row],[Item]],Calories[],2,FALSE)</f>
        <v>#N/A</v>
      </c>
      <c r="D90" s="65" t="e">
        <f>_xlfn.XLOOKUP(tbDensity[[#This Row],[Item]],Calories[Name],Calories[Cals])*100</f>
        <v>#N/A</v>
      </c>
      <c r="E90" s="71" t="e">
        <f>_xlfn.XLOOKUP(tbDensity[[#This Row],[Item]],Calories[Name],Calories[Carbs])*100</f>
        <v>#N/A</v>
      </c>
      <c r="F90" s="71" t="e">
        <f>_xlfn.XLOOKUP(tbDensity[[#This Row],[Item]],Calories[Name],Calories[Fibre])*100</f>
        <v>#N/A</v>
      </c>
      <c r="G90" s="113" t="e">
        <f>(tbDensity[[#This Row],[Carb / 100g]]-tbDensity[[#This Row],[Fibre / 100g]])</f>
        <v>#N/A</v>
      </c>
      <c r="H90" s="71" t="e">
        <f>_xlfn.XLOOKUP(tbDensity[[#This Row],[Item]],Calories[Name],Calories[Sodium])* 100</f>
        <v>#N/A</v>
      </c>
      <c r="I90" s="71" t="e">
        <f>_xlfn.XLOOKUP(tbDensity[[#This Row],[Item]],Calories[Name],Calories[Protein]) * 100</f>
        <v>#N/A</v>
      </c>
      <c r="J90" s="103" t="e">
        <f>_xlfn.XLOOKUP(tbDensity[[#This Row],[Item]],Calories[Name],Calories[Chol.]) * 100</f>
        <v>#N/A</v>
      </c>
    </row>
    <row r="91" spans="2:10" s="66" customFormat="1" ht="25.15" customHeight="1">
      <c r="B91" s="78"/>
      <c r="C91" s="76" t="e">
        <f>VLOOKUP(tbDensity[[#This Row],[Item]],Calories[],2,FALSE)</f>
        <v>#N/A</v>
      </c>
      <c r="D91" s="65" t="e">
        <f>_xlfn.XLOOKUP(tbDensity[[#This Row],[Item]],Calories[Name],Calories[Cals])*100</f>
        <v>#N/A</v>
      </c>
      <c r="E91" s="71" t="e">
        <f>_xlfn.XLOOKUP(tbDensity[[#This Row],[Item]],Calories[Name],Calories[Carbs])*100</f>
        <v>#N/A</v>
      </c>
      <c r="F91" s="71" t="e">
        <f>_xlfn.XLOOKUP(tbDensity[[#This Row],[Item]],Calories[Name],Calories[Fibre])*100</f>
        <v>#N/A</v>
      </c>
      <c r="G91" s="113" t="e">
        <f>(tbDensity[[#This Row],[Carb / 100g]]-tbDensity[[#This Row],[Fibre / 100g]])</f>
        <v>#N/A</v>
      </c>
      <c r="H91" s="71" t="e">
        <f>_xlfn.XLOOKUP(tbDensity[[#This Row],[Item]],Calories[Name],Calories[Sodium])* 100</f>
        <v>#N/A</v>
      </c>
      <c r="I91" s="71" t="e">
        <f>_xlfn.XLOOKUP(tbDensity[[#This Row],[Item]],Calories[Name],Calories[Protein]) * 100</f>
        <v>#N/A</v>
      </c>
      <c r="J91" s="103" t="e">
        <f>_xlfn.XLOOKUP(tbDensity[[#This Row],[Item]],Calories[Name],Calories[Chol.]) * 100</f>
        <v>#N/A</v>
      </c>
    </row>
    <row r="92" spans="2:10" s="66" customFormat="1" ht="25.15" customHeight="1">
      <c r="B92" s="78"/>
      <c r="C92" s="76" t="e">
        <f>VLOOKUP(tbDensity[[#This Row],[Item]],Calories[],2,FALSE)</f>
        <v>#N/A</v>
      </c>
      <c r="D92" s="65" t="e">
        <f>_xlfn.XLOOKUP(tbDensity[[#This Row],[Item]],Calories[Name],Calories[Cals])*100</f>
        <v>#N/A</v>
      </c>
      <c r="E92" s="71" t="e">
        <f>_xlfn.XLOOKUP(tbDensity[[#This Row],[Item]],Calories[Name],Calories[Carbs])*100</f>
        <v>#N/A</v>
      </c>
      <c r="F92" s="71" t="e">
        <f>_xlfn.XLOOKUP(tbDensity[[#This Row],[Item]],Calories[Name],Calories[Fibre])*100</f>
        <v>#N/A</v>
      </c>
      <c r="G92" s="113" t="e">
        <f>(tbDensity[[#This Row],[Carb / 100g]]-tbDensity[[#This Row],[Fibre / 100g]])</f>
        <v>#N/A</v>
      </c>
      <c r="H92" s="71" t="e">
        <f>_xlfn.XLOOKUP(tbDensity[[#This Row],[Item]],Calories[Name],Calories[Sodium])* 100</f>
        <v>#N/A</v>
      </c>
      <c r="I92" s="71" t="e">
        <f>_xlfn.XLOOKUP(tbDensity[[#This Row],[Item]],Calories[Name],Calories[Protein]) * 100</f>
        <v>#N/A</v>
      </c>
      <c r="J92" s="103" t="e">
        <f>_xlfn.XLOOKUP(tbDensity[[#This Row],[Item]],Calories[Name],Calories[Chol.]) * 100</f>
        <v>#N/A</v>
      </c>
    </row>
    <row r="93" spans="2:10" s="66" customFormat="1" ht="25.15" customHeight="1">
      <c r="B93" s="78"/>
      <c r="C93" s="76" t="e">
        <f>VLOOKUP(tbDensity[[#This Row],[Item]],Calories[],2,FALSE)</f>
        <v>#N/A</v>
      </c>
      <c r="D93" s="65" t="e">
        <f>_xlfn.XLOOKUP(tbDensity[[#This Row],[Item]],Calories[Name],Calories[Cals])*100</f>
        <v>#N/A</v>
      </c>
      <c r="E93" s="71" t="e">
        <f>_xlfn.XLOOKUP(tbDensity[[#This Row],[Item]],Calories[Name],Calories[Carbs])*100</f>
        <v>#N/A</v>
      </c>
      <c r="F93" s="71" t="e">
        <f>_xlfn.XLOOKUP(tbDensity[[#This Row],[Item]],Calories[Name],Calories[Fibre])*100</f>
        <v>#N/A</v>
      </c>
      <c r="G93" s="113" t="e">
        <f>(tbDensity[[#This Row],[Carb / 100g]]-tbDensity[[#This Row],[Fibre / 100g]])</f>
        <v>#N/A</v>
      </c>
      <c r="H93" s="71" t="e">
        <f>_xlfn.XLOOKUP(tbDensity[[#This Row],[Item]],Calories[Name],Calories[Sodium])* 100</f>
        <v>#N/A</v>
      </c>
      <c r="I93" s="71" t="e">
        <f>_xlfn.XLOOKUP(tbDensity[[#This Row],[Item]],Calories[Name],Calories[Protein]) * 100</f>
        <v>#N/A</v>
      </c>
      <c r="J93" s="103" t="e">
        <f>_xlfn.XLOOKUP(tbDensity[[#This Row],[Item]],Calories[Name],Calories[Chol.]) * 100</f>
        <v>#N/A</v>
      </c>
    </row>
    <row r="94" spans="2:10" s="66" customFormat="1" ht="25.15" customHeight="1">
      <c r="B94" s="78"/>
      <c r="C94" s="76" t="e">
        <f>VLOOKUP(tbDensity[[#This Row],[Item]],Calories[],2,FALSE)</f>
        <v>#N/A</v>
      </c>
      <c r="D94" s="65" t="e">
        <f>_xlfn.XLOOKUP(tbDensity[[#This Row],[Item]],Calories[Name],Calories[Cals])*100</f>
        <v>#N/A</v>
      </c>
      <c r="E94" s="71" t="e">
        <f>_xlfn.XLOOKUP(tbDensity[[#This Row],[Item]],Calories[Name],Calories[Carbs])*100</f>
        <v>#N/A</v>
      </c>
      <c r="F94" s="71" t="e">
        <f>_xlfn.XLOOKUP(tbDensity[[#This Row],[Item]],Calories[Name],Calories[Fibre])*100</f>
        <v>#N/A</v>
      </c>
      <c r="G94" s="113" t="e">
        <f>(tbDensity[[#This Row],[Carb / 100g]]-tbDensity[[#This Row],[Fibre / 100g]])</f>
        <v>#N/A</v>
      </c>
      <c r="H94" s="71" t="e">
        <f>_xlfn.XLOOKUP(tbDensity[[#This Row],[Item]],Calories[Name],Calories[Sodium])* 100</f>
        <v>#N/A</v>
      </c>
      <c r="I94" s="71" t="e">
        <f>_xlfn.XLOOKUP(tbDensity[[#This Row],[Item]],Calories[Name],Calories[Protein]) * 100</f>
        <v>#N/A</v>
      </c>
      <c r="J94" s="103" t="e">
        <f>_xlfn.XLOOKUP(tbDensity[[#This Row],[Item]],Calories[Name],Calories[Chol.]) * 100</f>
        <v>#N/A</v>
      </c>
    </row>
    <row r="95" spans="2:10" s="66" customFormat="1" ht="25.15" customHeight="1">
      <c r="B95" s="78"/>
      <c r="C95" s="76" t="e">
        <f>VLOOKUP(tbDensity[[#This Row],[Item]],Calories[],2,FALSE)</f>
        <v>#N/A</v>
      </c>
      <c r="D95" s="65" t="e">
        <f>_xlfn.XLOOKUP(tbDensity[[#This Row],[Item]],Calories[Name],Calories[Cals])*100</f>
        <v>#N/A</v>
      </c>
      <c r="E95" s="71" t="e">
        <f>_xlfn.XLOOKUP(tbDensity[[#This Row],[Item]],Calories[Name],Calories[Carbs])*100</f>
        <v>#N/A</v>
      </c>
      <c r="F95" s="71" t="e">
        <f>_xlfn.XLOOKUP(tbDensity[[#This Row],[Item]],Calories[Name],Calories[Fibre])*100</f>
        <v>#N/A</v>
      </c>
      <c r="G95" s="113" t="e">
        <f>(tbDensity[[#This Row],[Carb / 100g]]-tbDensity[[#This Row],[Fibre / 100g]])</f>
        <v>#N/A</v>
      </c>
      <c r="H95" s="71" t="e">
        <f>_xlfn.XLOOKUP(tbDensity[[#This Row],[Item]],Calories[Name],Calories[Sodium])* 100</f>
        <v>#N/A</v>
      </c>
      <c r="I95" s="71" t="e">
        <f>_xlfn.XLOOKUP(tbDensity[[#This Row],[Item]],Calories[Name],Calories[Protein]) * 100</f>
        <v>#N/A</v>
      </c>
      <c r="J95" s="103" t="e">
        <f>_xlfn.XLOOKUP(tbDensity[[#This Row],[Item]],Calories[Name],Calories[Chol.]) * 100</f>
        <v>#N/A</v>
      </c>
    </row>
    <row r="96" spans="2:10" s="66" customFormat="1" ht="25.15" customHeight="1">
      <c r="B96" s="64"/>
      <c r="C96" s="76" t="e">
        <f>VLOOKUP(tbDensity[[#This Row],[Item]],Calories[],2,FALSE)</f>
        <v>#N/A</v>
      </c>
      <c r="D96" s="65" t="e">
        <f>_xlfn.XLOOKUP(tbDensity[[#This Row],[Item]],Calories[Name],Calories[Cals])*100</f>
        <v>#N/A</v>
      </c>
      <c r="E96" s="71" t="e">
        <f>_xlfn.XLOOKUP(tbDensity[[#This Row],[Item]],Calories[Name],Calories[Carbs])*100</f>
        <v>#N/A</v>
      </c>
      <c r="F96" s="71" t="e">
        <f>_xlfn.XLOOKUP(tbDensity[[#This Row],[Item]],Calories[Name],Calories[Fibre])*100</f>
        <v>#N/A</v>
      </c>
      <c r="G96" s="113" t="e">
        <f>(tbDensity[[#This Row],[Carb / 100g]]-tbDensity[[#This Row],[Fibre / 100g]])</f>
        <v>#N/A</v>
      </c>
      <c r="H96" s="71" t="e">
        <f>_xlfn.XLOOKUP(tbDensity[[#This Row],[Item]],Calories[Name],Calories[Sodium])* 100</f>
        <v>#N/A</v>
      </c>
      <c r="I96" s="71" t="e">
        <f>_xlfn.XLOOKUP(tbDensity[[#This Row],[Item]],Calories[Name],Calories[Protein]) * 100</f>
        <v>#N/A</v>
      </c>
      <c r="J96" s="103" t="e">
        <f>_xlfn.XLOOKUP(tbDensity[[#This Row],[Item]],Calories[Name],Calories[Chol.]) * 100</f>
        <v>#N/A</v>
      </c>
    </row>
    <row r="97" spans="2:10" s="66" customFormat="1" ht="25.15" customHeight="1">
      <c r="B97" s="64"/>
      <c r="C97" s="76" t="e">
        <f>VLOOKUP(tbDensity[[#This Row],[Item]],Calories[],2,FALSE)</f>
        <v>#N/A</v>
      </c>
      <c r="D97" s="65" t="e">
        <f>_xlfn.XLOOKUP(tbDensity[[#This Row],[Item]],Calories[Name],Calories[Cals])*100</f>
        <v>#N/A</v>
      </c>
      <c r="E97" s="71" t="e">
        <f>_xlfn.XLOOKUP(tbDensity[[#This Row],[Item]],Calories[Name],Calories[Carbs])*100</f>
        <v>#N/A</v>
      </c>
      <c r="F97" s="71" t="e">
        <f>_xlfn.XLOOKUP(tbDensity[[#This Row],[Item]],Calories[Name],Calories[Fibre])*100</f>
        <v>#N/A</v>
      </c>
      <c r="G97" s="113" t="e">
        <f>(tbDensity[[#This Row],[Carb / 100g]]-tbDensity[[#This Row],[Fibre / 100g]])</f>
        <v>#N/A</v>
      </c>
      <c r="H97" s="71" t="e">
        <f>_xlfn.XLOOKUP(tbDensity[[#This Row],[Item]],Calories[Name],Calories[Sodium])* 100</f>
        <v>#N/A</v>
      </c>
      <c r="I97" s="71" t="e">
        <f>_xlfn.XLOOKUP(tbDensity[[#This Row],[Item]],Calories[Name],Calories[Protein]) * 100</f>
        <v>#N/A</v>
      </c>
      <c r="J97" s="103" t="e">
        <f>_xlfn.XLOOKUP(tbDensity[[#This Row],[Item]],Calories[Name],Calories[Chol.]) * 100</f>
        <v>#N/A</v>
      </c>
    </row>
    <row r="98" spans="2:10" s="66" customFormat="1" ht="25.15" customHeight="1">
      <c r="B98" s="78"/>
      <c r="C98" s="76" t="e">
        <f>VLOOKUP(tbDensity[[#This Row],[Item]],Calories[],2,FALSE)</f>
        <v>#N/A</v>
      </c>
      <c r="D98" s="65" t="e">
        <f>_xlfn.XLOOKUP(tbDensity[[#This Row],[Item]],Calories[Name],Calories[Cals])*100</f>
        <v>#N/A</v>
      </c>
      <c r="E98" s="71" t="e">
        <f>_xlfn.XLOOKUP(tbDensity[[#This Row],[Item]],Calories[Name],Calories[Carbs])*100</f>
        <v>#N/A</v>
      </c>
      <c r="F98" s="71" t="e">
        <f>_xlfn.XLOOKUP(tbDensity[[#This Row],[Item]],Calories[Name],Calories[Fibre])*100</f>
        <v>#N/A</v>
      </c>
      <c r="G98" s="113" t="e">
        <f>(tbDensity[[#This Row],[Carb / 100g]]-tbDensity[[#This Row],[Fibre / 100g]])</f>
        <v>#N/A</v>
      </c>
      <c r="H98" s="71" t="e">
        <f>_xlfn.XLOOKUP(tbDensity[[#This Row],[Item]],Calories[Name],Calories[Sodium])* 100</f>
        <v>#N/A</v>
      </c>
      <c r="I98" s="71" t="e">
        <f>_xlfn.XLOOKUP(tbDensity[[#This Row],[Item]],Calories[Name],Calories[Protein]) * 100</f>
        <v>#N/A</v>
      </c>
      <c r="J98" s="103" t="e">
        <f>_xlfn.XLOOKUP(tbDensity[[#This Row],[Item]],Calories[Name],Calories[Chol.]) * 100</f>
        <v>#N/A</v>
      </c>
    </row>
    <row r="99" spans="2:10" s="66" customFormat="1" ht="25.15" customHeight="1">
      <c r="B99" s="78"/>
      <c r="C99" s="76" t="e">
        <f>VLOOKUP(tbDensity[[#This Row],[Item]],Calories[],2,FALSE)</f>
        <v>#N/A</v>
      </c>
      <c r="D99" s="65" t="e">
        <f>_xlfn.XLOOKUP(tbDensity[[#This Row],[Item]],Calories[Name],Calories[Cals])*100</f>
        <v>#N/A</v>
      </c>
      <c r="E99" s="71" t="e">
        <f>_xlfn.XLOOKUP(tbDensity[[#This Row],[Item]],Calories[Name],Calories[Carbs])*100</f>
        <v>#N/A</v>
      </c>
      <c r="F99" s="71" t="e">
        <f>_xlfn.XLOOKUP(tbDensity[[#This Row],[Item]],Calories[Name],Calories[Fibre])*100</f>
        <v>#N/A</v>
      </c>
      <c r="G99" s="113" t="e">
        <f>(tbDensity[[#This Row],[Carb / 100g]]-tbDensity[[#This Row],[Fibre / 100g]])</f>
        <v>#N/A</v>
      </c>
      <c r="H99" s="71" t="e">
        <f>_xlfn.XLOOKUP(tbDensity[[#This Row],[Item]],Calories[Name],Calories[Sodium])* 100</f>
        <v>#N/A</v>
      </c>
      <c r="I99" s="71" t="e">
        <f>_xlfn.XLOOKUP(tbDensity[[#This Row],[Item]],Calories[Name],Calories[Protein]) * 100</f>
        <v>#N/A</v>
      </c>
      <c r="J99" s="103" t="e">
        <f>_xlfn.XLOOKUP(tbDensity[[#This Row],[Item]],Calories[Name],Calories[Chol.]) * 100</f>
        <v>#N/A</v>
      </c>
    </row>
    <row r="100" spans="2:10" s="66" customFormat="1" ht="25.15" customHeight="1">
      <c r="B100" s="78"/>
      <c r="C100" s="76" t="e">
        <f>VLOOKUP(tbDensity[[#This Row],[Item]],Calories[],2,FALSE)</f>
        <v>#N/A</v>
      </c>
      <c r="D100" s="65" t="e">
        <f>_xlfn.XLOOKUP(tbDensity[[#This Row],[Item]],Calories[Name],Calories[Cals])*100</f>
        <v>#N/A</v>
      </c>
      <c r="E100" s="71" t="e">
        <f>_xlfn.XLOOKUP(tbDensity[[#This Row],[Item]],Calories[Name],Calories[Carbs])*100</f>
        <v>#N/A</v>
      </c>
      <c r="F100" s="71" t="e">
        <f>_xlfn.XLOOKUP(tbDensity[[#This Row],[Item]],Calories[Name],Calories[Fibre])*100</f>
        <v>#N/A</v>
      </c>
      <c r="G100" s="113" t="e">
        <f>(tbDensity[[#This Row],[Carb / 100g]]-tbDensity[[#This Row],[Fibre / 100g]])</f>
        <v>#N/A</v>
      </c>
      <c r="H100" s="71" t="e">
        <f>_xlfn.XLOOKUP(tbDensity[[#This Row],[Item]],Calories[Name],Calories[Sodium])* 100</f>
        <v>#N/A</v>
      </c>
      <c r="I100" s="71" t="e">
        <f>_xlfn.XLOOKUP(tbDensity[[#This Row],[Item]],Calories[Name],Calories[Protein]) * 100</f>
        <v>#N/A</v>
      </c>
      <c r="J100" s="103" t="e">
        <f>_xlfn.XLOOKUP(tbDensity[[#This Row],[Item]],Calories[Name],Calories[Chol.]) * 100</f>
        <v>#N/A</v>
      </c>
    </row>
    <row r="101" spans="2:10" s="66" customFormat="1" ht="25.15" customHeight="1">
      <c r="B101" s="78"/>
      <c r="C101" s="76" t="e">
        <f>VLOOKUP(tbDensity[[#This Row],[Item]],Calories[],2,FALSE)</f>
        <v>#N/A</v>
      </c>
      <c r="D101" s="65" t="e">
        <f>_xlfn.XLOOKUP(tbDensity[[#This Row],[Item]],Calories[Name],Calories[Cals])*100</f>
        <v>#N/A</v>
      </c>
      <c r="E101" s="71" t="e">
        <f>_xlfn.XLOOKUP(tbDensity[[#This Row],[Item]],Calories[Name],Calories[Carbs])*100</f>
        <v>#N/A</v>
      </c>
      <c r="F101" s="71" t="e">
        <f>_xlfn.XLOOKUP(tbDensity[[#This Row],[Item]],Calories[Name],Calories[Fibre])*100</f>
        <v>#N/A</v>
      </c>
      <c r="G101" s="113" t="e">
        <f>(tbDensity[[#This Row],[Carb / 100g]]-tbDensity[[#This Row],[Fibre / 100g]])</f>
        <v>#N/A</v>
      </c>
      <c r="H101" s="71" t="e">
        <f>_xlfn.XLOOKUP(tbDensity[[#This Row],[Item]],Calories[Name],Calories[Sodium])* 100</f>
        <v>#N/A</v>
      </c>
      <c r="I101" s="71" t="e">
        <f>_xlfn.XLOOKUP(tbDensity[[#This Row],[Item]],Calories[Name],Calories[Protein]) * 100</f>
        <v>#N/A</v>
      </c>
      <c r="J101" s="103" t="e">
        <f>_xlfn.XLOOKUP(tbDensity[[#This Row],[Item]],Calories[Name],Calories[Chol.]) * 100</f>
        <v>#N/A</v>
      </c>
    </row>
    <row r="102" spans="2:10" s="66" customFormat="1" ht="25.15" customHeight="1">
      <c r="B102" s="78"/>
      <c r="C102" s="76" t="e">
        <f>VLOOKUP(tbDensity[[#This Row],[Item]],Calories[],2,FALSE)</f>
        <v>#N/A</v>
      </c>
      <c r="D102" s="65" t="e">
        <f>_xlfn.XLOOKUP(tbDensity[[#This Row],[Item]],Calories[Name],Calories[Cals])*100</f>
        <v>#N/A</v>
      </c>
      <c r="E102" s="71" t="e">
        <f>_xlfn.XLOOKUP(tbDensity[[#This Row],[Item]],Calories[Name],Calories[Carbs])*100</f>
        <v>#N/A</v>
      </c>
      <c r="F102" s="71" t="e">
        <f>_xlfn.XLOOKUP(tbDensity[[#This Row],[Item]],Calories[Name],Calories[Fibre])*100</f>
        <v>#N/A</v>
      </c>
      <c r="G102" s="113" t="e">
        <f>(tbDensity[[#This Row],[Carb / 100g]]-tbDensity[[#This Row],[Fibre / 100g]])</f>
        <v>#N/A</v>
      </c>
      <c r="H102" s="71" t="e">
        <f>_xlfn.XLOOKUP(tbDensity[[#This Row],[Item]],Calories[Name],Calories[Sodium])* 100</f>
        <v>#N/A</v>
      </c>
      <c r="I102" s="71" t="e">
        <f>_xlfn.XLOOKUP(tbDensity[[#This Row],[Item]],Calories[Name],Calories[Protein]) * 100</f>
        <v>#N/A</v>
      </c>
      <c r="J102" s="103" t="e">
        <f>_xlfn.XLOOKUP(tbDensity[[#This Row],[Item]],Calories[Name],Calories[Chol.]) * 100</f>
        <v>#N/A</v>
      </c>
    </row>
    <row r="103" spans="2:10" s="66" customFormat="1" ht="25.15" customHeight="1">
      <c r="B103" s="78"/>
      <c r="C103" s="76" t="e">
        <f>VLOOKUP(tbDensity[[#This Row],[Item]],Calories[],2,FALSE)</f>
        <v>#N/A</v>
      </c>
      <c r="D103" s="65" t="e">
        <f>_xlfn.XLOOKUP(tbDensity[[#This Row],[Item]],Calories[Name],Calories[Cals])*100</f>
        <v>#N/A</v>
      </c>
      <c r="E103" s="71" t="e">
        <f>_xlfn.XLOOKUP(tbDensity[[#This Row],[Item]],Calories[Name],Calories[Carbs])*100</f>
        <v>#N/A</v>
      </c>
      <c r="F103" s="71" t="e">
        <f>_xlfn.XLOOKUP(tbDensity[[#This Row],[Item]],Calories[Name],Calories[Fibre])*100</f>
        <v>#N/A</v>
      </c>
      <c r="G103" s="113" t="e">
        <f>(tbDensity[[#This Row],[Carb / 100g]]-tbDensity[[#This Row],[Fibre / 100g]])</f>
        <v>#N/A</v>
      </c>
      <c r="H103" s="71" t="e">
        <f>_xlfn.XLOOKUP(tbDensity[[#This Row],[Item]],Calories[Name],Calories[Sodium])* 100</f>
        <v>#N/A</v>
      </c>
      <c r="I103" s="71" t="e">
        <f>_xlfn.XLOOKUP(tbDensity[[#This Row],[Item]],Calories[Name],Calories[Protein]) * 100</f>
        <v>#N/A</v>
      </c>
      <c r="J103" s="103" t="e">
        <f>_xlfn.XLOOKUP(tbDensity[[#This Row],[Item]],Calories[Name],Calories[Chol.]) * 100</f>
        <v>#N/A</v>
      </c>
    </row>
    <row r="104" spans="2:10" s="66" customFormat="1" ht="25.15" customHeight="1">
      <c r="B104" s="78"/>
      <c r="C104" s="76" t="e">
        <f>VLOOKUP(tbDensity[[#This Row],[Item]],Calories[],2,FALSE)</f>
        <v>#N/A</v>
      </c>
      <c r="D104" s="65" t="e">
        <f>_xlfn.XLOOKUP(tbDensity[[#This Row],[Item]],Calories[Name],Calories[Cals])*100</f>
        <v>#N/A</v>
      </c>
      <c r="E104" s="71" t="e">
        <f>_xlfn.XLOOKUP(tbDensity[[#This Row],[Item]],Calories[Name],Calories[Carbs])*100</f>
        <v>#N/A</v>
      </c>
      <c r="F104" s="71" t="e">
        <f>_xlfn.XLOOKUP(tbDensity[[#This Row],[Item]],Calories[Name],Calories[Fibre])*100</f>
        <v>#N/A</v>
      </c>
      <c r="G104" s="113" t="e">
        <f>(tbDensity[[#This Row],[Carb / 100g]]-tbDensity[[#This Row],[Fibre / 100g]])</f>
        <v>#N/A</v>
      </c>
      <c r="H104" s="71" t="e">
        <f>_xlfn.XLOOKUP(tbDensity[[#This Row],[Item]],Calories[Name],Calories[Sodium])* 100</f>
        <v>#N/A</v>
      </c>
      <c r="I104" s="71" t="e">
        <f>_xlfn.XLOOKUP(tbDensity[[#This Row],[Item]],Calories[Name],Calories[Protein]) * 100</f>
        <v>#N/A</v>
      </c>
      <c r="J104" s="103" t="e">
        <f>_xlfn.XLOOKUP(tbDensity[[#This Row],[Item]],Calories[Name],Calories[Chol.]) * 100</f>
        <v>#N/A</v>
      </c>
    </row>
    <row r="105" spans="2:10" s="66" customFormat="1" ht="25.15" customHeight="1">
      <c r="B105" s="78"/>
      <c r="C105" s="76" t="e">
        <f>VLOOKUP(tbDensity[[#This Row],[Item]],Calories[],2,FALSE)</f>
        <v>#N/A</v>
      </c>
      <c r="D105" s="65" t="e">
        <f>_xlfn.XLOOKUP(tbDensity[[#This Row],[Item]],Calories[Name],Calories[Cals])*100</f>
        <v>#N/A</v>
      </c>
      <c r="E105" s="71" t="e">
        <f>_xlfn.XLOOKUP(tbDensity[[#This Row],[Item]],Calories[Name],Calories[Carbs])*100</f>
        <v>#N/A</v>
      </c>
      <c r="F105" s="71" t="e">
        <f>_xlfn.XLOOKUP(tbDensity[[#This Row],[Item]],Calories[Name],Calories[Fibre])*100</f>
        <v>#N/A</v>
      </c>
      <c r="G105" s="113" t="e">
        <f>(tbDensity[[#This Row],[Carb / 100g]]-tbDensity[[#This Row],[Fibre / 100g]])</f>
        <v>#N/A</v>
      </c>
      <c r="H105" s="71" t="e">
        <f>_xlfn.XLOOKUP(tbDensity[[#This Row],[Item]],Calories[Name],Calories[Sodium])* 100</f>
        <v>#N/A</v>
      </c>
      <c r="I105" s="71" t="e">
        <f>_xlfn.XLOOKUP(tbDensity[[#This Row],[Item]],Calories[Name],Calories[Protein]) * 100</f>
        <v>#N/A</v>
      </c>
      <c r="J105" s="103" t="e">
        <f>_xlfn.XLOOKUP(tbDensity[[#This Row],[Item]],Calories[Name],Calories[Chol.]) * 100</f>
        <v>#N/A</v>
      </c>
    </row>
    <row r="106" spans="2:10" s="66" customFormat="1" ht="25.15" customHeight="1">
      <c r="B106" s="78"/>
      <c r="C106" s="76" t="e">
        <f>VLOOKUP(tbDensity[[#This Row],[Item]],Calories[],2,FALSE)</f>
        <v>#N/A</v>
      </c>
      <c r="D106" s="65" t="e">
        <f>_xlfn.XLOOKUP(tbDensity[[#This Row],[Item]],Calories[Name],Calories[Cals])*100</f>
        <v>#N/A</v>
      </c>
      <c r="E106" s="71" t="e">
        <f>_xlfn.XLOOKUP(tbDensity[[#This Row],[Item]],Calories[Name],Calories[Carbs])*100</f>
        <v>#N/A</v>
      </c>
      <c r="F106" s="71" t="e">
        <f>_xlfn.XLOOKUP(tbDensity[[#This Row],[Item]],Calories[Name],Calories[Fibre])*100</f>
        <v>#N/A</v>
      </c>
      <c r="G106" s="113" t="e">
        <f>(tbDensity[[#This Row],[Carb / 100g]]-tbDensity[[#This Row],[Fibre / 100g]])</f>
        <v>#N/A</v>
      </c>
      <c r="H106" s="71" t="e">
        <f>_xlfn.XLOOKUP(tbDensity[[#This Row],[Item]],Calories[Name],Calories[Sodium])* 100</f>
        <v>#N/A</v>
      </c>
      <c r="I106" s="71" t="e">
        <f>_xlfn.XLOOKUP(tbDensity[[#This Row],[Item]],Calories[Name],Calories[Protein]) * 100</f>
        <v>#N/A</v>
      </c>
      <c r="J106" s="103" t="e">
        <f>_xlfn.XLOOKUP(tbDensity[[#This Row],[Item]],Calories[Name],Calories[Chol.]) * 100</f>
        <v>#N/A</v>
      </c>
    </row>
    <row r="107" spans="2:10" s="66" customFormat="1" ht="25.15" customHeight="1">
      <c r="B107" s="78"/>
      <c r="C107" s="76" t="e">
        <f>VLOOKUP(tbDensity[[#This Row],[Item]],Calories[],2,FALSE)</f>
        <v>#N/A</v>
      </c>
      <c r="D107" s="65" t="e">
        <f>_xlfn.XLOOKUP(tbDensity[[#This Row],[Item]],Calories[Name],Calories[Cals])*100</f>
        <v>#N/A</v>
      </c>
      <c r="E107" s="71" t="e">
        <f>_xlfn.XLOOKUP(tbDensity[[#This Row],[Item]],Calories[Name],Calories[Carbs])*100</f>
        <v>#N/A</v>
      </c>
      <c r="F107" s="71" t="e">
        <f>_xlfn.XLOOKUP(tbDensity[[#This Row],[Item]],Calories[Name],Calories[Fibre])*100</f>
        <v>#N/A</v>
      </c>
      <c r="G107" s="113" t="e">
        <f>(tbDensity[[#This Row],[Carb / 100g]]-tbDensity[[#This Row],[Fibre / 100g]])</f>
        <v>#N/A</v>
      </c>
      <c r="H107" s="71" t="e">
        <f>_xlfn.XLOOKUP(tbDensity[[#This Row],[Item]],Calories[Name],Calories[Sodium])* 100</f>
        <v>#N/A</v>
      </c>
      <c r="I107" s="71" t="e">
        <f>_xlfn.XLOOKUP(tbDensity[[#This Row],[Item]],Calories[Name],Calories[Protein]) * 100</f>
        <v>#N/A</v>
      </c>
      <c r="J107" s="103" t="e">
        <f>_xlfn.XLOOKUP(tbDensity[[#This Row],[Item]],Calories[Name],Calories[Chol.]) * 100</f>
        <v>#N/A</v>
      </c>
    </row>
    <row r="108" spans="2:10" s="66" customFormat="1" ht="25.15" customHeight="1">
      <c r="B108" s="78"/>
      <c r="C108" s="76" t="e">
        <f>VLOOKUP(tbDensity[[#This Row],[Item]],Calories[],2,FALSE)</f>
        <v>#N/A</v>
      </c>
      <c r="D108" s="65" t="e">
        <f>_xlfn.XLOOKUP(tbDensity[[#This Row],[Item]],Calories[Name],Calories[Cals])*100</f>
        <v>#N/A</v>
      </c>
      <c r="E108" s="71" t="e">
        <f>_xlfn.XLOOKUP(tbDensity[[#This Row],[Item]],Calories[Name],Calories[Carbs])*100</f>
        <v>#N/A</v>
      </c>
      <c r="F108" s="71" t="e">
        <f>_xlfn.XLOOKUP(tbDensity[[#This Row],[Item]],Calories[Name],Calories[Fibre])*100</f>
        <v>#N/A</v>
      </c>
      <c r="G108" s="113" t="e">
        <f>(tbDensity[[#This Row],[Carb / 100g]]-tbDensity[[#This Row],[Fibre / 100g]])</f>
        <v>#N/A</v>
      </c>
      <c r="H108" s="71" t="e">
        <f>_xlfn.XLOOKUP(tbDensity[[#This Row],[Item]],Calories[Name],Calories[Sodium])* 100</f>
        <v>#N/A</v>
      </c>
      <c r="I108" s="71" t="e">
        <f>_xlfn.XLOOKUP(tbDensity[[#This Row],[Item]],Calories[Name],Calories[Protein]) * 100</f>
        <v>#N/A</v>
      </c>
      <c r="J108" s="103" t="e">
        <f>_xlfn.XLOOKUP(tbDensity[[#This Row],[Item]],Calories[Name],Calories[Chol.]) * 100</f>
        <v>#N/A</v>
      </c>
    </row>
    <row r="109" spans="2:10" s="66" customFormat="1" ht="25.15" customHeight="1">
      <c r="B109" s="64"/>
      <c r="C109" s="76" t="e">
        <f>VLOOKUP(tbDensity[[#This Row],[Item]],Calories[],2,FALSE)</f>
        <v>#N/A</v>
      </c>
      <c r="D109" s="65" t="e">
        <f>_xlfn.XLOOKUP(tbDensity[[#This Row],[Item]],Calories[Name],Calories[Cals])*100</f>
        <v>#N/A</v>
      </c>
      <c r="E109" s="71" t="e">
        <f>_xlfn.XLOOKUP(tbDensity[[#This Row],[Item]],Calories[Name],Calories[Carbs])*100</f>
        <v>#N/A</v>
      </c>
      <c r="F109" s="71" t="e">
        <f>_xlfn.XLOOKUP(tbDensity[[#This Row],[Item]],Calories[Name],Calories[Fibre])*100</f>
        <v>#N/A</v>
      </c>
      <c r="G109" s="113" t="e">
        <f>(tbDensity[[#This Row],[Carb / 100g]]-tbDensity[[#This Row],[Fibre / 100g]])</f>
        <v>#N/A</v>
      </c>
      <c r="H109" s="71" t="e">
        <f>_xlfn.XLOOKUP(tbDensity[[#This Row],[Item]],Calories[Name],Calories[Sodium])* 100</f>
        <v>#N/A</v>
      </c>
      <c r="I109" s="71" t="e">
        <f>_xlfn.XLOOKUP(tbDensity[[#This Row],[Item]],Calories[Name],Calories[Protein]) * 100</f>
        <v>#N/A</v>
      </c>
      <c r="J109" s="103" t="e">
        <f>_xlfn.XLOOKUP(tbDensity[[#This Row],[Item]],Calories[Name],Calories[Chol.]) * 100</f>
        <v>#N/A</v>
      </c>
    </row>
    <row r="110" spans="2:10" s="66" customFormat="1" ht="25.15" customHeight="1">
      <c r="B110" s="78"/>
      <c r="C110" s="76" t="e">
        <f>VLOOKUP(tbDensity[[#This Row],[Item]],Calories[],2,FALSE)</f>
        <v>#N/A</v>
      </c>
      <c r="D110" s="65" t="e">
        <f>_xlfn.XLOOKUP(tbDensity[[#This Row],[Item]],Calories[Name],Calories[Cals])*100</f>
        <v>#N/A</v>
      </c>
      <c r="E110" s="71" t="e">
        <f>_xlfn.XLOOKUP(tbDensity[[#This Row],[Item]],Calories[Name],Calories[Carbs])*100</f>
        <v>#N/A</v>
      </c>
      <c r="F110" s="71" t="e">
        <f>_xlfn.XLOOKUP(tbDensity[[#This Row],[Item]],Calories[Name],Calories[Fibre])*100</f>
        <v>#N/A</v>
      </c>
      <c r="G110" s="113" t="e">
        <f>(tbDensity[[#This Row],[Carb / 100g]]-tbDensity[[#This Row],[Fibre / 100g]])</f>
        <v>#N/A</v>
      </c>
      <c r="H110" s="71" t="e">
        <f>_xlfn.XLOOKUP(tbDensity[[#This Row],[Item]],Calories[Name],Calories[Sodium])* 100</f>
        <v>#N/A</v>
      </c>
      <c r="I110" s="71" t="e">
        <f>_xlfn.XLOOKUP(tbDensity[[#This Row],[Item]],Calories[Name],Calories[Protein]) * 100</f>
        <v>#N/A</v>
      </c>
      <c r="J110" s="103" t="e">
        <f>_xlfn.XLOOKUP(tbDensity[[#This Row],[Item]],Calories[Name],Calories[Chol.]) * 100</f>
        <v>#N/A</v>
      </c>
    </row>
    <row r="111" spans="2:10" s="66" customFormat="1" ht="25.15" customHeight="1">
      <c r="B111" s="78"/>
      <c r="C111" s="76" t="e">
        <f>VLOOKUP(tbDensity[[#This Row],[Item]],Calories[],2,FALSE)</f>
        <v>#N/A</v>
      </c>
      <c r="D111" s="65" t="e">
        <f>_xlfn.XLOOKUP(tbDensity[[#This Row],[Item]],Calories[Name],Calories[Cals])*100</f>
        <v>#N/A</v>
      </c>
      <c r="E111" s="71" t="e">
        <f>_xlfn.XLOOKUP(tbDensity[[#This Row],[Item]],Calories[Name],Calories[Carbs])*100</f>
        <v>#N/A</v>
      </c>
      <c r="F111" s="71" t="e">
        <f>_xlfn.XLOOKUP(tbDensity[[#This Row],[Item]],Calories[Name],Calories[Fibre])*100</f>
        <v>#N/A</v>
      </c>
      <c r="G111" s="113" t="e">
        <f>(tbDensity[[#This Row],[Carb / 100g]]-tbDensity[[#This Row],[Fibre / 100g]])</f>
        <v>#N/A</v>
      </c>
      <c r="H111" s="71" t="e">
        <f>_xlfn.XLOOKUP(tbDensity[[#This Row],[Item]],Calories[Name],Calories[Sodium])* 100</f>
        <v>#N/A</v>
      </c>
      <c r="I111" s="71" t="e">
        <f>_xlfn.XLOOKUP(tbDensity[[#This Row],[Item]],Calories[Name],Calories[Protein]) * 100</f>
        <v>#N/A</v>
      </c>
      <c r="J111" s="103" t="e">
        <f>_xlfn.XLOOKUP(tbDensity[[#This Row],[Item]],Calories[Name],Calories[Chol.]) * 100</f>
        <v>#N/A</v>
      </c>
    </row>
    <row r="112" spans="2:10" s="66" customFormat="1" ht="25.15" customHeight="1">
      <c r="B112" s="78"/>
      <c r="C112" s="76" t="e">
        <f>VLOOKUP(tbDensity[[#This Row],[Item]],Calories[],2,FALSE)</f>
        <v>#N/A</v>
      </c>
      <c r="D112" s="65" t="e">
        <f>_xlfn.XLOOKUP(tbDensity[[#This Row],[Item]],Calories[Name],Calories[Cals])*100</f>
        <v>#N/A</v>
      </c>
      <c r="E112" s="71" t="e">
        <f>_xlfn.XLOOKUP(tbDensity[[#This Row],[Item]],Calories[Name],Calories[Carbs])*100</f>
        <v>#N/A</v>
      </c>
      <c r="F112" s="71" t="e">
        <f>_xlfn.XLOOKUP(tbDensity[[#This Row],[Item]],Calories[Name],Calories[Fibre])*100</f>
        <v>#N/A</v>
      </c>
      <c r="G112" s="113" t="e">
        <f>(tbDensity[[#This Row],[Carb / 100g]]-tbDensity[[#This Row],[Fibre / 100g]])</f>
        <v>#N/A</v>
      </c>
      <c r="H112" s="71" t="e">
        <f>_xlfn.XLOOKUP(tbDensity[[#This Row],[Item]],Calories[Name],Calories[Sodium])* 100</f>
        <v>#N/A</v>
      </c>
      <c r="I112" s="71" t="e">
        <f>_xlfn.XLOOKUP(tbDensity[[#This Row],[Item]],Calories[Name],Calories[Protein]) * 100</f>
        <v>#N/A</v>
      </c>
      <c r="J112" s="103" t="e">
        <f>_xlfn.XLOOKUP(tbDensity[[#This Row],[Item]],Calories[Name],Calories[Chol.]) * 100</f>
        <v>#N/A</v>
      </c>
    </row>
    <row r="113" spans="2:10" s="66" customFormat="1" ht="25.15" customHeight="1">
      <c r="B113" s="64"/>
      <c r="C113" s="76" t="e">
        <f>VLOOKUP(tbDensity[[#This Row],[Item]],Calories[],2,FALSE)</f>
        <v>#N/A</v>
      </c>
      <c r="D113" s="65" t="e">
        <f>_xlfn.XLOOKUP(tbDensity[[#This Row],[Item]],Calories[Name],Calories[Cals])*100</f>
        <v>#N/A</v>
      </c>
      <c r="E113" s="71" t="e">
        <f>_xlfn.XLOOKUP(tbDensity[[#This Row],[Item]],Calories[Name],Calories[Carbs])*100</f>
        <v>#N/A</v>
      </c>
      <c r="F113" s="71" t="e">
        <f>_xlfn.XLOOKUP(tbDensity[[#This Row],[Item]],Calories[Name],Calories[Fibre])*100</f>
        <v>#N/A</v>
      </c>
      <c r="G113" s="113" t="e">
        <f>(tbDensity[[#This Row],[Carb / 100g]]-tbDensity[[#This Row],[Fibre / 100g]])</f>
        <v>#N/A</v>
      </c>
      <c r="H113" s="71" t="e">
        <f>_xlfn.XLOOKUP(tbDensity[[#This Row],[Item]],Calories[Name],Calories[Sodium])* 100</f>
        <v>#N/A</v>
      </c>
      <c r="I113" s="71" t="e">
        <f>_xlfn.XLOOKUP(tbDensity[[#This Row],[Item]],Calories[Name],Calories[Protein]) * 100</f>
        <v>#N/A</v>
      </c>
      <c r="J113" s="103" t="e">
        <f>_xlfn.XLOOKUP(tbDensity[[#This Row],[Item]],Calories[Name],Calories[Chol.]) * 100</f>
        <v>#N/A</v>
      </c>
    </row>
    <row r="114" spans="2:10" s="66" customFormat="1" ht="25.15" customHeight="1">
      <c r="B114" s="78"/>
      <c r="C114" s="76" t="e">
        <f>VLOOKUP(tbDensity[[#This Row],[Item]],Calories[],2,FALSE)</f>
        <v>#N/A</v>
      </c>
      <c r="D114" s="65" t="e">
        <f>_xlfn.XLOOKUP(tbDensity[[#This Row],[Item]],Calories[Name],Calories[Cals])*100</f>
        <v>#N/A</v>
      </c>
      <c r="E114" s="71" t="e">
        <f>_xlfn.XLOOKUP(tbDensity[[#This Row],[Item]],Calories[Name],Calories[Carbs])*100</f>
        <v>#N/A</v>
      </c>
      <c r="F114" s="71" t="e">
        <f>_xlfn.XLOOKUP(tbDensity[[#This Row],[Item]],Calories[Name],Calories[Fibre])*100</f>
        <v>#N/A</v>
      </c>
      <c r="G114" s="113" t="e">
        <f>(tbDensity[[#This Row],[Carb / 100g]]-tbDensity[[#This Row],[Fibre / 100g]])</f>
        <v>#N/A</v>
      </c>
      <c r="H114" s="71" t="e">
        <f>_xlfn.XLOOKUP(tbDensity[[#This Row],[Item]],Calories[Name],Calories[Sodium])* 100</f>
        <v>#N/A</v>
      </c>
      <c r="I114" s="71" t="e">
        <f>_xlfn.XLOOKUP(tbDensity[[#This Row],[Item]],Calories[Name],Calories[Protein]) * 100</f>
        <v>#N/A</v>
      </c>
      <c r="J114" s="103" t="e">
        <f>_xlfn.XLOOKUP(tbDensity[[#This Row],[Item]],Calories[Name],Calories[Chol.]) * 100</f>
        <v>#N/A</v>
      </c>
    </row>
    <row r="115" spans="2:10" s="66" customFormat="1" ht="25.15" customHeight="1">
      <c r="B115" s="78"/>
      <c r="C115" s="76" t="e">
        <f>VLOOKUP(tbDensity[[#This Row],[Item]],Calories[],2,FALSE)</f>
        <v>#N/A</v>
      </c>
      <c r="D115" s="65" t="e">
        <f>_xlfn.XLOOKUP(tbDensity[[#This Row],[Item]],Calories[Name],Calories[Cals])*100</f>
        <v>#N/A</v>
      </c>
      <c r="E115" s="71" t="e">
        <f>_xlfn.XLOOKUP(tbDensity[[#This Row],[Item]],Calories[Name],Calories[Carbs])*100</f>
        <v>#N/A</v>
      </c>
      <c r="F115" s="71" t="e">
        <f>_xlfn.XLOOKUP(tbDensity[[#This Row],[Item]],Calories[Name],Calories[Fibre])*100</f>
        <v>#N/A</v>
      </c>
      <c r="G115" s="113" t="e">
        <f>(tbDensity[[#This Row],[Carb / 100g]]-tbDensity[[#This Row],[Fibre / 100g]])</f>
        <v>#N/A</v>
      </c>
      <c r="H115" s="71" t="e">
        <f>_xlfn.XLOOKUP(tbDensity[[#This Row],[Item]],Calories[Name],Calories[Sodium])* 100</f>
        <v>#N/A</v>
      </c>
      <c r="I115" s="71" t="e">
        <f>_xlfn.XLOOKUP(tbDensity[[#This Row],[Item]],Calories[Name],Calories[Protein]) * 100</f>
        <v>#N/A</v>
      </c>
      <c r="J115" s="103" t="e">
        <f>_xlfn.XLOOKUP(tbDensity[[#This Row],[Item]],Calories[Name],Calories[Chol.]) * 100</f>
        <v>#N/A</v>
      </c>
    </row>
    <row r="116" spans="2:10" s="66" customFormat="1" ht="25.15" customHeight="1">
      <c r="B116" s="78"/>
      <c r="C116" s="76" t="e">
        <f>VLOOKUP(tbDensity[[#This Row],[Item]],Calories[],2,FALSE)</f>
        <v>#N/A</v>
      </c>
      <c r="D116" s="65" t="e">
        <f>_xlfn.XLOOKUP(tbDensity[[#This Row],[Item]],Calories[Name],Calories[Cals])*100</f>
        <v>#N/A</v>
      </c>
      <c r="E116" s="71" t="e">
        <f>_xlfn.XLOOKUP(tbDensity[[#This Row],[Item]],Calories[Name],Calories[Carbs])*100</f>
        <v>#N/A</v>
      </c>
      <c r="F116" s="71" t="e">
        <f>_xlfn.XLOOKUP(tbDensity[[#This Row],[Item]],Calories[Name],Calories[Fibre])*100</f>
        <v>#N/A</v>
      </c>
      <c r="G116" s="113" t="e">
        <f>(tbDensity[[#This Row],[Carb / 100g]]-tbDensity[[#This Row],[Fibre / 100g]])</f>
        <v>#N/A</v>
      </c>
      <c r="H116" s="71" t="e">
        <f>_xlfn.XLOOKUP(tbDensity[[#This Row],[Item]],Calories[Name],Calories[Sodium])* 100</f>
        <v>#N/A</v>
      </c>
      <c r="I116" s="71" t="e">
        <f>_xlfn.XLOOKUP(tbDensity[[#This Row],[Item]],Calories[Name],Calories[Protein]) * 100</f>
        <v>#N/A</v>
      </c>
      <c r="J116" s="103" t="e">
        <f>_xlfn.XLOOKUP(tbDensity[[#This Row],[Item]],Calories[Name],Calories[Chol.]) * 100</f>
        <v>#N/A</v>
      </c>
    </row>
    <row r="117" spans="2:10" s="66" customFormat="1" ht="25.15" customHeight="1">
      <c r="B117" s="64"/>
      <c r="C117" s="76" t="e">
        <f>VLOOKUP(tbDensity[[#This Row],[Item]],Calories[],2,FALSE)</f>
        <v>#N/A</v>
      </c>
      <c r="D117" s="65" t="e">
        <f>_xlfn.XLOOKUP(tbDensity[[#This Row],[Item]],Calories[Name],Calories[Cals])*100</f>
        <v>#N/A</v>
      </c>
      <c r="E117" s="71" t="e">
        <f>_xlfn.XLOOKUP(tbDensity[[#This Row],[Item]],Calories[Name],Calories[Carbs])*100</f>
        <v>#N/A</v>
      </c>
      <c r="F117" s="71" t="e">
        <f>_xlfn.XLOOKUP(tbDensity[[#This Row],[Item]],Calories[Name],Calories[Fibre])*100</f>
        <v>#N/A</v>
      </c>
      <c r="G117" s="113" t="e">
        <f>(tbDensity[[#This Row],[Carb / 100g]]-tbDensity[[#This Row],[Fibre / 100g]])</f>
        <v>#N/A</v>
      </c>
      <c r="H117" s="71" t="e">
        <f>_xlfn.XLOOKUP(tbDensity[[#This Row],[Item]],Calories[Name],Calories[Sodium])* 100</f>
        <v>#N/A</v>
      </c>
      <c r="I117" s="71" t="e">
        <f>_xlfn.XLOOKUP(tbDensity[[#This Row],[Item]],Calories[Name],Calories[Protein]) * 100</f>
        <v>#N/A</v>
      </c>
      <c r="J117" s="103" t="e">
        <f>_xlfn.XLOOKUP(tbDensity[[#This Row],[Item]],Calories[Name],Calories[Chol.]) * 100</f>
        <v>#N/A</v>
      </c>
    </row>
    <row r="118" spans="2:10" s="66" customFormat="1" ht="25.15" customHeight="1">
      <c r="B118" s="78"/>
      <c r="C118" s="76" t="e">
        <f>VLOOKUP(tbDensity[[#This Row],[Item]],Calories[],2,FALSE)</f>
        <v>#N/A</v>
      </c>
      <c r="D118" s="65" t="e">
        <f>_xlfn.XLOOKUP(tbDensity[[#This Row],[Item]],Calories[Name],Calories[Cals])*100</f>
        <v>#N/A</v>
      </c>
      <c r="E118" s="71" t="e">
        <f>_xlfn.XLOOKUP(tbDensity[[#This Row],[Item]],Calories[Name],Calories[Carbs])*100</f>
        <v>#N/A</v>
      </c>
      <c r="F118" s="71" t="e">
        <f>_xlfn.XLOOKUP(tbDensity[[#This Row],[Item]],Calories[Name],Calories[Fibre])*100</f>
        <v>#N/A</v>
      </c>
      <c r="G118" s="113" t="e">
        <f>(tbDensity[[#This Row],[Carb / 100g]]-tbDensity[[#This Row],[Fibre / 100g]])</f>
        <v>#N/A</v>
      </c>
      <c r="H118" s="71" t="e">
        <f>_xlfn.XLOOKUP(tbDensity[[#This Row],[Item]],Calories[Name],Calories[Sodium])* 100</f>
        <v>#N/A</v>
      </c>
      <c r="I118" s="71" t="e">
        <f>_xlfn.XLOOKUP(tbDensity[[#This Row],[Item]],Calories[Name],Calories[Protein]) * 100</f>
        <v>#N/A</v>
      </c>
      <c r="J118" s="103" t="e">
        <f>_xlfn.XLOOKUP(tbDensity[[#This Row],[Item]],Calories[Name],Calories[Chol.]) * 100</f>
        <v>#N/A</v>
      </c>
    </row>
    <row r="119" spans="2:10" s="66" customFormat="1" ht="25.15" customHeight="1">
      <c r="B119" s="78"/>
      <c r="C119" s="76" t="e">
        <f>VLOOKUP(tbDensity[[#This Row],[Item]],Calories[],2,FALSE)</f>
        <v>#N/A</v>
      </c>
      <c r="D119" s="65" t="e">
        <f>_xlfn.XLOOKUP(tbDensity[[#This Row],[Item]],Calories[Name],Calories[Cals])*100</f>
        <v>#N/A</v>
      </c>
      <c r="E119" s="71" t="e">
        <f>_xlfn.XLOOKUP(tbDensity[[#This Row],[Item]],Calories[Name],Calories[Carbs])*100</f>
        <v>#N/A</v>
      </c>
      <c r="F119" s="71" t="e">
        <f>_xlfn.XLOOKUP(tbDensity[[#This Row],[Item]],Calories[Name],Calories[Fibre])*100</f>
        <v>#N/A</v>
      </c>
      <c r="G119" s="113" t="e">
        <f>(tbDensity[[#This Row],[Carb / 100g]]-tbDensity[[#This Row],[Fibre / 100g]])</f>
        <v>#N/A</v>
      </c>
      <c r="H119" s="71" t="e">
        <f>_xlfn.XLOOKUP(tbDensity[[#This Row],[Item]],Calories[Name],Calories[Sodium])* 100</f>
        <v>#N/A</v>
      </c>
      <c r="I119" s="71" t="e">
        <f>_xlfn.XLOOKUP(tbDensity[[#This Row],[Item]],Calories[Name],Calories[Protein]) * 100</f>
        <v>#N/A</v>
      </c>
      <c r="J119" s="103" t="e">
        <f>_xlfn.XLOOKUP(tbDensity[[#This Row],[Item]],Calories[Name],Calories[Chol.]) * 100</f>
        <v>#N/A</v>
      </c>
    </row>
    <row r="120" spans="2:10" s="66" customFormat="1" ht="25.15" customHeight="1">
      <c r="B120" s="78"/>
      <c r="C120" s="76" t="e">
        <f>VLOOKUP(tbDensity[[#This Row],[Item]],Calories[],2,FALSE)</f>
        <v>#N/A</v>
      </c>
      <c r="D120" s="65" t="e">
        <f>_xlfn.XLOOKUP(tbDensity[[#This Row],[Item]],Calories[Name],Calories[Cals])*100</f>
        <v>#N/A</v>
      </c>
      <c r="E120" s="71" t="e">
        <f>_xlfn.XLOOKUP(tbDensity[[#This Row],[Item]],Calories[Name],Calories[Carbs])*100</f>
        <v>#N/A</v>
      </c>
      <c r="F120" s="71" t="e">
        <f>_xlfn.XLOOKUP(tbDensity[[#This Row],[Item]],Calories[Name],Calories[Fibre])*100</f>
        <v>#N/A</v>
      </c>
      <c r="G120" s="113" t="e">
        <f>(tbDensity[[#This Row],[Carb / 100g]]-tbDensity[[#This Row],[Fibre / 100g]])</f>
        <v>#N/A</v>
      </c>
      <c r="H120" s="71" t="e">
        <f>_xlfn.XLOOKUP(tbDensity[[#This Row],[Item]],Calories[Name],Calories[Sodium])* 100</f>
        <v>#N/A</v>
      </c>
      <c r="I120" s="71" t="e">
        <f>_xlfn.XLOOKUP(tbDensity[[#This Row],[Item]],Calories[Name],Calories[Protein]) * 100</f>
        <v>#N/A</v>
      </c>
      <c r="J120" s="103" t="e">
        <f>_xlfn.XLOOKUP(tbDensity[[#This Row],[Item]],Calories[Name],Calories[Chol.]) * 100</f>
        <v>#N/A</v>
      </c>
    </row>
    <row r="121" spans="2:10" s="66" customFormat="1" ht="25.15" customHeight="1">
      <c r="B121" s="78"/>
      <c r="C121" s="76" t="e">
        <f>VLOOKUP(tbDensity[[#This Row],[Item]],Calories[],2,FALSE)</f>
        <v>#N/A</v>
      </c>
      <c r="D121" s="65" t="e">
        <f>_xlfn.XLOOKUP(tbDensity[[#This Row],[Item]],Calories[Name],Calories[Cals])*100</f>
        <v>#N/A</v>
      </c>
      <c r="E121" s="71" t="e">
        <f>_xlfn.XLOOKUP(tbDensity[[#This Row],[Item]],Calories[Name],Calories[Carbs])*100</f>
        <v>#N/A</v>
      </c>
      <c r="F121" s="71" t="e">
        <f>_xlfn.XLOOKUP(tbDensity[[#This Row],[Item]],Calories[Name],Calories[Fibre])*100</f>
        <v>#N/A</v>
      </c>
      <c r="G121" s="113" t="e">
        <f>(tbDensity[[#This Row],[Carb / 100g]]-tbDensity[[#This Row],[Fibre / 100g]])</f>
        <v>#N/A</v>
      </c>
      <c r="H121" s="71" t="e">
        <f>_xlfn.XLOOKUP(tbDensity[[#This Row],[Item]],Calories[Name],Calories[Sodium])* 100</f>
        <v>#N/A</v>
      </c>
      <c r="I121" s="71" t="e">
        <f>_xlfn.XLOOKUP(tbDensity[[#This Row],[Item]],Calories[Name],Calories[Protein]) * 100</f>
        <v>#N/A</v>
      </c>
      <c r="J121" s="103" t="e">
        <f>_xlfn.XLOOKUP(tbDensity[[#This Row],[Item]],Calories[Name],Calories[Chol.]) * 100</f>
        <v>#N/A</v>
      </c>
    </row>
    <row r="122" spans="2:10" s="66" customFormat="1" ht="25.15" customHeight="1">
      <c r="B122" s="78"/>
      <c r="C122" s="76" t="e">
        <f>VLOOKUP(tbDensity[[#This Row],[Item]],Calories[],2,FALSE)</f>
        <v>#N/A</v>
      </c>
      <c r="D122" s="65" t="e">
        <f>_xlfn.XLOOKUP(tbDensity[[#This Row],[Item]],Calories[Name],Calories[Cals])*100</f>
        <v>#N/A</v>
      </c>
      <c r="E122" s="71" t="e">
        <f>_xlfn.XLOOKUP(tbDensity[[#This Row],[Item]],Calories[Name],Calories[Carbs])*100</f>
        <v>#N/A</v>
      </c>
      <c r="F122" s="71" t="e">
        <f>_xlfn.XLOOKUP(tbDensity[[#This Row],[Item]],Calories[Name],Calories[Fibre])*100</f>
        <v>#N/A</v>
      </c>
      <c r="G122" s="113" t="e">
        <f>(tbDensity[[#This Row],[Carb / 100g]]-tbDensity[[#This Row],[Fibre / 100g]])</f>
        <v>#N/A</v>
      </c>
      <c r="H122" s="71" t="e">
        <f>_xlfn.XLOOKUP(tbDensity[[#This Row],[Item]],Calories[Name],Calories[Sodium])* 100</f>
        <v>#N/A</v>
      </c>
      <c r="I122" s="71" t="e">
        <f>_xlfn.XLOOKUP(tbDensity[[#This Row],[Item]],Calories[Name],Calories[Protein]) * 100</f>
        <v>#N/A</v>
      </c>
      <c r="J122" s="103" t="e">
        <f>_xlfn.XLOOKUP(tbDensity[[#This Row],[Item]],Calories[Name],Calories[Chol.]) * 100</f>
        <v>#N/A</v>
      </c>
    </row>
    <row r="123" spans="2:10" s="66" customFormat="1" ht="25.15" customHeight="1">
      <c r="B123" s="64"/>
      <c r="C123" s="76" t="e">
        <f>VLOOKUP(tbDensity[[#This Row],[Item]],Calories[],2,FALSE)</f>
        <v>#N/A</v>
      </c>
      <c r="D123" s="65" t="e">
        <f>_xlfn.XLOOKUP(tbDensity[[#This Row],[Item]],Calories[Name],Calories[Cals])*100</f>
        <v>#N/A</v>
      </c>
      <c r="E123" s="71" t="e">
        <f>_xlfn.XLOOKUP(tbDensity[[#This Row],[Item]],Calories[Name],Calories[Carbs])*100</f>
        <v>#N/A</v>
      </c>
      <c r="F123" s="71" t="e">
        <f>_xlfn.XLOOKUP(tbDensity[[#This Row],[Item]],Calories[Name],Calories[Fibre])*100</f>
        <v>#N/A</v>
      </c>
      <c r="G123" s="113" t="e">
        <f>(tbDensity[[#This Row],[Carb / 100g]]-tbDensity[[#This Row],[Fibre / 100g]])</f>
        <v>#N/A</v>
      </c>
      <c r="H123" s="71" t="e">
        <f>_xlfn.XLOOKUP(tbDensity[[#This Row],[Item]],Calories[Name],Calories[Sodium])* 100</f>
        <v>#N/A</v>
      </c>
      <c r="I123" s="71" t="e">
        <f>_xlfn.XLOOKUP(tbDensity[[#This Row],[Item]],Calories[Name],Calories[Protein]) * 100</f>
        <v>#N/A</v>
      </c>
      <c r="J123" s="103" t="e">
        <f>_xlfn.XLOOKUP(tbDensity[[#This Row],[Item]],Calories[Name],Calories[Chol.]) * 100</f>
        <v>#N/A</v>
      </c>
    </row>
    <row r="124" spans="2:10" s="66" customFormat="1" ht="25.15" customHeight="1">
      <c r="B124" s="78"/>
      <c r="C124" s="76" t="e">
        <f>VLOOKUP(tbDensity[[#This Row],[Item]],Calories[],2,FALSE)</f>
        <v>#N/A</v>
      </c>
      <c r="D124" s="65" t="e">
        <f>_xlfn.XLOOKUP(tbDensity[[#This Row],[Item]],Calories[Name],Calories[Cals])*100</f>
        <v>#N/A</v>
      </c>
      <c r="E124" s="71" t="e">
        <f>_xlfn.XLOOKUP(tbDensity[[#This Row],[Item]],Calories[Name],Calories[Carbs])*100</f>
        <v>#N/A</v>
      </c>
      <c r="F124" s="71" t="e">
        <f>_xlfn.XLOOKUP(tbDensity[[#This Row],[Item]],Calories[Name],Calories[Fibre])*100</f>
        <v>#N/A</v>
      </c>
      <c r="G124" s="113" t="e">
        <f>(tbDensity[[#This Row],[Carb / 100g]]-tbDensity[[#This Row],[Fibre / 100g]])</f>
        <v>#N/A</v>
      </c>
      <c r="H124" s="71" t="e">
        <f>_xlfn.XLOOKUP(tbDensity[[#This Row],[Item]],Calories[Name],Calories[Sodium])* 100</f>
        <v>#N/A</v>
      </c>
      <c r="I124" s="71" t="e">
        <f>_xlfn.XLOOKUP(tbDensity[[#This Row],[Item]],Calories[Name],Calories[Protein]) * 100</f>
        <v>#N/A</v>
      </c>
      <c r="J124" s="103" t="e">
        <f>_xlfn.XLOOKUP(tbDensity[[#This Row],[Item]],Calories[Name],Calories[Chol.]) * 100</f>
        <v>#N/A</v>
      </c>
    </row>
    <row r="125" spans="2:10" s="66" customFormat="1" ht="25.15" customHeight="1">
      <c r="B125" s="64"/>
      <c r="C125" s="76" t="e">
        <f>VLOOKUP(tbDensity[[#This Row],[Item]],Calories[],2,FALSE)</f>
        <v>#N/A</v>
      </c>
      <c r="D125" s="65" t="e">
        <f>_xlfn.XLOOKUP(tbDensity[[#This Row],[Item]],Calories[Name],Calories[Cals])*100</f>
        <v>#N/A</v>
      </c>
      <c r="E125" s="71" t="e">
        <f>_xlfn.XLOOKUP(tbDensity[[#This Row],[Item]],Calories[Name],Calories[Carbs])*100</f>
        <v>#N/A</v>
      </c>
      <c r="F125" s="71" t="e">
        <f>_xlfn.XLOOKUP(tbDensity[[#This Row],[Item]],Calories[Name],Calories[Fibre])*100</f>
        <v>#N/A</v>
      </c>
      <c r="G125" s="113" t="e">
        <f>(tbDensity[[#This Row],[Carb / 100g]]-tbDensity[[#This Row],[Fibre / 100g]])</f>
        <v>#N/A</v>
      </c>
      <c r="H125" s="71" t="e">
        <f>_xlfn.XLOOKUP(tbDensity[[#This Row],[Item]],Calories[Name],Calories[Sodium])* 100</f>
        <v>#N/A</v>
      </c>
      <c r="I125" s="71" t="e">
        <f>_xlfn.XLOOKUP(tbDensity[[#This Row],[Item]],Calories[Name],Calories[Protein]) * 100</f>
        <v>#N/A</v>
      </c>
      <c r="J125" s="103" t="e">
        <f>_xlfn.XLOOKUP(tbDensity[[#This Row],[Item]],Calories[Name],Calories[Chol.]) * 100</f>
        <v>#N/A</v>
      </c>
    </row>
    <row r="126" spans="2:10" s="66" customFormat="1" ht="25.15" customHeight="1">
      <c r="B126" s="78"/>
      <c r="C126" s="76" t="e">
        <f>VLOOKUP(tbDensity[[#This Row],[Item]],Calories[],2,FALSE)</f>
        <v>#N/A</v>
      </c>
      <c r="D126" s="65" t="e">
        <f>_xlfn.XLOOKUP(tbDensity[[#This Row],[Item]],Calories[Name],Calories[Cals])*100</f>
        <v>#N/A</v>
      </c>
      <c r="E126" s="71" t="e">
        <f>_xlfn.XLOOKUP(tbDensity[[#This Row],[Item]],Calories[Name],Calories[Carbs])*100</f>
        <v>#N/A</v>
      </c>
      <c r="F126" s="71" t="e">
        <f>_xlfn.XLOOKUP(tbDensity[[#This Row],[Item]],Calories[Name],Calories[Fibre])*100</f>
        <v>#N/A</v>
      </c>
      <c r="G126" s="113" t="e">
        <f>(tbDensity[[#This Row],[Carb / 100g]]-tbDensity[[#This Row],[Fibre / 100g]])</f>
        <v>#N/A</v>
      </c>
      <c r="H126" s="71" t="e">
        <f>_xlfn.XLOOKUP(tbDensity[[#This Row],[Item]],Calories[Name],Calories[Sodium])* 100</f>
        <v>#N/A</v>
      </c>
      <c r="I126" s="71" t="e">
        <f>_xlfn.XLOOKUP(tbDensity[[#This Row],[Item]],Calories[Name],Calories[Protein]) * 100</f>
        <v>#N/A</v>
      </c>
      <c r="J126" s="103" t="e">
        <f>_xlfn.XLOOKUP(tbDensity[[#This Row],[Item]],Calories[Name],Calories[Chol.]) * 100</f>
        <v>#N/A</v>
      </c>
    </row>
    <row r="127" spans="2:10" s="66" customFormat="1" ht="25.15" customHeight="1">
      <c r="B127" s="78"/>
      <c r="C127" s="76" t="e">
        <f>VLOOKUP(tbDensity[[#This Row],[Item]],Calories[],2,FALSE)</f>
        <v>#N/A</v>
      </c>
      <c r="D127" s="65" t="e">
        <f>_xlfn.XLOOKUP(tbDensity[[#This Row],[Item]],Calories[Name],Calories[Cals])*100</f>
        <v>#N/A</v>
      </c>
      <c r="E127" s="71" t="e">
        <f>_xlfn.XLOOKUP(tbDensity[[#This Row],[Item]],Calories[Name],Calories[Carbs])*100</f>
        <v>#N/A</v>
      </c>
      <c r="F127" s="71" t="e">
        <f>_xlfn.XLOOKUP(tbDensity[[#This Row],[Item]],Calories[Name],Calories[Fibre])*100</f>
        <v>#N/A</v>
      </c>
      <c r="G127" s="113" t="e">
        <f>(tbDensity[[#This Row],[Carb / 100g]]-tbDensity[[#This Row],[Fibre / 100g]])</f>
        <v>#N/A</v>
      </c>
      <c r="H127" s="71" t="e">
        <f>_xlfn.XLOOKUP(tbDensity[[#This Row],[Item]],Calories[Name],Calories[Sodium])* 100</f>
        <v>#N/A</v>
      </c>
      <c r="I127" s="71" t="e">
        <f>_xlfn.XLOOKUP(tbDensity[[#This Row],[Item]],Calories[Name],Calories[Protein]) * 100</f>
        <v>#N/A</v>
      </c>
      <c r="J127" s="103" t="e">
        <f>_xlfn.XLOOKUP(tbDensity[[#This Row],[Item]],Calories[Name],Calories[Chol.]) * 100</f>
        <v>#N/A</v>
      </c>
    </row>
    <row r="128" spans="2:10" s="66" customFormat="1" ht="25.15" customHeight="1">
      <c r="B128" s="78"/>
      <c r="C128" s="76" t="e">
        <f>VLOOKUP(tbDensity[[#This Row],[Item]],Calories[],2,FALSE)</f>
        <v>#N/A</v>
      </c>
      <c r="D128" s="65" t="e">
        <f>_xlfn.XLOOKUP(tbDensity[[#This Row],[Item]],Calories[Name],Calories[Cals])*100</f>
        <v>#N/A</v>
      </c>
      <c r="E128" s="71" t="e">
        <f>_xlfn.XLOOKUP(tbDensity[[#This Row],[Item]],Calories[Name],Calories[Carbs])*100</f>
        <v>#N/A</v>
      </c>
      <c r="F128" s="71" t="e">
        <f>_xlfn.XLOOKUP(tbDensity[[#This Row],[Item]],Calories[Name],Calories[Fibre])*100</f>
        <v>#N/A</v>
      </c>
      <c r="G128" s="113" t="e">
        <f>(tbDensity[[#This Row],[Carb / 100g]]-tbDensity[[#This Row],[Fibre / 100g]])</f>
        <v>#N/A</v>
      </c>
      <c r="H128" s="71" t="e">
        <f>_xlfn.XLOOKUP(tbDensity[[#This Row],[Item]],Calories[Name],Calories[Sodium])* 100</f>
        <v>#N/A</v>
      </c>
      <c r="I128" s="71" t="e">
        <f>_xlfn.XLOOKUP(tbDensity[[#This Row],[Item]],Calories[Name],Calories[Protein]) * 100</f>
        <v>#N/A</v>
      </c>
      <c r="J128" s="103" t="e">
        <f>_xlfn.XLOOKUP(tbDensity[[#This Row],[Item]],Calories[Name],Calories[Chol.]) * 100</f>
        <v>#N/A</v>
      </c>
    </row>
    <row r="129" spans="2:10" s="66" customFormat="1" ht="25.15" customHeight="1">
      <c r="B129" s="78"/>
      <c r="C129" s="76" t="e">
        <f>VLOOKUP(tbDensity[[#This Row],[Item]],Calories[],2,FALSE)</f>
        <v>#N/A</v>
      </c>
      <c r="D129" s="65" t="e">
        <f>_xlfn.XLOOKUP(tbDensity[[#This Row],[Item]],Calories[Name],Calories[Cals])*100</f>
        <v>#N/A</v>
      </c>
      <c r="E129" s="71" t="e">
        <f>_xlfn.XLOOKUP(tbDensity[[#This Row],[Item]],Calories[Name],Calories[Carbs])*100</f>
        <v>#N/A</v>
      </c>
      <c r="F129" s="71" t="e">
        <f>_xlfn.XLOOKUP(tbDensity[[#This Row],[Item]],Calories[Name],Calories[Fibre])*100</f>
        <v>#N/A</v>
      </c>
      <c r="G129" s="113" t="e">
        <f>(tbDensity[[#This Row],[Carb / 100g]]-tbDensity[[#This Row],[Fibre / 100g]])</f>
        <v>#N/A</v>
      </c>
      <c r="H129" s="71" t="e">
        <f>_xlfn.XLOOKUP(tbDensity[[#This Row],[Item]],Calories[Name],Calories[Sodium])* 100</f>
        <v>#N/A</v>
      </c>
      <c r="I129" s="71" t="e">
        <f>_xlfn.XLOOKUP(tbDensity[[#This Row],[Item]],Calories[Name],Calories[Protein]) * 100</f>
        <v>#N/A</v>
      </c>
      <c r="J129" s="103" t="e">
        <f>_xlfn.XLOOKUP(tbDensity[[#This Row],[Item]],Calories[Name],Calories[Chol.]) * 100</f>
        <v>#N/A</v>
      </c>
    </row>
    <row r="130" spans="2:10" s="66" customFormat="1" ht="25.15" customHeight="1">
      <c r="B130" s="64"/>
      <c r="C130" s="76" t="e">
        <f>VLOOKUP(tbDensity[[#This Row],[Item]],Calories[],2,FALSE)</f>
        <v>#N/A</v>
      </c>
      <c r="D130" s="65" t="e">
        <f>_xlfn.XLOOKUP(tbDensity[[#This Row],[Item]],Calories[Name],Calories[Cals])*100</f>
        <v>#N/A</v>
      </c>
      <c r="E130" s="71" t="e">
        <f>_xlfn.XLOOKUP(tbDensity[[#This Row],[Item]],Calories[Name],Calories[Carbs])*100</f>
        <v>#N/A</v>
      </c>
      <c r="F130" s="71" t="e">
        <f>_xlfn.XLOOKUP(tbDensity[[#This Row],[Item]],Calories[Name],Calories[Fibre])*100</f>
        <v>#N/A</v>
      </c>
      <c r="G130" s="113" t="e">
        <f>(tbDensity[[#This Row],[Carb / 100g]]-tbDensity[[#This Row],[Fibre / 100g]])</f>
        <v>#N/A</v>
      </c>
      <c r="H130" s="71" t="e">
        <f>_xlfn.XLOOKUP(tbDensity[[#This Row],[Item]],Calories[Name],Calories[Sodium])* 100</f>
        <v>#N/A</v>
      </c>
      <c r="I130" s="71" t="e">
        <f>_xlfn.XLOOKUP(tbDensity[[#This Row],[Item]],Calories[Name],Calories[Protein]) * 100</f>
        <v>#N/A</v>
      </c>
      <c r="J130" s="103" t="e">
        <f>_xlfn.XLOOKUP(tbDensity[[#This Row],[Item]],Calories[Name],Calories[Chol.]) * 100</f>
        <v>#N/A</v>
      </c>
    </row>
    <row r="131" spans="2:10" s="66" customFormat="1" ht="25.15" customHeight="1">
      <c r="B131" s="78"/>
      <c r="C131" s="76" t="e">
        <f>VLOOKUP(tbDensity[[#This Row],[Item]],Calories[],2,FALSE)</f>
        <v>#N/A</v>
      </c>
      <c r="D131" s="65" t="e">
        <f>_xlfn.XLOOKUP(tbDensity[[#This Row],[Item]],Calories[Name],Calories[Cals])*100</f>
        <v>#N/A</v>
      </c>
      <c r="E131" s="71" t="e">
        <f>_xlfn.XLOOKUP(tbDensity[[#This Row],[Item]],Calories[Name],Calories[Carbs])*100</f>
        <v>#N/A</v>
      </c>
      <c r="F131" s="71" t="e">
        <f>_xlfn.XLOOKUP(tbDensity[[#This Row],[Item]],Calories[Name],Calories[Fibre])*100</f>
        <v>#N/A</v>
      </c>
      <c r="G131" s="113" t="e">
        <f>(tbDensity[[#This Row],[Carb / 100g]]-tbDensity[[#This Row],[Fibre / 100g]])</f>
        <v>#N/A</v>
      </c>
      <c r="H131" s="71" t="e">
        <f>_xlfn.XLOOKUP(tbDensity[[#This Row],[Item]],Calories[Name],Calories[Sodium])* 100</f>
        <v>#N/A</v>
      </c>
      <c r="I131" s="71" t="e">
        <f>_xlfn.XLOOKUP(tbDensity[[#This Row],[Item]],Calories[Name],Calories[Protein]) * 100</f>
        <v>#N/A</v>
      </c>
      <c r="J131" s="103" t="e">
        <f>_xlfn.XLOOKUP(tbDensity[[#This Row],[Item]],Calories[Name],Calories[Chol.]) * 100</f>
        <v>#N/A</v>
      </c>
    </row>
    <row r="132" spans="2:10" s="66" customFormat="1" ht="25.15" customHeight="1">
      <c r="B132" s="78"/>
      <c r="C132" s="76" t="e">
        <f>VLOOKUP(tbDensity[[#This Row],[Item]],Calories[],2,FALSE)</f>
        <v>#N/A</v>
      </c>
      <c r="D132" s="65" t="e">
        <f>_xlfn.XLOOKUP(tbDensity[[#This Row],[Item]],Calories[Name],Calories[Cals])*100</f>
        <v>#N/A</v>
      </c>
      <c r="E132" s="71" t="e">
        <f>_xlfn.XLOOKUP(tbDensity[[#This Row],[Item]],Calories[Name],Calories[Carbs])*100</f>
        <v>#N/A</v>
      </c>
      <c r="F132" s="71" t="e">
        <f>_xlfn.XLOOKUP(tbDensity[[#This Row],[Item]],Calories[Name],Calories[Fibre])*100</f>
        <v>#N/A</v>
      </c>
      <c r="G132" s="113" t="e">
        <f>(tbDensity[[#This Row],[Carb / 100g]]-tbDensity[[#This Row],[Fibre / 100g]])</f>
        <v>#N/A</v>
      </c>
      <c r="H132" s="71" t="e">
        <f>_xlfn.XLOOKUP(tbDensity[[#This Row],[Item]],Calories[Name],Calories[Sodium])* 100</f>
        <v>#N/A</v>
      </c>
      <c r="I132" s="71" t="e">
        <f>_xlfn.XLOOKUP(tbDensity[[#This Row],[Item]],Calories[Name],Calories[Protein]) * 100</f>
        <v>#N/A</v>
      </c>
      <c r="J132" s="103" t="e">
        <f>_xlfn.XLOOKUP(tbDensity[[#This Row],[Item]],Calories[Name],Calories[Chol.]) * 100</f>
        <v>#N/A</v>
      </c>
    </row>
    <row r="133" spans="2:10" s="66" customFormat="1" ht="25.15" customHeight="1">
      <c r="B133" s="78"/>
      <c r="C133" s="76" t="e">
        <f>VLOOKUP(tbDensity[[#This Row],[Item]],Calories[],2,FALSE)</f>
        <v>#N/A</v>
      </c>
      <c r="D133" s="65" t="e">
        <f>_xlfn.XLOOKUP(tbDensity[[#This Row],[Item]],Calories[Name],Calories[Cals])*100</f>
        <v>#N/A</v>
      </c>
      <c r="E133" s="71" t="e">
        <f>_xlfn.XLOOKUP(tbDensity[[#This Row],[Item]],Calories[Name],Calories[Carbs])*100</f>
        <v>#N/A</v>
      </c>
      <c r="F133" s="71" t="e">
        <f>_xlfn.XLOOKUP(tbDensity[[#This Row],[Item]],Calories[Name],Calories[Fibre])*100</f>
        <v>#N/A</v>
      </c>
      <c r="G133" s="113" t="e">
        <f>(tbDensity[[#This Row],[Carb / 100g]]-tbDensity[[#This Row],[Fibre / 100g]])</f>
        <v>#N/A</v>
      </c>
      <c r="H133" s="71" t="e">
        <f>_xlfn.XLOOKUP(tbDensity[[#This Row],[Item]],Calories[Name],Calories[Sodium])* 100</f>
        <v>#N/A</v>
      </c>
      <c r="I133" s="71" t="e">
        <f>_xlfn.XLOOKUP(tbDensity[[#This Row],[Item]],Calories[Name],Calories[Protein]) * 100</f>
        <v>#N/A</v>
      </c>
      <c r="J133" s="103" t="e">
        <f>_xlfn.XLOOKUP(tbDensity[[#This Row],[Item]],Calories[Name],Calories[Chol.]) * 100</f>
        <v>#N/A</v>
      </c>
    </row>
    <row r="134" spans="2:10" s="66" customFormat="1" ht="25.15" customHeight="1">
      <c r="B134" s="64"/>
      <c r="C134" s="76" t="e">
        <f>VLOOKUP(tbDensity[[#This Row],[Item]],Calories[],2,FALSE)</f>
        <v>#N/A</v>
      </c>
      <c r="D134" s="65" t="e">
        <f>_xlfn.XLOOKUP(tbDensity[[#This Row],[Item]],Calories[Name],Calories[Cals])*100</f>
        <v>#N/A</v>
      </c>
      <c r="E134" s="71" t="e">
        <f>_xlfn.XLOOKUP(tbDensity[[#This Row],[Item]],Calories[Name],Calories[Carbs])*100</f>
        <v>#N/A</v>
      </c>
      <c r="F134" s="71" t="e">
        <f>_xlfn.XLOOKUP(tbDensity[[#This Row],[Item]],Calories[Name],Calories[Fibre])*100</f>
        <v>#N/A</v>
      </c>
      <c r="G134" s="113" t="e">
        <f>(tbDensity[[#This Row],[Carb / 100g]]-tbDensity[[#This Row],[Fibre / 100g]])</f>
        <v>#N/A</v>
      </c>
      <c r="H134" s="71" t="e">
        <f>_xlfn.XLOOKUP(tbDensity[[#This Row],[Item]],Calories[Name],Calories[Sodium])* 100</f>
        <v>#N/A</v>
      </c>
      <c r="I134" s="71" t="e">
        <f>_xlfn.XLOOKUP(tbDensity[[#This Row],[Item]],Calories[Name],Calories[Protein]) * 100</f>
        <v>#N/A</v>
      </c>
      <c r="J134" s="103" t="e">
        <f>_xlfn.XLOOKUP(tbDensity[[#This Row],[Item]],Calories[Name],Calories[Chol.]) * 100</f>
        <v>#N/A</v>
      </c>
    </row>
    <row r="135" spans="2:10" s="66" customFormat="1" ht="25.15" customHeight="1">
      <c r="B135" s="78"/>
      <c r="C135" s="76" t="e">
        <f>VLOOKUP(tbDensity[[#This Row],[Item]],Calories[],2,FALSE)</f>
        <v>#N/A</v>
      </c>
      <c r="D135" s="65" t="e">
        <f>_xlfn.XLOOKUP(tbDensity[[#This Row],[Item]],Calories[Name],Calories[Cals])*100</f>
        <v>#N/A</v>
      </c>
      <c r="E135" s="71" t="e">
        <f>_xlfn.XLOOKUP(tbDensity[[#This Row],[Item]],Calories[Name],Calories[Carbs])*100</f>
        <v>#N/A</v>
      </c>
      <c r="F135" s="71" t="e">
        <f>_xlfn.XLOOKUP(tbDensity[[#This Row],[Item]],Calories[Name],Calories[Fibre])*100</f>
        <v>#N/A</v>
      </c>
      <c r="G135" s="113" t="e">
        <f>(tbDensity[[#This Row],[Carb / 100g]]-tbDensity[[#This Row],[Fibre / 100g]])</f>
        <v>#N/A</v>
      </c>
      <c r="H135" s="71" t="e">
        <f>_xlfn.XLOOKUP(tbDensity[[#This Row],[Item]],Calories[Name],Calories[Sodium])* 100</f>
        <v>#N/A</v>
      </c>
      <c r="I135" s="71" t="e">
        <f>_xlfn.XLOOKUP(tbDensity[[#This Row],[Item]],Calories[Name],Calories[Protein]) * 100</f>
        <v>#N/A</v>
      </c>
      <c r="J135" s="103" t="e">
        <f>_xlfn.XLOOKUP(tbDensity[[#This Row],[Item]],Calories[Name],Calories[Chol.]) * 100</f>
        <v>#N/A</v>
      </c>
    </row>
    <row r="136" spans="2:10" s="66" customFormat="1" ht="25.15" customHeight="1">
      <c r="B136" s="78"/>
      <c r="C136" s="76" t="e">
        <f>VLOOKUP(tbDensity[[#This Row],[Item]],Calories[],2,FALSE)</f>
        <v>#N/A</v>
      </c>
      <c r="D136" s="65" t="e">
        <f>_xlfn.XLOOKUP(tbDensity[[#This Row],[Item]],Calories[Name],Calories[Cals])*100</f>
        <v>#N/A</v>
      </c>
      <c r="E136" s="71" t="e">
        <f>_xlfn.XLOOKUP(tbDensity[[#This Row],[Item]],Calories[Name],Calories[Carbs])*100</f>
        <v>#N/A</v>
      </c>
      <c r="F136" s="71" t="e">
        <f>_xlfn.XLOOKUP(tbDensity[[#This Row],[Item]],Calories[Name],Calories[Fibre])*100</f>
        <v>#N/A</v>
      </c>
      <c r="G136" s="113" t="e">
        <f>(tbDensity[[#This Row],[Carb / 100g]]-tbDensity[[#This Row],[Fibre / 100g]])</f>
        <v>#N/A</v>
      </c>
      <c r="H136" s="71" t="e">
        <f>_xlfn.XLOOKUP(tbDensity[[#This Row],[Item]],Calories[Name],Calories[Sodium])* 100</f>
        <v>#N/A</v>
      </c>
      <c r="I136" s="71" t="e">
        <f>_xlfn.XLOOKUP(tbDensity[[#This Row],[Item]],Calories[Name],Calories[Protein]) * 100</f>
        <v>#N/A</v>
      </c>
      <c r="J136" s="103" t="e">
        <f>_xlfn.XLOOKUP(tbDensity[[#This Row],[Item]],Calories[Name],Calories[Chol.]) * 100</f>
        <v>#N/A</v>
      </c>
    </row>
    <row r="137" spans="2:10" s="66" customFormat="1" ht="25.15" customHeight="1">
      <c r="B137" s="78"/>
      <c r="C137" s="76" t="e">
        <f>VLOOKUP(tbDensity[[#This Row],[Item]],Calories[],2,FALSE)</f>
        <v>#N/A</v>
      </c>
      <c r="D137" s="65" t="e">
        <f>_xlfn.XLOOKUP(tbDensity[[#This Row],[Item]],Calories[Name],Calories[Cals])*100</f>
        <v>#N/A</v>
      </c>
      <c r="E137" s="71" t="e">
        <f>_xlfn.XLOOKUP(tbDensity[[#This Row],[Item]],Calories[Name],Calories[Carbs])*100</f>
        <v>#N/A</v>
      </c>
      <c r="F137" s="71" t="e">
        <f>_xlfn.XLOOKUP(tbDensity[[#This Row],[Item]],Calories[Name],Calories[Fibre])*100</f>
        <v>#N/A</v>
      </c>
      <c r="G137" s="113" t="e">
        <f>(tbDensity[[#This Row],[Carb / 100g]]-tbDensity[[#This Row],[Fibre / 100g]])</f>
        <v>#N/A</v>
      </c>
      <c r="H137" s="71" t="e">
        <f>_xlfn.XLOOKUP(tbDensity[[#This Row],[Item]],Calories[Name],Calories[Sodium])* 100</f>
        <v>#N/A</v>
      </c>
      <c r="I137" s="71" t="e">
        <f>_xlfn.XLOOKUP(tbDensity[[#This Row],[Item]],Calories[Name],Calories[Protein]) * 100</f>
        <v>#N/A</v>
      </c>
      <c r="J137" s="103" t="e">
        <f>_xlfn.XLOOKUP(tbDensity[[#This Row],[Item]],Calories[Name],Calories[Chol.]) * 100</f>
        <v>#N/A</v>
      </c>
    </row>
    <row r="138" spans="2:10" s="66" customFormat="1" ht="25.15" customHeight="1">
      <c r="B138" s="78"/>
      <c r="C138" s="76" t="e">
        <f>VLOOKUP(tbDensity[[#This Row],[Item]],Calories[],2,FALSE)</f>
        <v>#N/A</v>
      </c>
      <c r="D138" s="65" t="e">
        <f>_xlfn.XLOOKUP(tbDensity[[#This Row],[Item]],Calories[Name],Calories[Cals])*100</f>
        <v>#N/A</v>
      </c>
      <c r="E138" s="71" t="e">
        <f>_xlfn.XLOOKUP(tbDensity[[#This Row],[Item]],Calories[Name],Calories[Carbs])*100</f>
        <v>#N/A</v>
      </c>
      <c r="F138" s="71" t="e">
        <f>_xlfn.XLOOKUP(tbDensity[[#This Row],[Item]],Calories[Name],Calories[Fibre])*100</f>
        <v>#N/A</v>
      </c>
      <c r="G138" s="113" t="e">
        <f>(tbDensity[[#This Row],[Carb / 100g]]-tbDensity[[#This Row],[Fibre / 100g]])</f>
        <v>#N/A</v>
      </c>
      <c r="H138" s="71" t="e">
        <f>_xlfn.XLOOKUP(tbDensity[[#This Row],[Item]],Calories[Name],Calories[Sodium])* 100</f>
        <v>#N/A</v>
      </c>
      <c r="I138" s="71" t="e">
        <f>_xlfn.XLOOKUP(tbDensity[[#This Row],[Item]],Calories[Name],Calories[Protein]) * 100</f>
        <v>#N/A</v>
      </c>
      <c r="J138" s="103" t="e">
        <f>_xlfn.XLOOKUP(tbDensity[[#This Row],[Item]],Calories[Name],Calories[Chol.]) * 100</f>
        <v>#N/A</v>
      </c>
    </row>
    <row r="139" spans="2:10" s="66" customFormat="1" ht="25.15" customHeight="1">
      <c r="B139" s="64"/>
      <c r="C139" s="76" t="e">
        <f>VLOOKUP(tbDensity[[#This Row],[Item]],Calories[],2,FALSE)</f>
        <v>#N/A</v>
      </c>
      <c r="D139" s="65" t="e">
        <f>_xlfn.XLOOKUP(tbDensity[[#This Row],[Item]],Calories[Name],Calories[Cals])*100</f>
        <v>#N/A</v>
      </c>
      <c r="E139" s="71" t="e">
        <f>_xlfn.XLOOKUP(tbDensity[[#This Row],[Item]],Calories[Name],Calories[Carbs])*100</f>
        <v>#N/A</v>
      </c>
      <c r="F139" s="71" t="e">
        <f>_xlfn.XLOOKUP(tbDensity[[#This Row],[Item]],Calories[Name],Calories[Fibre])*100</f>
        <v>#N/A</v>
      </c>
      <c r="G139" s="113" t="e">
        <f>(tbDensity[[#This Row],[Carb / 100g]]-tbDensity[[#This Row],[Fibre / 100g]])</f>
        <v>#N/A</v>
      </c>
      <c r="H139" s="71" t="e">
        <f>_xlfn.XLOOKUP(tbDensity[[#This Row],[Item]],Calories[Name],Calories[Sodium])* 100</f>
        <v>#N/A</v>
      </c>
      <c r="I139" s="71" t="e">
        <f>_xlfn.XLOOKUP(tbDensity[[#This Row],[Item]],Calories[Name],Calories[Protein]) * 100</f>
        <v>#N/A</v>
      </c>
      <c r="J139" s="103" t="e">
        <f>_xlfn.XLOOKUP(tbDensity[[#This Row],[Item]],Calories[Name],Calories[Chol.]) * 100</f>
        <v>#N/A</v>
      </c>
    </row>
    <row r="140" spans="2:10" s="66" customFormat="1" ht="25.15" customHeight="1">
      <c r="B140" s="78"/>
      <c r="C140" s="76" t="e">
        <f>VLOOKUP(tbDensity[[#This Row],[Item]],Calories[],2,FALSE)</f>
        <v>#N/A</v>
      </c>
      <c r="D140" s="65" t="e">
        <f>_xlfn.XLOOKUP(tbDensity[[#This Row],[Item]],Calories[Name],Calories[Cals])*100</f>
        <v>#N/A</v>
      </c>
      <c r="E140" s="71" t="e">
        <f>_xlfn.XLOOKUP(tbDensity[[#This Row],[Item]],Calories[Name],Calories[Carbs])*100</f>
        <v>#N/A</v>
      </c>
      <c r="F140" s="71" t="e">
        <f>_xlfn.XLOOKUP(tbDensity[[#This Row],[Item]],Calories[Name],Calories[Fibre])*100</f>
        <v>#N/A</v>
      </c>
      <c r="G140" s="113" t="e">
        <f>(tbDensity[[#This Row],[Carb / 100g]]-tbDensity[[#This Row],[Fibre / 100g]])</f>
        <v>#N/A</v>
      </c>
      <c r="H140" s="71" t="e">
        <f>_xlfn.XLOOKUP(tbDensity[[#This Row],[Item]],Calories[Name],Calories[Sodium])* 100</f>
        <v>#N/A</v>
      </c>
      <c r="I140" s="71" t="e">
        <f>_xlfn.XLOOKUP(tbDensity[[#This Row],[Item]],Calories[Name],Calories[Protein]) * 100</f>
        <v>#N/A</v>
      </c>
      <c r="J140" s="103" t="e">
        <f>_xlfn.XLOOKUP(tbDensity[[#This Row],[Item]],Calories[Name],Calories[Chol.]) * 100</f>
        <v>#N/A</v>
      </c>
    </row>
    <row r="141" spans="2:10" s="66" customFormat="1" ht="25.15" customHeight="1">
      <c r="B141" s="78"/>
      <c r="C141" s="76" t="e">
        <f>VLOOKUP(tbDensity[[#This Row],[Item]],Calories[],2,FALSE)</f>
        <v>#N/A</v>
      </c>
      <c r="D141" s="65" t="e">
        <f>_xlfn.XLOOKUP(tbDensity[[#This Row],[Item]],Calories[Name],Calories[Cals])*100</f>
        <v>#N/A</v>
      </c>
      <c r="E141" s="71" t="e">
        <f>_xlfn.XLOOKUP(tbDensity[[#This Row],[Item]],Calories[Name],Calories[Carbs])*100</f>
        <v>#N/A</v>
      </c>
      <c r="F141" s="71" t="e">
        <f>_xlfn.XLOOKUP(tbDensity[[#This Row],[Item]],Calories[Name],Calories[Fibre])*100</f>
        <v>#N/A</v>
      </c>
      <c r="G141" s="113" t="e">
        <f>(tbDensity[[#This Row],[Carb / 100g]]-tbDensity[[#This Row],[Fibre / 100g]])</f>
        <v>#N/A</v>
      </c>
      <c r="H141" s="71" t="e">
        <f>_xlfn.XLOOKUP(tbDensity[[#This Row],[Item]],Calories[Name],Calories[Sodium])* 100</f>
        <v>#N/A</v>
      </c>
      <c r="I141" s="71" t="e">
        <f>_xlfn.XLOOKUP(tbDensity[[#This Row],[Item]],Calories[Name],Calories[Protein]) * 100</f>
        <v>#N/A</v>
      </c>
      <c r="J141" s="103" t="e">
        <f>_xlfn.XLOOKUP(tbDensity[[#This Row],[Item]],Calories[Name],Calories[Chol.]) * 100</f>
        <v>#N/A</v>
      </c>
    </row>
    <row r="142" spans="2:10" s="66" customFormat="1" ht="25.15" customHeight="1">
      <c r="B142" s="78"/>
      <c r="C142" s="76" t="e">
        <f>VLOOKUP(tbDensity[[#This Row],[Item]],Calories[],2,FALSE)</f>
        <v>#N/A</v>
      </c>
      <c r="D142" s="65" t="e">
        <f>_xlfn.XLOOKUP(tbDensity[[#This Row],[Item]],Calories[Name],Calories[Cals])*100</f>
        <v>#N/A</v>
      </c>
      <c r="E142" s="71" t="e">
        <f>_xlfn.XLOOKUP(tbDensity[[#This Row],[Item]],Calories[Name],Calories[Carbs])*100</f>
        <v>#N/A</v>
      </c>
      <c r="F142" s="71" t="e">
        <f>_xlfn.XLOOKUP(tbDensity[[#This Row],[Item]],Calories[Name],Calories[Fibre])*100</f>
        <v>#N/A</v>
      </c>
      <c r="G142" s="113" t="e">
        <f>(tbDensity[[#This Row],[Carb / 100g]]-tbDensity[[#This Row],[Fibre / 100g]])</f>
        <v>#N/A</v>
      </c>
      <c r="H142" s="71" t="e">
        <f>_xlfn.XLOOKUP(tbDensity[[#This Row],[Item]],Calories[Name],Calories[Sodium])* 100</f>
        <v>#N/A</v>
      </c>
      <c r="I142" s="71" t="e">
        <f>_xlfn.XLOOKUP(tbDensity[[#This Row],[Item]],Calories[Name],Calories[Protein]) * 100</f>
        <v>#N/A</v>
      </c>
      <c r="J142" s="103" t="e">
        <f>_xlfn.XLOOKUP(tbDensity[[#This Row],[Item]],Calories[Name],Calories[Chol.]) * 100</f>
        <v>#N/A</v>
      </c>
    </row>
    <row r="143" spans="2:10" s="66" customFormat="1" ht="25.15" customHeight="1">
      <c r="B143" s="64"/>
      <c r="C143" s="76" t="e">
        <f>VLOOKUP(tbDensity[[#This Row],[Item]],Calories[],2,FALSE)</f>
        <v>#N/A</v>
      </c>
      <c r="D143" s="65" t="e">
        <f>_xlfn.XLOOKUP(tbDensity[[#This Row],[Item]],Calories[Name],Calories[Cals])*100</f>
        <v>#N/A</v>
      </c>
      <c r="E143" s="71" t="e">
        <f>_xlfn.XLOOKUP(tbDensity[[#This Row],[Item]],Calories[Name],Calories[Carbs])*100</f>
        <v>#N/A</v>
      </c>
      <c r="F143" s="71" t="e">
        <f>_xlfn.XLOOKUP(tbDensity[[#This Row],[Item]],Calories[Name],Calories[Fibre])*100</f>
        <v>#N/A</v>
      </c>
      <c r="G143" s="113" t="e">
        <f>(tbDensity[[#This Row],[Carb / 100g]]-tbDensity[[#This Row],[Fibre / 100g]])</f>
        <v>#N/A</v>
      </c>
      <c r="H143" s="71" t="e">
        <f>_xlfn.XLOOKUP(tbDensity[[#This Row],[Item]],Calories[Name],Calories[Sodium])* 100</f>
        <v>#N/A</v>
      </c>
      <c r="I143" s="71" t="e">
        <f>_xlfn.XLOOKUP(tbDensity[[#This Row],[Item]],Calories[Name],Calories[Protein]) * 100</f>
        <v>#N/A</v>
      </c>
      <c r="J143" s="103" t="e">
        <f>_xlfn.XLOOKUP(tbDensity[[#This Row],[Item]],Calories[Name],Calories[Chol.]) * 100</f>
        <v>#N/A</v>
      </c>
    </row>
    <row r="144" spans="2:10" s="66" customFormat="1" ht="25.15" customHeight="1">
      <c r="B144" s="78"/>
      <c r="C144" s="76" t="e">
        <f>VLOOKUP(tbDensity[[#This Row],[Item]],Calories[],2,FALSE)</f>
        <v>#N/A</v>
      </c>
      <c r="D144" s="65" t="e">
        <f>_xlfn.XLOOKUP(tbDensity[[#This Row],[Item]],Calories[Name],Calories[Cals])*100</f>
        <v>#N/A</v>
      </c>
      <c r="E144" s="71" t="e">
        <f>_xlfn.XLOOKUP(tbDensity[[#This Row],[Item]],Calories[Name],Calories[Carbs])*100</f>
        <v>#N/A</v>
      </c>
      <c r="F144" s="71" t="e">
        <f>_xlfn.XLOOKUP(tbDensity[[#This Row],[Item]],Calories[Name],Calories[Fibre])*100</f>
        <v>#N/A</v>
      </c>
      <c r="G144" s="113" t="e">
        <f>(tbDensity[[#This Row],[Carb / 100g]]-tbDensity[[#This Row],[Fibre / 100g]])</f>
        <v>#N/A</v>
      </c>
      <c r="H144" s="71" t="e">
        <f>_xlfn.XLOOKUP(tbDensity[[#This Row],[Item]],Calories[Name],Calories[Sodium])* 100</f>
        <v>#N/A</v>
      </c>
      <c r="I144" s="71" t="e">
        <f>_xlfn.XLOOKUP(tbDensity[[#This Row],[Item]],Calories[Name],Calories[Protein]) * 100</f>
        <v>#N/A</v>
      </c>
      <c r="J144" s="103" t="e">
        <f>_xlfn.XLOOKUP(tbDensity[[#This Row],[Item]],Calories[Name],Calories[Chol.]) * 100</f>
        <v>#N/A</v>
      </c>
    </row>
    <row r="145" spans="2:10" s="66" customFormat="1" ht="25.15" customHeight="1">
      <c r="B145" s="78"/>
      <c r="C145" s="76" t="e">
        <f>VLOOKUP(tbDensity[[#This Row],[Item]],Calories[],2,FALSE)</f>
        <v>#N/A</v>
      </c>
      <c r="D145" s="65" t="e">
        <f>_xlfn.XLOOKUP(tbDensity[[#This Row],[Item]],Calories[Name],Calories[Cals])*100</f>
        <v>#N/A</v>
      </c>
      <c r="E145" s="71" t="e">
        <f>_xlfn.XLOOKUP(tbDensity[[#This Row],[Item]],Calories[Name],Calories[Carbs])*100</f>
        <v>#N/A</v>
      </c>
      <c r="F145" s="71" t="e">
        <f>_xlfn.XLOOKUP(tbDensity[[#This Row],[Item]],Calories[Name],Calories[Fibre])*100</f>
        <v>#N/A</v>
      </c>
      <c r="G145" s="113" t="e">
        <f>(tbDensity[[#This Row],[Carb / 100g]]-tbDensity[[#This Row],[Fibre / 100g]])</f>
        <v>#N/A</v>
      </c>
      <c r="H145" s="71" t="e">
        <f>_xlfn.XLOOKUP(tbDensity[[#This Row],[Item]],Calories[Name],Calories[Sodium])* 100</f>
        <v>#N/A</v>
      </c>
      <c r="I145" s="71" t="e">
        <f>_xlfn.XLOOKUP(tbDensity[[#This Row],[Item]],Calories[Name],Calories[Protein]) * 100</f>
        <v>#N/A</v>
      </c>
      <c r="J145" s="103" t="e">
        <f>_xlfn.XLOOKUP(tbDensity[[#This Row],[Item]],Calories[Name],Calories[Chol.]) * 100</f>
        <v>#N/A</v>
      </c>
    </row>
    <row r="146" spans="2:10" s="66" customFormat="1" ht="25.15" customHeight="1">
      <c r="B146" s="78"/>
      <c r="C146" s="76" t="e">
        <f>VLOOKUP(tbDensity[[#This Row],[Item]],Calories[],2,FALSE)</f>
        <v>#N/A</v>
      </c>
      <c r="D146" s="65" t="e">
        <f>_xlfn.XLOOKUP(tbDensity[[#This Row],[Item]],Calories[Name],Calories[Cals])*100</f>
        <v>#N/A</v>
      </c>
      <c r="E146" s="71" t="e">
        <f>_xlfn.XLOOKUP(tbDensity[[#This Row],[Item]],Calories[Name],Calories[Carbs])*100</f>
        <v>#N/A</v>
      </c>
      <c r="F146" s="71" t="e">
        <f>_xlfn.XLOOKUP(tbDensity[[#This Row],[Item]],Calories[Name],Calories[Fibre])*100</f>
        <v>#N/A</v>
      </c>
      <c r="G146" s="113" t="e">
        <f>(tbDensity[[#This Row],[Carb / 100g]]-tbDensity[[#This Row],[Fibre / 100g]])</f>
        <v>#N/A</v>
      </c>
      <c r="H146" s="71" t="e">
        <f>_xlfn.XLOOKUP(tbDensity[[#This Row],[Item]],Calories[Name],Calories[Sodium])* 100</f>
        <v>#N/A</v>
      </c>
      <c r="I146" s="71" t="e">
        <f>_xlfn.XLOOKUP(tbDensity[[#This Row],[Item]],Calories[Name],Calories[Protein]) * 100</f>
        <v>#N/A</v>
      </c>
      <c r="J146" s="103" t="e">
        <f>_xlfn.XLOOKUP(tbDensity[[#This Row],[Item]],Calories[Name],Calories[Chol.]) * 100</f>
        <v>#N/A</v>
      </c>
    </row>
    <row r="147" spans="2:10" s="66" customFormat="1" ht="25.15" customHeight="1">
      <c r="B147" s="78"/>
      <c r="C147" s="76" t="e">
        <f>VLOOKUP(tbDensity[[#This Row],[Item]],Calories[],2,FALSE)</f>
        <v>#N/A</v>
      </c>
      <c r="D147" s="65" t="e">
        <f>_xlfn.XLOOKUP(tbDensity[[#This Row],[Item]],Calories[Name],Calories[Cals])*100</f>
        <v>#N/A</v>
      </c>
      <c r="E147" s="71" t="e">
        <f>_xlfn.XLOOKUP(tbDensity[[#This Row],[Item]],Calories[Name],Calories[Carbs])*100</f>
        <v>#N/A</v>
      </c>
      <c r="F147" s="71" t="e">
        <f>_xlfn.XLOOKUP(tbDensity[[#This Row],[Item]],Calories[Name],Calories[Fibre])*100</f>
        <v>#N/A</v>
      </c>
      <c r="G147" s="113" t="e">
        <f>(tbDensity[[#This Row],[Carb / 100g]]-tbDensity[[#This Row],[Fibre / 100g]])</f>
        <v>#N/A</v>
      </c>
      <c r="H147" s="71" t="e">
        <f>_xlfn.XLOOKUP(tbDensity[[#This Row],[Item]],Calories[Name],Calories[Sodium])* 100</f>
        <v>#N/A</v>
      </c>
      <c r="I147" s="71" t="e">
        <f>_xlfn.XLOOKUP(tbDensity[[#This Row],[Item]],Calories[Name],Calories[Protein]) * 100</f>
        <v>#N/A</v>
      </c>
      <c r="J147" s="103" t="e">
        <f>_xlfn.XLOOKUP(tbDensity[[#This Row],[Item]],Calories[Name],Calories[Chol.]) * 100</f>
        <v>#N/A</v>
      </c>
    </row>
    <row r="148" spans="2:10" s="66" customFormat="1" ht="25.15" customHeight="1">
      <c r="B148" s="78"/>
      <c r="C148" s="76" t="e">
        <f>VLOOKUP(tbDensity[[#This Row],[Item]],Calories[],2,FALSE)</f>
        <v>#N/A</v>
      </c>
      <c r="D148" s="65" t="e">
        <f>_xlfn.XLOOKUP(tbDensity[[#This Row],[Item]],Calories[Name],Calories[Cals])*100</f>
        <v>#N/A</v>
      </c>
      <c r="E148" s="71" t="e">
        <f>_xlfn.XLOOKUP(tbDensity[[#This Row],[Item]],Calories[Name],Calories[Carbs])*100</f>
        <v>#N/A</v>
      </c>
      <c r="F148" s="71" t="e">
        <f>_xlfn.XLOOKUP(tbDensity[[#This Row],[Item]],Calories[Name],Calories[Fibre])*100</f>
        <v>#N/A</v>
      </c>
      <c r="G148" s="113" t="e">
        <f>(tbDensity[[#This Row],[Carb / 100g]]-tbDensity[[#This Row],[Fibre / 100g]])</f>
        <v>#N/A</v>
      </c>
      <c r="H148" s="71" t="e">
        <f>_xlfn.XLOOKUP(tbDensity[[#This Row],[Item]],Calories[Name],Calories[Sodium])* 100</f>
        <v>#N/A</v>
      </c>
      <c r="I148" s="71" t="e">
        <f>_xlfn.XLOOKUP(tbDensity[[#This Row],[Item]],Calories[Name],Calories[Protein]) * 100</f>
        <v>#N/A</v>
      </c>
      <c r="J148" s="103" t="e">
        <f>_xlfn.XLOOKUP(tbDensity[[#This Row],[Item]],Calories[Name],Calories[Chol.]) * 100</f>
        <v>#N/A</v>
      </c>
    </row>
    <row r="149" spans="2:10" s="66" customFormat="1" ht="25.15" customHeight="1">
      <c r="B149" s="78"/>
      <c r="C149" s="76" t="e">
        <f>VLOOKUP(tbDensity[[#This Row],[Item]],Calories[],2,FALSE)</f>
        <v>#N/A</v>
      </c>
      <c r="D149" s="65" t="e">
        <f>_xlfn.XLOOKUP(tbDensity[[#This Row],[Item]],Calories[Name],Calories[Cals])*100</f>
        <v>#N/A</v>
      </c>
      <c r="E149" s="71" t="e">
        <f>_xlfn.XLOOKUP(tbDensity[[#This Row],[Item]],Calories[Name],Calories[Carbs])*100</f>
        <v>#N/A</v>
      </c>
      <c r="F149" s="71" t="e">
        <f>_xlfn.XLOOKUP(tbDensity[[#This Row],[Item]],Calories[Name],Calories[Fibre])*100</f>
        <v>#N/A</v>
      </c>
      <c r="G149" s="113" t="e">
        <f>(tbDensity[[#This Row],[Carb / 100g]]-tbDensity[[#This Row],[Fibre / 100g]])</f>
        <v>#N/A</v>
      </c>
      <c r="H149" s="71" t="e">
        <f>_xlfn.XLOOKUP(tbDensity[[#This Row],[Item]],Calories[Name],Calories[Sodium])* 100</f>
        <v>#N/A</v>
      </c>
      <c r="I149" s="71" t="e">
        <f>_xlfn.XLOOKUP(tbDensity[[#This Row],[Item]],Calories[Name],Calories[Protein]) * 100</f>
        <v>#N/A</v>
      </c>
      <c r="J149" s="103" t="e">
        <f>_xlfn.XLOOKUP(tbDensity[[#This Row],[Item]],Calories[Name],Calories[Chol.]) * 100</f>
        <v>#N/A</v>
      </c>
    </row>
    <row r="150" spans="2:10" s="66" customFormat="1" ht="25.15" customHeight="1">
      <c r="B150" s="78"/>
      <c r="C150" s="76" t="e">
        <f>VLOOKUP(tbDensity[[#This Row],[Item]],Calories[],2,FALSE)</f>
        <v>#N/A</v>
      </c>
      <c r="D150" s="65" t="e">
        <f>_xlfn.XLOOKUP(tbDensity[[#This Row],[Item]],Calories[Name],Calories[Cals])*100</f>
        <v>#N/A</v>
      </c>
      <c r="E150" s="71" t="e">
        <f>_xlfn.XLOOKUP(tbDensity[[#This Row],[Item]],Calories[Name],Calories[Carbs])*100</f>
        <v>#N/A</v>
      </c>
      <c r="F150" s="71" t="e">
        <f>_xlfn.XLOOKUP(tbDensity[[#This Row],[Item]],Calories[Name],Calories[Fibre])*100</f>
        <v>#N/A</v>
      </c>
      <c r="G150" s="113" t="e">
        <f>(tbDensity[[#This Row],[Carb / 100g]]-tbDensity[[#This Row],[Fibre / 100g]])</f>
        <v>#N/A</v>
      </c>
      <c r="H150" s="71" t="e">
        <f>_xlfn.XLOOKUP(tbDensity[[#This Row],[Item]],Calories[Name],Calories[Sodium])* 100</f>
        <v>#N/A</v>
      </c>
      <c r="I150" s="71" t="e">
        <f>_xlfn.XLOOKUP(tbDensity[[#This Row],[Item]],Calories[Name],Calories[Protein]) * 100</f>
        <v>#N/A</v>
      </c>
      <c r="J150" s="103" t="e">
        <f>_xlfn.XLOOKUP(tbDensity[[#This Row],[Item]],Calories[Name],Calories[Chol.]) * 100</f>
        <v>#N/A</v>
      </c>
    </row>
    <row r="151" spans="2:10" s="66" customFormat="1" ht="25.15" customHeight="1">
      <c r="B151" s="78"/>
      <c r="C151" s="76" t="e">
        <f>VLOOKUP(tbDensity[[#This Row],[Item]],Calories[],2,FALSE)</f>
        <v>#N/A</v>
      </c>
      <c r="D151" s="65" t="e">
        <f>_xlfn.XLOOKUP(tbDensity[[#This Row],[Item]],Calories[Name],Calories[Cals])*100</f>
        <v>#N/A</v>
      </c>
      <c r="E151" s="71" t="e">
        <f>_xlfn.XLOOKUP(tbDensity[[#This Row],[Item]],Calories[Name],Calories[Carbs])*100</f>
        <v>#N/A</v>
      </c>
      <c r="F151" s="71" t="e">
        <f>_xlfn.XLOOKUP(tbDensity[[#This Row],[Item]],Calories[Name],Calories[Fibre])*100</f>
        <v>#N/A</v>
      </c>
      <c r="G151" s="113" t="e">
        <f>(tbDensity[[#This Row],[Carb / 100g]]-tbDensity[[#This Row],[Fibre / 100g]])</f>
        <v>#N/A</v>
      </c>
      <c r="H151" s="71" t="e">
        <f>_xlfn.XLOOKUP(tbDensity[[#This Row],[Item]],Calories[Name],Calories[Sodium])* 100</f>
        <v>#N/A</v>
      </c>
      <c r="I151" s="71" t="e">
        <f>_xlfn.XLOOKUP(tbDensity[[#This Row],[Item]],Calories[Name],Calories[Protein]) * 100</f>
        <v>#N/A</v>
      </c>
      <c r="J151" s="103" t="e">
        <f>_xlfn.XLOOKUP(tbDensity[[#This Row],[Item]],Calories[Name],Calories[Chol.]) * 100</f>
        <v>#N/A</v>
      </c>
    </row>
    <row r="152" spans="2:10" s="66" customFormat="1" ht="25.15" customHeight="1">
      <c r="B152" s="78"/>
      <c r="C152" s="76" t="e">
        <f>VLOOKUP(tbDensity[[#This Row],[Item]],Calories[],2,FALSE)</f>
        <v>#N/A</v>
      </c>
      <c r="D152" s="65" t="e">
        <f>_xlfn.XLOOKUP(tbDensity[[#This Row],[Item]],Calories[Name],Calories[Cals])*100</f>
        <v>#N/A</v>
      </c>
      <c r="E152" s="71" t="e">
        <f>_xlfn.XLOOKUP(tbDensity[[#This Row],[Item]],Calories[Name],Calories[Carbs])*100</f>
        <v>#N/A</v>
      </c>
      <c r="F152" s="71" t="e">
        <f>_xlfn.XLOOKUP(tbDensity[[#This Row],[Item]],Calories[Name],Calories[Fibre])*100</f>
        <v>#N/A</v>
      </c>
      <c r="G152" s="113" t="e">
        <f>(tbDensity[[#This Row],[Carb / 100g]]-tbDensity[[#This Row],[Fibre / 100g]])</f>
        <v>#N/A</v>
      </c>
      <c r="H152" s="71" t="e">
        <f>_xlfn.XLOOKUP(tbDensity[[#This Row],[Item]],Calories[Name],Calories[Sodium])* 100</f>
        <v>#N/A</v>
      </c>
      <c r="I152" s="71" t="e">
        <f>_xlfn.XLOOKUP(tbDensity[[#This Row],[Item]],Calories[Name],Calories[Protein]) * 100</f>
        <v>#N/A</v>
      </c>
      <c r="J152" s="103" t="e">
        <f>_xlfn.XLOOKUP(tbDensity[[#This Row],[Item]],Calories[Name],Calories[Chol.]) * 100</f>
        <v>#N/A</v>
      </c>
    </row>
    <row r="153" spans="2:10" s="66" customFormat="1" ht="25.15" customHeight="1">
      <c r="B153" s="78"/>
      <c r="C153" s="76" t="e">
        <f>VLOOKUP(tbDensity[[#This Row],[Item]],Calories[],2,FALSE)</f>
        <v>#N/A</v>
      </c>
      <c r="D153" s="65" t="e">
        <f>_xlfn.XLOOKUP(tbDensity[[#This Row],[Item]],Calories[Name],Calories[Cals])*100</f>
        <v>#N/A</v>
      </c>
      <c r="E153" s="71" t="e">
        <f>_xlfn.XLOOKUP(tbDensity[[#This Row],[Item]],Calories[Name],Calories[Carbs])*100</f>
        <v>#N/A</v>
      </c>
      <c r="F153" s="71" t="e">
        <f>_xlfn.XLOOKUP(tbDensity[[#This Row],[Item]],Calories[Name],Calories[Fibre])*100</f>
        <v>#N/A</v>
      </c>
      <c r="G153" s="113" t="e">
        <f>(tbDensity[[#This Row],[Carb / 100g]]-tbDensity[[#This Row],[Fibre / 100g]])</f>
        <v>#N/A</v>
      </c>
      <c r="H153" s="71" t="e">
        <f>_xlfn.XLOOKUP(tbDensity[[#This Row],[Item]],Calories[Name],Calories[Sodium])* 100</f>
        <v>#N/A</v>
      </c>
      <c r="I153" s="71" t="e">
        <f>_xlfn.XLOOKUP(tbDensity[[#This Row],[Item]],Calories[Name],Calories[Protein]) * 100</f>
        <v>#N/A</v>
      </c>
      <c r="J153" s="103" t="e">
        <f>_xlfn.XLOOKUP(tbDensity[[#This Row],[Item]],Calories[Name],Calories[Chol.]) * 100</f>
        <v>#N/A</v>
      </c>
    </row>
    <row r="154" spans="2:10" s="66" customFormat="1" ht="25.15" customHeight="1">
      <c r="B154" s="78"/>
      <c r="C154" s="76" t="e">
        <f>VLOOKUP(tbDensity[[#This Row],[Item]],Calories[],2,FALSE)</f>
        <v>#N/A</v>
      </c>
      <c r="D154" s="65" t="e">
        <f>_xlfn.XLOOKUP(tbDensity[[#This Row],[Item]],Calories[Name],Calories[Cals])*100</f>
        <v>#N/A</v>
      </c>
      <c r="E154" s="71" t="e">
        <f>_xlfn.XLOOKUP(tbDensity[[#This Row],[Item]],Calories[Name],Calories[Carbs])*100</f>
        <v>#N/A</v>
      </c>
      <c r="F154" s="71" t="e">
        <f>_xlfn.XLOOKUP(tbDensity[[#This Row],[Item]],Calories[Name],Calories[Fibre])*100</f>
        <v>#N/A</v>
      </c>
      <c r="G154" s="113" t="e">
        <f>(tbDensity[[#This Row],[Carb / 100g]]-tbDensity[[#This Row],[Fibre / 100g]])</f>
        <v>#N/A</v>
      </c>
      <c r="H154" s="71" t="e">
        <f>_xlfn.XLOOKUP(tbDensity[[#This Row],[Item]],Calories[Name],Calories[Sodium])* 100</f>
        <v>#N/A</v>
      </c>
      <c r="I154" s="71" t="e">
        <f>_xlfn.XLOOKUP(tbDensity[[#This Row],[Item]],Calories[Name],Calories[Protein]) * 100</f>
        <v>#N/A</v>
      </c>
      <c r="J154" s="103" t="e">
        <f>_xlfn.XLOOKUP(tbDensity[[#This Row],[Item]],Calories[Name],Calories[Chol.]) * 100</f>
        <v>#N/A</v>
      </c>
    </row>
    <row r="155" spans="2:10" s="66" customFormat="1" ht="25.15" customHeight="1">
      <c r="B155" s="78"/>
      <c r="C155" s="76" t="e">
        <f>VLOOKUP(tbDensity[[#This Row],[Item]],Calories[],2,FALSE)</f>
        <v>#N/A</v>
      </c>
      <c r="D155" s="65" t="e">
        <f>_xlfn.XLOOKUP(tbDensity[[#This Row],[Item]],Calories[Name],Calories[Cals])*100</f>
        <v>#N/A</v>
      </c>
      <c r="E155" s="71" t="e">
        <f>_xlfn.XLOOKUP(tbDensity[[#This Row],[Item]],Calories[Name],Calories[Carbs])*100</f>
        <v>#N/A</v>
      </c>
      <c r="F155" s="71" t="e">
        <f>_xlfn.XLOOKUP(tbDensity[[#This Row],[Item]],Calories[Name],Calories[Fibre])*100</f>
        <v>#N/A</v>
      </c>
      <c r="G155" s="113" t="e">
        <f>(tbDensity[[#This Row],[Carb / 100g]]-tbDensity[[#This Row],[Fibre / 100g]])</f>
        <v>#N/A</v>
      </c>
      <c r="H155" s="71" t="e">
        <f>_xlfn.XLOOKUP(tbDensity[[#This Row],[Item]],Calories[Name],Calories[Sodium])* 100</f>
        <v>#N/A</v>
      </c>
      <c r="I155" s="71" t="e">
        <f>_xlfn.XLOOKUP(tbDensity[[#This Row],[Item]],Calories[Name],Calories[Protein]) * 100</f>
        <v>#N/A</v>
      </c>
      <c r="J155" s="103" t="e">
        <f>_xlfn.XLOOKUP(tbDensity[[#This Row],[Item]],Calories[Name],Calories[Chol.]) * 100</f>
        <v>#N/A</v>
      </c>
    </row>
    <row r="156" spans="2:10" s="66" customFormat="1" ht="25.15" customHeight="1">
      <c r="B156" s="78"/>
      <c r="C156" s="76" t="e">
        <f>VLOOKUP(tbDensity[[#This Row],[Item]],Calories[],2,FALSE)</f>
        <v>#N/A</v>
      </c>
      <c r="D156" s="65" t="e">
        <f>_xlfn.XLOOKUP(tbDensity[[#This Row],[Item]],Calories[Name],Calories[Cals])*100</f>
        <v>#N/A</v>
      </c>
      <c r="E156" s="71" t="e">
        <f>_xlfn.XLOOKUP(tbDensity[[#This Row],[Item]],Calories[Name],Calories[Carbs])*100</f>
        <v>#N/A</v>
      </c>
      <c r="F156" s="71" t="e">
        <f>_xlfn.XLOOKUP(tbDensity[[#This Row],[Item]],Calories[Name],Calories[Fibre])*100</f>
        <v>#N/A</v>
      </c>
      <c r="G156" s="113" t="e">
        <f>(tbDensity[[#This Row],[Carb / 100g]]-tbDensity[[#This Row],[Fibre / 100g]])</f>
        <v>#N/A</v>
      </c>
      <c r="H156" s="71" t="e">
        <f>_xlfn.XLOOKUP(tbDensity[[#This Row],[Item]],Calories[Name],Calories[Sodium])* 100</f>
        <v>#N/A</v>
      </c>
      <c r="I156" s="71" t="e">
        <f>_xlfn.XLOOKUP(tbDensity[[#This Row],[Item]],Calories[Name],Calories[Protein]) * 100</f>
        <v>#N/A</v>
      </c>
      <c r="J156" s="103" t="e">
        <f>_xlfn.XLOOKUP(tbDensity[[#This Row],[Item]],Calories[Name],Calories[Chol.]) * 100</f>
        <v>#N/A</v>
      </c>
    </row>
    <row r="157" spans="2:10" s="66" customFormat="1" ht="25.15" customHeight="1">
      <c r="B157" s="78"/>
      <c r="C157" s="76" t="e">
        <f>VLOOKUP(tbDensity[[#This Row],[Item]],Calories[],2,FALSE)</f>
        <v>#N/A</v>
      </c>
      <c r="D157" s="65" t="e">
        <f>_xlfn.XLOOKUP(tbDensity[[#This Row],[Item]],Calories[Name],Calories[Cals])*100</f>
        <v>#N/A</v>
      </c>
      <c r="E157" s="71" t="e">
        <f>_xlfn.XLOOKUP(tbDensity[[#This Row],[Item]],Calories[Name],Calories[Carbs])*100</f>
        <v>#N/A</v>
      </c>
      <c r="F157" s="71" t="e">
        <f>_xlfn.XLOOKUP(tbDensity[[#This Row],[Item]],Calories[Name],Calories[Fibre])*100</f>
        <v>#N/A</v>
      </c>
      <c r="G157" s="113" t="e">
        <f>(tbDensity[[#This Row],[Carb / 100g]]-tbDensity[[#This Row],[Fibre / 100g]])</f>
        <v>#N/A</v>
      </c>
      <c r="H157" s="71" t="e">
        <f>_xlfn.XLOOKUP(tbDensity[[#This Row],[Item]],Calories[Name],Calories[Sodium])* 100</f>
        <v>#N/A</v>
      </c>
      <c r="I157" s="71" t="e">
        <f>_xlfn.XLOOKUP(tbDensity[[#This Row],[Item]],Calories[Name],Calories[Protein]) * 100</f>
        <v>#N/A</v>
      </c>
      <c r="J157" s="103" t="e">
        <f>_xlfn.XLOOKUP(tbDensity[[#This Row],[Item]],Calories[Name],Calories[Chol.]) * 100</f>
        <v>#N/A</v>
      </c>
    </row>
    <row r="158" spans="2:10" s="66" customFormat="1" ht="25.15" customHeight="1">
      <c r="B158" s="78"/>
      <c r="C158" s="76" t="e">
        <f>VLOOKUP(tbDensity[[#This Row],[Item]],Calories[],2,FALSE)</f>
        <v>#N/A</v>
      </c>
      <c r="D158" s="65" t="e">
        <f>_xlfn.XLOOKUP(tbDensity[[#This Row],[Item]],Calories[Name],Calories[Cals])*100</f>
        <v>#N/A</v>
      </c>
      <c r="E158" s="71" t="e">
        <f>_xlfn.XLOOKUP(tbDensity[[#This Row],[Item]],Calories[Name],Calories[Carbs])*100</f>
        <v>#N/A</v>
      </c>
      <c r="F158" s="71" t="e">
        <f>_xlfn.XLOOKUP(tbDensity[[#This Row],[Item]],Calories[Name],Calories[Fibre])*100</f>
        <v>#N/A</v>
      </c>
      <c r="G158" s="113" t="e">
        <f>(tbDensity[[#This Row],[Carb / 100g]]-tbDensity[[#This Row],[Fibre / 100g]])</f>
        <v>#N/A</v>
      </c>
      <c r="H158" s="71" t="e">
        <f>_xlfn.XLOOKUP(tbDensity[[#This Row],[Item]],Calories[Name],Calories[Sodium])* 100</f>
        <v>#N/A</v>
      </c>
      <c r="I158" s="71" t="e">
        <f>_xlfn.XLOOKUP(tbDensity[[#This Row],[Item]],Calories[Name],Calories[Protein]) * 100</f>
        <v>#N/A</v>
      </c>
      <c r="J158" s="103" t="e">
        <f>_xlfn.XLOOKUP(tbDensity[[#This Row],[Item]],Calories[Name],Calories[Chol.]) * 100</f>
        <v>#N/A</v>
      </c>
    </row>
    <row r="159" spans="2:10" s="66" customFormat="1" ht="25.15" customHeight="1">
      <c r="B159" s="78"/>
      <c r="C159" s="76" t="e">
        <f>VLOOKUP(tbDensity[[#This Row],[Item]],Calories[],2,FALSE)</f>
        <v>#N/A</v>
      </c>
      <c r="D159" s="65" t="e">
        <f>_xlfn.XLOOKUP(tbDensity[[#This Row],[Item]],Calories[Name],Calories[Cals])*100</f>
        <v>#N/A</v>
      </c>
      <c r="E159" s="71" t="e">
        <f>_xlfn.XLOOKUP(tbDensity[[#This Row],[Item]],Calories[Name],Calories[Carbs])*100</f>
        <v>#N/A</v>
      </c>
      <c r="F159" s="71" t="e">
        <f>_xlfn.XLOOKUP(tbDensity[[#This Row],[Item]],Calories[Name],Calories[Fibre])*100</f>
        <v>#N/A</v>
      </c>
      <c r="G159" s="113" t="e">
        <f>(tbDensity[[#This Row],[Carb / 100g]]-tbDensity[[#This Row],[Fibre / 100g]])</f>
        <v>#N/A</v>
      </c>
      <c r="H159" s="71" t="e">
        <f>_xlfn.XLOOKUP(tbDensity[[#This Row],[Item]],Calories[Name],Calories[Sodium])* 100</f>
        <v>#N/A</v>
      </c>
      <c r="I159" s="71" t="e">
        <f>_xlfn.XLOOKUP(tbDensity[[#This Row],[Item]],Calories[Name],Calories[Protein]) * 100</f>
        <v>#N/A</v>
      </c>
      <c r="J159" s="103" t="e">
        <f>_xlfn.XLOOKUP(tbDensity[[#This Row],[Item]],Calories[Name],Calories[Chol.]) * 100</f>
        <v>#N/A</v>
      </c>
    </row>
    <row r="160" spans="2:10" s="66" customFormat="1" ht="25.15" customHeight="1">
      <c r="B160" s="78"/>
      <c r="C160" s="76" t="e">
        <f>VLOOKUP(tbDensity[[#This Row],[Item]],Calories[],2,FALSE)</f>
        <v>#N/A</v>
      </c>
      <c r="D160" s="65" t="e">
        <f>_xlfn.XLOOKUP(tbDensity[[#This Row],[Item]],Calories[Name],Calories[Cals])*100</f>
        <v>#N/A</v>
      </c>
      <c r="E160" s="71" t="e">
        <f>_xlfn.XLOOKUP(tbDensity[[#This Row],[Item]],Calories[Name],Calories[Carbs])*100</f>
        <v>#N/A</v>
      </c>
      <c r="F160" s="71" t="e">
        <f>_xlfn.XLOOKUP(tbDensity[[#This Row],[Item]],Calories[Name],Calories[Fibre])*100</f>
        <v>#N/A</v>
      </c>
      <c r="G160" s="113" t="e">
        <f>(tbDensity[[#This Row],[Carb / 100g]]-tbDensity[[#This Row],[Fibre / 100g]])</f>
        <v>#N/A</v>
      </c>
      <c r="H160" s="71" t="e">
        <f>_xlfn.XLOOKUP(tbDensity[[#This Row],[Item]],Calories[Name],Calories[Sodium])* 100</f>
        <v>#N/A</v>
      </c>
      <c r="I160" s="71" t="e">
        <f>_xlfn.XLOOKUP(tbDensity[[#This Row],[Item]],Calories[Name],Calories[Protein]) * 100</f>
        <v>#N/A</v>
      </c>
      <c r="J160" s="103" t="e">
        <f>_xlfn.XLOOKUP(tbDensity[[#This Row],[Item]],Calories[Name],Calories[Chol.]) * 100</f>
        <v>#N/A</v>
      </c>
    </row>
    <row r="161" spans="2:10" s="66" customFormat="1" ht="25.15" customHeight="1">
      <c r="B161" s="78"/>
      <c r="C161" s="76" t="e">
        <f>VLOOKUP(tbDensity[[#This Row],[Item]],Calories[],2,FALSE)</f>
        <v>#N/A</v>
      </c>
      <c r="D161" s="65" t="e">
        <f>_xlfn.XLOOKUP(tbDensity[[#This Row],[Item]],Calories[Name],Calories[Cals])*100</f>
        <v>#N/A</v>
      </c>
      <c r="E161" s="71" t="e">
        <f>_xlfn.XLOOKUP(tbDensity[[#This Row],[Item]],Calories[Name],Calories[Carbs])*100</f>
        <v>#N/A</v>
      </c>
      <c r="F161" s="71" t="e">
        <f>_xlfn.XLOOKUP(tbDensity[[#This Row],[Item]],Calories[Name],Calories[Fibre])*100</f>
        <v>#N/A</v>
      </c>
      <c r="G161" s="113" t="e">
        <f>(tbDensity[[#This Row],[Carb / 100g]]-tbDensity[[#This Row],[Fibre / 100g]])</f>
        <v>#N/A</v>
      </c>
      <c r="H161" s="71" t="e">
        <f>_xlfn.XLOOKUP(tbDensity[[#This Row],[Item]],Calories[Name],Calories[Sodium])* 100</f>
        <v>#N/A</v>
      </c>
      <c r="I161" s="71" t="e">
        <f>_xlfn.XLOOKUP(tbDensity[[#This Row],[Item]],Calories[Name],Calories[Protein]) * 100</f>
        <v>#N/A</v>
      </c>
      <c r="J161" s="103" t="e">
        <f>_xlfn.XLOOKUP(tbDensity[[#This Row],[Item]],Calories[Name],Calories[Chol.]) * 100</f>
        <v>#N/A</v>
      </c>
    </row>
    <row r="162" spans="2:10" s="66" customFormat="1" ht="25.15" customHeight="1">
      <c r="B162" s="78"/>
      <c r="C162" s="76" t="e">
        <f>VLOOKUP(tbDensity[[#This Row],[Item]],Calories[],2,FALSE)</f>
        <v>#N/A</v>
      </c>
      <c r="D162" s="65" t="e">
        <f>_xlfn.XLOOKUP(tbDensity[[#This Row],[Item]],Calories[Name],Calories[Cals])*100</f>
        <v>#N/A</v>
      </c>
      <c r="E162" s="71" t="e">
        <f>_xlfn.XLOOKUP(tbDensity[[#This Row],[Item]],Calories[Name],Calories[Carbs])*100</f>
        <v>#N/A</v>
      </c>
      <c r="F162" s="71" t="e">
        <f>_xlfn.XLOOKUP(tbDensity[[#This Row],[Item]],Calories[Name],Calories[Fibre])*100</f>
        <v>#N/A</v>
      </c>
      <c r="G162" s="113" t="e">
        <f>(tbDensity[[#This Row],[Carb / 100g]]-tbDensity[[#This Row],[Fibre / 100g]])</f>
        <v>#N/A</v>
      </c>
      <c r="H162" s="71" t="e">
        <f>_xlfn.XLOOKUP(tbDensity[[#This Row],[Item]],Calories[Name],Calories[Sodium])* 100</f>
        <v>#N/A</v>
      </c>
      <c r="I162" s="71" t="e">
        <f>_xlfn.XLOOKUP(tbDensity[[#This Row],[Item]],Calories[Name],Calories[Protein]) * 100</f>
        <v>#N/A</v>
      </c>
      <c r="J162" s="103" t="e">
        <f>_xlfn.XLOOKUP(tbDensity[[#This Row],[Item]],Calories[Name],Calories[Chol.]) * 100</f>
        <v>#N/A</v>
      </c>
    </row>
    <row r="163" spans="2:10" s="66" customFormat="1" ht="25.15" customHeight="1">
      <c r="B163" s="78"/>
      <c r="C163" s="76" t="e">
        <f>VLOOKUP(tbDensity[[#This Row],[Item]],Calories[],2,FALSE)</f>
        <v>#N/A</v>
      </c>
      <c r="D163" s="65" t="e">
        <f>_xlfn.XLOOKUP(tbDensity[[#This Row],[Item]],Calories[Name],Calories[Cals])*100</f>
        <v>#N/A</v>
      </c>
      <c r="E163" s="71" t="e">
        <f>_xlfn.XLOOKUP(tbDensity[[#This Row],[Item]],Calories[Name],Calories[Carbs])*100</f>
        <v>#N/A</v>
      </c>
      <c r="F163" s="71" t="e">
        <f>_xlfn.XLOOKUP(tbDensity[[#This Row],[Item]],Calories[Name],Calories[Fibre])*100</f>
        <v>#N/A</v>
      </c>
      <c r="G163" s="113" t="e">
        <f>(tbDensity[[#This Row],[Carb / 100g]]-tbDensity[[#This Row],[Fibre / 100g]])</f>
        <v>#N/A</v>
      </c>
      <c r="H163" s="71" t="e">
        <f>_xlfn.XLOOKUP(tbDensity[[#This Row],[Item]],Calories[Name],Calories[Sodium])* 100</f>
        <v>#N/A</v>
      </c>
      <c r="I163" s="71" t="e">
        <f>_xlfn.XLOOKUP(tbDensity[[#This Row],[Item]],Calories[Name],Calories[Protein]) * 100</f>
        <v>#N/A</v>
      </c>
      <c r="J163" s="103" t="e">
        <f>_xlfn.XLOOKUP(tbDensity[[#This Row],[Item]],Calories[Name],Calories[Chol.]) * 100</f>
        <v>#N/A</v>
      </c>
    </row>
    <row r="164" spans="2:10" s="66" customFormat="1" ht="25.15" customHeight="1">
      <c r="B164" s="78"/>
      <c r="C164" s="76" t="e">
        <f>VLOOKUP(tbDensity[[#This Row],[Item]],Calories[],2,FALSE)</f>
        <v>#N/A</v>
      </c>
      <c r="D164" s="65" t="e">
        <f>_xlfn.XLOOKUP(tbDensity[[#This Row],[Item]],Calories[Name],Calories[Cals])*100</f>
        <v>#N/A</v>
      </c>
      <c r="E164" s="71" t="e">
        <f>_xlfn.XLOOKUP(tbDensity[[#This Row],[Item]],Calories[Name],Calories[Carbs])*100</f>
        <v>#N/A</v>
      </c>
      <c r="F164" s="71" t="e">
        <f>_xlfn.XLOOKUP(tbDensity[[#This Row],[Item]],Calories[Name],Calories[Fibre])*100</f>
        <v>#N/A</v>
      </c>
      <c r="G164" s="113" t="e">
        <f>(tbDensity[[#This Row],[Carb / 100g]]-tbDensity[[#This Row],[Fibre / 100g]])</f>
        <v>#N/A</v>
      </c>
      <c r="H164" s="71" t="e">
        <f>_xlfn.XLOOKUP(tbDensity[[#This Row],[Item]],Calories[Name],Calories[Sodium])* 100</f>
        <v>#N/A</v>
      </c>
      <c r="I164" s="71" t="e">
        <f>_xlfn.XLOOKUP(tbDensity[[#This Row],[Item]],Calories[Name],Calories[Protein]) * 100</f>
        <v>#N/A</v>
      </c>
      <c r="J164" s="103" t="e">
        <f>_xlfn.XLOOKUP(tbDensity[[#This Row],[Item]],Calories[Name],Calories[Chol.]) * 100</f>
        <v>#N/A</v>
      </c>
    </row>
    <row r="165" spans="2:10" s="66" customFormat="1" ht="25.15" customHeight="1">
      <c r="B165" s="78"/>
      <c r="C165" s="76" t="e">
        <f>VLOOKUP(tbDensity[[#This Row],[Item]],Calories[],2,FALSE)</f>
        <v>#N/A</v>
      </c>
      <c r="D165" s="65" t="e">
        <f>_xlfn.XLOOKUP(tbDensity[[#This Row],[Item]],Calories[Name],Calories[Cals])*100</f>
        <v>#N/A</v>
      </c>
      <c r="E165" s="71" t="e">
        <f>_xlfn.XLOOKUP(tbDensity[[#This Row],[Item]],Calories[Name],Calories[Carbs])*100</f>
        <v>#N/A</v>
      </c>
      <c r="F165" s="71" t="e">
        <f>_xlfn.XLOOKUP(tbDensity[[#This Row],[Item]],Calories[Name],Calories[Fibre])*100</f>
        <v>#N/A</v>
      </c>
      <c r="G165" s="113" t="e">
        <f>(tbDensity[[#This Row],[Carb / 100g]]-tbDensity[[#This Row],[Fibre / 100g]])</f>
        <v>#N/A</v>
      </c>
      <c r="H165" s="71" t="e">
        <f>_xlfn.XLOOKUP(tbDensity[[#This Row],[Item]],Calories[Name],Calories[Sodium])* 100</f>
        <v>#N/A</v>
      </c>
      <c r="I165" s="71" t="e">
        <f>_xlfn.XLOOKUP(tbDensity[[#This Row],[Item]],Calories[Name],Calories[Protein]) * 100</f>
        <v>#N/A</v>
      </c>
      <c r="J165" s="103" t="e">
        <f>_xlfn.XLOOKUP(tbDensity[[#This Row],[Item]],Calories[Name],Calories[Chol.]) * 100</f>
        <v>#N/A</v>
      </c>
    </row>
    <row r="166" spans="2:10" s="66" customFormat="1" ht="25.15" customHeight="1">
      <c r="B166" s="78"/>
      <c r="C166" s="76" t="e">
        <f>VLOOKUP(tbDensity[[#This Row],[Item]],Calories[],2,FALSE)</f>
        <v>#N/A</v>
      </c>
      <c r="D166" s="65" t="e">
        <f>_xlfn.XLOOKUP(tbDensity[[#This Row],[Item]],Calories[Name],Calories[Cals])*100</f>
        <v>#N/A</v>
      </c>
      <c r="E166" s="71" t="e">
        <f>_xlfn.XLOOKUP(tbDensity[[#This Row],[Item]],Calories[Name],Calories[Carbs])*100</f>
        <v>#N/A</v>
      </c>
      <c r="F166" s="71" t="e">
        <f>_xlfn.XLOOKUP(tbDensity[[#This Row],[Item]],Calories[Name],Calories[Fibre])*100</f>
        <v>#N/A</v>
      </c>
      <c r="G166" s="113" t="e">
        <f>(tbDensity[[#This Row],[Carb / 100g]]-tbDensity[[#This Row],[Fibre / 100g]])</f>
        <v>#N/A</v>
      </c>
      <c r="H166" s="71" t="e">
        <f>_xlfn.XLOOKUP(tbDensity[[#This Row],[Item]],Calories[Name],Calories[Sodium])* 100</f>
        <v>#N/A</v>
      </c>
      <c r="I166" s="71" t="e">
        <f>_xlfn.XLOOKUP(tbDensity[[#This Row],[Item]],Calories[Name],Calories[Protein]) * 100</f>
        <v>#N/A</v>
      </c>
      <c r="J166" s="103" t="e">
        <f>_xlfn.XLOOKUP(tbDensity[[#This Row],[Item]],Calories[Name],Calories[Chol.]) * 100</f>
        <v>#N/A</v>
      </c>
    </row>
    <row r="167" spans="2:10" s="66" customFormat="1" ht="25.15" customHeight="1">
      <c r="B167" s="78"/>
      <c r="C167" s="76" t="e">
        <f>VLOOKUP(tbDensity[[#This Row],[Item]],Calories[],2,FALSE)</f>
        <v>#N/A</v>
      </c>
      <c r="D167" s="65" t="e">
        <f>_xlfn.XLOOKUP(tbDensity[[#This Row],[Item]],Calories[Name],Calories[Cals])*100</f>
        <v>#N/A</v>
      </c>
      <c r="E167" s="71" t="e">
        <f>_xlfn.XLOOKUP(tbDensity[[#This Row],[Item]],Calories[Name],Calories[Carbs])*100</f>
        <v>#N/A</v>
      </c>
      <c r="F167" s="71" t="e">
        <f>_xlfn.XLOOKUP(tbDensity[[#This Row],[Item]],Calories[Name],Calories[Fibre])*100</f>
        <v>#N/A</v>
      </c>
      <c r="G167" s="113" t="e">
        <f>(tbDensity[[#This Row],[Carb / 100g]]-tbDensity[[#This Row],[Fibre / 100g]])</f>
        <v>#N/A</v>
      </c>
      <c r="H167" s="71" t="e">
        <f>_xlfn.XLOOKUP(tbDensity[[#This Row],[Item]],Calories[Name],Calories[Sodium])* 100</f>
        <v>#N/A</v>
      </c>
      <c r="I167" s="71" t="e">
        <f>_xlfn.XLOOKUP(tbDensity[[#This Row],[Item]],Calories[Name],Calories[Protein]) * 100</f>
        <v>#N/A</v>
      </c>
      <c r="J167" s="103" t="e">
        <f>_xlfn.XLOOKUP(tbDensity[[#This Row],[Item]],Calories[Name],Calories[Chol.]) * 100</f>
        <v>#N/A</v>
      </c>
    </row>
    <row r="168" spans="2:10" s="66" customFormat="1" ht="25.15" customHeight="1">
      <c r="B168" s="78"/>
      <c r="C168" s="76" t="e">
        <f>VLOOKUP(tbDensity[[#This Row],[Item]],Calories[],2,FALSE)</f>
        <v>#N/A</v>
      </c>
      <c r="D168" s="65" t="e">
        <f>_xlfn.XLOOKUP(tbDensity[[#This Row],[Item]],Calories[Name],Calories[Cals])*100</f>
        <v>#N/A</v>
      </c>
      <c r="E168" s="71" t="e">
        <f>_xlfn.XLOOKUP(tbDensity[[#This Row],[Item]],Calories[Name],Calories[Carbs])*100</f>
        <v>#N/A</v>
      </c>
      <c r="F168" s="71" t="e">
        <f>_xlfn.XLOOKUP(tbDensity[[#This Row],[Item]],Calories[Name],Calories[Fibre])*100</f>
        <v>#N/A</v>
      </c>
      <c r="G168" s="113" t="e">
        <f>(tbDensity[[#This Row],[Carb / 100g]]-tbDensity[[#This Row],[Fibre / 100g]])</f>
        <v>#N/A</v>
      </c>
      <c r="H168" s="71" t="e">
        <f>_xlfn.XLOOKUP(tbDensity[[#This Row],[Item]],Calories[Name],Calories[Sodium])* 100</f>
        <v>#N/A</v>
      </c>
      <c r="I168" s="71" t="e">
        <f>_xlfn.XLOOKUP(tbDensity[[#This Row],[Item]],Calories[Name],Calories[Protein]) * 100</f>
        <v>#N/A</v>
      </c>
      <c r="J168" s="103" t="e">
        <f>_xlfn.XLOOKUP(tbDensity[[#This Row],[Item]],Calories[Name],Calories[Chol.]) * 100</f>
        <v>#N/A</v>
      </c>
    </row>
    <row r="169" spans="2:10" s="66" customFormat="1" ht="25.15" customHeight="1">
      <c r="B169" s="78"/>
      <c r="C169" s="76" t="e">
        <f>VLOOKUP(tbDensity[[#This Row],[Item]],Calories[],2,FALSE)</f>
        <v>#N/A</v>
      </c>
      <c r="D169" s="65" t="e">
        <f>_xlfn.XLOOKUP(tbDensity[[#This Row],[Item]],Calories[Name],Calories[Cals])*100</f>
        <v>#N/A</v>
      </c>
      <c r="E169" s="71" t="e">
        <f>_xlfn.XLOOKUP(tbDensity[[#This Row],[Item]],Calories[Name],Calories[Carbs])*100</f>
        <v>#N/A</v>
      </c>
      <c r="F169" s="71" t="e">
        <f>_xlfn.XLOOKUP(tbDensity[[#This Row],[Item]],Calories[Name],Calories[Fibre])*100</f>
        <v>#N/A</v>
      </c>
      <c r="G169" s="113" t="e">
        <f>(tbDensity[[#This Row],[Carb / 100g]]-tbDensity[[#This Row],[Fibre / 100g]])</f>
        <v>#N/A</v>
      </c>
      <c r="H169" s="71" t="e">
        <f>_xlfn.XLOOKUP(tbDensity[[#This Row],[Item]],Calories[Name],Calories[Sodium])* 100</f>
        <v>#N/A</v>
      </c>
      <c r="I169" s="71" t="e">
        <f>_xlfn.XLOOKUP(tbDensity[[#This Row],[Item]],Calories[Name],Calories[Protein]) * 100</f>
        <v>#N/A</v>
      </c>
      <c r="J169" s="103" t="e">
        <f>_xlfn.XLOOKUP(tbDensity[[#This Row],[Item]],Calories[Name],Calories[Chol.]) * 100</f>
        <v>#N/A</v>
      </c>
    </row>
    <row r="170" spans="2:10" s="66" customFormat="1" ht="25.15" customHeight="1">
      <c r="B170" s="78"/>
      <c r="C170" s="76" t="e">
        <f>VLOOKUP(tbDensity[[#This Row],[Item]],Calories[],2,FALSE)</f>
        <v>#N/A</v>
      </c>
      <c r="D170" s="65" t="e">
        <f>_xlfn.XLOOKUP(tbDensity[[#This Row],[Item]],Calories[Name],Calories[Cals])*100</f>
        <v>#N/A</v>
      </c>
      <c r="E170" s="71" t="e">
        <f>_xlfn.XLOOKUP(tbDensity[[#This Row],[Item]],Calories[Name],Calories[Carbs])*100</f>
        <v>#N/A</v>
      </c>
      <c r="F170" s="71" t="e">
        <f>_xlfn.XLOOKUP(tbDensity[[#This Row],[Item]],Calories[Name],Calories[Fibre])*100</f>
        <v>#N/A</v>
      </c>
      <c r="G170" s="113" t="e">
        <f>(tbDensity[[#This Row],[Carb / 100g]]-tbDensity[[#This Row],[Fibre / 100g]])</f>
        <v>#N/A</v>
      </c>
      <c r="H170" s="71" t="e">
        <f>_xlfn.XLOOKUP(tbDensity[[#This Row],[Item]],Calories[Name],Calories[Sodium])* 100</f>
        <v>#N/A</v>
      </c>
      <c r="I170" s="71" t="e">
        <f>_xlfn.XLOOKUP(tbDensity[[#This Row],[Item]],Calories[Name],Calories[Protein]) * 100</f>
        <v>#N/A</v>
      </c>
      <c r="J170" s="103" t="e">
        <f>_xlfn.XLOOKUP(tbDensity[[#This Row],[Item]],Calories[Name],Calories[Chol.]) * 100</f>
        <v>#N/A</v>
      </c>
    </row>
    <row r="171" spans="2:10" s="66" customFormat="1" ht="25.15" customHeight="1">
      <c r="B171" s="78"/>
      <c r="C171" s="76" t="e">
        <f>VLOOKUP(tbDensity[[#This Row],[Item]],Calories[],2,FALSE)</f>
        <v>#N/A</v>
      </c>
      <c r="D171" s="65" t="e">
        <f>_xlfn.XLOOKUP(tbDensity[[#This Row],[Item]],Calories[Name],Calories[Cals])*100</f>
        <v>#N/A</v>
      </c>
      <c r="E171" s="71" t="e">
        <f>_xlfn.XLOOKUP(tbDensity[[#This Row],[Item]],Calories[Name],Calories[Carbs])*100</f>
        <v>#N/A</v>
      </c>
      <c r="F171" s="71" t="e">
        <f>_xlfn.XLOOKUP(tbDensity[[#This Row],[Item]],Calories[Name],Calories[Fibre])*100</f>
        <v>#N/A</v>
      </c>
      <c r="G171" s="113" t="e">
        <f>(tbDensity[[#This Row],[Carb / 100g]]-tbDensity[[#This Row],[Fibre / 100g]])</f>
        <v>#N/A</v>
      </c>
      <c r="H171" s="71" t="e">
        <f>_xlfn.XLOOKUP(tbDensity[[#This Row],[Item]],Calories[Name],Calories[Sodium])* 100</f>
        <v>#N/A</v>
      </c>
      <c r="I171" s="71" t="e">
        <f>_xlfn.XLOOKUP(tbDensity[[#This Row],[Item]],Calories[Name],Calories[Protein]) * 100</f>
        <v>#N/A</v>
      </c>
      <c r="J171" s="103" t="e">
        <f>_xlfn.XLOOKUP(tbDensity[[#This Row],[Item]],Calories[Name],Calories[Chol.]) * 100</f>
        <v>#N/A</v>
      </c>
    </row>
    <row r="172" spans="2:10" s="66" customFormat="1" ht="25.15" customHeight="1">
      <c r="B172" s="78"/>
      <c r="C172" s="76" t="e">
        <f>VLOOKUP(tbDensity[[#This Row],[Item]],Calories[],2,FALSE)</f>
        <v>#N/A</v>
      </c>
      <c r="D172" s="65" t="e">
        <f>_xlfn.XLOOKUP(tbDensity[[#This Row],[Item]],Calories[Name],Calories[Cals])*100</f>
        <v>#N/A</v>
      </c>
      <c r="E172" s="71" t="e">
        <f>_xlfn.XLOOKUP(tbDensity[[#This Row],[Item]],Calories[Name],Calories[Carbs])*100</f>
        <v>#N/A</v>
      </c>
      <c r="F172" s="71" t="e">
        <f>_xlfn.XLOOKUP(tbDensity[[#This Row],[Item]],Calories[Name],Calories[Fibre])*100</f>
        <v>#N/A</v>
      </c>
      <c r="G172" s="113" t="e">
        <f>(tbDensity[[#This Row],[Carb / 100g]]-tbDensity[[#This Row],[Fibre / 100g]])</f>
        <v>#N/A</v>
      </c>
      <c r="H172" s="71" t="e">
        <f>_xlfn.XLOOKUP(tbDensity[[#This Row],[Item]],Calories[Name],Calories[Sodium])* 100</f>
        <v>#N/A</v>
      </c>
      <c r="I172" s="71" t="e">
        <f>_xlfn.XLOOKUP(tbDensity[[#This Row],[Item]],Calories[Name],Calories[Protein]) * 100</f>
        <v>#N/A</v>
      </c>
      <c r="J172" s="103" t="e">
        <f>_xlfn.XLOOKUP(tbDensity[[#This Row],[Item]],Calories[Name],Calories[Chol.]) * 100</f>
        <v>#N/A</v>
      </c>
    </row>
    <row r="173" spans="2:10" s="66" customFormat="1" ht="25.15" customHeight="1">
      <c r="B173" s="78"/>
      <c r="C173" s="76" t="e">
        <f>VLOOKUP(tbDensity[[#This Row],[Item]],Calories[],2,FALSE)</f>
        <v>#N/A</v>
      </c>
      <c r="D173" s="65" t="e">
        <f>_xlfn.XLOOKUP(tbDensity[[#This Row],[Item]],Calories[Name],Calories[Cals])*100</f>
        <v>#N/A</v>
      </c>
      <c r="E173" s="71" t="e">
        <f>_xlfn.XLOOKUP(tbDensity[[#This Row],[Item]],Calories[Name],Calories[Carbs])*100</f>
        <v>#N/A</v>
      </c>
      <c r="F173" s="71" t="e">
        <f>_xlfn.XLOOKUP(tbDensity[[#This Row],[Item]],Calories[Name],Calories[Fibre])*100</f>
        <v>#N/A</v>
      </c>
      <c r="G173" s="113" t="e">
        <f>(tbDensity[[#This Row],[Carb / 100g]]-tbDensity[[#This Row],[Fibre / 100g]])</f>
        <v>#N/A</v>
      </c>
      <c r="H173" s="71" t="e">
        <f>_xlfn.XLOOKUP(tbDensity[[#This Row],[Item]],Calories[Name],Calories[Sodium])* 100</f>
        <v>#N/A</v>
      </c>
      <c r="I173" s="71" t="e">
        <f>_xlfn.XLOOKUP(tbDensity[[#This Row],[Item]],Calories[Name],Calories[Protein]) * 100</f>
        <v>#N/A</v>
      </c>
      <c r="J173" s="103" t="e">
        <f>_xlfn.XLOOKUP(tbDensity[[#This Row],[Item]],Calories[Name],Calories[Chol.]) * 100</f>
        <v>#N/A</v>
      </c>
    </row>
    <row r="174" spans="2:10" s="66" customFormat="1" ht="25.15" customHeight="1">
      <c r="B174" s="78"/>
      <c r="C174" s="76" t="e">
        <f>VLOOKUP(tbDensity[[#This Row],[Item]],Calories[],2,FALSE)</f>
        <v>#N/A</v>
      </c>
      <c r="D174" s="65" t="e">
        <f>_xlfn.XLOOKUP(tbDensity[[#This Row],[Item]],Calories[Name],Calories[Cals])*100</f>
        <v>#N/A</v>
      </c>
      <c r="E174" s="71" t="e">
        <f>_xlfn.XLOOKUP(tbDensity[[#This Row],[Item]],Calories[Name],Calories[Carbs])*100</f>
        <v>#N/A</v>
      </c>
      <c r="F174" s="71" t="e">
        <f>_xlfn.XLOOKUP(tbDensity[[#This Row],[Item]],Calories[Name],Calories[Fibre])*100</f>
        <v>#N/A</v>
      </c>
      <c r="G174" s="113" t="e">
        <f>(tbDensity[[#This Row],[Carb / 100g]]-tbDensity[[#This Row],[Fibre / 100g]])</f>
        <v>#N/A</v>
      </c>
      <c r="H174" s="71" t="e">
        <f>_xlfn.XLOOKUP(tbDensity[[#This Row],[Item]],Calories[Name],Calories[Sodium])* 100</f>
        <v>#N/A</v>
      </c>
      <c r="I174" s="71" t="e">
        <f>_xlfn.XLOOKUP(tbDensity[[#This Row],[Item]],Calories[Name],Calories[Protein]) * 100</f>
        <v>#N/A</v>
      </c>
      <c r="J174" s="103" t="e">
        <f>_xlfn.XLOOKUP(tbDensity[[#This Row],[Item]],Calories[Name],Calories[Chol.]) * 100</f>
        <v>#N/A</v>
      </c>
    </row>
    <row r="175" spans="2:10" s="66" customFormat="1" ht="25.15" customHeight="1">
      <c r="B175" s="78"/>
      <c r="C175" s="76" t="e">
        <f>VLOOKUP(tbDensity[[#This Row],[Item]],Calories[],2,FALSE)</f>
        <v>#N/A</v>
      </c>
      <c r="D175" s="65" t="e">
        <f>_xlfn.XLOOKUP(tbDensity[[#This Row],[Item]],Calories[Name],Calories[Cals])*100</f>
        <v>#N/A</v>
      </c>
      <c r="E175" s="71" t="e">
        <f>_xlfn.XLOOKUP(tbDensity[[#This Row],[Item]],Calories[Name],Calories[Carbs])*100</f>
        <v>#N/A</v>
      </c>
      <c r="F175" s="71" t="e">
        <f>_xlfn.XLOOKUP(tbDensity[[#This Row],[Item]],Calories[Name],Calories[Fibre])*100</f>
        <v>#N/A</v>
      </c>
      <c r="G175" s="113" t="e">
        <f>(tbDensity[[#This Row],[Carb / 100g]]-tbDensity[[#This Row],[Fibre / 100g]])</f>
        <v>#N/A</v>
      </c>
      <c r="H175" s="71" t="e">
        <f>_xlfn.XLOOKUP(tbDensity[[#This Row],[Item]],Calories[Name],Calories[Sodium])* 100</f>
        <v>#N/A</v>
      </c>
      <c r="I175" s="71" t="e">
        <f>_xlfn.XLOOKUP(tbDensity[[#This Row],[Item]],Calories[Name],Calories[Protein]) * 100</f>
        <v>#N/A</v>
      </c>
      <c r="J175" s="103" t="e">
        <f>_xlfn.XLOOKUP(tbDensity[[#This Row],[Item]],Calories[Name],Calories[Chol.]) * 100</f>
        <v>#N/A</v>
      </c>
    </row>
    <row r="176" spans="2:10" s="66" customFormat="1" ht="25.15" customHeight="1">
      <c r="B176" s="78"/>
      <c r="C176" s="76" t="e">
        <f>VLOOKUP(tbDensity[[#This Row],[Item]],Calories[],2,FALSE)</f>
        <v>#N/A</v>
      </c>
      <c r="D176" s="65" t="e">
        <f>_xlfn.XLOOKUP(tbDensity[[#This Row],[Item]],Calories[Name],Calories[Cals])*100</f>
        <v>#N/A</v>
      </c>
      <c r="E176" s="71" t="e">
        <f>_xlfn.XLOOKUP(tbDensity[[#This Row],[Item]],Calories[Name],Calories[Carbs])*100</f>
        <v>#N/A</v>
      </c>
      <c r="F176" s="71" t="e">
        <f>_xlfn.XLOOKUP(tbDensity[[#This Row],[Item]],Calories[Name],Calories[Fibre])*100</f>
        <v>#N/A</v>
      </c>
      <c r="G176" s="113" t="e">
        <f>(tbDensity[[#This Row],[Carb / 100g]]-tbDensity[[#This Row],[Fibre / 100g]])</f>
        <v>#N/A</v>
      </c>
      <c r="H176" s="71" t="e">
        <f>_xlfn.XLOOKUP(tbDensity[[#This Row],[Item]],Calories[Name],Calories[Sodium])* 100</f>
        <v>#N/A</v>
      </c>
      <c r="I176" s="71" t="e">
        <f>_xlfn.XLOOKUP(tbDensity[[#This Row],[Item]],Calories[Name],Calories[Protein]) * 100</f>
        <v>#N/A</v>
      </c>
      <c r="J176" s="103" t="e">
        <f>_xlfn.XLOOKUP(tbDensity[[#This Row],[Item]],Calories[Name],Calories[Chol.]) * 100</f>
        <v>#N/A</v>
      </c>
    </row>
    <row r="177" spans="2:10" s="66" customFormat="1" ht="25.15" customHeight="1">
      <c r="B177" s="78"/>
      <c r="C177" s="76" t="e">
        <f>VLOOKUP(tbDensity[[#This Row],[Item]],Calories[],2,FALSE)</f>
        <v>#N/A</v>
      </c>
      <c r="D177" s="65" t="e">
        <f>_xlfn.XLOOKUP(tbDensity[[#This Row],[Item]],Calories[Name],Calories[Cals])*100</f>
        <v>#N/A</v>
      </c>
      <c r="E177" s="71" t="e">
        <f>_xlfn.XLOOKUP(tbDensity[[#This Row],[Item]],Calories[Name],Calories[Carbs])*100</f>
        <v>#N/A</v>
      </c>
      <c r="F177" s="71" t="e">
        <f>_xlfn.XLOOKUP(tbDensity[[#This Row],[Item]],Calories[Name],Calories[Fibre])*100</f>
        <v>#N/A</v>
      </c>
      <c r="G177" s="113" t="e">
        <f>(tbDensity[[#This Row],[Carb / 100g]]-tbDensity[[#This Row],[Fibre / 100g]])</f>
        <v>#N/A</v>
      </c>
      <c r="H177" s="71" t="e">
        <f>_xlfn.XLOOKUP(tbDensity[[#This Row],[Item]],Calories[Name],Calories[Sodium])* 100</f>
        <v>#N/A</v>
      </c>
      <c r="I177" s="71" t="e">
        <f>_xlfn.XLOOKUP(tbDensity[[#This Row],[Item]],Calories[Name],Calories[Protein]) * 100</f>
        <v>#N/A</v>
      </c>
      <c r="J177" s="103" t="e">
        <f>_xlfn.XLOOKUP(tbDensity[[#This Row],[Item]],Calories[Name],Calories[Chol.]) * 100</f>
        <v>#N/A</v>
      </c>
    </row>
    <row r="178" spans="2:10" s="66" customFormat="1" ht="25.15" customHeight="1">
      <c r="B178" s="78"/>
      <c r="C178" s="76" t="e">
        <f>VLOOKUP(tbDensity[[#This Row],[Item]],Calories[],2,FALSE)</f>
        <v>#N/A</v>
      </c>
      <c r="D178" s="65" t="e">
        <f>_xlfn.XLOOKUP(tbDensity[[#This Row],[Item]],Calories[Name],Calories[Cals])*100</f>
        <v>#N/A</v>
      </c>
      <c r="E178" s="71" t="e">
        <f>_xlfn.XLOOKUP(tbDensity[[#This Row],[Item]],Calories[Name],Calories[Carbs])*100</f>
        <v>#N/A</v>
      </c>
      <c r="F178" s="71" t="e">
        <f>_xlfn.XLOOKUP(tbDensity[[#This Row],[Item]],Calories[Name],Calories[Fibre])*100</f>
        <v>#N/A</v>
      </c>
      <c r="G178" s="113" t="e">
        <f>(tbDensity[[#This Row],[Carb / 100g]]-tbDensity[[#This Row],[Fibre / 100g]])</f>
        <v>#N/A</v>
      </c>
      <c r="H178" s="71" t="e">
        <f>_xlfn.XLOOKUP(tbDensity[[#This Row],[Item]],Calories[Name],Calories[Sodium])* 100</f>
        <v>#N/A</v>
      </c>
      <c r="I178" s="71" t="e">
        <f>_xlfn.XLOOKUP(tbDensity[[#This Row],[Item]],Calories[Name],Calories[Protein]) * 100</f>
        <v>#N/A</v>
      </c>
      <c r="J178" s="103" t="e">
        <f>_xlfn.XLOOKUP(tbDensity[[#This Row],[Item]],Calories[Name],Calories[Chol.]) * 100</f>
        <v>#N/A</v>
      </c>
    </row>
    <row r="179" spans="2:10" s="66" customFormat="1" ht="25.15" customHeight="1">
      <c r="B179" s="78"/>
      <c r="C179" s="76" t="e">
        <f>VLOOKUP(tbDensity[[#This Row],[Item]],Calories[],2,FALSE)</f>
        <v>#N/A</v>
      </c>
      <c r="D179" s="65" t="e">
        <f>_xlfn.XLOOKUP(tbDensity[[#This Row],[Item]],Calories[Name],Calories[Cals])*100</f>
        <v>#N/A</v>
      </c>
      <c r="E179" s="71" t="e">
        <f>_xlfn.XLOOKUP(tbDensity[[#This Row],[Item]],Calories[Name],Calories[Carbs])*100</f>
        <v>#N/A</v>
      </c>
      <c r="F179" s="71" t="e">
        <f>_xlfn.XLOOKUP(tbDensity[[#This Row],[Item]],Calories[Name],Calories[Fibre])*100</f>
        <v>#N/A</v>
      </c>
      <c r="G179" s="113" t="e">
        <f>(tbDensity[[#This Row],[Carb / 100g]]-tbDensity[[#This Row],[Fibre / 100g]])</f>
        <v>#N/A</v>
      </c>
      <c r="H179" s="71" t="e">
        <f>_xlfn.XLOOKUP(tbDensity[[#This Row],[Item]],Calories[Name],Calories[Sodium])* 100</f>
        <v>#N/A</v>
      </c>
      <c r="I179" s="71" t="e">
        <f>_xlfn.XLOOKUP(tbDensity[[#This Row],[Item]],Calories[Name],Calories[Protein]) * 100</f>
        <v>#N/A</v>
      </c>
      <c r="J179" s="103" t="e">
        <f>_xlfn.XLOOKUP(tbDensity[[#This Row],[Item]],Calories[Name],Calories[Chol.]) * 100</f>
        <v>#N/A</v>
      </c>
    </row>
    <row r="180" spans="2:10" s="66" customFormat="1" ht="25.15" customHeight="1">
      <c r="B180" s="78"/>
      <c r="C180" s="76" t="e">
        <f>VLOOKUP(tbDensity[[#This Row],[Item]],Calories[],2,FALSE)</f>
        <v>#N/A</v>
      </c>
      <c r="D180" s="65" t="e">
        <f>_xlfn.XLOOKUP(tbDensity[[#This Row],[Item]],Calories[Name],Calories[Cals])*100</f>
        <v>#N/A</v>
      </c>
      <c r="E180" s="71" t="e">
        <f>_xlfn.XLOOKUP(tbDensity[[#This Row],[Item]],Calories[Name],Calories[Carbs])*100</f>
        <v>#N/A</v>
      </c>
      <c r="F180" s="71" t="e">
        <f>_xlfn.XLOOKUP(tbDensity[[#This Row],[Item]],Calories[Name],Calories[Fibre])*100</f>
        <v>#N/A</v>
      </c>
      <c r="G180" s="113" t="e">
        <f>(tbDensity[[#This Row],[Carb / 100g]]-tbDensity[[#This Row],[Fibre / 100g]])</f>
        <v>#N/A</v>
      </c>
      <c r="H180" s="71" t="e">
        <f>_xlfn.XLOOKUP(tbDensity[[#This Row],[Item]],Calories[Name],Calories[Sodium])* 100</f>
        <v>#N/A</v>
      </c>
      <c r="I180" s="71" t="e">
        <f>_xlfn.XLOOKUP(tbDensity[[#This Row],[Item]],Calories[Name],Calories[Protein]) * 100</f>
        <v>#N/A</v>
      </c>
      <c r="J180" s="103" t="e">
        <f>_xlfn.XLOOKUP(tbDensity[[#This Row],[Item]],Calories[Name],Calories[Chol.]) * 100</f>
        <v>#N/A</v>
      </c>
    </row>
    <row r="181" spans="2:10" s="66" customFormat="1" ht="25.15" customHeight="1">
      <c r="B181" s="78"/>
      <c r="C181" s="76" t="e">
        <f>VLOOKUP(tbDensity[[#This Row],[Item]],Calories[],2,FALSE)</f>
        <v>#N/A</v>
      </c>
      <c r="D181" s="65" t="e">
        <f>_xlfn.XLOOKUP(tbDensity[[#This Row],[Item]],Calories[Name],Calories[Cals])*100</f>
        <v>#N/A</v>
      </c>
      <c r="E181" s="71" t="e">
        <f>_xlfn.XLOOKUP(tbDensity[[#This Row],[Item]],Calories[Name],Calories[Carbs])*100</f>
        <v>#N/A</v>
      </c>
      <c r="F181" s="71" t="e">
        <f>_xlfn.XLOOKUP(tbDensity[[#This Row],[Item]],Calories[Name],Calories[Fibre])*100</f>
        <v>#N/A</v>
      </c>
      <c r="G181" s="113" t="e">
        <f>(tbDensity[[#This Row],[Carb / 100g]]-tbDensity[[#This Row],[Fibre / 100g]])</f>
        <v>#N/A</v>
      </c>
      <c r="H181" s="71" t="e">
        <f>_xlfn.XLOOKUP(tbDensity[[#This Row],[Item]],Calories[Name],Calories[Sodium])* 100</f>
        <v>#N/A</v>
      </c>
      <c r="I181" s="71" t="e">
        <f>_xlfn.XLOOKUP(tbDensity[[#This Row],[Item]],Calories[Name],Calories[Protein]) * 100</f>
        <v>#N/A</v>
      </c>
      <c r="J181" s="103" t="e">
        <f>_xlfn.XLOOKUP(tbDensity[[#This Row],[Item]],Calories[Name],Calories[Chol.]) * 100</f>
        <v>#N/A</v>
      </c>
    </row>
    <row r="182" spans="2:10" s="66" customFormat="1" ht="25.15" customHeight="1">
      <c r="B182" s="78"/>
      <c r="C182" s="76" t="e">
        <f>VLOOKUP(tbDensity[[#This Row],[Item]],Calories[],2,FALSE)</f>
        <v>#N/A</v>
      </c>
      <c r="D182" s="65" t="e">
        <f>_xlfn.XLOOKUP(tbDensity[[#This Row],[Item]],Calories[Name],Calories[Cals])*100</f>
        <v>#N/A</v>
      </c>
      <c r="E182" s="71" t="e">
        <f>_xlfn.XLOOKUP(tbDensity[[#This Row],[Item]],Calories[Name],Calories[Carbs])*100</f>
        <v>#N/A</v>
      </c>
      <c r="F182" s="71" t="e">
        <f>_xlfn.XLOOKUP(tbDensity[[#This Row],[Item]],Calories[Name],Calories[Fibre])*100</f>
        <v>#N/A</v>
      </c>
      <c r="G182" s="113" t="e">
        <f>(tbDensity[[#This Row],[Carb / 100g]]-tbDensity[[#This Row],[Fibre / 100g]])</f>
        <v>#N/A</v>
      </c>
      <c r="H182" s="71" t="e">
        <f>_xlfn.XLOOKUP(tbDensity[[#This Row],[Item]],Calories[Name],Calories[Sodium])* 100</f>
        <v>#N/A</v>
      </c>
      <c r="I182" s="71" t="e">
        <f>_xlfn.XLOOKUP(tbDensity[[#This Row],[Item]],Calories[Name],Calories[Protein]) * 100</f>
        <v>#N/A</v>
      </c>
      <c r="J182" s="103" t="e">
        <f>_xlfn.XLOOKUP(tbDensity[[#This Row],[Item]],Calories[Name],Calories[Chol.]) * 100</f>
        <v>#N/A</v>
      </c>
    </row>
    <row r="183" spans="2:10" s="66" customFormat="1" ht="25.15" customHeight="1">
      <c r="B183" s="78"/>
      <c r="C183" s="76" t="e">
        <f>VLOOKUP(tbDensity[[#This Row],[Item]],Calories[],2,FALSE)</f>
        <v>#N/A</v>
      </c>
      <c r="D183" s="65" t="e">
        <f>_xlfn.XLOOKUP(tbDensity[[#This Row],[Item]],Calories[Name],Calories[Cals])*100</f>
        <v>#N/A</v>
      </c>
      <c r="E183" s="71" t="e">
        <f>_xlfn.XLOOKUP(tbDensity[[#This Row],[Item]],Calories[Name],Calories[Carbs])*100</f>
        <v>#N/A</v>
      </c>
      <c r="F183" s="71" t="e">
        <f>_xlfn.XLOOKUP(tbDensity[[#This Row],[Item]],Calories[Name],Calories[Fibre])*100</f>
        <v>#N/A</v>
      </c>
      <c r="G183" s="113" t="e">
        <f>(tbDensity[[#This Row],[Carb / 100g]]-tbDensity[[#This Row],[Fibre / 100g]])</f>
        <v>#N/A</v>
      </c>
      <c r="H183" s="71" t="e">
        <f>_xlfn.XLOOKUP(tbDensity[[#This Row],[Item]],Calories[Name],Calories[Sodium])* 100</f>
        <v>#N/A</v>
      </c>
      <c r="I183" s="71" t="e">
        <f>_xlfn.XLOOKUP(tbDensity[[#This Row],[Item]],Calories[Name],Calories[Protein]) * 100</f>
        <v>#N/A</v>
      </c>
      <c r="J183" s="103" t="e">
        <f>_xlfn.XLOOKUP(tbDensity[[#This Row],[Item]],Calories[Name],Calories[Chol.]) * 100</f>
        <v>#N/A</v>
      </c>
    </row>
    <row r="184" spans="2:10" s="66" customFormat="1" ht="25.15" customHeight="1">
      <c r="B184" s="78"/>
      <c r="C184" s="76" t="e">
        <f>VLOOKUP(tbDensity[[#This Row],[Item]],Calories[],2,FALSE)</f>
        <v>#N/A</v>
      </c>
      <c r="D184" s="65" t="e">
        <f>_xlfn.XLOOKUP(tbDensity[[#This Row],[Item]],Calories[Name],Calories[Cals])*100</f>
        <v>#N/A</v>
      </c>
      <c r="E184" s="71" t="e">
        <f>_xlfn.XLOOKUP(tbDensity[[#This Row],[Item]],Calories[Name],Calories[Carbs])*100</f>
        <v>#N/A</v>
      </c>
      <c r="F184" s="71" t="e">
        <f>_xlfn.XLOOKUP(tbDensity[[#This Row],[Item]],Calories[Name],Calories[Fibre])*100</f>
        <v>#N/A</v>
      </c>
      <c r="G184" s="113" t="e">
        <f>(tbDensity[[#This Row],[Carb / 100g]]-tbDensity[[#This Row],[Fibre / 100g]])</f>
        <v>#N/A</v>
      </c>
      <c r="H184" s="71" t="e">
        <f>_xlfn.XLOOKUP(tbDensity[[#This Row],[Item]],Calories[Name],Calories[Sodium])* 100</f>
        <v>#N/A</v>
      </c>
      <c r="I184" s="71" t="e">
        <f>_xlfn.XLOOKUP(tbDensity[[#This Row],[Item]],Calories[Name],Calories[Protein]) * 100</f>
        <v>#N/A</v>
      </c>
      <c r="J184" s="103" t="e">
        <f>_xlfn.XLOOKUP(tbDensity[[#This Row],[Item]],Calories[Name],Calories[Chol.]) * 100</f>
        <v>#N/A</v>
      </c>
    </row>
    <row r="185" spans="2:10" s="66" customFormat="1" ht="25.15" customHeight="1">
      <c r="B185" s="78"/>
      <c r="C185" s="76" t="e">
        <f>VLOOKUP(tbDensity[[#This Row],[Item]],Calories[],2,FALSE)</f>
        <v>#N/A</v>
      </c>
      <c r="D185" s="65" t="e">
        <f>_xlfn.XLOOKUP(tbDensity[[#This Row],[Item]],Calories[Name],Calories[Cals])*100</f>
        <v>#N/A</v>
      </c>
      <c r="E185" s="71" t="e">
        <f>_xlfn.XLOOKUP(tbDensity[[#This Row],[Item]],Calories[Name],Calories[Carbs])*100</f>
        <v>#N/A</v>
      </c>
      <c r="F185" s="71" t="e">
        <f>_xlfn.XLOOKUP(tbDensity[[#This Row],[Item]],Calories[Name],Calories[Fibre])*100</f>
        <v>#N/A</v>
      </c>
      <c r="G185" s="113" t="e">
        <f>(tbDensity[[#This Row],[Carb / 100g]]-tbDensity[[#This Row],[Fibre / 100g]])</f>
        <v>#N/A</v>
      </c>
      <c r="H185" s="71" t="e">
        <f>_xlfn.XLOOKUP(tbDensity[[#This Row],[Item]],Calories[Name],Calories[Sodium])* 100</f>
        <v>#N/A</v>
      </c>
      <c r="I185" s="71" t="e">
        <f>_xlfn.XLOOKUP(tbDensity[[#This Row],[Item]],Calories[Name],Calories[Protein]) * 100</f>
        <v>#N/A</v>
      </c>
      <c r="J185" s="103" t="e">
        <f>_xlfn.XLOOKUP(tbDensity[[#This Row],[Item]],Calories[Name],Calories[Chol.]) * 100</f>
        <v>#N/A</v>
      </c>
    </row>
    <row r="186" spans="2:10" s="66" customFormat="1" ht="25.15" customHeight="1">
      <c r="B186" s="78"/>
      <c r="C186" s="76" t="e">
        <f>VLOOKUP(tbDensity[[#This Row],[Item]],Calories[],2,FALSE)</f>
        <v>#N/A</v>
      </c>
      <c r="D186" s="65" t="e">
        <f>_xlfn.XLOOKUP(tbDensity[[#This Row],[Item]],Calories[Name],Calories[Cals])*100</f>
        <v>#N/A</v>
      </c>
      <c r="E186" s="71" t="e">
        <f>_xlfn.XLOOKUP(tbDensity[[#This Row],[Item]],Calories[Name],Calories[Carbs])*100</f>
        <v>#N/A</v>
      </c>
      <c r="F186" s="71" t="e">
        <f>_xlfn.XLOOKUP(tbDensity[[#This Row],[Item]],Calories[Name],Calories[Fibre])*100</f>
        <v>#N/A</v>
      </c>
      <c r="G186" s="113" t="e">
        <f>(tbDensity[[#This Row],[Carb / 100g]]-tbDensity[[#This Row],[Fibre / 100g]])</f>
        <v>#N/A</v>
      </c>
      <c r="H186" s="71" t="e">
        <f>_xlfn.XLOOKUP(tbDensity[[#This Row],[Item]],Calories[Name],Calories[Sodium])* 100</f>
        <v>#N/A</v>
      </c>
      <c r="I186" s="71" t="e">
        <f>_xlfn.XLOOKUP(tbDensity[[#This Row],[Item]],Calories[Name],Calories[Protein]) * 100</f>
        <v>#N/A</v>
      </c>
      <c r="J186" s="103" t="e">
        <f>_xlfn.XLOOKUP(tbDensity[[#This Row],[Item]],Calories[Name],Calories[Chol.]) * 100</f>
        <v>#N/A</v>
      </c>
    </row>
    <row r="187" spans="2:10" s="66" customFormat="1" ht="25.15" customHeight="1">
      <c r="B187" s="78"/>
      <c r="C187" s="76" t="e">
        <f>VLOOKUP(tbDensity[[#This Row],[Item]],Calories[],2,FALSE)</f>
        <v>#N/A</v>
      </c>
      <c r="D187" s="65" t="e">
        <f>_xlfn.XLOOKUP(tbDensity[[#This Row],[Item]],Calories[Name],Calories[Cals])*100</f>
        <v>#N/A</v>
      </c>
      <c r="E187" s="71" t="e">
        <f>_xlfn.XLOOKUP(tbDensity[[#This Row],[Item]],Calories[Name],Calories[Carbs])*100</f>
        <v>#N/A</v>
      </c>
      <c r="F187" s="71" t="e">
        <f>_xlfn.XLOOKUP(tbDensity[[#This Row],[Item]],Calories[Name],Calories[Fibre])*100</f>
        <v>#N/A</v>
      </c>
      <c r="G187" s="113" t="e">
        <f>(tbDensity[[#This Row],[Carb / 100g]]-tbDensity[[#This Row],[Fibre / 100g]])</f>
        <v>#N/A</v>
      </c>
      <c r="H187" s="71" t="e">
        <f>_xlfn.XLOOKUP(tbDensity[[#This Row],[Item]],Calories[Name],Calories[Sodium])* 100</f>
        <v>#N/A</v>
      </c>
      <c r="I187" s="71" t="e">
        <f>_xlfn.XLOOKUP(tbDensity[[#This Row],[Item]],Calories[Name],Calories[Protein]) * 100</f>
        <v>#N/A</v>
      </c>
      <c r="J187" s="103" t="e">
        <f>_xlfn.XLOOKUP(tbDensity[[#This Row],[Item]],Calories[Name],Calories[Chol.]) * 100</f>
        <v>#N/A</v>
      </c>
    </row>
    <row r="188" spans="2:10" s="66" customFormat="1" ht="25.15" customHeight="1">
      <c r="B188" s="78"/>
      <c r="C188" s="76" t="e">
        <f>VLOOKUP(tbDensity[[#This Row],[Item]],Calories[],2,FALSE)</f>
        <v>#N/A</v>
      </c>
      <c r="D188" s="65" t="e">
        <f>_xlfn.XLOOKUP(tbDensity[[#This Row],[Item]],Calories[Name],Calories[Cals])*100</f>
        <v>#N/A</v>
      </c>
      <c r="E188" s="71" t="e">
        <f>_xlfn.XLOOKUP(tbDensity[[#This Row],[Item]],Calories[Name],Calories[Carbs])*100</f>
        <v>#N/A</v>
      </c>
      <c r="F188" s="71" t="e">
        <f>_xlfn.XLOOKUP(tbDensity[[#This Row],[Item]],Calories[Name],Calories[Fibre])*100</f>
        <v>#N/A</v>
      </c>
      <c r="G188" s="113" t="e">
        <f>(tbDensity[[#This Row],[Carb / 100g]]-tbDensity[[#This Row],[Fibre / 100g]])</f>
        <v>#N/A</v>
      </c>
      <c r="H188" s="71" t="e">
        <f>_xlfn.XLOOKUP(tbDensity[[#This Row],[Item]],Calories[Name],Calories[Sodium])* 100</f>
        <v>#N/A</v>
      </c>
      <c r="I188" s="71" t="e">
        <f>_xlfn.XLOOKUP(tbDensity[[#This Row],[Item]],Calories[Name],Calories[Protein]) * 100</f>
        <v>#N/A</v>
      </c>
      <c r="J188" s="103" t="e">
        <f>_xlfn.XLOOKUP(tbDensity[[#This Row],[Item]],Calories[Name],Calories[Chol.]) * 100</f>
        <v>#N/A</v>
      </c>
    </row>
    <row r="189" spans="2:10" s="66" customFormat="1" ht="25.15" customHeight="1">
      <c r="B189" s="78"/>
      <c r="C189" s="76" t="e">
        <f>VLOOKUP(tbDensity[[#This Row],[Item]],Calories[],2,FALSE)</f>
        <v>#N/A</v>
      </c>
      <c r="D189" s="65" t="e">
        <f>_xlfn.XLOOKUP(tbDensity[[#This Row],[Item]],Calories[Name],Calories[Cals])*100</f>
        <v>#N/A</v>
      </c>
      <c r="E189" s="71" t="e">
        <f>_xlfn.XLOOKUP(tbDensity[[#This Row],[Item]],Calories[Name],Calories[Carbs])*100</f>
        <v>#N/A</v>
      </c>
      <c r="F189" s="71" t="e">
        <f>_xlfn.XLOOKUP(tbDensity[[#This Row],[Item]],Calories[Name],Calories[Fibre])*100</f>
        <v>#N/A</v>
      </c>
      <c r="G189" s="113" t="e">
        <f>(tbDensity[[#This Row],[Carb / 100g]]-tbDensity[[#This Row],[Fibre / 100g]])</f>
        <v>#N/A</v>
      </c>
      <c r="H189" s="71" t="e">
        <f>_xlfn.XLOOKUP(tbDensity[[#This Row],[Item]],Calories[Name],Calories[Sodium])* 100</f>
        <v>#N/A</v>
      </c>
      <c r="I189" s="71" t="e">
        <f>_xlfn.XLOOKUP(tbDensity[[#This Row],[Item]],Calories[Name],Calories[Protein]) * 100</f>
        <v>#N/A</v>
      </c>
      <c r="J189" s="103" t="e">
        <f>_xlfn.XLOOKUP(tbDensity[[#This Row],[Item]],Calories[Name],Calories[Chol.]) * 100</f>
        <v>#N/A</v>
      </c>
    </row>
    <row r="190" spans="2:10" s="66" customFormat="1" ht="25.15" customHeight="1">
      <c r="B190" s="78"/>
      <c r="C190" s="76" t="e">
        <f>VLOOKUP(tbDensity[[#This Row],[Item]],Calories[],2,FALSE)</f>
        <v>#N/A</v>
      </c>
      <c r="D190" s="65" t="e">
        <f>_xlfn.XLOOKUP(tbDensity[[#This Row],[Item]],Calories[Name],Calories[Cals])*100</f>
        <v>#N/A</v>
      </c>
      <c r="E190" s="71" t="e">
        <f>_xlfn.XLOOKUP(tbDensity[[#This Row],[Item]],Calories[Name],Calories[Carbs])*100</f>
        <v>#N/A</v>
      </c>
      <c r="F190" s="71" t="e">
        <f>_xlfn.XLOOKUP(tbDensity[[#This Row],[Item]],Calories[Name],Calories[Fibre])*100</f>
        <v>#N/A</v>
      </c>
      <c r="G190" s="113" t="e">
        <f>(tbDensity[[#This Row],[Carb / 100g]]-tbDensity[[#This Row],[Fibre / 100g]])</f>
        <v>#N/A</v>
      </c>
      <c r="H190" s="71" t="e">
        <f>_xlfn.XLOOKUP(tbDensity[[#This Row],[Item]],Calories[Name],Calories[Sodium])* 100</f>
        <v>#N/A</v>
      </c>
      <c r="I190" s="71" t="e">
        <f>_xlfn.XLOOKUP(tbDensity[[#This Row],[Item]],Calories[Name],Calories[Protein]) * 100</f>
        <v>#N/A</v>
      </c>
      <c r="J190" s="103" t="e">
        <f>_xlfn.XLOOKUP(tbDensity[[#This Row],[Item]],Calories[Name],Calories[Chol.]) * 100</f>
        <v>#N/A</v>
      </c>
    </row>
    <row r="191" spans="2:10" s="66" customFormat="1" ht="25.15" customHeight="1">
      <c r="B191" s="78"/>
      <c r="C191" s="76" t="e">
        <f>VLOOKUP(tbDensity[[#This Row],[Item]],Calories[],2,FALSE)</f>
        <v>#N/A</v>
      </c>
      <c r="D191" s="65" t="e">
        <f>_xlfn.XLOOKUP(tbDensity[[#This Row],[Item]],Calories[Name],Calories[Cals])*100</f>
        <v>#N/A</v>
      </c>
      <c r="E191" s="71" t="e">
        <f>_xlfn.XLOOKUP(tbDensity[[#This Row],[Item]],Calories[Name],Calories[Carbs])*100</f>
        <v>#N/A</v>
      </c>
      <c r="F191" s="71" t="e">
        <f>_xlfn.XLOOKUP(tbDensity[[#This Row],[Item]],Calories[Name],Calories[Fibre])*100</f>
        <v>#N/A</v>
      </c>
      <c r="G191" s="113" t="e">
        <f>(tbDensity[[#This Row],[Carb / 100g]]-tbDensity[[#This Row],[Fibre / 100g]])</f>
        <v>#N/A</v>
      </c>
      <c r="H191" s="71" t="e">
        <f>_xlfn.XLOOKUP(tbDensity[[#This Row],[Item]],Calories[Name],Calories[Sodium])* 100</f>
        <v>#N/A</v>
      </c>
      <c r="I191" s="71" t="e">
        <f>_xlfn.XLOOKUP(tbDensity[[#This Row],[Item]],Calories[Name],Calories[Protein]) * 100</f>
        <v>#N/A</v>
      </c>
      <c r="J191" s="103" t="e">
        <f>_xlfn.XLOOKUP(tbDensity[[#This Row],[Item]],Calories[Name],Calories[Chol.]) * 100</f>
        <v>#N/A</v>
      </c>
    </row>
    <row r="192" spans="2:10" s="66" customFormat="1" ht="25.15" customHeight="1">
      <c r="B192" s="78"/>
      <c r="C192" s="76" t="e">
        <f>VLOOKUP(tbDensity[[#This Row],[Item]],Calories[],2,FALSE)</f>
        <v>#N/A</v>
      </c>
      <c r="D192" s="65" t="e">
        <f>_xlfn.XLOOKUP(tbDensity[[#This Row],[Item]],Calories[Name],Calories[Cals])*100</f>
        <v>#N/A</v>
      </c>
      <c r="E192" s="71" t="e">
        <f>_xlfn.XLOOKUP(tbDensity[[#This Row],[Item]],Calories[Name],Calories[Carbs])*100</f>
        <v>#N/A</v>
      </c>
      <c r="F192" s="71" t="e">
        <f>_xlfn.XLOOKUP(tbDensity[[#This Row],[Item]],Calories[Name],Calories[Fibre])*100</f>
        <v>#N/A</v>
      </c>
      <c r="G192" s="113" t="e">
        <f>(tbDensity[[#This Row],[Carb / 100g]]-tbDensity[[#This Row],[Fibre / 100g]])</f>
        <v>#N/A</v>
      </c>
      <c r="H192" s="71" t="e">
        <f>_xlfn.XLOOKUP(tbDensity[[#This Row],[Item]],Calories[Name],Calories[Sodium])* 100</f>
        <v>#N/A</v>
      </c>
      <c r="I192" s="71" t="e">
        <f>_xlfn.XLOOKUP(tbDensity[[#This Row],[Item]],Calories[Name],Calories[Protein]) * 100</f>
        <v>#N/A</v>
      </c>
      <c r="J192" s="103" t="e">
        <f>_xlfn.XLOOKUP(tbDensity[[#This Row],[Item]],Calories[Name],Calories[Chol.]) * 100</f>
        <v>#N/A</v>
      </c>
    </row>
    <row r="193" spans="2:10" s="66" customFormat="1" ht="25.15" customHeight="1">
      <c r="B193" s="78"/>
      <c r="C193" s="76" t="e">
        <f>VLOOKUP(tbDensity[[#This Row],[Item]],Calories[],2,FALSE)</f>
        <v>#N/A</v>
      </c>
      <c r="D193" s="65" t="e">
        <f>_xlfn.XLOOKUP(tbDensity[[#This Row],[Item]],Calories[Name],Calories[Cals])*100</f>
        <v>#N/A</v>
      </c>
      <c r="E193" s="71" t="e">
        <f>_xlfn.XLOOKUP(tbDensity[[#This Row],[Item]],Calories[Name],Calories[Carbs])*100</f>
        <v>#N/A</v>
      </c>
      <c r="F193" s="71" t="e">
        <f>_xlfn.XLOOKUP(tbDensity[[#This Row],[Item]],Calories[Name],Calories[Fibre])*100</f>
        <v>#N/A</v>
      </c>
      <c r="G193" s="113" t="e">
        <f>(tbDensity[[#This Row],[Carb / 100g]]-tbDensity[[#This Row],[Fibre / 100g]])</f>
        <v>#N/A</v>
      </c>
      <c r="H193" s="71" t="e">
        <f>_xlfn.XLOOKUP(tbDensity[[#This Row],[Item]],Calories[Name],Calories[Sodium])* 100</f>
        <v>#N/A</v>
      </c>
      <c r="I193" s="71" t="e">
        <f>_xlfn.XLOOKUP(tbDensity[[#This Row],[Item]],Calories[Name],Calories[Protein]) * 100</f>
        <v>#N/A</v>
      </c>
      <c r="J193" s="103" t="e">
        <f>_xlfn.XLOOKUP(tbDensity[[#This Row],[Item]],Calories[Name],Calories[Chol.]) * 100</f>
        <v>#N/A</v>
      </c>
    </row>
    <row r="194" spans="2:10" s="66" customFormat="1" ht="25.15" customHeight="1">
      <c r="B194" s="78"/>
      <c r="C194" s="76" t="e">
        <f>VLOOKUP(tbDensity[[#This Row],[Item]],Calories[],2,FALSE)</f>
        <v>#N/A</v>
      </c>
      <c r="D194" s="65" t="e">
        <f>_xlfn.XLOOKUP(tbDensity[[#This Row],[Item]],Calories[Name],Calories[Cals])*100</f>
        <v>#N/A</v>
      </c>
      <c r="E194" s="71" t="e">
        <f>_xlfn.XLOOKUP(tbDensity[[#This Row],[Item]],Calories[Name],Calories[Carbs])*100</f>
        <v>#N/A</v>
      </c>
      <c r="F194" s="71" t="e">
        <f>_xlfn.XLOOKUP(tbDensity[[#This Row],[Item]],Calories[Name],Calories[Fibre])*100</f>
        <v>#N/A</v>
      </c>
      <c r="G194" s="113" t="e">
        <f>(tbDensity[[#This Row],[Carb / 100g]]-tbDensity[[#This Row],[Fibre / 100g]])</f>
        <v>#N/A</v>
      </c>
      <c r="H194" s="71" t="e">
        <f>_xlfn.XLOOKUP(tbDensity[[#This Row],[Item]],Calories[Name],Calories[Sodium])* 100</f>
        <v>#N/A</v>
      </c>
      <c r="I194" s="71" t="e">
        <f>_xlfn.XLOOKUP(tbDensity[[#This Row],[Item]],Calories[Name],Calories[Protein]) * 100</f>
        <v>#N/A</v>
      </c>
      <c r="J194" s="103" t="e">
        <f>_xlfn.XLOOKUP(tbDensity[[#This Row],[Item]],Calories[Name],Calories[Chol.]) * 100</f>
        <v>#N/A</v>
      </c>
    </row>
    <row r="195" spans="2:10" s="66" customFormat="1" ht="25.15" customHeight="1">
      <c r="B195" s="78"/>
      <c r="C195" s="76" t="e">
        <f>VLOOKUP(tbDensity[[#This Row],[Item]],Calories[],2,FALSE)</f>
        <v>#N/A</v>
      </c>
      <c r="D195" s="65" t="e">
        <f>_xlfn.XLOOKUP(tbDensity[[#This Row],[Item]],Calories[Name],Calories[Cals])*100</f>
        <v>#N/A</v>
      </c>
      <c r="E195" s="71" t="e">
        <f>_xlfn.XLOOKUP(tbDensity[[#This Row],[Item]],Calories[Name],Calories[Carbs])*100</f>
        <v>#N/A</v>
      </c>
      <c r="F195" s="71" t="e">
        <f>_xlfn.XLOOKUP(tbDensity[[#This Row],[Item]],Calories[Name],Calories[Fibre])*100</f>
        <v>#N/A</v>
      </c>
      <c r="G195" s="113" t="e">
        <f>(tbDensity[[#This Row],[Carb / 100g]]-tbDensity[[#This Row],[Fibre / 100g]])</f>
        <v>#N/A</v>
      </c>
      <c r="H195" s="71" t="e">
        <f>_xlfn.XLOOKUP(tbDensity[[#This Row],[Item]],Calories[Name],Calories[Sodium])* 100</f>
        <v>#N/A</v>
      </c>
      <c r="I195" s="71" t="e">
        <f>_xlfn.XLOOKUP(tbDensity[[#This Row],[Item]],Calories[Name],Calories[Protein]) * 100</f>
        <v>#N/A</v>
      </c>
      <c r="J195" s="103" t="e">
        <f>_xlfn.XLOOKUP(tbDensity[[#This Row],[Item]],Calories[Name],Calories[Chol.]) * 100</f>
        <v>#N/A</v>
      </c>
    </row>
    <row r="196" spans="2:10" s="66" customFormat="1" ht="25.15" customHeight="1">
      <c r="B196" s="78"/>
      <c r="C196" s="76" t="e">
        <f>VLOOKUP(tbDensity[[#This Row],[Item]],Calories[],2,FALSE)</f>
        <v>#N/A</v>
      </c>
      <c r="D196" s="65" t="e">
        <f>_xlfn.XLOOKUP(tbDensity[[#This Row],[Item]],Calories[Name],Calories[Cals])*100</f>
        <v>#N/A</v>
      </c>
      <c r="E196" s="71" t="e">
        <f>_xlfn.XLOOKUP(tbDensity[[#This Row],[Item]],Calories[Name],Calories[Carbs])*100</f>
        <v>#N/A</v>
      </c>
      <c r="F196" s="71" t="e">
        <f>_xlfn.XLOOKUP(tbDensity[[#This Row],[Item]],Calories[Name],Calories[Fibre])*100</f>
        <v>#N/A</v>
      </c>
      <c r="G196" s="113" t="e">
        <f>(tbDensity[[#This Row],[Carb / 100g]]-tbDensity[[#This Row],[Fibre / 100g]])</f>
        <v>#N/A</v>
      </c>
      <c r="H196" s="71" t="e">
        <f>_xlfn.XLOOKUP(tbDensity[[#This Row],[Item]],Calories[Name],Calories[Sodium])* 100</f>
        <v>#N/A</v>
      </c>
      <c r="I196" s="71" t="e">
        <f>_xlfn.XLOOKUP(tbDensity[[#This Row],[Item]],Calories[Name],Calories[Protein]) * 100</f>
        <v>#N/A</v>
      </c>
      <c r="J196" s="103" t="e">
        <f>_xlfn.XLOOKUP(tbDensity[[#This Row],[Item]],Calories[Name],Calories[Chol.]) * 100</f>
        <v>#N/A</v>
      </c>
    </row>
    <row r="197" spans="2:10" s="66" customFormat="1" ht="25.15" customHeight="1">
      <c r="B197" s="78"/>
      <c r="C197" s="76" t="e">
        <f>VLOOKUP(tbDensity[[#This Row],[Item]],Calories[],2,FALSE)</f>
        <v>#N/A</v>
      </c>
      <c r="D197" s="65" t="e">
        <f>_xlfn.XLOOKUP(tbDensity[[#This Row],[Item]],Calories[Name],Calories[Cals])*100</f>
        <v>#N/A</v>
      </c>
      <c r="E197" s="71" t="e">
        <f>_xlfn.XLOOKUP(tbDensity[[#This Row],[Item]],Calories[Name],Calories[Carbs])*100</f>
        <v>#N/A</v>
      </c>
      <c r="F197" s="71" t="e">
        <f>_xlfn.XLOOKUP(tbDensity[[#This Row],[Item]],Calories[Name],Calories[Fibre])*100</f>
        <v>#N/A</v>
      </c>
      <c r="G197" s="113" t="e">
        <f>(tbDensity[[#This Row],[Carb / 100g]]-tbDensity[[#This Row],[Fibre / 100g]])</f>
        <v>#N/A</v>
      </c>
      <c r="H197" s="71" t="e">
        <f>_xlfn.XLOOKUP(tbDensity[[#This Row],[Item]],Calories[Name],Calories[Sodium])* 100</f>
        <v>#N/A</v>
      </c>
      <c r="I197" s="71" t="e">
        <f>_xlfn.XLOOKUP(tbDensity[[#This Row],[Item]],Calories[Name],Calories[Protein]) * 100</f>
        <v>#N/A</v>
      </c>
      <c r="J197" s="103" t="e">
        <f>_xlfn.XLOOKUP(tbDensity[[#This Row],[Item]],Calories[Name],Calories[Chol.]) * 100</f>
        <v>#N/A</v>
      </c>
    </row>
    <row r="198" spans="2:10" s="66" customFormat="1" ht="25.15" customHeight="1">
      <c r="B198" s="78"/>
      <c r="C198" s="76" t="e">
        <f>VLOOKUP(tbDensity[[#This Row],[Item]],Calories[],2,FALSE)</f>
        <v>#N/A</v>
      </c>
      <c r="D198" s="65" t="e">
        <f>_xlfn.XLOOKUP(tbDensity[[#This Row],[Item]],Calories[Name],Calories[Cals])*100</f>
        <v>#N/A</v>
      </c>
      <c r="E198" s="71" t="e">
        <f>_xlfn.XLOOKUP(tbDensity[[#This Row],[Item]],Calories[Name],Calories[Carbs])*100</f>
        <v>#N/A</v>
      </c>
      <c r="F198" s="71" t="e">
        <f>_xlfn.XLOOKUP(tbDensity[[#This Row],[Item]],Calories[Name],Calories[Fibre])*100</f>
        <v>#N/A</v>
      </c>
      <c r="G198" s="113" t="e">
        <f>(tbDensity[[#This Row],[Carb / 100g]]-tbDensity[[#This Row],[Fibre / 100g]])</f>
        <v>#N/A</v>
      </c>
      <c r="H198" s="71" t="e">
        <f>_xlfn.XLOOKUP(tbDensity[[#This Row],[Item]],Calories[Name],Calories[Sodium])* 100</f>
        <v>#N/A</v>
      </c>
      <c r="I198" s="71" t="e">
        <f>_xlfn.XLOOKUP(tbDensity[[#This Row],[Item]],Calories[Name],Calories[Protein]) * 100</f>
        <v>#N/A</v>
      </c>
      <c r="J198" s="103" t="e">
        <f>_xlfn.XLOOKUP(tbDensity[[#This Row],[Item]],Calories[Name],Calories[Chol.]) * 100</f>
        <v>#N/A</v>
      </c>
    </row>
    <row r="199" spans="2:10" s="66" customFormat="1" ht="25.15" customHeight="1">
      <c r="B199" s="78"/>
      <c r="C199" s="76" t="e">
        <f>VLOOKUP(tbDensity[[#This Row],[Item]],Calories[],2,FALSE)</f>
        <v>#N/A</v>
      </c>
      <c r="D199" s="65" t="e">
        <f>_xlfn.XLOOKUP(tbDensity[[#This Row],[Item]],Calories[Name],Calories[Cals])*100</f>
        <v>#N/A</v>
      </c>
      <c r="E199" s="71" t="e">
        <f>_xlfn.XLOOKUP(tbDensity[[#This Row],[Item]],Calories[Name],Calories[Carbs])*100</f>
        <v>#N/A</v>
      </c>
      <c r="F199" s="71" t="e">
        <f>_xlfn.XLOOKUP(tbDensity[[#This Row],[Item]],Calories[Name],Calories[Fibre])*100</f>
        <v>#N/A</v>
      </c>
      <c r="G199" s="113" t="e">
        <f>(tbDensity[[#This Row],[Carb / 100g]]-tbDensity[[#This Row],[Fibre / 100g]])</f>
        <v>#N/A</v>
      </c>
      <c r="H199" s="71" t="e">
        <f>_xlfn.XLOOKUP(tbDensity[[#This Row],[Item]],Calories[Name],Calories[Sodium])* 100</f>
        <v>#N/A</v>
      </c>
      <c r="I199" s="71" t="e">
        <f>_xlfn.XLOOKUP(tbDensity[[#This Row],[Item]],Calories[Name],Calories[Protein]) * 100</f>
        <v>#N/A</v>
      </c>
      <c r="J199" s="103" t="e">
        <f>_xlfn.XLOOKUP(tbDensity[[#This Row],[Item]],Calories[Name],Calories[Chol.]) * 100</f>
        <v>#N/A</v>
      </c>
    </row>
    <row r="200" spans="2:10" s="66" customFormat="1" ht="25.15" customHeight="1">
      <c r="B200" s="78"/>
      <c r="C200" s="76" t="e">
        <f>VLOOKUP(tbDensity[[#This Row],[Item]],Calories[],2,FALSE)</f>
        <v>#N/A</v>
      </c>
      <c r="D200" s="65" t="e">
        <f>_xlfn.XLOOKUP(tbDensity[[#This Row],[Item]],Calories[Name],Calories[Cals])*100</f>
        <v>#N/A</v>
      </c>
      <c r="E200" s="71" t="e">
        <f>_xlfn.XLOOKUP(tbDensity[[#This Row],[Item]],Calories[Name],Calories[Carbs])*100</f>
        <v>#N/A</v>
      </c>
      <c r="F200" s="71" t="e">
        <f>_xlfn.XLOOKUP(tbDensity[[#This Row],[Item]],Calories[Name],Calories[Fibre])*100</f>
        <v>#N/A</v>
      </c>
      <c r="G200" s="113" t="e">
        <f>(tbDensity[[#This Row],[Carb / 100g]]-tbDensity[[#This Row],[Fibre / 100g]])</f>
        <v>#N/A</v>
      </c>
      <c r="H200" s="71" t="e">
        <f>_xlfn.XLOOKUP(tbDensity[[#This Row],[Item]],Calories[Name],Calories[Sodium])* 100</f>
        <v>#N/A</v>
      </c>
      <c r="I200" s="71" t="e">
        <f>_xlfn.XLOOKUP(tbDensity[[#This Row],[Item]],Calories[Name],Calories[Protein]) * 100</f>
        <v>#N/A</v>
      </c>
      <c r="J200" s="103" t="e">
        <f>_xlfn.XLOOKUP(tbDensity[[#This Row],[Item]],Calories[Name],Calories[Chol.]) * 100</f>
        <v>#N/A</v>
      </c>
    </row>
    <row r="201" spans="2:10" s="66" customFormat="1" ht="25.15" customHeight="1">
      <c r="B201" s="78"/>
      <c r="C201" s="76" t="e">
        <f>VLOOKUP(tbDensity[[#This Row],[Item]],Calories[],2,FALSE)</f>
        <v>#N/A</v>
      </c>
      <c r="D201" s="65" t="e">
        <f>_xlfn.XLOOKUP(tbDensity[[#This Row],[Item]],Calories[Name],Calories[Cals])*100</f>
        <v>#N/A</v>
      </c>
      <c r="E201" s="71" t="e">
        <f>_xlfn.XLOOKUP(tbDensity[[#This Row],[Item]],Calories[Name],Calories[Carbs])*100</f>
        <v>#N/A</v>
      </c>
      <c r="F201" s="71" t="e">
        <f>_xlfn.XLOOKUP(tbDensity[[#This Row],[Item]],Calories[Name],Calories[Fibre])*100</f>
        <v>#N/A</v>
      </c>
      <c r="G201" s="113" t="e">
        <f>(tbDensity[[#This Row],[Carb / 100g]]-tbDensity[[#This Row],[Fibre / 100g]])</f>
        <v>#N/A</v>
      </c>
      <c r="H201" s="71" t="e">
        <f>_xlfn.XLOOKUP(tbDensity[[#This Row],[Item]],Calories[Name],Calories[Sodium])* 100</f>
        <v>#N/A</v>
      </c>
      <c r="I201" s="71" t="e">
        <f>_xlfn.XLOOKUP(tbDensity[[#This Row],[Item]],Calories[Name],Calories[Protein]) * 100</f>
        <v>#N/A</v>
      </c>
      <c r="J201" s="103" t="e">
        <f>_xlfn.XLOOKUP(tbDensity[[#This Row],[Item]],Calories[Name],Calories[Chol.]) * 100</f>
        <v>#N/A</v>
      </c>
    </row>
    <row r="202" spans="2:10" s="66" customFormat="1" ht="25.15" customHeight="1">
      <c r="B202" s="78"/>
      <c r="C202" s="76" t="e">
        <f>VLOOKUP(tbDensity[[#This Row],[Item]],Calories[],2,FALSE)</f>
        <v>#N/A</v>
      </c>
      <c r="D202" s="65" t="e">
        <f>_xlfn.XLOOKUP(tbDensity[[#This Row],[Item]],Calories[Name],Calories[Cals])*100</f>
        <v>#N/A</v>
      </c>
      <c r="E202" s="71" t="e">
        <f>_xlfn.XLOOKUP(tbDensity[[#This Row],[Item]],Calories[Name],Calories[Carbs])*100</f>
        <v>#N/A</v>
      </c>
      <c r="F202" s="71" t="e">
        <f>_xlfn.XLOOKUP(tbDensity[[#This Row],[Item]],Calories[Name],Calories[Fibre])*100</f>
        <v>#N/A</v>
      </c>
      <c r="G202" s="113" t="e">
        <f>(tbDensity[[#This Row],[Carb / 100g]]-tbDensity[[#This Row],[Fibre / 100g]])</f>
        <v>#N/A</v>
      </c>
      <c r="H202" s="71" t="e">
        <f>_xlfn.XLOOKUP(tbDensity[[#This Row],[Item]],Calories[Name],Calories[Sodium])* 100</f>
        <v>#N/A</v>
      </c>
      <c r="I202" s="71" t="e">
        <f>_xlfn.XLOOKUP(tbDensity[[#This Row],[Item]],Calories[Name],Calories[Protein]) * 100</f>
        <v>#N/A</v>
      </c>
      <c r="J202" s="103" t="e">
        <f>_xlfn.XLOOKUP(tbDensity[[#This Row],[Item]],Calories[Name],Calories[Chol.]) * 100</f>
        <v>#N/A</v>
      </c>
    </row>
    <row r="203" spans="2:10" s="66" customFormat="1" ht="25.15" customHeight="1">
      <c r="B203" s="78"/>
      <c r="C203" s="76" t="e">
        <f>VLOOKUP(tbDensity[[#This Row],[Item]],Calories[],2,FALSE)</f>
        <v>#N/A</v>
      </c>
      <c r="D203" s="65" t="e">
        <f>_xlfn.XLOOKUP(tbDensity[[#This Row],[Item]],Calories[Name],Calories[Cals])*100</f>
        <v>#N/A</v>
      </c>
      <c r="E203" s="71" t="e">
        <f>_xlfn.XLOOKUP(tbDensity[[#This Row],[Item]],Calories[Name],Calories[Carbs])*100</f>
        <v>#N/A</v>
      </c>
      <c r="F203" s="71" t="e">
        <f>_xlfn.XLOOKUP(tbDensity[[#This Row],[Item]],Calories[Name],Calories[Fibre])*100</f>
        <v>#N/A</v>
      </c>
      <c r="G203" s="113" t="e">
        <f>(tbDensity[[#This Row],[Carb / 100g]]-tbDensity[[#This Row],[Fibre / 100g]])</f>
        <v>#N/A</v>
      </c>
      <c r="H203" s="71" t="e">
        <f>_xlfn.XLOOKUP(tbDensity[[#This Row],[Item]],Calories[Name],Calories[Sodium])* 100</f>
        <v>#N/A</v>
      </c>
      <c r="I203" s="71" t="e">
        <f>_xlfn.XLOOKUP(tbDensity[[#This Row],[Item]],Calories[Name],Calories[Protein]) * 100</f>
        <v>#N/A</v>
      </c>
      <c r="J203" s="103" t="e">
        <f>_xlfn.XLOOKUP(tbDensity[[#This Row],[Item]],Calories[Name],Calories[Chol.]) * 100</f>
        <v>#N/A</v>
      </c>
    </row>
    <row r="204" spans="2:10" s="66" customFormat="1" ht="25.15" customHeight="1">
      <c r="B204" s="78"/>
      <c r="C204" s="76" t="e">
        <f>VLOOKUP(tbDensity[[#This Row],[Item]],Calories[],2,FALSE)</f>
        <v>#N/A</v>
      </c>
      <c r="D204" s="65" t="e">
        <f>_xlfn.XLOOKUP(tbDensity[[#This Row],[Item]],Calories[Name],Calories[Cals])*100</f>
        <v>#N/A</v>
      </c>
      <c r="E204" s="71" t="e">
        <f>_xlfn.XLOOKUP(tbDensity[[#This Row],[Item]],Calories[Name],Calories[Carbs])*100</f>
        <v>#N/A</v>
      </c>
      <c r="F204" s="71" t="e">
        <f>_xlfn.XLOOKUP(tbDensity[[#This Row],[Item]],Calories[Name],Calories[Fibre])*100</f>
        <v>#N/A</v>
      </c>
      <c r="G204" s="113" t="e">
        <f>(tbDensity[[#This Row],[Carb / 100g]]-tbDensity[[#This Row],[Fibre / 100g]])</f>
        <v>#N/A</v>
      </c>
      <c r="H204" s="71" t="e">
        <f>_xlfn.XLOOKUP(tbDensity[[#This Row],[Item]],Calories[Name],Calories[Sodium])* 100</f>
        <v>#N/A</v>
      </c>
      <c r="I204" s="71" t="e">
        <f>_xlfn.XLOOKUP(tbDensity[[#This Row],[Item]],Calories[Name],Calories[Protein]) * 100</f>
        <v>#N/A</v>
      </c>
      <c r="J204" s="103" t="e">
        <f>_xlfn.XLOOKUP(tbDensity[[#This Row],[Item]],Calories[Name],Calories[Chol.]) * 100</f>
        <v>#N/A</v>
      </c>
    </row>
    <row r="205" spans="2:10" s="66" customFormat="1" ht="25.15" customHeight="1">
      <c r="B205" s="78"/>
      <c r="C205" s="76" t="e">
        <f>VLOOKUP(tbDensity[[#This Row],[Item]],Calories[],2,FALSE)</f>
        <v>#N/A</v>
      </c>
      <c r="D205" s="65" t="e">
        <f>_xlfn.XLOOKUP(tbDensity[[#This Row],[Item]],Calories[Name],Calories[Cals])*100</f>
        <v>#N/A</v>
      </c>
      <c r="E205" s="71" t="e">
        <f>_xlfn.XLOOKUP(tbDensity[[#This Row],[Item]],Calories[Name],Calories[Carbs])*100</f>
        <v>#N/A</v>
      </c>
      <c r="F205" s="71" t="e">
        <f>_xlfn.XLOOKUP(tbDensity[[#This Row],[Item]],Calories[Name],Calories[Fibre])*100</f>
        <v>#N/A</v>
      </c>
      <c r="G205" s="113" t="e">
        <f>(tbDensity[[#This Row],[Carb / 100g]]-tbDensity[[#This Row],[Fibre / 100g]])</f>
        <v>#N/A</v>
      </c>
      <c r="H205" s="71" t="e">
        <f>_xlfn.XLOOKUP(tbDensity[[#This Row],[Item]],Calories[Name],Calories[Sodium])* 100</f>
        <v>#N/A</v>
      </c>
      <c r="I205" s="71" t="e">
        <f>_xlfn.XLOOKUP(tbDensity[[#This Row],[Item]],Calories[Name],Calories[Protein]) * 100</f>
        <v>#N/A</v>
      </c>
      <c r="J205" s="103" t="e">
        <f>_xlfn.XLOOKUP(tbDensity[[#This Row],[Item]],Calories[Name],Calories[Chol.]) * 100</f>
        <v>#N/A</v>
      </c>
    </row>
    <row r="206" spans="2:10" s="66" customFormat="1" ht="25.15" customHeight="1">
      <c r="B206" s="78"/>
      <c r="C206" s="76" t="e">
        <f>VLOOKUP(tbDensity[[#This Row],[Item]],Calories[],2,FALSE)</f>
        <v>#N/A</v>
      </c>
      <c r="D206" s="65" t="e">
        <f>_xlfn.XLOOKUP(tbDensity[[#This Row],[Item]],Calories[Name],Calories[Cals])*100</f>
        <v>#N/A</v>
      </c>
      <c r="E206" s="71" t="e">
        <f>_xlfn.XLOOKUP(tbDensity[[#This Row],[Item]],Calories[Name],Calories[Carbs])*100</f>
        <v>#N/A</v>
      </c>
      <c r="F206" s="71" t="e">
        <f>_xlfn.XLOOKUP(tbDensity[[#This Row],[Item]],Calories[Name],Calories[Fibre])*100</f>
        <v>#N/A</v>
      </c>
      <c r="G206" s="113" t="e">
        <f>(tbDensity[[#This Row],[Carb / 100g]]-tbDensity[[#This Row],[Fibre / 100g]])</f>
        <v>#N/A</v>
      </c>
      <c r="H206" s="71" t="e">
        <f>_xlfn.XLOOKUP(tbDensity[[#This Row],[Item]],Calories[Name],Calories[Sodium])* 100</f>
        <v>#N/A</v>
      </c>
      <c r="I206" s="71" t="e">
        <f>_xlfn.XLOOKUP(tbDensity[[#This Row],[Item]],Calories[Name],Calories[Protein]) * 100</f>
        <v>#N/A</v>
      </c>
      <c r="J206" s="103" t="e">
        <f>_xlfn.XLOOKUP(tbDensity[[#This Row],[Item]],Calories[Name],Calories[Chol.]) * 100</f>
        <v>#N/A</v>
      </c>
    </row>
    <row r="207" spans="2:10" s="66" customFormat="1" ht="25.15" customHeight="1">
      <c r="B207" s="78"/>
      <c r="C207" s="76" t="e">
        <f>VLOOKUP(tbDensity[[#This Row],[Item]],Calories[],2,FALSE)</f>
        <v>#N/A</v>
      </c>
      <c r="D207" s="65" t="e">
        <f>_xlfn.XLOOKUP(tbDensity[[#This Row],[Item]],Calories[Name],Calories[Cals])*100</f>
        <v>#N/A</v>
      </c>
      <c r="E207" s="71" t="e">
        <f>_xlfn.XLOOKUP(tbDensity[[#This Row],[Item]],Calories[Name],Calories[Carbs])*100</f>
        <v>#N/A</v>
      </c>
      <c r="F207" s="71" t="e">
        <f>_xlfn.XLOOKUP(tbDensity[[#This Row],[Item]],Calories[Name],Calories[Fibre])*100</f>
        <v>#N/A</v>
      </c>
      <c r="G207" s="113" t="e">
        <f>(tbDensity[[#This Row],[Carb / 100g]]-tbDensity[[#This Row],[Fibre / 100g]])</f>
        <v>#N/A</v>
      </c>
      <c r="H207" s="71" t="e">
        <f>_xlfn.XLOOKUP(tbDensity[[#This Row],[Item]],Calories[Name],Calories[Sodium])* 100</f>
        <v>#N/A</v>
      </c>
      <c r="I207" s="71" t="e">
        <f>_xlfn.XLOOKUP(tbDensity[[#This Row],[Item]],Calories[Name],Calories[Protein]) * 100</f>
        <v>#N/A</v>
      </c>
      <c r="J207" s="103" t="e">
        <f>_xlfn.XLOOKUP(tbDensity[[#This Row],[Item]],Calories[Name],Calories[Chol.]) * 100</f>
        <v>#N/A</v>
      </c>
    </row>
    <row r="208" spans="2:10" s="66" customFormat="1" ht="25.15" customHeight="1">
      <c r="B208" s="78"/>
      <c r="C208" s="76" t="e">
        <f>VLOOKUP(tbDensity[[#This Row],[Item]],Calories[],2,FALSE)</f>
        <v>#N/A</v>
      </c>
      <c r="D208" s="65" t="e">
        <f>_xlfn.XLOOKUP(tbDensity[[#This Row],[Item]],Calories[Name],Calories[Cals])*100</f>
        <v>#N/A</v>
      </c>
      <c r="E208" s="71" t="e">
        <f>_xlfn.XLOOKUP(tbDensity[[#This Row],[Item]],Calories[Name],Calories[Carbs])*100</f>
        <v>#N/A</v>
      </c>
      <c r="F208" s="71" t="e">
        <f>_xlfn.XLOOKUP(tbDensity[[#This Row],[Item]],Calories[Name],Calories[Fibre])*100</f>
        <v>#N/A</v>
      </c>
      <c r="G208" s="113" t="e">
        <f>(tbDensity[[#This Row],[Carb / 100g]]-tbDensity[[#This Row],[Fibre / 100g]])</f>
        <v>#N/A</v>
      </c>
      <c r="H208" s="71" t="e">
        <f>_xlfn.XLOOKUP(tbDensity[[#This Row],[Item]],Calories[Name],Calories[Sodium])* 100</f>
        <v>#N/A</v>
      </c>
      <c r="I208" s="71" t="e">
        <f>_xlfn.XLOOKUP(tbDensity[[#This Row],[Item]],Calories[Name],Calories[Protein]) * 100</f>
        <v>#N/A</v>
      </c>
      <c r="J208" s="103" t="e">
        <f>_xlfn.XLOOKUP(tbDensity[[#This Row],[Item]],Calories[Name],Calories[Chol.]) * 100</f>
        <v>#N/A</v>
      </c>
    </row>
    <row r="209" spans="2:10" s="66" customFormat="1" ht="25.15" customHeight="1">
      <c r="B209" s="78"/>
      <c r="C209" s="76" t="e">
        <f>VLOOKUP(tbDensity[[#This Row],[Item]],Calories[],2,FALSE)</f>
        <v>#N/A</v>
      </c>
      <c r="D209" s="65" t="e">
        <f>_xlfn.XLOOKUP(tbDensity[[#This Row],[Item]],Calories[Name],Calories[Cals])*100</f>
        <v>#N/A</v>
      </c>
      <c r="E209" s="71" t="e">
        <f>_xlfn.XLOOKUP(tbDensity[[#This Row],[Item]],Calories[Name],Calories[Carbs])*100</f>
        <v>#N/A</v>
      </c>
      <c r="F209" s="71" t="e">
        <f>_xlfn.XLOOKUP(tbDensity[[#This Row],[Item]],Calories[Name],Calories[Fibre])*100</f>
        <v>#N/A</v>
      </c>
      <c r="G209" s="113" t="e">
        <f>(tbDensity[[#This Row],[Carb / 100g]]-tbDensity[[#This Row],[Fibre / 100g]])</f>
        <v>#N/A</v>
      </c>
      <c r="H209" s="71" t="e">
        <f>_xlfn.XLOOKUP(tbDensity[[#This Row],[Item]],Calories[Name],Calories[Sodium])* 100</f>
        <v>#N/A</v>
      </c>
      <c r="I209" s="71" t="e">
        <f>_xlfn.XLOOKUP(tbDensity[[#This Row],[Item]],Calories[Name],Calories[Protein]) * 100</f>
        <v>#N/A</v>
      </c>
      <c r="J209" s="103" t="e">
        <f>_xlfn.XLOOKUP(tbDensity[[#This Row],[Item]],Calories[Name],Calories[Chol.]) * 100</f>
        <v>#N/A</v>
      </c>
    </row>
  </sheetData>
  <dataValidations count="1">
    <dataValidation type="list" allowBlank="1" showInputMessage="1" sqref="B210:B1048576" xr:uid="{B3CC18FE-2B19-4A72-AFD6-A1B80206B705}">
      <formula1>#REF!</formula1>
    </dataValidation>
  </dataValidations>
  <pageMargins left="0.7" right="0.7" top="0.75" bottom="0.75" header="0.3" footer="0.3"/>
  <pageSetup orientation="portrait" r:id="rId1"/>
  <ignoredErrors>
    <ignoredError sqref="B2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3549DD86-CEB4-4D1A-9D14-B589DD2B96AE}">
          <x14:formula1>
            <xm:f>Catalog!$B$3:$B$227</xm:f>
          </x14:formula1>
          <xm:sqref>B2 B143:B209 B141 B118:B121 B114:B116 B84 B82 B74:B76 B52:B53 B42:B46 B36:B37 B32 B28 B55 B48:B50 B58:B63 B66:B67 B69 B86 B88:B95 B98:B108 B110:B112 B126:B129 B131:B132 B135 B22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3"/>
  <sheetViews>
    <sheetView workbookViewId="0">
      <selection activeCell="B27" sqref="B27"/>
    </sheetView>
  </sheetViews>
  <sheetFormatPr defaultRowHeight="14.45"/>
  <cols>
    <col min="1" max="1" width="0.85546875" customWidth="1"/>
    <col min="2" max="2" width="24.42578125" customWidth="1"/>
    <col min="3" max="3" width="5.5703125" style="16" customWidth="1"/>
    <col min="4" max="9" width="5.5703125" style="15" customWidth="1"/>
  </cols>
  <sheetData>
    <row r="1" spans="2:9" ht="5.0999999999999996" customHeight="1" thickBot="1"/>
    <row r="2" spans="2:9">
      <c r="B2" s="17" t="s">
        <v>442</v>
      </c>
      <c r="C2" s="18"/>
      <c r="D2" s="19"/>
      <c r="E2" s="19"/>
      <c r="F2" s="19"/>
      <c r="G2" s="19"/>
      <c r="H2" s="19"/>
      <c r="I2" s="20"/>
    </row>
    <row r="3" spans="2:9">
      <c r="B3" s="21" t="s">
        <v>1</v>
      </c>
      <c r="C3" s="16" t="s">
        <v>443</v>
      </c>
      <c r="D3" s="15" t="s">
        <v>444</v>
      </c>
      <c r="E3" s="15" t="s">
        <v>445</v>
      </c>
      <c r="F3" s="15" t="s">
        <v>446</v>
      </c>
      <c r="G3" s="15" t="s">
        <v>447</v>
      </c>
      <c r="H3" s="15" t="s">
        <v>448</v>
      </c>
      <c r="I3" s="22" t="s">
        <v>449</v>
      </c>
    </row>
    <row r="4" spans="2:9">
      <c r="B4" s="23" t="s">
        <v>450</v>
      </c>
      <c r="C4" s="16">
        <f>307/4</f>
        <v>76.75</v>
      </c>
      <c r="D4" s="15">
        <f>56/4</f>
        <v>14</v>
      </c>
      <c r="E4" s="15">
        <v>1</v>
      </c>
      <c r="F4" s="15">
        <f>8/4</f>
        <v>2</v>
      </c>
      <c r="G4" s="15">
        <f>5/4</f>
        <v>1.25</v>
      </c>
      <c r="H4" s="15">
        <v>0</v>
      </c>
      <c r="I4" s="22">
        <f>11/4</f>
        <v>2.75</v>
      </c>
    </row>
    <row r="5" spans="2:9">
      <c r="B5" s="31" t="s">
        <v>451</v>
      </c>
      <c r="C5" s="16">
        <v>84</v>
      </c>
      <c r="D5" s="15">
        <v>22</v>
      </c>
      <c r="E5" s="15">
        <v>17</v>
      </c>
      <c r="F5" s="15">
        <v>1</v>
      </c>
      <c r="G5" s="15">
        <v>3</v>
      </c>
      <c r="H5" s="15">
        <v>0</v>
      </c>
      <c r="I5" s="22">
        <v>1</v>
      </c>
    </row>
    <row r="6" spans="2:9" ht="5.0999999999999996" customHeight="1">
      <c r="B6" s="21"/>
      <c r="I6" s="22"/>
    </row>
    <row r="7" spans="2:9">
      <c r="B7" s="24" t="s">
        <v>452</v>
      </c>
      <c r="C7" s="25"/>
      <c r="D7" s="26"/>
      <c r="E7" s="26"/>
      <c r="F7" s="26"/>
      <c r="G7" s="26"/>
      <c r="H7" s="26"/>
      <c r="I7" s="27"/>
    </row>
    <row r="8" spans="2:9">
      <c r="B8" s="21" t="s">
        <v>1</v>
      </c>
      <c r="C8" s="16" t="s">
        <v>443</v>
      </c>
      <c r="D8" s="15" t="s">
        <v>444</v>
      </c>
      <c r="E8" s="15" t="s">
        <v>445</v>
      </c>
      <c r="F8" s="15" t="s">
        <v>446</v>
      </c>
      <c r="G8" s="15" t="s">
        <v>447</v>
      </c>
      <c r="H8" s="15" t="s">
        <v>448</v>
      </c>
      <c r="I8" s="22" t="s">
        <v>449</v>
      </c>
    </row>
    <row r="9" spans="2:9">
      <c r="B9" s="23" t="s">
        <v>36</v>
      </c>
      <c r="C9" s="16">
        <f>80*3</f>
        <v>240</v>
      </c>
      <c r="D9" s="15">
        <f>4*3</f>
        <v>12</v>
      </c>
      <c r="E9" s="15">
        <v>0</v>
      </c>
      <c r="F9" s="15">
        <f>3*3</f>
        <v>9</v>
      </c>
      <c r="G9" s="15">
        <v>0</v>
      </c>
      <c r="H9" s="15">
        <v>0</v>
      </c>
      <c r="I9" s="22">
        <f>3</f>
        <v>3</v>
      </c>
    </row>
    <row r="10" spans="2:9">
      <c r="B10" s="23" t="s">
        <v>453</v>
      </c>
      <c r="C10" s="16">
        <v>190</v>
      </c>
      <c r="D10" s="15">
        <f>200*1.2</f>
        <v>240</v>
      </c>
      <c r="E10" s="15">
        <v>0</v>
      </c>
      <c r="F10" s="15">
        <v>0</v>
      </c>
      <c r="G10" s="15">
        <f>61*1.2</f>
        <v>73.2</v>
      </c>
      <c r="H10" s="15">
        <f>63*1.2</f>
        <v>75.599999999999994</v>
      </c>
      <c r="I10" s="22">
        <f>22*1.2</f>
        <v>26.4</v>
      </c>
    </row>
    <row r="11" spans="2:9" ht="5.0999999999999996" customHeight="1">
      <c r="B11" s="21"/>
      <c r="I11" s="22"/>
    </row>
    <row r="12" spans="2:9">
      <c r="B12" s="24" t="s">
        <v>454</v>
      </c>
      <c r="C12" s="25"/>
      <c r="D12" s="26"/>
      <c r="E12" s="26"/>
      <c r="F12" s="26"/>
      <c r="G12" s="26"/>
      <c r="H12" s="26"/>
      <c r="I12" s="27"/>
    </row>
    <row r="13" spans="2:9">
      <c r="B13" s="21" t="s">
        <v>1</v>
      </c>
      <c r="C13" s="16" t="s">
        <v>443</v>
      </c>
      <c r="D13" s="15" t="s">
        <v>444</v>
      </c>
      <c r="E13" s="15" t="s">
        <v>445</v>
      </c>
      <c r="F13" s="15" t="s">
        <v>446</v>
      </c>
      <c r="G13" s="15" t="s">
        <v>447</v>
      </c>
      <c r="H13" s="15" t="s">
        <v>448</v>
      </c>
      <c r="I13" s="22" t="s">
        <v>449</v>
      </c>
    </row>
    <row r="14" spans="2:9">
      <c r="B14" s="21" t="s">
        <v>455</v>
      </c>
      <c r="C14" s="16">
        <v>850</v>
      </c>
      <c r="D14" s="15">
        <v>47</v>
      </c>
      <c r="E14" s="15">
        <v>1</v>
      </c>
      <c r="F14" s="15">
        <v>2</v>
      </c>
      <c r="G14" s="15">
        <v>950</v>
      </c>
      <c r="H14" s="15">
        <v>65</v>
      </c>
      <c r="I14" s="22">
        <v>20</v>
      </c>
    </row>
    <row r="15" spans="2:9" ht="5.0999999999999996" customHeight="1">
      <c r="B15" s="21"/>
      <c r="I15" s="22"/>
    </row>
    <row r="16" spans="2:9">
      <c r="B16" s="24" t="s">
        <v>456</v>
      </c>
      <c r="C16" s="25"/>
      <c r="D16" s="26"/>
      <c r="E16" s="26"/>
      <c r="F16" s="26"/>
      <c r="G16" s="26"/>
      <c r="H16" s="26"/>
      <c r="I16" s="27"/>
    </row>
    <row r="17" spans="2:9">
      <c r="B17" s="21" t="s">
        <v>1</v>
      </c>
      <c r="C17" s="16" t="s">
        <v>443</v>
      </c>
      <c r="D17" s="15" t="s">
        <v>444</v>
      </c>
      <c r="E17" s="15" t="s">
        <v>445</v>
      </c>
      <c r="F17" s="15" t="s">
        <v>446</v>
      </c>
      <c r="G17" s="15" t="s">
        <v>447</v>
      </c>
      <c r="H17" s="15" t="s">
        <v>448</v>
      </c>
      <c r="I17" s="22" t="s">
        <v>449</v>
      </c>
    </row>
    <row r="18" spans="2:9">
      <c r="B18" s="21" t="s">
        <v>133</v>
      </c>
      <c r="C18" s="16">
        <v>121</v>
      </c>
      <c r="D18" s="15">
        <v>31</v>
      </c>
      <c r="E18" s="15">
        <v>17</v>
      </c>
      <c r="F18" s="15">
        <v>4</v>
      </c>
      <c r="G18" s="15">
        <v>1</v>
      </c>
      <c r="H18" s="15">
        <v>0</v>
      </c>
      <c r="I18" s="22">
        <v>1</v>
      </c>
    </row>
    <row r="19" spans="2:9">
      <c r="B19" s="21" t="s">
        <v>457</v>
      </c>
      <c r="C19" s="16">
        <f>354*0.75</f>
        <v>265.5</v>
      </c>
      <c r="D19" s="15">
        <f>15*0.75</f>
        <v>11.25</v>
      </c>
      <c r="E19" s="15">
        <f>6*0.75</f>
        <v>4.5</v>
      </c>
      <c r="F19" s="15">
        <f>9*0.75</f>
        <v>6.75</v>
      </c>
      <c r="G19" s="15">
        <f>20*0.75</f>
        <v>15</v>
      </c>
      <c r="H19" s="15">
        <v>0</v>
      </c>
      <c r="I19" s="22">
        <f>3*0.75</f>
        <v>2.25</v>
      </c>
    </row>
    <row r="20" spans="2:9">
      <c r="B20" s="23" t="s">
        <v>458</v>
      </c>
      <c r="C20" s="16">
        <f>131*2</f>
        <v>262</v>
      </c>
      <c r="D20" s="15">
        <f>15*2</f>
        <v>30</v>
      </c>
      <c r="E20" s="15">
        <f>10*2</f>
        <v>20</v>
      </c>
      <c r="F20" s="15">
        <f>1*2</f>
        <v>2</v>
      </c>
      <c r="G20" s="15">
        <f>124*2</f>
        <v>248</v>
      </c>
      <c r="H20" s="15">
        <v>0</v>
      </c>
      <c r="I20" s="22">
        <f>8*2</f>
        <v>16</v>
      </c>
    </row>
    <row r="21" spans="2:9" ht="5.0999999999999996" customHeight="1">
      <c r="B21" s="21"/>
      <c r="I21" s="22"/>
    </row>
    <row r="22" spans="2:9" ht="15" thickBot="1">
      <c r="B22" s="28" t="s">
        <v>459</v>
      </c>
      <c r="C22" s="29">
        <f t="shared" ref="C22:I22" si="0">SUM(C3:C21)</f>
        <v>2089.25</v>
      </c>
      <c r="D22" s="29">
        <f t="shared" si="0"/>
        <v>407.25</v>
      </c>
      <c r="E22" s="29">
        <f t="shared" si="0"/>
        <v>60.5</v>
      </c>
      <c r="F22" s="29">
        <f t="shared" si="0"/>
        <v>26.75</v>
      </c>
      <c r="G22" s="29">
        <f t="shared" si="0"/>
        <v>1291.45</v>
      </c>
      <c r="H22" s="29">
        <f t="shared" si="0"/>
        <v>140.6</v>
      </c>
      <c r="I22" s="30">
        <f t="shared" si="0"/>
        <v>72.400000000000006</v>
      </c>
    </row>
    <row r="25" spans="2:9">
      <c r="B25" t="s">
        <v>460</v>
      </c>
    </row>
    <row r="26" spans="2:9" ht="5.0999999999999996" customHeight="1"/>
    <row r="27" spans="2:9">
      <c r="B27" t="s">
        <v>461</v>
      </c>
      <c r="C27" s="32" t="s">
        <v>462</v>
      </c>
    </row>
    <row r="28" spans="2:9">
      <c r="B28" t="s">
        <v>463</v>
      </c>
    </row>
    <row r="29" spans="2:9">
      <c r="B29" t="s">
        <v>464</v>
      </c>
    </row>
    <row r="30" spans="2:9">
      <c r="B30" t="s">
        <v>465</v>
      </c>
    </row>
    <row r="31" spans="2:9">
      <c r="B31" t="s">
        <v>313</v>
      </c>
    </row>
    <row r="32" spans="2:9">
      <c r="B32" t="s">
        <v>466</v>
      </c>
    </row>
    <row r="33" spans="2:2">
      <c r="B33" t="s">
        <v>467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24"/>
  <sheetViews>
    <sheetView showGridLines="0" workbookViewId="0">
      <selection activeCell="B11" sqref="B11"/>
    </sheetView>
  </sheetViews>
  <sheetFormatPr defaultRowHeight="14.45"/>
  <cols>
    <col min="1" max="1" width="0.85546875" customWidth="1"/>
    <col min="2" max="2" width="21.140625" customWidth="1"/>
    <col min="5" max="10" width="8.85546875" style="15"/>
  </cols>
  <sheetData>
    <row r="1" spans="2:10" ht="5.0999999999999996" customHeight="1" thickBot="1"/>
    <row r="2" spans="2:10">
      <c r="B2" s="1" t="s">
        <v>468</v>
      </c>
      <c r="C2" s="2"/>
      <c r="D2" s="2"/>
      <c r="E2" s="46"/>
      <c r="F2" s="46"/>
      <c r="G2" s="46"/>
      <c r="H2" s="46"/>
      <c r="I2" s="46"/>
      <c r="J2" s="47"/>
    </row>
    <row r="3" spans="2:10" ht="5.0999999999999996" customHeight="1">
      <c r="B3" s="7"/>
      <c r="C3" s="33"/>
      <c r="D3" s="33"/>
      <c r="E3" s="48"/>
      <c r="F3" s="48"/>
      <c r="G3" s="48"/>
      <c r="H3" s="48"/>
      <c r="I3" s="48"/>
      <c r="J3" s="49"/>
    </row>
    <row r="4" spans="2:10" ht="14.45" customHeight="1">
      <c r="B4" s="7" t="s">
        <v>469</v>
      </c>
      <c r="C4" s="33">
        <v>2300</v>
      </c>
      <c r="D4" s="33"/>
      <c r="E4" s="48"/>
      <c r="F4" s="48"/>
      <c r="G4" s="48"/>
      <c r="H4" s="48"/>
      <c r="I4" s="48"/>
      <c r="J4" s="49"/>
    </row>
    <row r="5" spans="2:10" ht="14.45" customHeight="1">
      <c r="B5" s="7" t="s">
        <v>470</v>
      </c>
      <c r="C5" s="33">
        <v>3525</v>
      </c>
      <c r="D5" s="33"/>
      <c r="E5" s="48"/>
      <c r="F5" s="48"/>
      <c r="G5" s="48"/>
      <c r="H5" s="48"/>
      <c r="I5" s="48"/>
      <c r="J5" s="49"/>
    </row>
    <row r="6" spans="2:10" ht="14.45" customHeight="1">
      <c r="B6" s="7" t="s">
        <v>471</v>
      </c>
      <c r="C6" s="33">
        <f>C5-C4</f>
        <v>1225</v>
      </c>
      <c r="D6" s="33"/>
      <c r="E6" s="48"/>
      <c r="F6" s="48"/>
      <c r="G6" s="48"/>
      <c r="H6" s="48"/>
      <c r="I6" s="48"/>
      <c r="J6" s="49"/>
    </row>
    <row r="7" spans="2:10" ht="14.45" customHeight="1">
      <c r="B7" s="7" t="s">
        <v>459</v>
      </c>
      <c r="C7" s="34"/>
      <c r="D7" s="34"/>
      <c r="E7" s="44">
        <f t="shared" ref="E7:J7" si="0">SUM(E11:E28)</f>
        <v>1617.3999999999999</v>
      </c>
      <c r="F7" s="44">
        <f t="shared" si="0"/>
        <v>166.524</v>
      </c>
      <c r="G7" s="44">
        <f t="shared" si="0"/>
        <v>56.037058823529406</v>
      </c>
      <c r="H7" s="44">
        <f t="shared" si="0"/>
        <v>2007.1</v>
      </c>
      <c r="I7" s="44">
        <f t="shared" si="0"/>
        <v>61.416000000000004</v>
      </c>
      <c r="J7" s="45">
        <f t="shared" si="0"/>
        <v>0</v>
      </c>
    </row>
    <row r="8" spans="2:10" ht="14.45" customHeight="1">
      <c r="B8" s="7" t="s">
        <v>472</v>
      </c>
      <c r="C8" s="35"/>
      <c r="D8" s="35"/>
      <c r="E8" s="50">
        <f>IFERROR(E7/C6,0)</f>
        <v>1.3203265306122447</v>
      </c>
      <c r="F8" s="50">
        <f>IFERROR(F7/C6,0)</f>
        <v>0.13593795918367346</v>
      </c>
      <c r="G8" s="50">
        <f>IFERROR(G7/C6,0)</f>
        <v>4.5744537815126045E-2</v>
      </c>
      <c r="H8" s="50">
        <f>IFERROR(H7/C6,0)</f>
        <v>1.6384489795918367</v>
      </c>
      <c r="I8" s="50">
        <f>IFERROR(I7/C6,0)</f>
        <v>5.0135510204081635E-2</v>
      </c>
      <c r="J8" s="51">
        <f>IFERROR(J7/C6,0)</f>
        <v>0</v>
      </c>
    </row>
    <row r="9" spans="2:10" ht="5.0999999999999996" customHeight="1">
      <c r="B9" s="7"/>
      <c r="C9" s="33"/>
      <c r="D9" s="33"/>
      <c r="E9" s="48"/>
      <c r="F9" s="48"/>
      <c r="G9" s="48"/>
      <c r="H9" s="48"/>
      <c r="I9" s="48"/>
      <c r="J9" s="49"/>
    </row>
    <row r="10" spans="2:10">
      <c r="B10" s="3" t="s">
        <v>473</v>
      </c>
      <c r="C10" s="4" t="s">
        <v>3</v>
      </c>
      <c r="D10" s="4" t="s">
        <v>2</v>
      </c>
      <c r="E10" s="4" t="s">
        <v>112</v>
      </c>
      <c r="F10" s="4" t="s">
        <v>5</v>
      </c>
      <c r="G10" s="4" t="s">
        <v>6</v>
      </c>
      <c r="H10" s="4" t="s">
        <v>8</v>
      </c>
      <c r="I10" s="4" t="s">
        <v>9</v>
      </c>
      <c r="J10" s="5" t="s">
        <v>113</v>
      </c>
    </row>
    <row r="11" spans="2:10">
      <c r="B11" s="8" t="s">
        <v>474</v>
      </c>
      <c r="C11" s="9" t="str">
        <f>IF(B11&lt;&gt;"",VLOOKUP(B11,Calories[], 2),"")</f>
        <v>c</v>
      </c>
      <c r="D11" s="9">
        <v>2</v>
      </c>
      <c r="E11" s="37">
        <f>IF(B11&lt;&gt;"",VLOOKUP(B11,Calories[], 3)*D11,"")</f>
        <v>134</v>
      </c>
      <c r="F11" s="42">
        <f>IF(B11&lt;&gt;"",VLOOKUP(B11,Calories[], 4)*D11,"")</f>
        <v>32.36</v>
      </c>
      <c r="G11" s="42">
        <f>IF(B11&lt;&gt;"",VLOOKUP(B11,Calories[], 5)*D11,"")</f>
        <v>4.4000000000000004</v>
      </c>
      <c r="H11" s="42">
        <f>IF(B11&lt;&gt;"",VLOOKUP(B11,Calories[], 6)*D11,"")</f>
        <v>10</v>
      </c>
      <c r="I11" s="42">
        <f>IF(B11&lt;&gt;"",VLOOKUP(B11,Calories[], 7)*D11,"")</f>
        <v>2.94</v>
      </c>
      <c r="J11" s="43">
        <f>IF(B11&lt;&gt;"",VLOOKUP(B11,Calories[], 8)*D11,"")</f>
        <v>0</v>
      </c>
    </row>
    <row r="12" spans="2:10">
      <c r="B12" s="10" t="s">
        <v>69</v>
      </c>
      <c r="C12" s="11" t="str">
        <f>IF(B12&lt;&gt;"",VLOOKUP(B12,Calories[], 2),"")</f>
        <v>clove</v>
      </c>
      <c r="D12" s="11">
        <v>6</v>
      </c>
      <c r="E12" s="37">
        <f>IF(B12&lt;&gt;"",VLOOKUP(B12,Calories[], 3)*D12,"")</f>
        <v>24</v>
      </c>
      <c r="F12" s="42">
        <f>IF(B12&lt;&gt;"",VLOOKUP(B12,Calories[], 4)*D12,"")</f>
        <v>6</v>
      </c>
      <c r="G12" s="42">
        <f>IF(B12&lt;&gt;"",VLOOKUP(B12,Calories[], 5)*D12,"")</f>
        <v>0.3970588235294118</v>
      </c>
      <c r="H12" s="42">
        <f>IF(B12&lt;&gt;"",VLOOKUP(B12,Calories[], 6)*D12,"")</f>
        <v>6</v>
      </c>
      <c r="I12" s="42">
        <f>IF(B12&lt;&gt;"",VLOOKUP(B12,Calories[], 7)*D12,"")</f>
        <v>0</v>
      </c>
      <c r="J12" s="43">
        <f>IF(B12&lt;&gt;"",VLOOKUP(B12,Calories[], 8)*D12,"")</f>
        <v>0</v>
      </c>
    </row>
    <row r="13" spans="2:10">
      <c r="B13" s="10" t="s">
        <v>267</v>
      </c>
      <c r="C13" s="11" t="str">
        <f>IF(B13&lt;&gt;"",VLOOKUP(B13,Calories[], 2),"")</f>
        <v>ea</v>
      </c>
      <c r="D13" s="11">
        <v>1</v>
      </c>
      <c r="E13" s="37">
        <f>IF(B13&lt;&gt;"",VLOOKUP(B13,Calories[], 3)*D13,"")</f>
        <v>27</v>
      </c>
      <c r="F13" s="42">
        <f>IF(B13&lt;&gt;"",VLOOKUP(B13,Calories[], 4)*D13,"")</f>
        <v>6</v>
      </c>
      <c r="G13" s="42">
        <f>IF(B13&lt;&gt;"",VLOOKUP(B13,Calories[], 5)*D13,"")</f>
        <v>3</v>
      </c>
      <c r="H13" s="42">
        <f>IF(B13&lt;&gt;"",VLOOKUP(B13,Calories[], 6)*D13,"")</f>
        <v>1</v>
      </c>
      <c r="I13" s="42">
        <f>IF(B13&lt;&gt;"",VLOOKUP(B13,Calories[], 7)*D13,"")</f>
        <v>1</v>
      </c>
      <c r="J13" s="43">
        <f>IF(B13&lt;&gt;"",VLOOKUP(B13,Calories[], 8)*D13,"")</f>
        <v>0</v>
      </c>
    </row>
    <row r="14" spans="2:10">
      <c r="B14" s="10" t="s">
        <v>15</v>
      </c>
      <c r="C14" s="11" t="str">
        <f>IF(B14&lt;&gt;"",VLOOKUP(B14,Calories[], 2),"")</f>
        <v>tbsp</v>
      </c>
      <c r="D14" s="11">
        <v>4</v>
      </c>
      <c r="E14" s="37">
        <f>IF(B14&lt;&gt;"",VLOOKUP(B14,Calories[], 3)*D14,"")</f>
        <v>480</v>
      </c>
      <c r="F14" s="42">
        <f>IF(B14&lt;&gt;"",VLOOKUP(B14,Calories[], 4)*D14,"")</f>
        <v>0</v>
      </c>
      <c r="G14" s="42">
        <f>IF(B14&lt;&gt;"",VLOOKUP(B14,Calories[], 5)*D14,"")</f>
        <v>0</v>
      </c>
      <c r="H14" s="42">
        <f>IF(B14&lt;&gt;"",VLOOKUP(B14,Calories[], 6)*D14,"")</f>
        <v>0</v>
      </c>
      <c r="I14" s="42">
        <f>IF(B14&lt;&gt;"",VLOOKUP(B14,Calories[], 7)*D14,"")</f>
        <v>0</v>
      </c>
      <c r="J14" s="43">
        <f>IF(B14&lt;&gt;"",VLOOKUP(B14,Calories[], 8)*D14,"")</f>
        <v>0</v>
      </c>
    </row>
    <row r="15" spans="2:10">
      <c r="B15" s="10" t="s">
        <v>276</v>
      </c>
      <c r="C15" s="11" t="str">
        <f>IF(B15&lt;&gt;"",VLOOKUP(B15,Calories[], 2),"")</f>
        <v>can</v>
      </c>
      <c r="D15" s="11">
        <v>1</v>
      </c>
      <c r="E15" s="37">
        <f>IF(B15&lt;&gt;"",VLOOKUP(B15,Calories[], 3)*D15,"")</f>
        <v>345.6</v>
      </c>
      <c r="F15" s="42">
        <f>IF(B15&lt;&gt;"",VLOOKUP(B15,Calories[], 4)*D15,"")</f>
        <v>58.32</v>
      </c>
      <c r="G15" s="42">
        <f>IF(B15&lt;&gt;"",VLOOKUP(B15,Calories[], 5)*D15,"")</f>
        <v>12.96</v>
      </c>
      <c r="H15" s="42">
        <f>IF(B15&lt;&gt;"",VLOOKUP(B15,Calories[], 6)*D15,"")</f>
        <v>540</v>
      </c>
      <c r="I15" s="42">
        <f>IF(B15&lt;&gt;"",VLOOKUP(B15,Calories[], 7)*D15,"")</f>
        <v>25.92</v>
      </c>
      <c r="J15" s="43">
        <f>IF(B15&lt;&gt;"",VLOOKUP(B15,Calories[], 8)*D15,"")</f>
        <v>0</v>
      </c>
    </row>
    <row r="16" spans="2:10">
      <c r="B16" s="10" t="s">
        <v>168</v>
      </c>
      <c r="C16" s="11" t="str">
        <f>IF(B16&lt;&gt;"",VLOOKUP(B16,Calories[], 2),"")</f>
        <v>g</v>
      </c>
      <c r="D16" s="11">
        <v>940</v>
      </c>
      <c r="E16" s="37">
        <f>IF(B16&lt;&gt;"",VLOOKUP(B16,Calories[], 3)*D16,"")</f>
        <v>235</v>
      </c>
      <c r="F16" s="42">
        <f>IF(B16&lt;&gt;"",VLOOKUP(B16,Calories[], 4)*D16,"")</f>
        <v>47</v>
      </c>
      <c r="G16" s="42">
        <f>IF(B16&lt;&gt;"",VLOOKUP(B16,Calories[], 5)*D16,"")</f>
        <v>28.2</v>
      </c>
      <c r="H16" s="42">
        <f>IF(B16&lt;&gt;"",VLOOKUP(B16,Calories[], 6)*D16,"")</f>
        <v>282</v>
      </c>
      <c r="I16" s="42">
        <f>IF(B16&lt;&gt;"",VLOOKUP(B16,Calories[], 7)*D16,"")</f>
        <v>18.8</v>
      </c>
      <c r="J16" s="43">
        <f>IF(B16&lt;&gt;"",VLOOKUP(B16,Calories[], 8)*D16,"")</f>
        <v>0</v>
      </c>
    </row>
    <row r="17" spans="2:10">
      <c r="B17" s="10" t="s">
        <v>252</v>
      </c>
      <c r="C17" s="11" t="str">
        <f>IF(B17&lt;&gt;"",VLOOKUP(B17,Calories[], 2),"")</f>
        <v>tbsp</v>
      </c>
      <c r="D17" s="11">
        <v>2</v>
      </c>
      <c r="E17" s="37">
        <f>IF(B17&lt;&gt;"",VLOOKUP(B17,Calories[], 3)*D17,"")</f>
        <v>18</v>
      </c>
      <c r="F17" s="42">
        <f>IF(B17&lt;&gt;"",VLOOKUP(B17,Calories[], 4)*D17,"")</f>
        <v>4</v>
      </c>
      <c r="G17" s="42">
        <f>IF(B17&lt;&gt;"",VLOOKUP(B17,Calories[], 5)*D17,"")</f>
        <v>0</v>
      </c>
      <c r="H17" s="42">
        <f>IF(B17&lt;&gt;"",VLOOKUP(B17,Calories[], 6)*D17,"")</f>
        <v>2</v>
      </c>
      <c r="I17" s="42">
        <f>IF(B17&lt;&gt;"",VLOOKUP(B17,Calories[], 7)*D17,"")</f>
        <v>0</v>
      </c>
      <c r="J17" s="43">
        <f>IF(B17&lt;&gt;"",VLOOKUP(B17,Calories[], 8)*D17,"")</f>
        <v>0</v>
      </c>
    </row>
    <row r="18" spans="2:10">
      <c r="B18" s="10" t="s">
        <v>215</v>
      </c>
      <c r="C18" s="11" t="str">
        <f>IF(B18&lt;&gt;"",VLOOKUP(B18,Calories[], 2),"")</f>
        <v>tsp</v>
      </c>
      <c r="D18" s="11">
        <v>1</v>
      </c>
      <c r="E18" s="37">
        <f>IF(B18&lt;&gt;"",VLOOKUP(B18,Calories[], 3)*D18,"")</f>
        <v>7</v>
      </c>
      <c r="F18" s="42">
        <f>IF(B18&lt;&gt;"",VLOOKUP(B18,Calories[], 4)*D18,"")</f>
        <v>1</v>
      </c>
      <c r="G18" s="42">
        <f>IF(B18&lt;&gt;"",VLOOKUP(B18,Calories[], 5)*D18,"")</f>
        <v>0</v>
      </c>
      <c r="H18" s="42">
        <f>IF(B18&lt;&gt;"",VLOOKUP(B18,Calories[], 6)*D18,"")</f>
        <v>3</v>
      </c>
      <c r="I18" s="42">
        <f>IF(B18&lt;&gt;"",VLOOKUP(B18,Calories[], 7)*D18,"")</f>
        <v>0</v>
      </c>
      <c r="J18" s="43">
        <f>IF(B18&lt;&gt;"",VLOOKUP(B18,Calories[], 8)*D18,"")</f>
        <v>0</v>
      </c>
    </row>
    <row r="19" spans="2:10">
      <c r="B19" s="10" t="s">
        <v>363</v>
      </c>
      <c r="C19" s="11" t="str">
        <f>IF(B19&lt;&gt;"",VLOOKUP(B19,Calories[], 2),"")</f>
        <v>tsp</v>
      </c>
      <c r="D19" s="11">
        <v>0.5</v>
      </c>
      <c r="E19" s="37">
        <f>IF(B19&lt;&gt;"",VLOOKUP(B19,Calories[], 3)*D19,"")</f>
        <v>0</v>
      </c>
      <c r="F19" s="42">
        <f>IF(B19&lt;&gt;"",VLOOKUP(B19,Calories[], 4)*D19,"")</f>
        <v>0</v>
      </c>
      <c r="G19" s="42">
        <f>IF(B19&lt;&gt;"",VLOOKUP(B19,Calories[], 5)*D19,"")</f>
        <v>0</v>
      </c>
      <c r="H19" s="42">
        <f>IF(B19&lt;&gt;"",VLOOKUP(B19,Calories[], 6)*D19,"")</f>
        <v>1162.5</v>
      </c>
      <c r="I19" s="42">
        <f>IF(B19&lt;&gt;"",VLOOKUP(B19,Calories[], 7)*D19,"")</f>
        <v>0</v>
      </c>
      <c r="J19" s="43">
        <f>IF(B19&lt;&gt;"",VLOOKUP(B19,Calories[], 8)*D19,"")</f>
        <v>0</v>
      </c>
    </row>
    <row r="20" spans="2:10">
      <c r="B20" s="10" t="s">
        <v>118</v>
      </c>
      <c r="C20" s="11" t="str">
        <f>IF(B20&lt;&gt;"",VLOOKUP(B20,Calories[], 2),"")</f>
        <v>g</v>
      </c>
      <c r="D20" s="11">
        <v>60</v>
      </c>
      <c r="E20" s="37">
        <f>IF(B20&lt;&gt;"",VLOOKUP(B20,Calories[], 3)*D20,"")</f>
        <v>346.8</v>
      </c>
      <c r="F20" s="42">
        <f>IF(B20&lt;&gt;"",VLOOKUP(B20,Calories[], 4)*D20,"")</f>
        <v>11.843999999999999</v>
      </c>
      <c r="G20" s="42">
        <f>IF(B20&lt;&gt;"",VLOOKUP(B20,Calories[], 5)*D20,"")</f>
        <v>7.08</v>
      </c>
      <c r="H20" s="42">
        <f>IF(B20&lt;&gt;"",VLOOKUP(B20,Calories[], 6)*D20,"")</f>
        <v>0.6</v>
      </c>
      <c r="I20" s="42">
        <f>IF(B20&lt;&gt;"",VLOOKUP(B20,Calories[], 7)*D20,"")</f>
        <v>12.756</v>
      </c>
      <c r="J20" s="43">
        <f>IF(B20&lt;&gt;"",VLOOKUP(B20,Calories[], 8)*D20,"")</f>
        <v>0</v>
      </c>
    </row>
    <row r="21" spans="2:10">
      <c r="B21" s="10"/>
      <c r="C21" s="11" t="str">
        <f>IF(B21&lt;&gt;"",VLOOKUP(B21,Calories[], 2),"")</f>
        <v/>
      </c>
      <c r="D21" s="11"/>
      <c r="E21" s="37" t="str">
        <f>IF(B21&lt;&gt;"",VLOOKUP(B21,Calories[], 3)*D21,"")</f>
        <v/>
      </c>
      <c r="F21" s="42" t="str">
        <f>IF(B21&lt;&gt;"",VLOOKUP(B21,Calories[], 4)*D21,"")</f>
        <v/>
      </c>
      <c r="G21" s="42" t="str">
        <f>IF(B21&lt;&gt;"",VLOOKUP(B21,Calories[], 5)*D21,"")</f>
        <v/>
      </c>
      <c r="H21" s="42" t="str">
        <f>IF(B21&lt;&gt;"",VLOOKUP(B21,Calories[], 6)*D21,"")</f>
        <v/>
      </c>
      <c r="I21" s="42" t="str">
        <f>IF(B21&lt;&gt;"",VLOOKUP(B21,Calories[], 7)*D21,"")</f>
        <v/>
      </c>
      <c r="J21" s="43" t="str">
        <f>IF(B21&lt;&gt;"",VLOOKUP(B21,Calories[], 8)*D21,"")</f>
        <v/>
      </c>
    </row>
    <row r="22" spans="2:10">
      <c r="B22" s="10"/>
      <c r="C22" s="11" t="str">
        <f>IF(B22&lt;&gt;"",VLOOKUP(B22,Calories[], 2),"")</f>
        <v/>
      </c>
      <c r="D22" s="11"/>
      <c r="E22" s="37" t="str">
        <f>IF(B22&lt;&gt;"",VLOOKUP(B22,Calories[], 3)*D22,"")</f>
        <v/>
      </c>
      <c r="F22" s="42" t="str">
        <f>IF(B22&lt;&gt;"",VLOOKUP(B22,Calories[], 4)*D22,"")</f>
        <v/>
      </c>
      <c r="G22" s="42" t="str">
        <f>IF(B22&lt;&gt;"",VLOOKUP(B22,Calories[], 5)*D22,"")</f>
        <v/>
      </c>
      <c r="H22" s="42" t="str">
        <f>IF(B22&lt;&gt;"",VLOOKUP(B22,Calories[], 6)*D22,"")</f>
        <v/>
      </c>
      <c r="I22" s="42" t="str">
        <f>IF(B22&lt;&gt;"",VLOOKUP(B22,Calories[], 7)*D22,"")</f>
        <v/>
      </c>
      <c r="J22" s="43" t="str">
        <f>IF(B22&lt;&gt;"",VLOOKUP(B22,Calories[], 8)*D22,"")</f>
        <v/>
      </c>
    </row>
    <row r="23" spans="2:10">
      <c r="B23" s="10"/>
      <c r="C23" s="11" t="str">
        <f>IF(B23&lt;&gt;"",VLOOKUP(B23,Calories[], 2),"")</f>
        <v/>
      </c>
      <c r="D23" s="11"/>
      <c r="E23" s="37" t="str">
        <f>IF(B23&lt;&gt;"",VLOOKUP(B23,Calories[], 3)*D23,"")</f>
        <v/>
      </c>
      <c r="F23" s="42" t="str">
        <f>IF(B23&lt;&gt;"",VLOOKUP(B23,Calories[], 4)*D23,"")</f>
        <v/>
      </c>
      <c r="G23" s="42" t="str">
        <f>IF(B23&lt;&gt;"",VLOOKUP(B23,Calories[], 5)*D23,"")</f>
        <v/>
      </c>
      <c r="H23" s="42" t="str">
        <f>IF(B23&lt;&gt;"",VLOOKUP(B23,Calories[], 6)*D23,"")</f>
        <v/>
      </c>
      <c r="I23" s="42" t="str">
        <f>IF(B23&lt;&gt;"",VLOOKUP(B23,Calories[], 7)*D23,"")</f>
        <v/>
      </c>
      <c r="J23" s="43" t="str">
        <f>IF(B23&lt;&gt;"",VLOOKUP(B23,Calories[], 8)*D23,"")</f>
        <v/>
      </c>
    </row>
    <row r="24" spans="2:10">
      <c r="B24" s="10"/>
      <c r="C24" s="11" t="str">
        <f>IF(B24&lt;&gt;"",VLOOKUP(B24,Calories[], 2),"")</f>
        <v/>
      </c>
      <c r="D24" s="11"/>
      <c r="E24" s="37" t="str">
        <f>IF(B24&lt;&gt;"",VLOOKUP(B24,Calories[], 3)*D24,"")</f>
        <v/>
      </c>
      <c r="F24" s="42" t="str">
        <f>IF(B24&lt;&gt;"",VLOOKUP(B24,Calories[], 4)*D24,"")</f>
        <v/>
      </c>
      <c r="G24" s="42" t="str">
        <f>IF(B24&lt;&gt;"",VLOOKUP(B24,Calories[], 5)*D24,"")</f>
        <v/>
      </c>
      <c r="H24" s="42" t="str">
        <f>IF(B24&lt;&gt;"",VLOOKUP(B24,Calories[], 6)*D24,"")</f>
        <v/>
      </c>
      <c r="I24" s="42" t="str">
        <f>IF(B24&lt;&gt;"",VLOOKUP(B24,Calories[], 7)*D24,"")</f>
        <v/>
      </c>
      <c r="J24" s="43" t="str">
        <f>IF(B24&lt;&gt;"",VLOOKUP(B24,Calories[], 8)*D24,"")</f>
        <v/>
      </c>
    </row>
    <row r="25" spans="2:10">
      <c r="B25" s="10"/>
      <c r="C25" s="11" t="str">
        <f>IF(B25&lt;&gt;"",VLOOKUP(B25,Calories[], 2),"")</f>
        <v/>
      </c>
      <c r="D25" s="11"/>
      <c r="E25" s="37" t="str">
        <f>IF(B25&lt;&gt;"",VLOOKUP(B25,Calories[], 3)*D25,"")</f>
        <v/>
      </c>
      <c r="F25" s="42" t="str">
        <f>IF(B25&lt;&gt;"",VLOOKUP(B25,Calories[], 4)*D25,"")</f>
        <v/>
      </c>
      <c r="G25" s="42" t="str">
        <f>IF(B25&lt;&gt;"",VLOOKUP(B25,Calories[], 5)*D25,"")</f>
        <v/>
      </c>
      <c r="H25" s="42" t="str">
        <f>IF(B25&lt;&gt;"",VLOOKUP(B25,Calories[], 6)*D25,"")</f>
        <v/>
      </c>
      <c r="I25" s="42" t="str">
        <f>IF(B25&lt;&gt;"",VLOOKUP(B25,Calories[], 7)*D25,"")</f>
        <v/>
      </c>
      <c r="J25" s="43" t="str">
        <f>IF(B25&lt;&gt;"",VLOOKUP(B25,Calories[], 8)*D25,"")</f>
        <v/>
      </c>
    </row>
    <row r="26" spans="2:10">
      <c r="B26" s="10"/>
      <c r="C26" s="11" t="str">
        <f>IF(B26&lt;&gt;"",VLOOKUP(B26,Calories[], 2),"")</f>
        <v/>
      </c>
      <c r="D26" s="11"/>
      <c r="E26" s="37" t="str">
        <f>IF(B26&lt;&gt;"",VLOOKUP(B26,Calories[], 3)*D26,"")</f>
        <v/>
      </c>
      <c r="F26" s="42" t="str">
        <f>IF(B26&lt;&gt;"",VLOOKUP(B26,Calories[], 4)*D26,"")</f>
        <v/>
      </c>
      <c r="G26" s="42" t="str">
        <f>IF(B26&lt;&gt;"",VLOOKUP(B26,Calories[], 5)*D26,"")</f>
        <v/>
      </c>
      <c r="H26" s="42" t="str">
        <f>IF(B26&lt;&gt;"",VLOOKUP(B26,Calories[], 6)*D26,"")</f>
        <v/>
      </c>
      <c r="I26" s="42" t="str">
        <f>IF(B26&lt;&gt;"",VLOOKUP(B26,Calories[], 7)*D26,"")</f>
        <v/>
      </c>
      <c r="J26" s="43" t="str">
        <f>IF(B26&lt;&gt;"",VLOOKUP(B26,Calories[], 8)*D26,"")</f>
        <v/>
      </c>
    </row>
    <row r="27" spans="2:10">
      <c r="B27" s="10"/>
      <c r="C27" s="11" t="str">
        <f>IF(B27&lt;&gt;"",VLOOKUP(B27,Calories[], 2),"")</f>
        <v/>
      </c>
      <c r="D27" s="11"/>
      <c r="E27" s="37" t="str">
        <f>IF(B27&lt;&gt;"",VLOOKUP(B27,Calories[], 3)*D27,"")</f>
        <v/>
      </c>
      <c r="F27" s="42" t="str">
        <f>IF(B27&lt;&gt;"",VLOOKUP(B27,Calories[], 4)*D27,"")</f>
        <v/>
      </c>
      <c r="G27" s="42" t="str">
        <f>IF(B27&lt;&gt;"",VLOOKUP(B27,Calories[], 5)*D27,"")</f>
        <v/>
      </c>
      <c r="H27" s="42" t="str">
        <f>IF(B27&lt;&gt;"",VLOOKUP(B27,Calories[], 6)*D27,"")</f>
        <v/>
      </c>
      <c r="I27" s="42" t="str">
        <f>IF(B27&lt;&gt;"",VLOOKUP(B27,Calories[], 7)*D27,"")</f>
        <v/>
      </c>
      <c r="J27" s="43" t="str">
        <f>IF(B27&lt;&gt;"",VLOOKUP(B27,Calories[], 8)*D27,"")</f>
        <v/>
      </c>
    </row>
    <row r="28" spans="2:10" ht="15" thickBot="1">
      <c r="B28" s="12"/>
      <c r="C28" s="13" t="str">
        <f>IF(B28&lt;&gt;"",VLOOKUP(B28,Calories[], 2),"")</f>
        <v/>
      </c>
      <c r="D28" s="13"/>
      <c r="E28" s="52" t="str">
        <f>IF(B28&lt;&gt;"",VLOOKUP(B28,Calories[], 3)*D28,"")</f>
        <v/>
      </c>
      <c r="F28" s="53" t="str">
        <f>IF(B28&lt;&gt;"",VLOOKUP(B28,Calories[], 4)*D28,"")</f>
        <v/>
      </c>
      <c r="G28" s="53" t="str">
        <f>IF(B28&lt;&gt;"",VLOOKUP(B28,Calories[], 5)*D28,"")</f>
        <v/>
      </c>
      <c r="H28" s="53" t="str">
        <f>IF(B28&lt;&gt;"",VLOOKUP(B28,Calories[], 6)*D28,"")</f>
        <v/>
      </c>
      <c r="I28" s="53" t="str">
        <f>IF(B28&lt;&gt;"",VLOOKUP(B28,Calories[], 7)*D28,"")</f>
        <v/>
      </c>
      <c r="J28" s="54" t="str">
        <f>IF(B28&lt;&gt;"",VLOOKUP(B28,Calories[], 8)*D28,"")</f>
        <v/>
      </c>
    </row>
    <row r="29" spans="2:10" ht="5.0999999999999996" customHeight="1" thickBot="1"/>
    <row r="30" spans="2:10">
      <c r="B30" s="1" t="s">
        <v>111</v>
      </c>
      <c r="C30" s="2"/>
      <c r="D30" s="2"/>
      <c r="E30" s="46"/>
      <c r="F30" s="46"/>
      <c r="G30" s="46"/>
      <c r="H30" s="46"/>
      <c r="I30" s="46"/>
      <c r="J30" s="47"/>
    </row>
    <row r="31" spans="2:10" ht="5.0999999999999996" customHeight="1">
      <c r="B31" s="7"/>
      <c r="C31" s="33"/>
      <c r="D31" s="33"/>
      <c r="E31" s="48"/>
      <c r="F31" s="48"/>
      <c r="G31" s="48"/>
      <c r="H31" s="48"/>
      <c r="I31" s="48"/>
      <c r="J31" s="49"/>
    </row>
    <row r="32" spans="2:10" ht="14.45" customHeight="1">
      <c r="B32" s="7" t="s">
        <v>469</v>
      </c>
      <c r="C32" s="33">
        <v>0</v>
      </c>
      <c r="D32" s="33"/>
      <c r="E32" s="48"/>
      <c r="F32" s="48"/>
      <c r="G32" s="48"/>
      <c r="H32" s="48"/>
      <c r="I32" s="48"/>
      <c r="J32" s="49"/>
    </row>
    <row r="33" spans="2:10" ht="14.45" customHeight="1">
      <c r="B33" s="7" t="s">
        <v>470</v>
      </c>
      <c r="C33" s="33">
        <v>0</v>
      </c>
      <c r="D33" s="33"/>
      <c r="E33" s="48"/>
      <c r="F33" s="48"/>
      <c r="G33" s="48"/>
      <c r="H33" s="48"/>
      <c r="I33" s="48"/>
      <c r="J33" s="49"/>
    </row>
    <row r="34" spans="2:10" ht="14.45" customHeight="1">
      <c r="B34" s="7" t="s">
        <v>471</v>
      </c>
      <c r="C34" s="33">
        <v>0</v>
      </c>
      <c r="D34" s="33"/>
      <c r="E34" s="48"/>
      <c r="F34" s="48"/>
      <c r="G34" s="48"/>
      <c r="H34" s="48"/>
      <c r="I34" s="48"/>
      <c r="J34" s="49"/>
    </row>
    <row r="35" spans="2:10" ht="14.45" customHeight="1">
      <c r="B35" s="7" t="s">
        <v>459</v>
      </c>
      <c r="C35" s="34"/>
      <c r="D35" s="34"/>
      <c r="E35" s="44">
        <f t="shared" ref="E35:J35" si="1">SUM(E39:E56)</f>
        <v>0</v>
      </c>
      <c r="F35" s="44">
        <f t="shared" si="1"/>
        <v>0</v>
      </c>
      <c r="G35" s="44">
        <f t="shared" si="1"/>
        <v>0</v>
      </c>
      <c r="H35" s="44">
        <f t="shared" si="1"/>
        <v>0</v>
      </c>
      <c r="I35" s="44">
        <f t="shared" si="1"/>
        <v>0</v>
      </c>
      <c r="J35" s="45">
        <f t="shared" si="1"/>
        <v>0</v>
      </c>
    </row>
    <row r="36" spans="2:10" ht="14.45" customHeight="1">
      <c r="B36" s="7" t="s">
        <v>472</v>
      </c>
      <c r="C36" s="35"/>
      <c r="D36" s="35"/>
      <c r="E36" s="50">
        <f>IFERROR(E35/C34,0)</f>
        <v>0</v>
      </c>
      <c r="F36" s="50">
        <f>IFERROR(F35/C34,0)</f>
        <v>0</v>
      </c>
      <c r="G36" s="50">
        <f>IFERROR(G35/C34,0)</f>
        <v>0</v>
      </c>
      <c r="H36" s="50">
        <f>IFERROR(H35/C34,0)</f>
        <v>0</v>
      </c>
      <c r="I36" s="50">
        <f>IFERROR(I35/C34,0)</f>
        <v>0</v>
      </c>
      <c r="J36" s="51">
        <f>IFERROR(J35/C34,0)</f>
        <v>0</v>
      </c>
    </row>
    <row r="37" spans="2:10" ht="5.0999999999999996" customHeight="1">
      <c r="B37" s="7"/>
      <c r="C37" s="33"/>
      <c r="D37" s="33"/>
      <c r="E37" s="48"/>
      <c r="F37" s="48"/>
      <c r="G37" s="48"/>
      <c r="H37" s="48"/>
      <c r="I37" s="48"/>
      <c r="J37" s="49"/>
    </row>
    <row r="38" spans="2:10">
      <c r="B38" s="3" t="s">
        <v>473</v>
      </c>
      <c r="C38" s="4" t="s">
        <v>3</v>
      </c>
      <c r="D38" s="4" t="s">
        <v>2</v>
      </c>
      <c r="E38" s="4" t="s">
        <v>112</v>
      </c>
      <c r="F38" s="4" t="s">
        <v>5</v>
      </c>
      <c r="G38" s="4" t="s">
        <v>6</v>
      </c>
      <c r="H38" s="4" t="s">
        <v>8</v>
      </c>
      <c r="I38" s="4" t="s">
        <v>9</v>
      </c>
      <c r="J38" s="5" t="s">
        <v>113</v>
      </c>
    </row>
    <row r="39" spans="2:10">
      <c r="B39" s="8"/>
      <c r="C39" s="9" t="str">
        <f>IF(B39&lt;&gt;"",VLOOKUP(B39,Calories[], 2),"")</f>
        <v/>
      </c>
      <c r="D39" s="9"/>
      <c r="E39" s="38" t="str">
        <f>IF(B39&lt;&gt;"",VLOOKUP(B39,Calories[], 3)*D39,"")</f>
        <v/>
      </c>
      <c r="F39" s="42" t="str">
        <f>IF(B39&lt;&gt;"",VLOOKUP(B39,Calories[], 4)*D39,"")</f>
        <v/>
      </c>
      <c r="G39" s="42" t="str">
        <f>IF(B39&lt;&gt;"",VLOOKUP(B39,Calories[], 5)*D39,"")</f>
        <v/>
      </c>
      <c r="H39" s="42" t="str">
        <f>IF(B39&lt;&gt;"",VLOOKUP(B39,Calories[], 6)*D39,"")</f>
        <v/>
      </c>
      <c r="I39" s="42" t="str">
        <f>IF(B39&lt;&gt;"",VLOOKUP(B39,Calories[], 7)*D39,"")</f>
        <v/>
      </c>
      <c r="J39" s="43" t="str">
        <f>IF(B39&lt;&gt;"",VLOOKUP(B39,Calories[], 8)*D39,"")</f>
        <v/>
      </c>
    </row>
    <row r="40" spans="2:10">
      <c r="B40" s="10"/>
      <c r="C40" s="9" t="str">
        <f>IF(B40&lt;&gt;"",VLOOKUP(B40,Calories[], 2),"")</f>
        <v/>
      </c>
      <c r="D40" s="11"/>
      <c r="E40" s="38" t="str">
        <f>IF(B40&lt;&gt;"",VLOOKUP(B40,Calories[], 3)*D40,"")</f>
        <v/>
      </c>
      <c r="F40" s="42" t="str">
        <f>IF(B40&lt;&gt;"",VLOOKUP(B40,Calories[], 4)*D40,"")</f>
        <v/>
      </c>
      <c r="G40" s="42" t="str">
        <f>IF(B40&lt;&gt;"",VLOOKUP(B40,Calories[], 5)*D40,"")</f>
        <v/>
      </c>
      <c r="H40" s="42" t="str">
        <f>IF(B40&lt;&gt;"",VLOOKUP(B40,Calories[], 5)*D40,"")</f>
        <v/>
      </c>
      <c r="I40" s="42" t="str">
        <f>IF(B40&lt;&gt;"",VLOOKUP(B40,Calories[], 6)*D40,"")</f>
        <v/>
      </c>
      <c r="J40" s="43" t="str">
        <f>IF(B40&lt;&gt;"",VLOOKUP(B40,Calories[], 7)*D40,"")</f>
        <v/>
      </c>
    </row>
    <row r="41" spans="2:10">
      <c r="B41" s="10"/>
      <c r="C41" s="9" t="str">
        <f>IF(B41&lt;&gt;"",VLOOKUP(B41,Calories[], 2),"")</f>
        <v/>
      </c>
      <c r="D41" s="11"/>
      <c r="E41" s="38" t="str">
        <f>IF(B41&lt;&gt;"",VLOOKUP(B41,Calories[], 3)*D41,"")</f>
        <v/>
      </c>
      <c r="F41" s="42" t="str">
        <f>IF(B41&lt;&gt;"",VLOOKUP(B41,Calories[], 4)*D41,"")</f>
        <v/>
      </c>
      <c r="G41" s="42" t="str">
        <f>IF(B41&lt;&gt;"",VLOOKUP(B41,Calories[], 5)*D41,"")</f>
        <v/>
      </c>
      <c r="H41" s="42" t="str">
        <f>IF(B41&lt;&gt;"",VLOOKUP(B41,Calories[], 5)*D41,"")</f>
        <v/>
      </c>
      <c r="I41" s="42" t="str">
        <f>IF(B41&lt;&gt;"",VLOOKUP(B41,Calories[], 6)*D41,"")</f>
        <v/>
      </c>
      <c r="J41" s="43" t="str">
        <f>IF(B41&lt;&gt;"",VLOOKUP(B41,Calories[], 7)*D41,"")</f>
        <v/>
      </c>
    </row>
    <row r="42" spans="2:10">
      <c r="B42" s="10"/>
      <c r="C42" s="9" t="str">
        <f>IF(B42&lt;&gt;"",VLOOKUP(B42,Calories[], 2),"")</f>
        <v/>
      </c>
      <c r="D42" s="11"/>
      <c r="E42" s="38" t="str">
        <f>IF(B42&lt;&gt;"",VLOOKUP(B42,Calories[], 3)*D42,"")</f>
        <v/>
      </c>
      <c r="F42" s="42" t="str">
        <f>IF(B42&lt;&gt;"",VLOOKUP(B42,Calories[], 4)*D42,"")</f>
        <v/>
      </c>
      <c r="G42" s="42" t="str">
        <f>IF(B42&lt;&gt;"",VLOOKUP(B42,Calories[], 5)*D42,"")</f>
        <v/>
      </c>
      <c r="H42" s="42" t="str">
        <f>IF(B42&lt;&gt;"",VLOOKUP(B42,Calories[], 5)*D42,"")</f>
        <v/>
      </c>
      <c r="I42" s="42" t="str">
        <f>IF(B42&lt;&gt;"",VLOOKUP(B42,Calories[], 6)*D42,"")</f>
        <v/>
      </c>
      <c r="J42" s="43" t="str">
        <f>IF(B42&lt;&gt;"",VLOOKUP(B42,Calories[], 7)*D42,"")</f>
        <v/>
      </c>
    </row>
    <row r="43" spans="2:10">
      <c r="B43" s="10"/>
      <c r="C43" s="9" t="str">
        <f>IF(B43&lt;&gt;"",VLOOKUP(B43,Calories[], 2),"")</f>
        <v/>
      </c>
      <c r="D43" s="11"/>
      <c r="E43" s="38" t="str">
        <f>IF(B43&lt;&gt;"",VLOOKUP(B43,Calories[], 3)*D43,"")</f>
        <v/>
      </c>
      <c r="F43" s="36" t="str">
        <f>IF(B43&lt;&gt;"",VLOOKUP(B43,Calories[], 4)*D43,"")</f>
        <v/>
      </c>
      <c r="G43" s="42" t="str">
        <f>IF(B43&lt;&gt;"",VLOOKUP(B43,Calories[], 5)*D43,"")</f>
        <v/>
      </c>
      <c r="H43" s="36" t="str">
        <f>IF(B43&lt;&gt;"",VLOOKUP(B43,Calories[], 5)*D43,"")</f>
        <v/>
      </c>
      <c r="I43" s="36" t="str">
        <f>IF(B43&lt;&gt;"",VLOOKUP(B43,Calories[], 6)*D43,"")</f>
        <v/>
      </c>
      <c r="J43" s="14" t="str">
        <f>IF(B43&lt;&gt;"",VLOOKUP(B43,Calories[], 7)*D43,"")</f>
        <v/>
      </c>
    </row>
    <row r="44" spans="2:10">
      <c r="B44" s="10"/>
      <c r="C44" s="9" t="str">
        <f>IF(B44&lt;&gt;"",VLOOKUP(B44,Calories[], 2),"")</f>
        <v/>
      </c>
      <c r="D44" s="11"/>
      <c r="E44" s="38" t="str">
        <f>IF(B44&lt;&gt;"",VLOOKUP(B44,Calories[], 3)*D44,"")</f>
        <v/>
      </c>
      <c r="F44" s="36" t="str">
        <f>IF(B44&lt;&gt;"",VLOOKUP(B44,Calories[], 4)*D44,"")</f>
        <v/>
      </c>
      <c r="G44" s="42" t="str">
        <f>IF(B44&lt;&gt;"",VLOOKUP(B44,Calories[], 5)*D44,"")</f>
        <v/>
      </c>
      <c r="H44" s="36" t="str">
        <f>IF(B44&lt;&gt;"",VLOOKUP(B44,Calories[], 5)*D44,"")</f>
        <v/>
      </c>
      <c r="I44" s="36" t="str">
        <f>IF(B44&lt;&gt;"",VLOOKUP(B44,Calories[], 6)*D44,"")</f>
        <v/>
      </c>
      <c r="J44" s="14" t="str">
        <f>IF(B44&lt;&gt;"",VLOOKUP(B44,Calories[], 7)*D44,"")</f>
        <v/>
      </c>
    </row>
    <row r="45" spans="2:10">
      <c r="B45" s="10"/>
      <c r="C45" s="9" t="str">
        <f>IF(B45&lt;&gt;"",VLOOKUP(B45,Calories[], 2),"")</f>
        <v/>
      </c>
      <c r="D45" s="11"/>
      <c r="E45" s="38" t="str">
        <f>IF(B45&lt;&gt;"",VLOOKUP(B45,Calories[], 3)*D45,"")</f>
        <v/>
      </c>
      <c r="F45" s="36" t="str">
        <f>IF(B45&lt;&gt;"",VLOOKUP(B45,Calories[], 4)*D45,"")</f>
        <v/>
      </c>
      <c r="G45" s="42" t="str">
        <f>IF(B45&lt;&gt;"",VLOOKUP(B45,Calories[], 5)*D45,"")</f>
        <v/>
      </c>
      <c r="H45" s="36" t="str">
        <f>IF(B45&lt;&gt;"",VLOOKUP(B45,Calories[], 5)*D45,"")</f>
        <v/>
      </c>
      <c r="I45" s="36" t="str">
        <f>IF(B45&lt;&gt;"",VLOOKUP(B45,Calories[], 6)*D45,"")</f>
        <v/>
      </c>
      <c r="J45" s="14" t="str">
        <f>IF(B45&lt;&gt;"",VLOOKUP(B45,Calories[], 7)*D45,"")</f>
        <v/>
      </c>
    </row>
    <row r="46" spans="2:10">
      <c r="B46" s="10"/>
      <c r="C46" s="9" t="str">
        <f>IF(B46&lt;&gt;"",VLOOKUP(B46,Calories[], 2),"")</f>
        <v/>
      </c>
      <c r="D46" s="11"/>
      <c r="E46" s="38" t="str">
        <f>IF(B46&lt;&gt;"",VLOOKUP(B46,Calories[], 3)*D46,"")</f>
        <v/>
      </c>
      <c r="F46" s="36" t="str">
        <f>IF(B46&lt;&gt;"",VLOOKUP(B46,Calories[], 4)*D46,"")</f>
        <v/>
      </c>
      <c r="G46" s="42" t="str">
        <f>IF(B46&lt;&gt;"",VLOOKUP(B46,Calories[], 5)*D46,"")</f>
        <v/>
      </c>
      <c r="H46" s="36" t="str">
        <f>IF(B46&lt;&gt;"",VLOOKUP(B46,Calories[], 5)*D46,"")</f>
        <v/>
      </c>
      <c r="I46" s="36" t="str">
        <f>IF(B46&lt;&gt;"",VLOOKUP(B46,Calories[], 6)*D46,"")</f>
        <v/>
      </c>
      <c r="J46" s="14" t="str">
        <f>IF(B46&lt;&gt;"",VLOOKUP(B46,Calories[], 7)*D46,"")</f>
        <v/>
      </c>
    </row>
    <row r="47" spans="2:10">
      <c r="B47" s="10"/>
      <c r="C47" s="9" t="str">
        <f>IF(B47&lt;&gt;"",VLOOKUP(B47,Calories[], 2),"")</f>
        <v/>
      </c>
      <c r="D47" s="11"/>
      <c r="E47" s="38" t="str">
        <f>IF(B47&lt;&gt;"",VLOOKUP(B47,Calories[], 3)*D47,"")</f>
        <v/>
      </c>
      <c r="F47" s="36" t="str">
        <f>IF(B47&lt;&gt;"",VLOOKUP(B47,Calories[], 4)*D47,"")</f>
        <v/>
      </c>
      <c r="G47" s="42" t="str">
        <f>IF(B47&lt;&gt;"",VLOOKUP(B47,Calories[], 5)*D47,"")</f>
        <v/>
      </c>
      <c r="H47" s="36" t="str">
        <f>IF(B47&lt;&gt;"",VLOOKUP(B47,Calories[], 5)*D47,"")</f>
        <v/>
      </c>
      <c r="I47" s="36" t="str">
        <f>IF(B47&lt;&gt;"",VLOOKUP(B47,Calories[], 6)*D47,"")</f>
        <v/>
      </c>
      <c r="J47" s="14" t="str">
        <f>IF(B47&lt;&gt;"",VLOOKUP(B47,Calories[], 7)*D47,"")</f>
        <v/>
      </c>
    </row>
    <row r="48" spans="2:10">
      <c r="B48" s="10"/>
      <c r="C48" s="9" t="str">
        <f>IF(B48&lt;&gt;"",VLOOKUP(B48,Calories[], 2),"")</f>
        <v/>
      </c>
      <c r="D48" s="11"/>
      <c r="E48" s="38" t="str">
        <f>IF(B48&lt;&gt;"",VLOOKUP(B48,Calories[], 3)*D48,"")</f>
        <v/>
      </c>
      <c r="F48" s="36" t="str">
        <f>IF(B48&lt;&gt;"",VLOOKUP(B48,Calories[], 4)*D48,"")</f>
        <v/>
      </c>
      <c r="G48" s="42" t="str">
        <f>IF(B48&lt;&gt;"",VLOOKUP(B48,Calories[], 5)*D48,"")</f>
        <v/>
      </c>
      <c r="H48" s="36" t="str">
        <f>IF(B48&lt;&gt;"",VLOOKUP(B48,Calories[], 5)*D48,"")</f>
        <v/>
      </c>
      <c r="I48" s="36" t="str">
        <f>IF(B48&lt;&gt;"",VLOOKUP(B48,Calories[], 6)*D48,"")</f>
        <v/>
      </c>
      <c r="J48" s="14" t="str">
        <f>IF(B48&lt;&gt;"",VLOOKUP(B48,Calories[], 7)*D48,"")</f>
        <v/>
      </c>
    </row>
    <row r="49" spans="2:10">
      <c r="B49" s="10"/>
      <c r="C49" s="9" t="str">
        <f>IF(B49&lt;&gt;"",VLOOKUP(B49,Calories[], 2),"")</f>
        <v/>
      </c>
      <c r="D49" s="11"/>
      <c r="E49" s="38" t="str">
        <f>IF(B49&lt;&gt;"",VLOOKUP(B49,Calories[], 3)*D49,"")</f>
        <v/>
      </c>
      <c r="F49" s="36" t="str">
        <f>IF(B49&lt;&gt;"",VLOOKUP(B49,Calories[], 4)*D49,"")</f>
        <v/>
      </c>
      <c r="G49" s="42" t="str">
        <f>IF(B49&lt;&gt;"",VLOOKUP(B49,Calories[], 5)*D49,"")</f>
        <v/>
      </c>
      <c r="H49" s="36" t="str">
        <f>IF(B49&lt;&gt;"",VLOOKUP(B49,Calories[], 5)*D49,"")</f>
        <v/>
      </c>
      <c r="I49" s="36" t="str">
        <f>IF(B49&lt;&gt;"",VLOOKUP(B49,Calories[], 6)*D49,"")</f>
        <v/>
      </c>
      <c r="J49" s="14" t="str">
        <f>IF(B49&lt;&gt;"",VLOOKUP(B49,Calories[], 7)*D49,"")</f>
        <v/>
      </c>
    </row>
    <row r="50" spans="2:10">
      <c r="B50" s="10"/>
      <c r="C50" s="9" t="str">
        <f>IF(B50&lt;&gt;"",VLOOKUP(B50,Calories[], 2),"")</f>
        <v/>
      </c>
      <c r="D50" s="11"/>
      <c r="E50" s="38" t="str">
        <f>IF(B50&lt;&gt;"",VLOOKUP(B50,Calories[], 3)*D50,"")</f>
        <v/>
      </c>
      <c r="F50" s="36" t="str">
        <f>IF(B50&lt;&gt;"",VLOOKUP(B50,Calories[], 4)*D50,"")</f>
        <v/>
      </c>
      <c r="G50" s="42" t="str">
        <f>IF(B50&lt;&gt;"",VLOOKUP(B50,Calories[], 5)*D50,"")</f>
        <v/>
      </c>
      <c r="H50" s="36" t="str">
        <f>IF(B50&lt;&gt;"",VLOOKUP(B50,Calories[], 5)*D50,"")</f>
        <v/>
      </c>
      <c r="I50" s="36" t="str">
        <f>IF(B50&lt;&gt;"",VLOOKUP(B50,Calories[], 6)*D50,"")</f>
        <v/>
      </c>
      <c r="J50" s="14" t="str">
        <f>IF(B50&lt;&gt;"",VLOOKUP(B50,Calories[], 7)*D50,"")</f>
        <v/>
      </c>
    </row>
    <row r="51" spans="2:10">
      <c r="B51" s="10"/>
      <c r="C51" s="9" t="str">
        <f>IF(B51&lt;&gt;"",VLOOKUP(B51,Calories[], 2),"")</f>
        <v/>
      </c>
      <c r="D51" s="11"/>
      <c r="E51" s="38" t="str">
        <f>IF(B51&lt;&gt;"",VLOOKUP(B51,Calories[], 3)*D51,"")</f>
        <v/>
      </c>
      <c r="F51" s="36" t="str">
        <f>IF(B51&lt;&gt;"",VLOOKUP(B51,Calories[], 4)*D51,"")</f>
        <v/>
      </c>
      <c r="G51" s="42" t="str">
        <f>IF(B51&lt;&gt;"",VLOOKUP(B51,Calories[], 5)*D51,"")</f>
        <v/>
      </c>
      <c r="H51" s="36" t="str">
        <f>IF(B51&lt;&gt;"",VLOOKUP(B51,Calories[], 5)*D51,"")</f>
        <v/>
      </c>
      <c r="I51" s="36" t="str">
        <f>IF(B51&lt;&gt;"",VLOOKUP(B51,Calories[], 6)*D51,"")</f>
        <v/>
      </c>
      <c r="J51" s="14" t="str">
        <f>IF(B51&lt;&gt;"",VLOOKUP(B51,Calories[], 7)*D51,"")</f>
        <v/>
      </c>
    </row>
    <row r="52" spans="2:10">
      <c r="B52" s="10"/>
      <c r="C52" s="9" t="str">
        <f>IF(B52&lt;&gt;"",VLOOKUP(B52,Calories[], 2),"")</f>
        <v/>
      </c>
      <c r="D52" s="11"/>
      <c r="E52" s="38" t="str">
        <f>IF(B52&lt;&gt;"",VLOOKUP(B52,Calories[], 3)*D52,"")</f>
        <v/>
      </c>
      <c r="F52" s="36" t="str">
        <f>IF(B52&lt;&gt;"",VLOOKUP(B52,Calories[], 4)*D52,"")</f>
        <v/>
      </c>
      <c r="G52" s="42" t="str">
        <f>IF(B52&lt;&gt;"",VLOOKUP(B52,Calories[], 5)*D52,"")</f>
        <v/>
      </c>
      <c r="H52" s="36" t="str">
        <f>IF(B52&lt;&gt;"",VLOOKUP(B52,Calories[], 5)*D52,"")</f>
        <v/>
      </c>
      <c r="I52" s="36" t="str">
        <f>IF(B52&lt;&gt;"",VLOOKUP(B52,Calories[], 6)*D52,"")</f>
        <v/>
      </c>
      <c r="J52" s="14" t="str">
        <f>IF(B52&lt;&gt;"",VLOOKUP(B52,Calories[], 7)*D52,"")</f>
        <v/>
      </c>
    </row>
    <row r="53" spans="2:10">
      <c r="B53" s="10"/>
      <c r="C53" s="9" t="str">
        <f>IF(B53&lt;&gt;"",VLOOKUP(B53,Calories[], 2),"")</f>
        <v/>
      </c>
      <c r="D53" s="11"/>
      <c r="E53" s="38" t="str">
        <f>IF(B53&lt;&gt;"",VLOOKUP(B53,Calories[], 3)*D53,"")</f>
        <v/>
      </c>
      <c r="F53" s="36" t="str">
        <f>IF(B53&lt;&gt;"",VLOOKUP(B53,Calories[], 4)*D53,"")</f>
        <v/>
      </c>
      <c r="G53" s="42" t="str">
        <f>IF(B53&lt;&gt;"",VLOOKUP(B53,Calories[], 5)*D53,"")</f>
        <v/>
      </c>
      <c r="H53" s="36" t="str">
        <f>IF(B53&lt;&gt;"",VLOOKUP(B53,Calories[], 5)*D53,"")</f>
        <v/>
      </c>
      <c r="I53" s="36" t="str">
        <f>IF(B53&lt;&gt;"",VLOOKUP(B53,Calories[], 6)*D53,"")</f>
        <v/>
      </c>
      <c r="J53" s="14" t="str">
        <f>IF(B53&lt;&gt;"",VLOOKUP(B53,Calories[], 7)*D53,"")</f>
        <v/>
      </c>
    </row>
    <row r="54" spans="2:10">
      <c r="B54" s="10"/>
      <c r="C54" s="9" t="str">
        <f>IF(B54&lt;&gt;"",VLOOKUP(B54,Calories[], 2),"")</f>
        <v/>
      </c>
      <c r="D54" s="11"/>
      <c r="E54" s="38" t="str">
        <f>IF(B54&lt;&gt;"",VLOOKUP(B54,Calories[], 3)*D54,"")</f>
        <v/>
      </c>
      <c r="F54" s="36" t="str">
        <f>IF(B54&lt;&gt;"",VLOOKUP(B54,Calories[], 4)*D54,"")</f>
        <v/>
      </c>
      <c r="G54" s="42" t="str">
        <f>IF(B54&lt;&gt;"",VLOOKUP(B54,Calories[], 5)*D54,"")</f>
        <v/>
      </c>
      <c r="H54" s="36" t="str">
        <f>IF(B54&lt;&gt;"",VLOOKUP(B54,Calories[], 5)*D54,"")</f>
        <v/>
      </c>
      <c r="I54" s="36" t="str">
        <f>IF(B54&lt;&gt;"",VLOOKUP(B54,Calories[], 6)*D54,"")</f>
        <v/>
      </c>
      <c r="J54" s="14" t="str">
        <f>IF(B54&lt;&gt;"",VLOOKUP(B54,Calories[], 7)*D54,"")</f>
        <v/>
      </c>
    </row>
    <row r="55" spans="2:10">
      <c r="B55" s="10"/>
      <c r="C55" s="9" t="str">
        <f>IF(B55&lt;&gt;"",VLOOKUP(B55,Calories[], 2),"")</f>
        <v/>
      </c>
      <c r="D55" s="11"/>
      <c r="E55" s="38" t="str">
        <f>IF(B55&lt;&gt;"",VLOOKUP(B55,Calories[], 3)*D55,"")</f>
        <v/>
      </c>
      <c r="F55" s="36" t="str">
        <f>IF(B55&lt;&gt;"",VLOOKUP(B55,Calories[], 4)*D55,"")</f>
        <v/>
      </c>
      <c r="G55" s="42" t="str">
        <f>IF(B55&lt;&gt;"",VLOOKUP(B55,Calories[], 5)*D55,"")</f>
        <v/>
      </c>
      <c r="H55" s="36" t="str">
        <f>IF(B55&lt;&gt;"",VLOOKUP(B55,Calories[], 5)*D55,"")</f>
        <v/>
      </c>
      <c r="I55" s="36" t="str">
        <f>IF(B55&lt;&gt;"",VLOOKUP(B55,Calories[], 6)*D55,"")</f>
        <v/>
      </c>
      <c r="J55" s="14" t="str">
        <f>IF(B55&lt;&gt;"",VLOOKUP(B55,Calories[], 7)*D55,"")</f>
        <v/>
      </c>
    </row>
    <row r="56" spans="2:10" ht="15" thickBot="1">
      <c r="B56" s="12"/>
      <c r="C56" s="55" t="str">
        <f>IF(B56&lt;&gt;"",VLOOKUP(B56,Calories[], 2),"")</f>
        <v/>
      </c>
      <c r="D56" s="13"/>
      <c r="E56" s="39" t="str">
        <f>IF(B56&lt;&gt;"",VLOOKUP(B56,Calories[], 3)*D56,"")</f>
        <v/>
      </c>
      <c r="F56" s="40" t="str">
        <f>IF(B56&lt;&gt;"",VLOOKUP(B56,Calories[], 4)*D56,"")</f>
        <v/>
      </c>
      <c r="G56" s="53" t="str">
        <f>IF(B56&lt;&gt;"",VLOOKUP(B56,Calories[], 5)*D56,"")</f>
        <v/>
      </c>
      <c r="H56" s="40" t="str">
        <f>IF(B56&lt;&gt;"",VLOOKUP(B56,Calories[], 5)*D56,"")</f>
        <v/>
      </c>
      <c r="I56" s="40" t="str">
        <f>IF(B56&lt;&gt;"",VLOOKUP(B56,Calories[], 6)*D56,"")</f>
        <v/>
      </c>
      <c r="J56" s="41" t="str">
        <f>IF(B56&lt;&gt;"",VLOOKUP(B56,Calories[], 7)*D56,"")</f>
        <v/>
      </c>
    </row>
    <row r="57" spans="2:10">
      <c r="B57" s="6" t="e">
        <f>Catalog!#REF!</f>
        <v>#REF!</v>
      </c>
    </row>
    <row r="58" spans="2:10">
      <c r="B58" s="6" t="str">
        <f>Catalog!B40</f>
        <v>Caffeine</v>
      </c>
    </row>
    <row r="59" spans="2:10">
      <c r="B59" s="6" t="str">
        <f>Catalog!B42</f>
        <v>Caraway seeds</v>
      </c>
    </row>
    <row r="60" spans="2:10">
      <c r="B60" s="6" t="e">
        <f>Catalog!#REF!</f>
        <v>#REF!</v>
      </c>
    </row>
    <row r="61" spans="2:10">
      <c r="B61" s="6" t="e">
        <f>Catalog!#REF!</f>
        <v>#REF!</v>
      </c>
    </row>
    <row r="62" spans="2:10">
      <c r="B62" s="6" t="str">
        <f>Catalog!B46</f>
        <v>Cauliflower, raw</v>
      </c>
    </row>
    <row r="63" spans="2:10">
      <c r="B63" s="6" t="e">
        <f>Catalog!#REF!</f>
        <v>#REF!</v>
      </c>
    </row>
    <row r="64" spans="2:10">
      <c r="B64" s="6" t="str">
        <f>Catalog!B51</f>
        <v>Cheese, Cracker Barrel</v>
      </c>
    </row>
    <row r="65" spans="2:2">
      <c r="B65" s="6" t="str">
        <f>Catalog!B53</f>
        <v>Cheese, Oka</v>
      </c>
    </row>
    <row r="66" spans="2:2">
      <c r="B66" s="6" t="str">
        <f>Catalog!B54</f>
        <v>Cheese, Parmesan</v>
      </c>
    </row>
    <row r="67" spans="2:2">
      <c r="B67" s="6" t="e">
        <f>Catalog!#REF!</f>
        <v>#REF!</v>
      </c>
    </row>
    <row r="68" spans="2:2">
      <c r="B68" s="6" t="str">
        <f>Catalog!B55</f>
        <v>Cheese, Philadelphia</v>
      </c>
    </row>
    <row r="69" spans="2:2">
      <c r="B69" s="6" t="e">
        <f>Catalog!#REF!</f>
        <v>#REF!</v>
      </c>
    </row>
    <row r="70" spans="2:2">
      <c r="B70" s="6" t="str">
        <f>Catalog!B56</f>
        <v>Cheeseburger, McDonald's</v>
      </c>
    </row>
    <row r="71" spans="2:2">
      <c r="B71" s="6" t="str">
        <f>Catalog!B57</f>
        <v>Cheetos puffs</v>
      </c>
    </row>
    <row r="72" spans="2:2">
      <c r="B72" s="6" t="e">
        <f>Catalog!#REF!</f>
        <v>#REF!</v>
      </c>
    </row>
    <row r="73" spans="2:2">
      <c r="B73" s="6" t="str">
        <f>Catalog!B58</f>
        <v>Chicken bouillon liquid</v>
      </c>
    </row>
    <row r="74" spans="2:2">
      <c r="B74" s="6" t="e">
        <f>Catalog!#REF!</f>
        <v>#REF!</v>
      </c>
    </row>
    <row r="75" spans="2:2">
      <c r="B75" s="6" t="str">
        <f>Catalog!B60</f>
        <v>Chicken dark meat, roasted, skin on</v>
      </c>
    </row>
    <row r="76" spans="2:2">
      <c r="B76" s="6" t="e">
        <f>Catalog!#REF!</f>
        <v>#REF!</v>
      </c>
    </row>
    <row r="77" spans="2:2">
      <c r="B77" s="6" t="e">
        <f>Catalog!#REF!</f>
        <v>#REF!</v>
      </c>
    </row>
    <row r="78" spans="2:2">
      <c r="B78" s="6" t="str">
        <f>Catalog!B63</f>
        <v>Chicken, breast (g)</v>
      </c>
    </row>
    <row r="79" spans="2:2">
      <c r="B79" s="6" t="str">
        <f>Catalog!B64</f>
        <v>Chicken, breast, small</v>
      </c>
    </row>
    <row r="80" spans="2:2">
      <c r="B80" s="6" t="e">
        <f>Catalog!#REF!</f>
        <v>#REF!</v>
      </c>
    </row>
    <row r="81" spans="2:2">
      <c r="B81" s="6" t="e">
        <f>Catalog!#REF!</f>
        <v>#REF!</v>
      </c>
    </row>
    <row r="82" spans="2:2">
      <c r="B82" s="6" t="str">
        <f>Catalog!B66</f>
        <v>Chickpeas, cooked (g)</v>
      </c>
    </row>
    <row r="83" spans="2:2">
      <c r="B83" s="6" t="str">
        <f>Catalog!B67</f>
        <v>Chickpeas, unsalted</v>
      </c>
    </row>
    <row r="84" spans="2:2">
      <c r="B84" s="6" t="str">
        <f>Catalog!B69</f>
        <v>Clif bar, Choc almond fudge</v>
      </c>
    </row>
    <row r="85" spans="2:2">
      <c r="B85" s="6" t="str">
        <f>Catalog!B70</f>
        <v>Clif bar, Coconut whey protein</v>
      </c>
    </row>
    <row r="86" spans="2:2">
      <c r="B86" s="6" t="str">
        <f>Catalog!B71</f>
        <v>Coconut milk</v>
      </c>
    </row>
    <row r="87" spans="2:2">
      <c r="B87" s="6" t="e">
        <f>Catalog!#REF!</f>
        <v>#REF!</v>
      </c>
    </row>
    <row r="88" spans="2:2">
      <c r="B88" s="6" t="str">
        <f>Catalog!B73</f>
        <v>Coconut milk, Silk</v>
      </c>
    </row>
    <row r="89" spans="2:2">
      <c r="B89" s="6" t="str">
        <f>Catalog!B74</f>
        <v>Coconut, dessicated</v>
      </c>
    </row>
    <row r="90" spans="2:2">
      <c r="B90" s="6" t="str">
        <f>Catalog!B75</f>
        <v>Coconut, pulp, fresh</v>
      </c>
    </row>
    <row r="91" spans="2:2">
      <c r="B91" s="6" t="str">
        <f>Catalog!B76</f>
        <v>Cod filet</v>
      </c>
    </row>
    <row r="92" spans="2:2">
      <c r="B92" s="6" t="str">
        <f>Catalog!B77</f>
        <v>Coke Classic</v>
      </c>
    </row>
    <row r="93" spans="2:2">
      <c r="B93" s="6" t="str">
        <f>Catalog!B78</f>
        <v>Corn tortillas, Don Pancho</v>
      </c>
    </row>
    <row r="94" spans="2:2">
      <c r="B94" s="6" t="str">
        <f>Catalog!B79</f>
        <v>Corn, cob</v>
      </c>
    </row>
    <row r="95" spans="2:2">
      <c r="B95" s="6" t="e">
        <f>Catalog!#REF!</f>
        <v>#REF!</v>
      </c>
    </row>
    <row r="96" spans="2:2">
      <c r="B96" s="6" t="e">
        <f>Catalog!#REF!</f>
        <v>#REF!</v>
      </c>
    </row>
    <row r="97" spans="2:2">
      <c r="B97" s="6" t="str">
        <f>Catalog!B80</f>
        <v>Corn, Green Giant</v>
      </c>
    </row>
    <row r="98" spans="2:2">
      <c r="B98" s="6" t="str">
        <f>Catalog!B81</f>
        <v>Corn, Green Giant (g)</v>
      </c>
    </row>
    <row r="99" spans="2:2">
      <c r="B99" s="6" t="str">
        <f>Catalog!B83</f>
        <v>Crackers, Ritz, low sodium</v>
      </c>
    </row>
    <row r="100" spans="2:2">
      <c r="B100" s="6" t="e">
        <f>Catalog!#REF!</f>
        <v>#REF!</v>
      </c>
    </row>
    <row r="101" spans="2:2">
      <c r="B101" s="6" t="e">
        <f>Catalog!#REF!</f>
        <v>#REF!</v>
      </c>
    </row>
    <row r="102" spans="2:2">
      <c r="B102" s="6" t="e">
        <f>Catalog!#REF!</f>
        <v>#REF!</v>
      </c>
    </row>
    <row r="103" spans="2:2">
      <c r="B103" s="6" t="e">
        <f>Catalog!#REF!</f>
        <v>#REF!</v>
      </c>
    </row>
    <row r="104" spans="2:2">
      <c r="B104" s="6" t="str">
        <f>Catalog!B85</f>
        <v>Cream of mushroom, Campbells</v>
      </c>
    </row>
    <row r="105" spans="2:2">
      <c r="B105" s="6" t="str">
        <f>Catalog!B88</f>
        <v>Crispy minis</v>
      </c>
    </row>
    <row r="106" spans="2:2">
      <c r="B106" s="6" t="str">
        <f>Catalog!B90</f>
        <v>Cucumber (g)</v>
      </c>
    </row>
    <row r="107" spans="2:2">
      <c r="B107" s="6" t="str">
        <f>Catalog!B92</f>
        <v>CYC (Cycling)</v>
      </c>
    </row>
    <row r="108" spans="2:2">
      <c r="B108" s="6" t="str">
        <f>Catalog!B93</f>
        <v>Dad's Oatmeal Cookie</v>
      </c>
    </row>
    <row r="109" spans="2:2">
      <c r="B109" s="6" t="e">
        <f>Catalog!#REF!</f>
        <v>#REF!</v>
      </c>
    </row>
    <row r="110" spans="2:2">
      <c r="B110" s="6" t="str">
        <f>Catalog!B94</f>
        <v>DBP (Dumbell benchpress)</v>
      </c>
    </row>
    <row r="111" spans="2:2">
      <c r="B111" s="6" t="str">
        <f>Catalog!B95</f>
        <v>DBR (Dumbell bent row)</v>
      </c>
    </row>
    <row r="112" spans="2:2">
      <c r="B112" s="6" t="e">
        <f>Catalog!#REF!</f>
        <v>#REF!</v>
      </c>
    </row>
    <row r="113" spans="2:2">
      <c r="B113" s="6" t="str">
        <f>Catalog!B96</f>
        <v>DCU (Dumbell curl)</v>
      </c>
    </row>
    <row r="114" spans="2:2">
      <c r="B114" s="6" t="e">
        <f>Catalog!#REF!</f>
        <v>#REF!</v>
      </c>
    </row>
    <row r="115" spans="2:2">
      <c r="B115" s="6" t="e">
        <f>Catalog!#REF!</f>
        <v>#REF!</v>
      </c>
    </row>
    <row r="116" spans="2:2">
      <c r="B116" s="6" t="str">
        <f>Catalog!B97</f>
        <v>DMP (Dumbell mil press)</v>
      </c>
    </row>
    <row r="117" spans="2:2">
      <c r="B117" s="6" t="str">
        <f>Catalog!B98</f>
        <v>Doritos</v>
      </c>
    </row>
    <row r="118" spans="2:2">
      <c r="B118" s="6" t="str">
        <f>Catalog!B101</f>
        <v>EBK (E-Bike)</v>
      </c>
    </row>
    <row r="119" spans="2:2">
      <c r="B119" s="6" t="str">
        <f>Catalog!B102</f>
        <v>Egg</v>
      </c>
    </row>
    <row r="120" spans="2:2">
      <c r="B120" s="6" t="str">
        <f>Catalog!B105</f>
        <v>Egg McMuffin (no chs)</v>
      </c>
    </row>
    <row r="121" spans="2:2">
      <c r="B121" s="6" t="e">
        <f>Catalog!#REF!</f>
        <v>#REF!</v>
      </c>
    </row>
    <row r="122" spans="2:2">
      <c r="B122" s="6" t="e">
        <f>Catalog!#REF!</f>
        <v>#REF!</v>
      </c>
    </row>
    <row r="123" spans="2:2">
      <c r="B123" s="6" t="str">
        <f>Catalog!B109</f>
        <v>Ensure Plus Calories</v>
      </c>
    </row>
    <row r="124" spans="2:2">
      <c r="B124" s="6" t="str">
        <f>Catalog!B111</f>
        <v>Evaporated milk (g)</v>
      </c>
    </row>
    <row r="125" spans="2:2">
      <c r="B125" s="6" t="e">
        <f>Catalog!#REF!</f>
        <v>#REF!</v>
      </c>
    </row>
    <row r="126" spans="2:2">
      <c r="B126" s="6" t="e">
        <f>Catalog!#REF!</f>
        <v>#REF!</v>
      </c>
    </row>
    <row r="127" spans="2:2">
      <c r="B127" s="6" t="str">
        <f>Catalog!B114</f>
        <v>Eve meds</v>
      </c>
    </row>
    <row r="128" spans="2:2">
      <c r="B128" s="6" t="e">
        <f>Catalog!#REF!</f>
        <v>#REF!</v>
      </c>
    </row>
    <row r="129" spans="2:2">
      <c r="B129" s="6" t="e">
        <f>Catalog!#REF!</f>
        <v>#REF!</v>
      </c>
    </row>
    <row r="130" spans="2:2">
      <c r="B130" s="6" t="e">
        <f>Catalog!#REF!</f>
        <v>#REF!</v>
      </c>
    </row>
    <row r="131" spans="2:2">
      <c r="B131" s="6" t="str">
        <f>Catalog!B115</f>
        <v>Falafel wrap, Tortilla</v>
      </c>
    </row>
    <row r="132" spans="2:2">
      <c r="B132" s="6" t="e">
        <f>Catalog!#REF!</f>
        <v>#REF!</v>
      </c>
    </row>
    <row r="133" spans="2:2">
      <c r="B133" s="6" t="str">
        <f>Catalog!B118</f>
        <v>Fish stick, Highliner, haddock</v>
      </c>
    </row>
    <row r="134" spans="2:2">
      <c r="B134" s="6" t="e">
        <f>Catalog!#REF!</f>
        <v>#REF!</v>
      </c>
    </row>
    <row r="135" spans="2:2">
      <c r="B135" s="6" t="e">
        <f>Catalog!#REF!</f>
        <v>#REF!</v>
      </c>
    </row>
    <row r="136" spans="2:2">
      <c r="B136" s="6" t="str">
        <f>Catalog!B120</f>
        <v>Flax seed</v>
      </c>
    </row>
    <row r="137" spans="2:2">
      <c r="B137" s="6" t="str">
        <f>Catalog!B121</f>
        <v>Flour, AP (cup)</v>
      </c>
    </row>
    <row r="138" spans="2:2">
      <c r="B138" s="6" t="str">
        <f>Catalog!B122</f>
        <v>Flour, AP (tbsp)</v>
      </c>
    </row>
    <row r="139" spans="2:2">
      <c r="B139" s="6" t="e">
        <f>Catalog!#REF!</f>
        <v>#REF!</v>
      </c>
    </row>
    <row r="140" spans="2:2">
      <c r="B140" s="6" t="str">
        <f>Catalog!B126</f>
        <v>Fruit snack</v>
      </c>
    </row>
    <row r="141" spans="2:2">
      <c r="B141" s="6" t="str">
        <f>Catalog!B127</f>
        <v>Garlic</v>
      </c>
    </row>
    <row r="142" spans="2:2">
      <c r="B142" s="6" t="e">
        <f>Catalog!#REF!</f>
        <v>#REF!</v>
      </c>
    </row>
    <row r="143" spans="2:2">
      <c r="B143" s="6" t="e">
        <f>Catalog!#REF!</f>
        <v>#REF!</v>
      </c>
    </row>
    <row r="144" spans="2:2">
      <c r="B144" s="6" t="str">
        <f>Catalog!B130</f>
        <v>Good Thins multigrain crackers</v>
      </c>
    </row>
    <row r="145" spans="2:2">
      <c r="B145" s="6" t="e">
        <f>Catalog!#REF!</f>
        <v>#REF!</v>
      </c>
    </row>
    <row r="146" spans="2:2">
      <c r="B146" s="6" t="str">
        <f>Catalog!B131</f>
        <v>Good Thins rice crackers</v>
      </c>
    </row>
    <row r="147" spans="2:2">
      <c r="B147" s="6" t="str">
        <f>Catalog!B132</f>
        <v>Green beans</v>
      </c>
    </row>
    <row r="148" spans="2:2">
      <c r="B148" s="6" t="str">
        <f>Catalog!B133</f>
        <v>Green beans (g)</v>
      </c>
    </row>
    <row r="149" spans="2:2">
      <c r="B149" s="6" t="str">
        <f>Catalog!B134</f>
        <v>Green onion</v>
      </c>
    </row>
    <row r="150" spans="2:2">
      <c r="B150" s="6" t="e">
        <f>Catalog!#REF!</f>
        <v>#REF!</v>
      </c>
    </row>
    <row r="151" spans="2:2">
      <c r="B151" s="6" t="e">
        <f>Catalog!#REF!</f>
        <v>#REF!</v>
      </c>
    </row>
    <row r="152" spans="2:2">
      <c r="B152" s="6" t="e">
        <f>Catalog!#REF!</f>
        <v>#REF!</v>
      </c>
    </row>
    <row r="153" spans="2:2">
      <c r="B153" s="6" t="str">
        <f>Catalog!B136</f>
        <v>Ground Beef, Lean, Cooked</v>
      </c>
    </row>
    <row r="154" spans="2:2">
      <c r="B154" s="6" t="str">
        <f>Catalog!B137</f>
        <v>Ground Beef, Med, Raw</v>
      </c>
    </row>
    <row r="155" spans="2:2">
      <c r="B155" s="6" t="str">
        <f>Catalog!B138</f>
        <v>Haddock, breaded, Janes</v>
      </c>
    </row>
    <row r="156" spans="2:2">
      <c r="B156" s="6" t="e">
        <f>Catalog!#REF!</f>
        <v>#REF!</v>
      </c>
    </row>
    <row r="157" spans="2:2">
      <c r="B157" s="6" t="e">
        <f>Catalog!#REF!</f>
        <v>#REF!</v>
      </c>
    </row>
    <row r="158" spans="2:2">
      <c r="B158" s="6" t="str">
        <f>Catalog!B140</f>
        <v>Hazelnuts</v>
      </c>
    </row>
    <row r="159" spans="2:2">
      <c r="B159" s="6" t="e">
        <f>Catalog!#REF!</f>
        <v>#REF!</v>
      </c>
    </row>
    <row r="160" spans="2:2">
      <c r="B160" s="6" t="str">
        <f>Catalog!B142</f>
        <v>HIK (Hiking)</v>
      </c>
    </row>
    <row r="161" spans="2:2">
      <c r="B161" s="6" t="e">
        <f>Catalog!#REF!</f>
        <v>#REF!</v>
      </c>
    </row>
    <row r="162" spans="2:2">
      <c r="B162" s="6" t="str">
        <f>Catalog!B143</f>
        <v>Hoisin sauce, Lee Kum Kee</v>
      </c>
    </row>
    <row r="163" spans="2:2">
      <c r="B163" s="6" t="str">
        <f>Catalog!B145</f>
        <v>Hot sauce, Louisiana</v>
      </c>
    </row>
    <row r="164" spans="2:2">
      <c r="B164" s="6" t="str">
        <f>Catalog!B146</f>
        <v>Hummus</v>
      </c>
    </row>
    <row r="165" spans="2:2">
      <c r="B165" s="6" t="str">
        <f>Catalog!B147</f>
        <v>Iced tea, Nestea</v>
      </c>
    </row>
    <row r="166" spans="2:2">
      <c r="B166" s="6" t="e">
        <f>Catalog!#REF!</f>
        <v>#REF!</v>
      </c>
    </row>
    <row r="167" spans="2:2">
      <c r="B167" s="6" t="str">
        <f>Catalog!B148</f>
        <v>Jalapenos, raw</v>
      </c>
    </row>
    <row r="168" spans="2:2">
      <c r="B168" s="6" t="str">
        <f>Catalog!B149</f>
        <v>JMP (Jumpies)</v>
      </c>
    </row>
    <row r="169" spans="2:2">
      <c r="B169" s="6" t="e">
        <f>Catalog!#REF!</f>
        <v>#REF!</v>
      </c>
    </row>
    <row r="170" spans="2:2">
      <c r="B170" s="6" t="str">
        <f>Catalog!B150</f>
        <v>JSQ (Jumping Squats)</v>
      </c>
    </row>
    <row r="171" spans="2:2">
      <c r="B171" s="6" t="e">
        <f>Catalog!#REF!</f>
        <v>#REF!</v>
      </c>
    </row>
    <row r="172" spans="2:2">
      <c r="B172" s="6" t="str">
        <f>Catalog!B151</f>
        <v>Kaiser roll (45g)</v>
      </c>
    </row>
    <row r="173" spans="2:2">
      <c r="B173" s="6" t="e">
        <f>Catalog!#REF!</f>
        <v>#REF!</v>
      </c>
    </row>
    <row r="174" spans="2:2">
      <c r="B174" s="6" t="str">
        <f>Catalog!B153</f>
        <v>Ketchup</v>
      </c>
    </row>
    <row r="175" spans="2:2">
      <c r="B175" s="6" t="str">
        <f>Catalog!B155</f>
        <v>Kraft cheese slice</v>
      </c>
    </row>
    <row r="176" spans="2:2">
      <c r="B176" s="6" t="str">
        <f>Catalog!B158</f>
        <v>Lentils, canned, Selection</v>
      </c>
    </row>
    <row r="177" spans="2:2">
      <c r="B177" s="6" t="str">
        <f>Catalog!B159</f>
        <v>Lentils, cooked (g)</v>
      </c>
    </row>
    <row r="178" spans="2:2">
      <c r="B178" s="6" t="e">
        <f>Catalog!#REF!</f>
        <v>#REF!</v>
      </c>
    </row>
    <row r="179" spans="2:2">
      <c r="B179" s="6" t="str">
        <f>Catalog!B161</f>
        <v>Lentils, uncooked, Selection (g)</v>
      </c>
    </row>
    <row r="180" spans="2:2">
      <c r="B180" s="6" t="e">
        <f>Catalog!#REF!</f>
        <v>#REF!</v>
      </c>
    </row>
    <row r="181" spans="2:2">
      <c r="B181" s="6" t="str">
        <f>Catalog!B162</f>
        <v>Lettuce, Boston</v>
      </c>
    </row>
    <row r="182" spans="2:2">
      <c r="B182" s="6" t="str">
        <f>Catalog!B164</f>
        <v>Lettuce, iceberg</v>
      </c>
    </row>
    <row r="183" spans="2:2">
      <c r="B183" s="6" t="str">
        <f>Catalog!B167</f>
        <v>Mango, fresh</v>
      </c>
    </row>
    <row r="184" spans="2:2">
      <c r="B184" s="6" t="e">
        <f>Catalog!#REF!</f>
        <v>#REF!</v>
      </c>
    </row>
    <row r="185" spans="2:2">
      <c r="B185" s="6" t="e">
        <f>Catalog!#REF!</f>
        <v>#REF!</v>
      </c>
    </row>
    <row r="186" spans="2:2">
      <c r="B186" s="6" t="str">
        <f>Catalog!B171</f>
        <v>Mashes potatoes &amp; gravy, Popeye's</v>
      </c>
    </row>
    <row r="187" spans="2:2">
      <c r="B187" s="6" t="str">
        <f>Catalog!B172</f>
        <v>Mayonnaise</v>
      </c>
    </row>
    <row r="188" spans="2:2">
      <c r="B188" s="6" t="e">
        <f>Catalog!#REF!</f>
        <v>#REF!</v>
      </c>
    </row>
    <row r="189" spans="2:2">
      <c r="B189" s="6" t="str">
        <f>Catalog!B173</f>
        <v>McMuffin, Sausage &amp; Egg</v>
      </c>
    </row>
    <row r="190" spans="2:2">
      <c r="B190" s="6" t="str">
        <f>Catalog!B174</f>
        <v>Meatballs, Irrisistibles</v>
      </c>
    </row>
    <row r="191" spans="2:2">
      <c r="B191" s="6" t="str">
        <f>Catalog!B175</f>
        <v>Milk</v>
      </c>
    </row>
    <row r="192" spans="2:2">
      <c r="B192" s="6" t="e">
        <f>Catalog!#REF!</f>
        <v>#REF!</v>
      </c>
    </row>
    <row r="193" spans="2:2">
      <c r="B193" s="6" t="e">
        <f>Catalog!#REF!</f>
        <v>#REF!</v>
      </c>
    </row>
    <row r="194" spans="2:2">
      <c r="B194" s="6" t="e">
        <f>Catalog!#REF!</f>
        <v>#REF!</v>
      </c>
    </row>
    <row r="195" spans="2:2">
      <c r="B195" s="6" t="e">
        <f>Catalog!#REF!</f>
        <v>#REF!</v>
      </c>
    </row>
    <row r="196" spans="2:2">
      <c r="B196" s="6" t="str">
        <f>Catalog!B176</f>
        <v>Millet, cooked (g)</v>
      </c>
    </row>
    <row r="197" spans="2:2">
      <c r="B197" s="6" t="str">
        <f>Catalog!B179</f>
        <v>Morn insulin</v>
      </c>
    </row>
    <row r="198" spans="2:2">
      <c r="B198" s="6" t="str">
        <f>Catalog!B180</f>
        <v>Morn meds</v>
      </c>
    </row>
    <row r="199" spans="2:2">
      <c r="B199" s="6" t="str">
        <f>Catalog!B181</f>
        <v>Mr. Noodles, chicken</v>
      </c>
    </row>
    <row r="200" spans="2:2">
      <c r="B200" s="6" t="str">
        <f>Catalog!B182</f>
        <v>Mr. Tortilla</v>
      </c>
    </row>
    <row r="201" spans="2:2">
      <c r="B201" s="6" t="str">
        <f>Catalog!B183</f>
        <v>Muffin, Blueberry (Tims)</v>
      </c>
    </row>
    <row r="202" spans="2:2">
      <c r="B202" s="6" t="e">
        <f>Catalog!#REF!</f>
        <v>#REF!</v>
      </c>
    </row>
    <row r="203" spans="2:2">
      <c r="B203" s="6" t="e">
        <f>Catalog!#REF!</f>
        <v>#REF!</v>
      </c>
    </row>
    <row r="204" spans="2:2">
      <c r="B204" s="6" t="str">
        <f>Catalog!B186</f>
        <v>New York strip steak</v>
      </c>
    </row>
    <row r="205" spans="2:2">
      <c r="B205" s="6" t="e">
        <f>Catalog!#REF!</f>
        <v>#REF!</v>
      </c>
    </row>
    <row r="206" spans="2:2">
      <c r="B206" s="6" t="e">
        <f>Catalog!#REF!</f>
        <v>#REF!</v>
      </c>
    </row>
    <row r="207" spans="2:2">
      <c r="B207" s="6" t="e">
        <f>Catalog!#REF!</f>
        <v>#REF!</v>
      </c>
    </row>
    <row r="208" spans="2:2">
      <c r="B208" s="6" t="str">
        <f>Catalog!B188</f>
        <v>Oatmeal</v>
      </c>
    </row>
    <row r="209" spans="2:2">
      <c r="B209" s="6" t="e">
        <f>Catalog!#REF!</f>
        <v>#REF!</v>
      </c>
    </row>
    <row r="210" spans="2:2">
      <c r="B210" s="6" t="e">
        <f>Catalog!#REF!</f>
        <v>#REF!</v>
      </c>
    </row>
    <row r="211" spans="2:2">
      <c r="B211" s="6" t="e">
        <f>Catalog!#REF!</f>
        <v>#REF!</v>
      </c>
    </row>
    <row r="212" spans="2:2">
      <c r="B212" s="6" t="str">
        <f>Catalog!B189</f>
        <v>Oil, olive (tbsp)</v>
      </c>
    </row>
    <row r="213" spans="2:2">
      <c r="B213" s="6" t="str">
        <f>Catalog!B190</f>
        <v>Oil, olive (tsp)</v>
      </c>
    </row>
    <row r="214" spans="2:2">
      <c r="B214" s="6" t="str">
        <f>Catalog!B191</f>
        <v>Oil, veg (tbsp)</v>
      </c>
    </row>
    <row r="215" spans="2:2">
      <c r="B215" s="6" t="str">
        <f>Catalog!B192</f>
        <v>Oil, veg (tsp)</v>
      </c>
    </row>
    <row r="216" spans="2:2">
      <c r="B216" s="6" t="str">
        <f>Catalog!B193</f>
        <v>Okra</v>
      </c>
    </row>
    <row r="217" spans="2:2">
      <c r="B217" s="6" t="e">
        <f>Catalog!#REF!</f>
        <v>#REF!</v>
      </c>
    </row>
    <row r="218" spans="2:2">
      <c r="B218" s="6" t="str">
        <f>Catalog!B194</f>
        <v>Okra (g)</v>
      </c>
    </row>
    <row r="219" spans="2:2">
      <c r="B219" s="6" t="e">
        <f>Catalog!#REF!</f>
        <v>#REF!</v>
      </c>
    </row>
    <row r="220" spans="2:2">
      <c r="B220" s="6" t="str">
        <f>Catalog!B195</f>
        <v>Onion</v>
      </c>
    </row>
    <row r="221" spans="2:2">
      <c r="B221" s="6" t="str">
        <f>Catalog!B196</f>
        <v>Onion rings, Popeye's</v>
      </c>
    </row>
    <row r="222" spans="2:2">
      <c r="B222" s="6" t="str">
        <f>Catalog!B197</f>
        <v>Pancakes, large</v>
      </c>
    </row>
    <row r="223" spans="2:2">
      <c r="B223" s="6" t="str">
        <f>Catalog!B200</f>
        <v>Parsley root</v>
      </c>
    </row>
    <row r="224" spans="2:2">
      <c r="B224" s="6" t="e">
        <f>Catalog!#REF!</f>
        <v>#REF!</v>
      </c>
    </row>
    <row r="225" spans="2:2">
      <c r="B225" s="6" t="str">
        <f>Catalog!B203</f>
        <v>Pasta, cooked (g)</v>
      </c>
    </row>
    <row r="226" spans="2:2">
      <c r="B226" s="6" t="str">
        <f>Catalog!B204</f>
        <v>Peaches, raw</v>
      </c>
    </row>
    <row r="227" spans="2:2">
      <c r="B227" s="6" t="e">
        <f>Catalog!#REF!</f>
        <v>#REF!</v>
      </c>
    </row>
    <row r="228" spans="2:2">
      <c r="B228" s="6" t="e">
        <f>Catalog!#REF!</f>
        <v>#REF!</v>
      </c>
    </row>
    <row r="229" spans="2:2">
      <c r="B229" s="6" t="e">
        <f>Catalog!#REF!</f>
        <v>#REF!</v>
      </c>
    </row>
    <row r="230" spans="2:2">
      <c r="B230" s="6" t="e">
        <f>Catalog!#REF!</f>
        <v>#REF!</v>
      </c>
    </row>
    <row r="231" spans="2:2">
      <c r="B231" s="6" t="str">
        <f>Catalog!B207</f>
        <v>Peas, green (g)</v>
      </c>
    </row>
    <row r="232" spans="2:2">
      <c r="B232" s="6" t="str">
        <f>Catalog!B208</f>
        <v>Pepitas (c)</v>
      </c>
    </row>
    <row r="233" spans="2:2">
      <c r="B233" s="6" t="str">
        <f>Catalog!B210</f>
        <v>Pickled beets</v>
      </c>
    </row>
    <row r="234" spans="2:2">
      <c r="B234" s="6" t="str">
        <f>Catalog!B211</f>
        <v>Pickled onions (gherkins)</v>
      </c>
    </row>
    <row r="235" spans="2:2">
      <c r="B235" s="6" t="str">
        <f>Catalog!B213</f>
        <v>Pickles, dill (g)</v>
      </c>
    </row>
    <row r="236" spans="2:2">
      <c r="B236" s="6" t="e">
        <f>Catalog!#REF!</f>
        <v>#REF!</v>
      </c>
    </row>
    <row r="237" spans="2:2">
      <c r="B237" s="6" t="str">
        <f>Catalog!B214</f>
        <v>Pierogi, Cheemo, three cheese</v>
      </c>
    </row>
    <row r="238" spans="2:2">
      <c r="B238" s="6" t="str">
        <f>Catalog!B215</f>
        <v>Pita</v>
      </c>
    </row>
    <row r="239" spans="2:2">
      <c r="B239" s="6" t="str">
        <f>Catalog!B216</f>
        <v>Plantains, cooked (g)</v>
      </c>
    </row>
    <row r="240" spans="2:2">
      <c r="B240" s="6" t="e">
        <f>Catalog!#REF!</f>
        <v>#REF!</v>
      </c>
    </row>
    <row r="241" spans="2:2">
      <c r="B241" s="6" t="str">
        <f>Catalog!B217</f>
        <v>Polenta, cooked (g)</v>
      </c>
    </row>
    <row r="242" spans="2:2">
      <c r="B242" s="6" t="str">
        <f>Catalog!B218</f>
        <v>Pollock / crab sticks</v>
      </c>
    </row>
    <row r="243" spans="2:2">
      <c r="B243" s="6" t="str">
        <f>Catalog!B219</f>
        <v>Popcorn, microwave</v>
      </c>
    </row>
    <row r="244" spans="2:2">
      <c r="B244" s="6" t="str">
        <f>Catalog!B220</f>
        <v>Pork rinds</v>
      </c>
    </row>
    <row r="245" spans="2:2">
      <c r="B245" s="6" t="e">
        <f>Catalog!#REF!</f>
        <v>#REF!</v>
      </c>
    </row>
    <row r="246" spans="2:2">
      <c r="B246" s="6" t="str">
        <f>Catalog!B222</f>
        <v>Potato</v>
      </c>
    </row>
    <row r="247" spans="2:2">
      <c r="B247" s="6" t="str">
        <f>Catalog!B224</f>
        <v>PU (Push-ups)</v>
      </c>
    </row>
    <row r="248" spans="2:2">
      <c r="B248" s="6" t="e">
        <f>Catalog!#REF!</f>
        <v>#REF!</v>
      </c>
    </row>
    <row r="249" spans="2:2">
      <c r="B249" s="6" t="e">
        <f>Catalog!#REF!</f>
        <v>#REF!</v>
      </c>
    </row>
    <row r="250" spans="2:2">
      <c r="B250" s="6" t="e">
        <f>Catalog!#REF!</f>
        <v>#REF!</v>
      </c>
    </row>
    <row r="251" spans="2:2">
      <c r="B251" s="6" t="str">
        <f>Catalog!B226</f>
        <v>Quarter chicken, veggies, 1 sauce</v>
      </c>
    </row>
    <row r="252" spans="2:2">
      <c r="B252" s="6" t="str">
        <f>Catalog!B227</f>
        <v>Quinoa, cooked</v>
      </c>
    </row>
    <row r="253" spans="2:2">
      <c r="B253" s="6" t="e">
        <f>Catalog!#REF!</f>
        <v>#REF!</v>
      </c>
    </row>
    <row r="254" spans="2:2">
      <c r="B254" s="6" t="e">
        <f>Catalog!#REF!</f>
        <v>#REF!</v>
      </c>
    </row>
    <row r="255" spans="2:2">
      <c r="B255" s="6" t="e">
        <f>Catalog!#REF!</f>
        <v>#REF!</v>
      </c>
    </row>
    <row r="256" spans="2:2">
      <c r="B256" s="6" t="e">
        <f>Catalog!#REF!</f>
        <v>#REF!</v>
      </c>
    </row>
    <row r="257" spans="2:2">
      <c r="B257" s="6" t="str">
        <f>Catalog!B228</f>
        <v>Quinoa, cooked (g)</v>
      </c>
    </row>
    <row r="258" spans="2:2">
      <c r="B258" s="6" t="e">
        <f>Catalog!#REF!</f>
        <v>#REF!</v>
      </c>
    </row>
    <row r="259" spans="2:2">
      <c r="B259" s="6" t="e">
        <f>Catalog!#REF!</f>
        <v>#REF!</v>
      </c>
    </row>
    <row r="260" spans="2:2">
      <c r="B260" s="6" t="e">
        <f>Catalog!#REF!</f>
        <v>#REF!</v>
      </c>
    </row>
    <row r="261" spans="2:2">
      <c r="B261" s="6" t="str">
        <f>Catalog!B229</f>
        <v>Quinoa, dry</v>
      </c>
    </row>
    <row r="262" spans="2:2">
      <c r="B262" s="6" t="str">
        <f>Catalog!B230</f>
        <v>Radish</v>
      </c>
    </row>
    <row r="263" spans="2:2">
      <c r="B263" s="6" t="str">
        <f>Catalog!B231</f>
        <v>Raisins (g)</v>
      </c>
    </row>
    <row r="264" spans="2:2">
      <c r="B264" s="6" t="str">
        <f>Catalog!B232</f>
        <v>Ramen, Instant</v>
      </c>
    </row>
    <row r="265" spans="2:2">
      <c r="B265" s="6" t="e">
        <f>Catalog!#REF!</f>
        <v>#REF!</v>
      </c>
    </row>
    <row r="266" spans="2:2">
      <c r="B266" s="6" t="e">
        <f>Catalog!#REF!</f>
        <v>#REF!</v>
      </c>
    </row>
    <row r="267" spans="2:2">
      <c r="B267" s="6" t="e">
        <f>Catalog!#REF!</f>
        <v>#REF!</v>
      </c>
    </row>
    <row r="268" spans="2:2">
      <c r="B268" s="6" t="e">
        <f>Catalog!#REF!</f>
        <v>#REF!</v>
      </c>
    </row>
    <row r="269" spans="2:2">
      <c r="B269" s="6" t="e">
        <f>Catalog!#REF!</f>
        <v>#REF!</v>
      </c>
    </row>
    <row r="270" spans="2:2">
      <c r="B270" s="6" t="str">
        <f>Catalog!B233</f>
        <v>Ranch dressing, Hidden Valley</v>
      </c>
    </row>
    <row r="271" spans="2:2">
      <c r="B271" s="6" t="str">
        <f>Catalog!B234</f>
        <v>Red bell pepper</v>
      </c>
    </row>
    <row r="272" spans="2:2">
      <c r="B272" s="6" t="e">
        <f>Catalog!#REF!</f>
        <v>#REF!</v>
      </c>
    </row>
    <row r="273" spans="2:2">
      <c r="B273" s="6" t="e">
        <f>Catalog!#REF!</f>
        <v>#REF!</v>
      </c>
    </row>
    <row r="274" spans="2:2">
      <c r="B274" s="6" t="str">
        <f>Catalog!B235</f>
        <v>Red bell pepper (g)</v>
      </c>
    </row>
    <row r="275" spans="2:2">
      <c r="B275" s="6" t="str">
        <f>Catalog!B236</f>
        <v>Rice, white, cooked</v>
      </c>
    </row>
    <row r="276" spans="2:2">
      <c r="B276" s="6" t="str">
        <f>Catalog!B237</f>
        <v>Rice, white, cooked (g)</v>
      </c>
    </row>
    <row r="277" spans="2:2">
      <c r="B277" s="6" t="e">
        <f>Catalog!#REF!</f>
        <v>#REF!</v>
      </c>
    </row>
    <row r="278" spans="2:2">
      <c r="B278" s="6" t="str">
        <f>Catalog!B238</f>
        <v>Rice, white, uncooked</v>
      </c>
    </row>
    <row r="279" spans="2:2">
      <c r="B279" s="6" t="str">
        <f>Catalog!B239</f>
        <v>Rice, wild, cooked (g)</v>
      </c>
    </row>
    <row r="280" spans="2:2">
      <c r="B280" s="6" t="str">
        <f>Catalog!B240</f>
        <v>RUN (Running)</v>
      </c>
    </row>
    <row r="281" spans="2:2">
      <c r="B281" s="6" t="str">
        <f>Catalog!B242</f>
        <v>Salad dressing, lite Italian</v>
      </c>
    </row>
    <row r="282" spans="2:2">
      <c r="B282" s="6" t="str">
        <f>Catalog!B243</f>
        <v>Salmon, Atlantic (g)</v>
      </c>
    </row>
    <row r="283" spans="2:2">
      <c r="B283" s="6" t="str">
        <f>Catalog!B244</f>
        <v>Salt (g)</v>
      </c>
    </row>
    <row r="284" spans="2:2">
      <c r="B284" s="6" t="str">
        <f>Catalog!B245</f>
        <v>Salt (pinch)</v>
      </c>
    </row>
    <row r="285" spans="2:2">
      <c r="B285" s="6" t="str">
        <f>Catalog!B246</f>
        <v>Salt (tsp)</v>
      </c>
    </row>
    <row r="286" spans="2:2">
      <c r="B286" s="6" t="str">
        <f>Catalog!B247</f>
        <v>Sardines, Brunswick, in oil</v>
      </c>
    </row>
    <row r="287" spans="2:2">
      <c r="B287" s="6" t="str">
        <f>Catalog!B248</f>
        <v>Sausage 'N Egg McMuffin</v>
      </c>
    </row>
    <row r="288" spans="2:2">
      <c r="B288" s="6" t="e">
        <f>Catalog!#REF!</f>
        <v>#REF!</v>
      </c>
    </row>
    <row r="289" spans="2:2">
      <c r="B289" s="6" t="str">
        <f>Catalog!B249</f>
        <v>Sausage, Breakfast</v>
      </c>
    </row>
    <row r="290" spans="2:2">
      <c r="B290" s="6" t="str">
        <f>Catalog!B250</f>
        <v>Sausage, Marc Angelo, Rapini Parma</v>
      </c>
    </row>
    <row r="291" spans="2:2">
      <c r="B291" s="6" t="str">
        <f>Catalog!B251</f>
        <v>SBI (Stationary Biking)</v>
      </c>
    </row>
    <row r="292" spans="2:2">
      <c r="B292" s="6" t="str">
        <f>Catalog!B252</f>
        <v>Scallops, raw (g)</v>
      </c>
    </row>
    <row r="293" spans="2:2">
      <c r="B293" s="6" t="str">
        <f>Catalog!B253</f>
        <v>Sesame seeds</v>
      </c>
    </row>
    <row r="294" spans="2:2">
      <c r="B294" s="6" t="str">
        <f>Catalog!B254</f>
        <v>Shallot</v>
      </c>
    </row>
    <row r="295" spans="2:2">
      <c r="B295" s="6" t="str">
        <f>Catalog!B255</f>
        <v>Shawarma, Chk, Large</v>
      </c>
    </row>
    <row r="296" spans="2:2">
      <c r="B296" s="6" t="str">
        <f>Catalog!B256</f>
        <v>Shawarma, Chk, Med</v>
      </c>
    </row>
    <row r="297" spans="2:2">
      <c r="B297" s="6" t="str">
        <f>Catalog!B257</f>
        <v>Shrimp (g)</v>
      </c>
    </row>
    <row r="298" spans="2:2">
      <c r="B298" s="6" t="str">
        <f>Catalog!B258</f>
        <v>Shrimp, canned, Clover Leaf</v>
      </c>
    </row>
    <row r="299" spans="2:2">
      <c r="B299" s="6" t="str">
        <f>Catalog!B259</f>
        <v>Shrimp, canned, Clover Leaf</v>
      </c>
    </row>
    <row r="300" spans="2:2">
      <c r="B300" s="6" t="str">
        <f>Catalog!B260</f>
        <v>Smoked meat</v>
      </c>
    </row>
    <row r="301" spans="2:2">
      <c r="B301" s="6" t="str">
        <f>Catalog!B261</f>
        <v>Smoked oysters, Clover Leaf</v>
      </c>
    </row>
    <row r="302" spans="2:2">
      <c r="B302" s="6" t="str">
        <f>Catalog!B262</f>
        <v>Smoked trout (g)</v>
      </c>
    </row>
    <row r="303" spans="2:2">
      <c r="B303" s="6" t="str">
        <f>Catalog!B263</f>
        <v>Sole filet</v>
      </c>
    </row>
    <row r="304" spans="2:2">
      <c r="B304" s="6" t="str">
        <f>Catalog!B264</f>
        <v>Sour cream, 14%</v>
      </c>
    </row>
    <row r="305" spans="2:2">
      <c r="B305" s="6" t="str">
        <f>Catalog!B265</f>
        <v>Sour cream, 14% (mL)</v>
      </c>
    </row>
    <row r="306" spans="2:2">
      <c r="B306" s="6" t="str">
        <f>Catalog!B266</f>
        <v>Soy milk, regular</v>
      </c>
    </row>
    <row r="307" spans="2:2">
      <c r="B307" s="6" t="str">
        <f>Catalog!B267</f>
        <v>Soy milk, unsweetened</v>
      </c>
    </row>
    <row r="308" spans="2:2">
      <c r="B308" s="6" t="str">
        <f>Catalog!B268</f>
        <v>Soy sauce</v>
      </c>
    </row>
    <row r="309" spans="2:2">
      <c r="B309" s="6" t="str">
        <f>Catalog!B269</f>
        <v>Spinach</v>
      </c>
    </row>
    <row r="310" spans="2:2">
      <c r="B310" s="6" t="str">
        <f>Catalog!B270</f>
        <v>Sriracha</v>
      </c>
    </row>
    <row r="311" spans="2:2">
      <c r="B311" s="6" t="str">
        <f>Catalog!B271</f>
        <v>Stewing beef, raw (g)</v>
      </c>
    </row>
    <row r="312" spans="2:2">
      <c r="B312" s="6" t="str">
        <f>Catalog!B272</f>
        <v>Strawberries, frozen</v>
      </c>
    </row>
    <row r="313" spans="2:2">
      <c r="B313" s="6" t="str">
        <f>Catalog!B273</f>
        <v>Sugar (g)</v>
      </c>
    </row>
    <row r="314" spans="2:2">
      <c r="B314" s="6" t="str">
        <f>Catalog!B274</f>
        <v>Sugar (tbsp)</v>
      </c>
    </row>
    <row r="315" spans="2:2">
      <c r="B315" s="6" t="str">
        <f>Catalog!B275</f>
        <v>Sugar (tsp)</v>
      </c>
    </row>
    <row r="316" spans="2:2">
      <c r="B316" s="6" t="str">
        <f>Catalog!B276</f>
        <v>SunRype fruit bar</v>
      </c>
    </row>
    <row r="317" spans="2:2">
      <c r="B317" s="6" t="str">
        <f>Catalog!B277</f>
        <v>Sweet potato, cooked (g)</v>
      </c>
    </row>
    <row r="318" spans="2:2">
      <c r="B318" s="6" t="str">
        <f>Catalog!B278</f>
        <v>Syrup, table</v>
      </c>
    </row>
    <row r="319" spans="2:2">
      <c r="B319" s="6" t="str">
        <f>Catalog!B279</f>
        <v>Tater tots</v>
      </c>
    </row>
    <row r="320" spans="2:2">
      <c r="B320" s="6" t="str">
        <f>Catalog!B280</f>
        <v>Tea, green</v>
      </c>
    </row>
    <row r="321" spans="2:2">
      <c r="B321" s="6" t="str">
        <f>Catalog!B281</f>
        <v>Teriyaki sauce, Golden Dragon</v>
      </c>
    </row>
    <row r="322" spans="2:2">
      <c r="B322" s="6" t="str">
        <f>Catalog!B282</f>
        <v>Teriyaki sauce, Kikkoman</v>
      </c>
    </row>
    <row r="323" spans="2:2">
      <c r="B323" s="6" t="str">
        <f>Catalog!B283</f>
        <v>Teriyaki sauce, low sodium</v>
      </c>
    </row>
    <row r="324" spans="2:2">
      <c r="B324" s="6" t="str">
        <f>Catalog!B284</f>
        <v>Tilapia filet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Catalog!$B$3:$B$226</xm:f>
          </x14:formula1>
          <xm:sqref>B11:B28</xm:sqref>
        </x14:dataValidation>
        <x14:dataValidation type="list" allowBlank="1" showInputMessage="1" showErrorMessage="1" xr:uid="{00000000-0002-0000-0500-000001000000}">
          <x14:formula1>
            <xm:f>Catalog!$B$3:$B$227</xm:f>
          </x14:formula1>
          <xm:sqref>B39:B56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Chase</dc:creator>
  <cp:keywords/>
  <dc:description/>
  <cp:lastModifiedBy>David Chase</cp:lastModifiedBy>
  <cp:revision/>
  <dcterms:created xsi:type="dcterms:W3CDTF">2015-10-20T13:28:03Z</dcterms:created>
  <dcterms:modified xsi:type="dcterms:W3CDTF">2022-10-01T18:57:13Z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davidch@microsoft.com</vt:lpwstr>
  </property>
  <property fmtid="{D5CDD505-2E9C-101B-9397-08002B2CF9AE}" pid="6" name="MSIP_Label_f42aa342-8706-4288-bd11-ebb85995028c_SetDate">
    <vt:lpwstr>2017-09-25T21:17:33.1463664-04:00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