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95" yWindow="30" windowWidth="19620" windowHeight="7965" activeTab="1"/>
  </bookViews>
  <sheets>
    <sheet name="BDD" sheetId="1" r:id="rId1"/>
    <sheet name="Global" sheetId="2" r:id="rId2"/>
    <sheet name="PAT_AGE" sheetId="3" r:id="rId3"/>
    <sheet name="Feuil4" sheetId="4" state="hidden" r:id="rId4"/>
    <sheet name="Feuil5" sheetId="5" state="hidden" r:id="rId5"/>
    <sheet name="Reporting" sheetId="6" r:id="rId6"/>
  </sheets>
  <definedNames>
    <definedName name="_xlnm._FilterDatabase" localSheetId="0" hidden="1">BDD!$A$2:$Y$215</definedName>
  </definedNames>
  <calcPr calcId="145621"/>
</workbook>
</file>

<file path=xl/calcChain.xml><?xml version="1.0" encoding="utf-8"?>
<calcChain xmlns="http://schemas.openxmlformats.org/spreadsheetml/2006/main">
  <c r="E21" i="6" l="1" a="1"/>
  <c r="E21" i="6"/>
  <c r="F21" i="6" a="1"/>
  <c r="F21" i="6" s="1"/>
  <c r="G21" i="6" a="1"/>
  <c r="G21" i="6" s="1"/>
  <c r="H21" i="6" a="1"/>
  <c r="H21" i="6" s="1"/>
  <c r="I21" i="6" a="1"/>
  <c r="I21" i="6" s="1"/>
  <c r="Q21" i="6" s="1"/>
  <c r="J21" i="6" a="1"/>
  <c r="J21" i="6" s="1"/>
  <c r="K21" i="6" a="1"/>
  <c r="K21" i="6" s="1"/>
  <c r="E22" i="6" a="1"/>
  <c r="E22" i="6" s="1"/>
  <c r="F22" i="6" a="1"/>
  <c r="F22" i="6" s="1"/>
  <c r="N22" i="6" s="1"/>
  <c r="G22" i="6" a="1"/>
  <c r="G22" i="6" s="1"/>
  <c r="H22" i="6" a="1"/>
  <c r="H22" i="6" s="1"/>
  <c r="I22" i="6" a="1"/>
  <c r="I22" i="6" s="1"/>
  <c r="J22" i="6" a="1"/>
  <c r="J22" i="6" s="1"/>
  <c r="K22" i="6" a="1"/>
  <c r="K22" i="6" s="1"/>
  <c r="E23" i="6" a="1"/>
  <c r="E23" i="6" s="1"/>
  <c r="F23" i="6" a="1"/>
  <c r="F23" i="6" s="1"/>
  <c r="G23" i="6" a="1"/>
  <c r="G23" i="6" s="1"/>
  <c r="O23" i="6" s="1"/>
  <c r="H23" i="6" a="1"/>
  <c r="H23" i="6" s="1"/>
  <c r="I23" i="6" a="1"/>
  <c r="I23" i="6" s="1"/>
  <c r="J23" i="6" a="1"/>
  <c r="J23" i="6" s="1"/>
  <c r="K23" i="6" a="1"/>
  <c r="K23" i="6" s="1"/>
  <c r="E24" i="6" a="1"/>
  <c r="E24" i="6" s="1"/>
  <c r="F24" i="6" a="1"/>
  <c r="F24" i="6" s="1"/>
  <c r="G24" i="6" a="1"/>
  <c r="G24" i="6" s="1"/>
  <c r="H24" i="6" a="1"/>
  <c r="H24" i="6" s="1"/>
  <c r="I24" i="6" a="1"/>
  <c r="I24" i="6" s="1"/>
  <c r="J24" i="6" a="1"/>
  <c r="J24" i="6" s="1"/>
  <c r="K24" i="6" a="1"/>
  <c r="K24" i="6" s="1"/>
  <c r="K20" i="6" a="1"/>
  <c r="K20" i="6" s="1"/>
  <c r="J20" i="6" a="1"/>
  <c r="J20" i="6" s="1"/>
  <c r="I20" i="6" a="1"/>
  <c r="I20" i="6" s="1"/>
  <c r="H20" i="6" a="1"/>
  <c r="H20" i="6" s="1"/>
  <c r="G20" i="6" a="1"/>
  <c r="G20" i="6" s="1"/>
  <c r="F20" i="6" a="1"/>
  <c r="F20" i="6" s="1"/>
  <c r="E20" i="6" a="1"/>
  <c r="E20" i="6" s="1"/>
  <c r="E11" i="6" a="1"/>
  <c r="E11" i="6" s="1"/>
  <c r="F11" i="6" a="1"/>
  <c r="F11" i="6" s="1"/>
  <c r="G11" i="6" a="1"/>
  <c r="G11" i="6" s="1"/>
  <c r="H11" i="6" a="1"/>
  <c r="H11" i="6" s="1"/>
  <c r="I11" i="6" a="1"/>
  <c r="I11" i="6" s="1"/>
  <c r="J11" i="6" a="1"/>
  <c r="J11" i="6" s="1"/>
  <c r="K11" i="6" a="1"/>
  <c r="K11" i="6" s="1"/>
  <c r="E10" i="6" a="1"/>
  <c r="E10" i="6" s="1"/>
  <c r="F10" i="6" a="1"/>
  <c r="F10" i="6" s="1"/>
  <c r="G10" i="6" a="1"/>
  <c r="G10" i="6" s="1"/>
  <c r="H10" i="6" a="1"/>
  <c r="H10" i="6" s="1"/>
  <c r="I10" i="6" a="1"/>
  <c r="I10" i="6" s="1"/>
  <c r="J10" i="6" a="1"/>
  <c r="J10" i="6" s="1"/>
  <c r="K10" i="6" a="1"/>
  <c r="K10" i="6" s="1"/>
  <c r="F8" i="6" a="1"/>
  <c r="F8" i="6" s="1"/>
  <c r="G8" i="6" a="1"/>
  <c r="G8" i="6" s="1"/>
  <c r="F9" i="6" a="1"/>
  <c r="F9" i="6" s="1"/>
  <c r="G9" i="6" a="1"/>
  <c r="G9" i="6" s="1"/>
  <c r="G7" i="6" a="1"/>
  <c r="G7" i="6" s="1"/>
  <c r="F7" i="6" a="1"/>
  <c r="F7" i="6" s="1"/>
  <c r="E7" i="6" a="1"/>
  <c r="E7" i="6" s="1"/>
  <c r="H7" i="6" a="1"/>
  <c r="H7" i="6" s="1"/>
  <c r="I7" i="6" a="1"/>
  <c r="I7" i="6" s="1"/>
  <c r="H8" i="6" a="1"/>
  <c r="H8" i="6" s="1"/>
  <c r="I8" i="6" a="1"/>
  <c r="I8" i="6" s="1"/>
  <c r="H9" i="6" a="1"/>
  <c r="H9" i="6" s="1"/>
  <c r="I9" i="6" a="1"/>
  <c r="I9" i="6" s="1"/>
  <c r="J8" i="6" a="1"/>
  <c r="J8" i="6" s="1"/>
  <c r="J9" i="6" a="1"/>
  <c r="J9" i="6" s="1"/>
  <c r="J7" i="6" a="1"/>
  <c r="J7" i="6" s="1"/>
  <c r="K8" i="6" a="1"/>
  <c r="K8" i="6" s="1"/>
  <c r="K9" i="6" a="1"/>
  <c r="K9" i="6" s="1"/>
  <c r="K7" i="6" a="1"/>
  <c r="K7" i="6" s="1"/>
  <c r="E8" i="6" a="1"/>
  <c r="E8" i="6" s="1"/>
  <c r="E9" i="6" a="1"/>
  <c r="E9" i="6" s="1"/>
  <c r="Q4" i="1" a="1"/>
  <c r="Q5" i="1" a="1"/>
  <c r="Q6" i="1" a="1"/>
  <c r="Q7" i="1" a="1"/>
  <c r="Q8" i="1" a="1"/>
  <c r="Q9" i="1" a="1"/>
  <c r="Q10" i="1" a="1"/>
  <c r="Q11" i="1" a="1"/>
  <c r="Q12" i="1" a="1"/>
  <c r="Q13" i="1" a="1"/>
  <c r="Q14" i="1" a="1"/>
  <c r="Q15" i="1" a="1"/>
  <c r="Q16" i="1" a="1"/>
  <c r="Q17" i="1" a="1"/>
  <c r="Q18" i="1" a="1"/>
  <c r="Q19" i="1" a="1"/>
  <c r="Q20" i="1" a="1"/>
  <c r="Q21" i="1" a="1"/>
  <c r="Q22" i="1" a="1"/>
  <c r="Q23" i="1" a="1"/>
  <c r="Q24" i="1" a="1"/>
  <c r="Q25" i="1" a="1"/>
  <c r="Q26" i="1" a="1"/>
  <c r="Q27" i="1" a="1"/>
  <c r="Q28" i="1" a="1"/>
  <c r="Q29" i="1" a="1"/>
  <c r="Q30" i="1" a="1"/>
  <c r="Q31" i="1" a="1"/>
  <c r="Q32" i="1" a="1"/>
  <c r="Q33" i="1" a="1"/>
  <c r="Q34" i="1" a="1"/>
  <c r="Q35" i="1" a="1"/>
  <c r="Q36" i="1" a="1"/>
  <c r="Q37" i="1" a="1"/>
  <c r="Q38" i="1" a="1"/>
  <c r="Q39" i="1" a="1"/>
  <c r="Q40" i="1" a="1"/>
  <c r="Q41" i="1" a="1"/>
  <c r="Q42" i="1" a="1"/>
  <c r="Q43" i="1" a="1"/>
  <c r="Q44" i="1" a="1"/>
  <c r="Q45" i="1" a="1"/>
  <c r="Q46" i="1" a="1"/>
  <c r="Q47" i="1" a="1"/>
  <c r="Q48" i="1" a="1"/>
  <c r="Q49" i="1" a="1"/>
  <c r="Q50" i="1" a="1"/>
  <c r="Q51" i="1" a="1"/>
  <c r="Q52" i="1" a="1"/>
  <c r="Q53" i="1" a="1"/>
  <c r="Q54" i="1" a="1"/>
  <c r="Q55" i="1" a="1"/>
  <c r="Q56" i="1" a="1"/>
  <c r="Q57" i="1" a="1"/>
  <c r="Q58" i="1" a="1"/>
  <c r="Q59" i="1" a="1"/>
  <c r="Q60" i="1" a="1"/>
  <c r="Q61" i="1" a="1"/>
  <c r="Q62" i="1" a="1"/>
  <c r="Q63" i="1" a="1"/>
  <c r="Q64" i="1" a="1"/>
  <c r="Q65" i="1" a="1"/>
  <c r="Q66" i="1" a="1"/>
  <c r="Q67" i="1" a="1"/>
  <c r="Q68" i="1" a="1"/>
  <c r="Q69" i="1" a="1"/>
  <c r="Q70" i="1" a="1"/>
  <c r="Q71" i="1" a="1"/>
  <c r="Q72" i="1" a="1"/>
  <c r="Q73" i="1" a="1"/>
  <c r="Q74" i="1" a="1"/>
  <c r="Q75" i="1" a="1"/>
  <c r="Q76" i="1" a="1"/>
  <c r="Q77" i="1" a="1"/>
  <c r="Q78" i="1" a="1"/>
  <c r="Q79" i="1" a="1"/>
  <c r="Q80" i="1" a="1"/>
  <c r="Q81" i="1" a="1"/>
  <c r="Q82" i="1" a="1"/>
  <c r="Q83" i="1" a="1"/>
  <c r="Q84" i="1" a="1"/>
  <c r="Q85" i="1" a="1"/>
  <c r="Q86" i="1" a="1"/>
  <c r="Q87" i="1" a="1"/>
  <c r="Q88" i="1" a="1"/>
  <c r="Q89" i="1" a="1"/>
  <c r="Q90" i="1" a="1"/>
  <c r="Q91" i="1" a="1"/>
  <c r="Q92" i="1" a="1"/>
  <c r="Q93" i="1" a="1"/>
  <c r="Q94" i="1" a="1"/>
  <c r="Q95" i="1" a="1"/>
  <c r="Q96" i="1" a="1"/>
  <c r="Q97" i="1" a="1"/>
  <c r="Q98" i="1" a="1"/>
  <c r="Q99" i="1" a="1"/>
  <c r="Q100" i="1" a="1"/>
  <c r="Q101" i="1" a="1"/>
  <c r="Q102" i="1" a="1"/>
  <c r="Q103" i="1" a="1"/>
  <c r="Q104" i="1" a="1"/>
  <c r="Q105" i="1" a="1"/>
  <c r="Q106" i="1" a="1"/>
  <c r="Q107" i="1" a="1"/>
  <c r="Q108" i="1" a="1"/>
  <c r="Q109" i="1" a="1"/>
  <c r="Q110" i="1" a="1"/>
  <c r="Q111" i="1" a="1"/>
  <c r="Q112" i="1" a="1"/>
  <c r="Q113" i="1" a="1"/>
  <c r="Q114" i="1" a="1"/>
  <c r="Q115" i="1" a="1"/>
  <c r="Q116" i="1" a="1"/>
  <c r="Q117" i="1" a="1"/>
  <c r="Q118" i="1" a="1"/>
  <c r="Q119" i="1" a="1"/>
  <c r="Q120" i="1" a="1"/>
  <c r="Q121" i="1" a="1"/>
  <c r="Q122" i="1" a="1"/>
  <c r="Q123" i="1" a="1"/>
  <c r="Q124" i="1" a="1"/>
  <c r="Q125" i="1" a="1"/>
  <c r="Q126" i="1" a="1"/>
  <c r="Q127" i="1" a="1"/>
  <c r="Q128" i="1" a="1"/>
  <c r="Q129" i="1" a="1"/>
  <c r="Q130" i="1" a="1"/>
  <c r="Q131" i="1" a="1"/>
  <c r="Q132" i="1" a="1"/>
  <c r="Q133" i="1" a="1"/>
  <c r="Q134" i="1" a="1"/>
  <c r="Q135" i="1" a="1"/>
  <c r="Q136" i="1" a="1"/>
  <c r="Q137" i="1" a="1"/>
  <c r="Q138" i="1" a="1"/>
  <c r="Q139" i="1" a="1"/>
  <c r="Q140" i="1" a="1"/>
  <c r="Q141" i="1" a="1"/>
  <c r="Q142" i="1" a="1"/>
  <c r="Q143" i="1" a="1"/>
  <c r="Q144" i="1" a="1"/>
  <c r="Q145" i="1" a="1"/>
  <c r="Q146" i="1" a="1"/>
  <c r="Q147" i="1" a="1"/>
  <c r="Q148" i="1" a="1"/>
  <c r="Q149" i="1" a="1"/>
  <c r="Q150" i="1" a="1"/>
  <c r="Q151" i="1" a="1"/>
  <c r="Q152" i="1" a="1"/>
  <c r="Q153" i="1" a="1"/>
  <c r="Q154" i="1" a="1"/>
  <c r="Q155" i="1" a="1"/>
  <c r="Q156" i="1" a="1"/>
  <c r="Q157" i="1" a="1"/>
  <c r="Q158" i="1" a="1"/>
  <c r="Q159" i="1" a="1"/>
  <c r="Q160" i="1" a="1"/>
  <c r="Q161" i="1" a="1"/>
  <c r="Q162" i="1" a="1"/>
  <c r="Q163" i="1" a="1"/>
  <c r="Q164" i="1" a="1"/>
  <c r="Q165" i="1" a="1"/>
  <c r="Q166" i="1" a="1"/>
  <c r="Q167" i="1" a="1"/>
  <c r="Q168" i="1" a="1"/>
  <c r="Q169" i="1" a="1"/>
  <c r="Q170" i="1" a="1"/>
  <c r="Q171" i="1" a="1"/>
  <c r="Q172" i="1" a="1"/>
  <c r="Q173" i="1" a="1"/>
  <c r="Q174" i="1" a="1"/>
  <c r="Q175" i="1" a="1"/>
  <c r="Q176" i="1" a="1"/>
  <c r="Q177" i="1" a="1"/>
  <c r="Q178" i="1" a="1"/>
  <c r="Q179" i="1" a="1"/>
  <c r="Q180" i="1" a="1"/>
  <c r="Q181" i="1" a="1"/>
  <c r="Q182" i="1" a="1"/>
  <c r="Q183" i="1" a="1"/>
  <c r="Q184" i="1" a="1"/>
  <c r="Q185" i="1" a="1"/>
  <c r="Q186" i="1" a="1"/>
  <c r="Q187" i="1" a="1"/>
  <c r="Q188" i="1" a="1"/>
  <c r="Q189" i="1" a="1"/>
  <c r="Q190" i="1" a="1"/>
  <c r="Q191" i="1" a="1"/>
  <c r="Q192" i="1" a="1"/>
  <c r="Q193" i="1" a="1"/>
  <c r="Q194" i="1" a="1"/>
  <c r="Q195" i="1" a="1"/>
  <c r="Q196" i="1" a="1"/>
  <c r="Q197" i="1" a="1"/>
  <c r="Q198" i="1" a="1"/>
  <c r="Q199" i="1" a="1"/>
  <c r="Q200" i="1" a="1"/>
  <c r="Q201" i="1" a="1"/>
  <c r="Q202" i="1" a="1"/>
  <c r="Q203" i="1" a="1"/>
  <c r="Q204" i="1" a="1"/>
  <c r="Q205" i="1" a="1"/>
  <c r="Q206" i="1" a="1"/>
  <c r="Q207" i="1" a="1"/>
  <c r="Q208" i="1" a="1"/>
  <c r="Q209" i="1" a="1"/>
  <c r="Q210" i="1" a="1"/>
  <c r="Q211" i="1" a="1"/>
  <c r="Q212" i="1" a="1"/>
  <c r="Q213" i="1" a="1"/>
  <c r="Q214" i="1" a="1"/>
  <c r="Q215" i="1" a="1"/>
  <c r="Q3" i="1" a="1"/>
  <c r="X48" i="1" a="1"/>
  <c r="X48" i="1" s="1"/>
  <c r="Y48" i="1" s="1"/>
  <c r="X49" i="1" a="1"/>
  <c r="X49" i="1" s="1"/>
  <c r="Y49" i="1" s="1"/>
  <c r="X50" i="1" a="1"/>
  <c r="X50" i="1" s="1"/>
  <c r="Y50" i="1" s="1"/>
  <c r="X51" i="1" a="1"/>
  <c r="X51" i="1" s="1"/>
  <c r="Y51" i="1" s="1"/>
  <c r="X52" i="1" a="1"/>
  <c r="X52" i="1" s="1"/>
  <c r="Y52" i="1" s="1"/>
  <c r="X53" i="1" a="1"/>
  <c r="X53" i="1" s="1"/>
  <c r="Y53" i="1" s="1"/>
  <c r="X54" i="1" a="1"/>
  <c r="X54" i="1" s="1"/>
  <c r="Y54" i="1" s="1"/>
  <c r="X55" i="1" a="1"/>
  <c r="X55" i="1" s="1"/>
  <c r="Y55" i="1" s="1"/>
  <c r="X56" i="1" a="1"/>
  <c r="X56" i="1" s="1"/>
  <c r="Y56" i="1" s="1"/>
  <c r="X57" i="1" a="1"/>
  <c r="X57" i="1" s="1"/>
  <c r="Y57" i="1" s="1"/>
  <c r="X58" i="1" a="1"/>
  <c r="X58" i="1" s="1"/>
  <c r="Y58" i="1" s="1"/>
  <c r="X59" i="1" a="1"/>
  <c r="X59" i="1" s="1"/>
  <c r="X60" i="1" a="1"/>
  <c r="X60" i="1" s="1"/>
  <c r="X61" i="1" a="1"/>
  <c r="X61" i="1" s="1"/>
  <c r="X62" i="1" a="1"/>
  <c r="X62" i="1" s="1"/>
  <c r="X63" i="1" a="1"/>
  <c r="X63" i="1" s="1"/>
  <c r="X64" i="1" a="1"/>
  <c r="X64" i="1" s="1"/>
  <c r="X47" i="1" a="1"/>
  <c r="X47" i="1" s="1"/>
  <c r="Y47" i="1" s="1"/>
  <c r="Q6" i="1" s="1"/>
  <c r="R6" i="1" s="1"/>
  <c r="P21" i="6" l="1"/>
  <c r="Q8" i="6"/>
  <c r="Q10" i="6"/>
  <c r="P7" i="6"/>
  <c r="P8" i="6"/>
  <c r="O22" i="6"/>
  <c r="N21" i="6"/>
  <c r="M24" i="6"/>
  <c r="P22" i="6"/>
  <c r="E25" i="6"/>
  <c r="S24" i="6" s="1"/>
  <c r="M20" i="6"/>
  <c r="H25" i="6"/>
  <c r="R20" i="6" s="1"/>
  <c r="P23" i="6"/>
  <c r="I25" i="6"/>
  <c r="Q20" i="6"/>
  <c r="J25" i="6"/>
  <c r="M23" i="6"/>
  <c r="K25" i="6"/>
  <c r="P20" i="6"/>
  <c r="M22" i="6"/>
  <c r="N23" i="6"/>
  <c r="M21" i="6"/>
  <c r="F25" i="6"/>
  <c r="N20" i="6"/>
  <c r="O21" i="6"/>
  <c r="Q23" i="6"/>
  <c r="O20" i="6"/>
  <c r="G25" i="6"/>
  <c r="Q22" i="6"/>
  <c r="Q9" i="6"/>
  <c r="J12" i="6"/>
  <c r="P10" i="6"/>
  <c r="E12" i="6"/>
  <c r="S12" i="6" s="1"/>
  <c r="F12" i="6"/>
  <c r="G12" i="6"/>
  <c r="P9" i="6"/>
  <c r="I12" i="6"/>
  <c r="K12" i="6"/>
  <c r="H12" i="6"/>
  <c r="R12" i="6" s="1"/>
  <c r="S8" i="6"/>
  <c r="M11" i="6"/>
  <c r="N8" i="6"/>
  <c r="N7" i="6"/>
  <c r="O7" i="6"/>
  <c r="O9" i="6"/>
  <c r="O10" i="6"/>
  <c r="N9" i="6"/>
  <c r="O8" i="6"/>
  <c r="N10" i="6"/>
  <c r="M10" i="6"/>
  <c r="Q7" i="6"/>
  <c r="M9" i="6"/>
  <c r="M8" i="6"/>
  <c r="M7" i="6"/>
  <c r="Q210" i="1"/>
  <c r="R210" i="1" s="1"/>
  <c r="Q202" i="1"/>
  <c r="R202" i="1" s="1"/>
  <c r="Q194" i="1"/>
  <c r="R194" i="1" s="1"/>
  <c r="Q186" i="1"/>
  <c r="R186" i="1" s="1"/>
  <c r="Q178" i="1"/>
  <c r="R178" i="1" s="1"/>
  <c r="Q170" i="1"/>
  <c r="R170" i="1" s="1"/>
  <c r="Q162" i="1"/>
  <c r="R162" i="1" s="1"/>
  <c r="Q154" i="1"/>
  <c r="R154" i="1" s="1"/>
  <c r="Q146" i="1"/>
  <c r="R146" i="1" s="1"/>
  <c r="Q138" i="1"/>
  <c r="R138" i="1" s="1"/>
  <c r="Q130" i="1"/>
  <c r="R130" i="1" s="1"/>
  <c r="Q122" i="1"/>
  <c r="R122" i="1" s="1"/>
  <c r="Q114" i="1"/>
  <c r="R114" i="1" s="1"/>
  <c r="Q106" i="1"/>
  <c r="R106" i="1" s="1"/>
  <c r="Q98" i="1"/>
  <c r="R98" i="1" s="1"/>
  <c r="Q90" i="1"/>
  <c r="R90" i="1" s="1"/>
  <c r="Q82" i="1"/>
  <c r="R82" i="1" s="1"/>
  <c r="Q74" i="1"/>
  <c r="R74" i="1" s="1"/>
  <c r="Q66" i="1"/>
  <c r="R66" i="1" s="1"/>
  <c r="Q58" i="1"/>
  <c r="R58" i="1" s="1"/>
  <c r="Q50" i="1"/>
  <c r="R50" i="1" s="1"/>
  <c r="Q42" i="1"/>
  <c r="R42" i="1" s="1"/>
  <c r="Q34" i="1"/>
  <c r="R34" i="1" s="1"/>
  <c r="Q26" i="1"/>
  <c r="R26" i="1" s="1"/>
  <c r="Q18" i="1"/>
  <c r="R18" i="1" s="1"/>
  <c r="Q11" i="1"/>
  <c r="R11" i="1" s="1"/>
  <c r="Q5" i="1"/>
  <c r="R5" i="1" s="1"/>
  <c r="Q209" i="1"/>
  <c r="R209" i="1" s="1"/>
  <c r="Q201" i="1"/>
  <c r="R201" i="1" s="1"/>
  <c r="Q193" i="1"/>
  <c r="R193" i="1" s="1"/>
  <c r="Q185" i="1"/>
  <c r="R185" i="1" s="1"/>
  <c r="Q177" i="1"/>
  <c r="R177" i="1" s="1"/>
  <c r="Q169" i="1"/>
  <c r="R169" i="1" s="1"/>
  <c r="Q161" i="1"/>
  <c r="R161" i="1" s="1"/>
  <c r="Q153" i="1"/>
  <c r="R153" i="1" s="1"/>
  <c r="Q145" i="1"/>
  <c r="R145" i="1" s="1"/>
  <c r="Q137" i="1"/>
  <c r="R137" i="1" s="1"/>
  <c r="Q129" i="1"/>
  <c r="R129" i="1" s="1"/>
  <c r="Q121" i="1"/>
  <c r="R121" i="1" s="1"/>
  <c r="Q113" i="1"/>
  <c r="R113" i="1" s="1"/>
  <c r="Q105" i="1"/>
  <c r="R105" i="1" s="1"/>
  <c r="Q97" i="1"/>
  <c r="R97" i="1" s="1"/>
  <c r="Q89" i="1"/>
  <c r="R89" i="1" s="1"/>
  <c r="Q81" i="1"/>
  <c r="R81" i="1" s="1"/>
  <c r="Q73" i="1"/>
  <c r="R73" i="1" s="1"/>
  <c r="Q65" i="1"/>
  <c r="R65" i="1" s="1"/>
  <c r="Q57" i="1"/>
  <c r="R57" i="1" s="1"/>
  <c r="Q49" i="1"/>
  <c r="R49" i="1" s="1"/>
  <c r="Q41" i="1"/>
  <c r="R41" i="1" s="1"/>
  <c r="Q33" i="1"/>
  <c r="R33" i="1" s="1"/>
  <c r="Q25" i="1"/>
  <c r="R25" i="1" s="1"/>
  <c r="Q17" i="1"/>
  <c r="R17" i="1" s="1"/>
  <c r="Q10" i="1"/>
  <c r="R10" i="1" s="1"/>
  <c r="Q4" i="1"/>
  <c r="R4" i="1" s="1"/>
  <c r="Q3" i="1"/>
  <c r="R3" i="1" s="1"/>
  <c r="Q208" i="1"/>
  <c r="R208" i="1" s="1"/>
  <c r="Q200" i="1"/>
  <c r="R200" i="1" s="1"/>
  <c r="Q192" i="1"/>
  <c r="R192" i="1" s="1"/>
  <c r="Q184" i="1"/>
  <c r="R184" i="1" s="1"/>
  <c r="Q176" i="1"/>
  <c r="R176" i="1" s="1"/>
  <c r="Q168" i="1"/>
  <c r="R168" i="1" s="1"/>
  <c r="Q160" i="1"/>
  <c r="R160" i="1" s="1"/>
  <c r="Q152" i="1"/>
  <c r="R152" i="1" s="1"/>
  <c r="Q144" i="1"/>
  <c r="R144" i="1" s="1"/>
  <c r="Q136" i="1"/>
  <c r="R136" i="1" s="1"/>
  <c r="Q128" i="1"/>
  <c r="R128" i="1" s="1"/>
  <c r="Q120" i="1"/>
  <c r="R120" i="1" s="1"/>
  <c r="Q112" i="1"/>
  <c r="R112" i="1" s="1"/>
  <c r="Q104" i="1"/>
  <c r="R104" i="1" s="1"/>
  <c r="Q96" i="1"/>
  <c r="R96" i="1" s="1"/>
  <c r="Q88" i="1"/>
  <c r="R88" i="1" s="1"/>
  <c r="Q80" i="1"/>
  <c r="R80" i="1" s="1"/>
  <c r="Q72" i="1"/>
  <c r="R72" i="1" s="1"/>
  <c r="Q64" i="1"/>
  <c r="R64" i="1" s="1"/>
  <c r="Q56" i="1"/>
  <c r="R56" i="1" s="1"/>
  <c r="Q48" i="1"/>
  <c r="R48" i="1" s="1"/>
  <c r="Q40" i="1"/>
  <c r="R40" i="1" s="1"/>
  <c r="Q32" i="1"/>
  <c r="R32" i="1" s="1"/>
  <c r="Q24" i="1"/>
  <c r="R24" i="1" s="1"/>
  <c r="Q16" i="1"/>
  <c r="R16" i="1" s="1"/>
  <c r="Q9" i="1"/>
  <c r="R9" i="1" s="1"/>
  <c r="Q215" i="1"/>
  <c r="R215" i="1" s="1"/>
  <c r="Q207" i="1"/>
  <c r="R207" i="1" s="1"/>
  <c r="Q199" i="1"/>
  <c r="R199" i="1" s="1"/>
  <c r="Q191" i="1"/>
  <c r="R191" i="1" s="1"/>
  <c r="Q183" i="1"/>
  <c r="R183" i="1" s="1"/>
  <c r="Q175" i="1"/>
  <c r="R175" i="1" s="1"/>
  <c r="Q167" i="1"/>
  <c r="R167" i="1" s="1"/>
  <c r="Q159" i="1"/>
  <c r="R159" i="1" s="1"/>
  <c r="Q151" i="1"/>
  <c r="R151" i="1" s="1"/>
  <c r="Q143" i="1"/>
  <c r="R143" i="1" s="1"/>
  <c r="Q135" i="1"/>
  <c r="R135" i="1" s="1"/>
  <c r="Q127" i="1"/>
  <c r="R127" i="1" s="1"/>
  <c r="Q119" i="1"/>
  <c r="R119" i="1" s="1"/>
  <c r="Q111" i="1"/>
  <c r="R111" i="1" s="1"/>
  <c r="Q103" i="1"/>
  <c r="R103" i="1" s="1"/>
  <c r="Q95" i="1"/>
  <c r="R95" i="1" s="1"/>
  <c r="Q87" i="1"/>
  <c r="R87" i="1" s="1"/>
  <c r="Q79" i="1"/>
  <c r="R79" i="1" s="1"/>
  <c r="Q71" i="1"/>
  <c r="R71" i="1" s="1"/>
  <c r="Q63" i="1"/>
  <c r="R63" i="1" s="1"/>
  <c r="Q55" i="1"/>
  <c r="R55" i="1" s="1"/>
  <c r="Q47" i="1"/>
  <c r="R47" i="1" s="1"/>
  <c r="Q39" i="1"/>
  <c r="R39" i="1" s="1"/>
  <c r="Q31" i="1"/>
  <c r="R31" i="1" s="1"/>
  <c r="Q23" i="1"/>
  <c r="R23" i="1" s="1"/>
  <c r="Q15" i="1"/>
  <c r="R15" i="1" s="1"/>
  <c r="Q8" i="1"/>
  <c r="R8" i="1" s="1"/>
  <c r="Q214" i="1"/>
  <c r="R214" i="1" s="1"/>
  <c r="Q206" i="1"/>
  <c r="R206" i="1" s="1"/>
  <c r="Q198" i="1"/>
  <c r="R198" i="1" s="1"/>
  <c r="Q190" i="1"/>
  <c r="R190" i="1" s="1"/>
  <c r="Q182" i="1"/>
  <c r="R182" i="1" s="1"/>
  <c r="Q174" i="1"/>
  <c r="R174" i="1" s="1"/>
  <c r="Q166" i="1"/>
  <c r="R166" i="1" s="1"/>
  <c r="Q158" i="1"/>
  <c r="R158" i="1" s="1"/>
  <c r="Q150" i="1"/>
  <c r="R150" i="1" s="1"/>
  <c r="Q142" i="1"/>
  <c r="R142" i="1" s="1"/>
  <c r="Q134" i="1"/>
  <c r="R134" i="1" s="1"/>
  <c r="Q126" i="1"/>
  <c r="R126" i="1" s="1"/>
  <c r="Q118" i="1"/>
  <c r="R118" i="1" s="1"/>
  <c r="Q110" i="1"/>
  <c r="R110" i="1" s="1"/>
  <c r="Q102" i="1"/>
  <c r="R102" i="1" s="1"/>
  <c r="Q94" i="1"/>
  <c r="R94" i="1" s="1"/>
  <c r="Q86" i="1"/>
  <c r="R86" i="1" s="1"/>
  <c r="Q78" i="1"/>
  <c r="R78" i="1" s="1"/>
  <c r="Q70" i="1"/>
  <c r="R70" i="1" s="1"/>
  <c r="Q62" i="1"/>
  <c r="R62" i="1" s="1"/>
  <c r="Q54" i="1"/>
  <c r="R54" i="1" s="1"/>
  <c r="Q46" i="1"/>
  <c r="R46" i="1" s="1"/>
  <c r="Q38" i="1"/>
  <c r="R38" i="1" s="1"/>
  <c r="Q30" i="1"/>
  <c r="R30" i="1" s="1"/>
  <c r="Q22" i="1"/>
  <c r="R22" i="1" s="1"/>
  <c r="Q14" i="1"/>
  <c r="R14" i="1" s="1"/>
  <c r="Q213" i="1"/>
  <c r="R213" i="1" s="1"/>
  <c r="Q205" i="1"/>
  <c r="R205" i="1" s="1"/>
  <c r="Q197" i="1"/>
  <c r="R197" i="1" s="1"/>
  <c r="Q189" i="1"/>
  <c r="R189" i="1" s="1"/>
  <c r="Q181" i="1"/>
  <c r="R181" i="1" s="1"/>
  <c r="Q173" i="1"/>
  <c r="R173" i="1" s="1"/>
  <c r="Q165" i="1"/>
  <c r="R165" i="1" s="1"/>
  <c r="Q157" i="1"/>
  <c r="R157" i="1" s="1"/>
  <c r="Q149" i="1"/>
  <c r="R149" i="1" s="1"/>
  <c r="Q141" i="1"/>
  <c r="R141" i="1" s="1"/>
  <c r="Q133" i="1"/>
  <c r="R133" i="1" s="1"/>
  <c r="Q125" i="1"/>
  <c r="R125" i="1" s="1"/>
  <c r="Q117" i="1"/>
  <c r="R117" i="1" s="1"/>
  <c r="Q109" i="1"/>
  <c r="R109" i="1" s="1"/>
  <c r="Q101" i="1"/>
  <c r="R101" i="1" s="1"/>
  <c r="Q93" i="1"/>
  <c r="R93" i="1" s="1"/>
  <c r="Q85" i="1"/>
  <c r="R85" i="1" s="1"/>
  <c r="Q77" i="1"/>
  <c r="R77" i="1" s="1"/>
  <c r="Q69" i="1"/>
  <c r="R69" i="1" s="1"/>
  <c r="Q61" i="1"/>
  <c r="R61" i="1" s="1"/>
  <c r="Q53" i="1"/>
  <c r="R53" i="1" s="1"/>
  <c r="Q45" i="1"/>
  <c r="R45" i="1" s="1"/>
  <c r="Q37" i="1"/>
  <c r="R37" i="1" s="1"/>
  <c r="Q29" i="1"/>
  <c r="R29" i="1" s="1"/>
  <c r="Q21" i="1"/>
  <c r="R21" i="1" s="1"/>
  <c r="Q13" i="1"/>
  <c r="R13" i="1" s="1"/>
  <c r="Q7" i="1"/>
  <c r="R7" i="1" s="1"/>
  <c r="Q212" i="1"/>
  <c r="R212" i="1" s="1"/>
  <c r="Q204" i="1"/>
  <c r="R204" i="1" s="1"/>
  <c r="Q196" i="1"/>
  <c r="R196" i="1" s="1"/>
  <c r="Q188" i="1"/>
  <c r="R188" i="1" s="1"/>
  <c r="Q180" i="1"/>
  <c r="R180" i="1" s="1"/>
  <c r="Q172" i="1"/>
  <c r="R172" i="1" s="1"/>
  <c r="Q164" i="1"/>
  <c r="R164" i="1" s="1"/>
  <c r="Q156" i="1"/>
  <c r="R156" i="1" s="1"/>
  <c r="Q148" i="1"/>
  <c r="R148" i="1" s="1"/>
  <c r="Q140" i="1"/>
  <c r="R140" i="1" s="1"/>
  <c r="Q132" i="1"/>
  <c r="R132" i="1" s="1"/>
  <c r="Q124" i="1"/>
  <c r="R124" i="1" s="1"/>
  <c r="Q116" i="1"/>
  <c r="R116" i="1" s="1"/>
  <c r="Q108" i="1"/>
  <c r="R108" i="1" s="1"/>
  <c r="Q100" i="1"/>
  <c r="R100" i="1" s="1"/>
  <c r="Q92" i="1"/>
  <c r="R92" i="1" s="1"/>
  <c r="Q84" i="1"/>
  <c r="R84" i="1" s="1"/>
  <c r="Q76" i="1"/>
  <c r="R76" i="1" s="1"/>
  <c r="Q68" i="1"/>
  <c r="R68" i="1" s="1"/>
  <c r="Q60" i="1"/>
  <c r="R60" i="1" s="1"/>
  <c r="Q52" i="1"/>
  <c r="R52" i="1" s="1"/>
  <c r="Q44" i="1"/>
  <c r="R44" i="1" s="1"/>
  <c r="Q36" i="1"/>
  <c r="R36" i="1" s="1"/>
  <c r="Q28" i="1"/>
  <c r="R28" i="1" s="1"/>
  <c r="Q20" i="1"/>
  <c r="R20" i="1" s="1"/>
  <c r="Q12" i="1"/>
  <c r="R12" i="1" s="1"/>
  <c r="Q211" i="1"/>
  <c r="R211" i="1" s="1"/>
  <c r="Q203" i="1"/>
  <c r="R203" i="1" s="1"/>
  <c r="Q195" i="1"/>
  <c r="R195" i="1" s="1"/>
  <c r="Q187" i="1"/>
  <c r="R187" i="1" s="1"/>
  <c r="Q179" i="1"/>
  <c r="R179" i="1" s="1"/>
  <c r="Q171" i="1"/>
  <c r="R171" i="1" s="1"/>
  <c r="Q163" i="1"/>
  <c r="R163" i="1" s="1"/>
  <c r="Q155" i="1"/>
  <c r="R155" i="1" s="1"/>
  <c r="Q147" i="1"/>
  <c r="R147" i="1" s="1"/>
  <c r="Q139" i="1"/>
  <c r="R139" i="1" s="1"/>
  <c r="Q131" i="1"/>
  <c r="R131" i="1" s="1"/>
  <c r="Q123" i="1"/>
  <c r="R123" i="1" s="1"/>
  <c r="Q115" i="1"/>
  <c r="R115" i="1" s="1"/>
  <c r="Q107" i="1"/>
  <c r="R107" i="1" s="1"/>
  <c r="Q99" i="1"/>
  <c r="R99" i="1" s="1"/>
  <c r="Q91" i="1"/>
  <c r="R91" i="1" s="1"/>
  <c r="Q83" i="1"/>
  <c r="R83" i="1" s="1"/>
  <c r="Q75" i="1"/>
  <c r="R75" i="1" s="1"/>
  <c r="Q67" i="1"/>
  <c r="R67" i="1" s="1"/>
  <c r="Q59" i="1"/>
  <c r="R59" i="1" s="1"/>
  <c r="Q51" i="1"/>
  <c r="R51" i="1" s="1"/>
  <c r="Q43" i="1"/>
  <c r="R43" i="1" s="1"/>
  <c r="Q35" i="1"/>
  <c r="R35" i="1" s="1"/>
  <c r="Q27" i="1"/>
  <c r="R27" i="1" s="1"/>
  <c r="Q19" i="1"/>
  <c r="R19" i="1" s="1"/>
  <c r="X42" i="1" a="1"/>
  <c r="X42" i="1" s="1"/>
  <c r="X36" i="1" a="1"/>
  <c r="X36" i="1" s="1"/>
  <c r="Y36" i="1" s="1"/>
  <c r="R24" i="6" l="1"/>
  <c r="R21" i="6"/>
  <c r="S20" i="6"/>
  <c r="S21" i="6"/>
  <c r="R23" i="6"/>
  <c r="R22" i="6"/>
  <c r="S9" i="6"/>
  <c r="S10" i="6"/>
  <c r="S23" i="6"/>
  <c r="S22" i="6"/>
  <c r="N25" i="6"/>
  <c r="P25" i="6"/>
  <c r="T25" i="6"/>
  <c r="M25" i="6"/>
  <c r="Q25" i="6"/>
  <c r="O25" i="6"/>
  <c r="T12" i="6"/>
  <c r="Q12" i="6"/>
  <c r="S7" i="6"/>
  <c r="N12" i="6"/>
  <c r="P12" i="6"/>
  <c r="R10" i="6"/>
  <c r="R8" i="6"/>
  <c r="R9" i="6"/>
  <c r="R7" i="6"/>
  <c r="M12" i="6"/>
  <c r="O12" i="6"/>
  <c r="X30" i="1" a="1"/>
  <c r="X30" i="1" s="1"/>
  <c r="Y30" i="1" s="1"/>
  <c r="X21" i="1" a="1"/>
  <c r="X21" i="1" s="1"/>
  <c r="X15" i="1" a="1"/>
  <c r="X15" i="1" s="1"/>
  <c r="Y15" i="1" s="1"/>
  <c r="X9" i="1" a="1"/>
  <c r="X9" i="1" s="1"/>
  <c r="Y9" i="1" s="1"/>
  <c r="AW90" i="3" l="1" a="1"/>
  <c r="AW90" i="3" s="1"/>
  <c r="AW89" i="3" a="1"/>
  <c r="AW89" i="3" s="1"/>
  <c r="AW88" i="3" a="1"/>
  <c r="AW88" i="3" s="1"/>
  <c r="AW87" i="3" a="1"/>
  <c r="AW87" i="3" s="1"/>
  <c r="AW86" i="3" a="1"/>
  <c r="AW86" i="3" s="1"/>
  <c r="AW85" i="3" a="1"/>
  <c r="AW85" i="3" s="1"/>
  <c r="AW82" i="3" a="1"/>
  <c r="AW82" i="3" s="1"/>
  <c r="AW81" i="3" a="1"/>
  <c r="AW81" i="3" s="1"/>
  <c r="AW80" i="3" a="1"/>
  <c r="AW80" i="3" s="1"/>
  <c r="AW79" i="3" a="1"/>
  <c r="AW79" i="3" s="1"/>
  <c r="AW78" i="3" a="1"/>
  <c r="AW78" i="3" s="1"/>
  <c r="AW77" i="3" a="1"/>
  <c r="AW77" i="3" s="1"/>
  <c r="AW74" i="3" a="1"/>
  <c r="AW74" i="3" s="1"/>
  <c r="AW73" i="3" a="1"/>
  <c r="AW73" i="3" s="1"/>
  <c r="AW72" i="3" a="1"/>
  <c r="AW72" i="3" s="1"/>
  <c r="AW71" i="3" a="1"/>
  <c r="AW71" i="3" s="1"/>
  <c r="AW70" i="3" a="1"/>
  <c r="AW70" i="3" s="1"/>
  <c r="AW69" i="3" a="1"/>
  <c r="AW69" i="3" s="1"/>
  <c r="AW65" i="3" a="1"/>
  <c r="AW65" i="3" s="1"/>
  <c r="AW64" i="3" a="1"/>
  <c r="AW64" i="3" s="1"/>
  <c r="AW63" i="3" a="1"/>
  <c r="AW63" i="3" s="1"/>
  <c r="AW62" i="3" a="1"/>
  <c r="AW62" i="3" s="1"/>
  <c r="AW61" i="3" a="1"/>
  <c r="AW61" i="3" s="1"/>
  <c r="AW60" i="3" a="1"/>
  <c r="AW60" i="3" s="1"/>
  <c r="AW57" i="3" a="1"/>
  <c r="AW57" i="3" s="1"/>
  <c r="AW56" i="3" a="1"/>
  <c r="AW56" i="3" s="1"/>
  <c r="AW55" i="3" a="1"/>
  <c r="AW55" i="3" s="1"/>
  <c r="AW54" i="3" a="1"/>
  <c r="AW54" i="3" s="1"/>
  <c r="AW53" i="3" a="1"/>
  <c r="AW53" i="3" s="1"/>
  <c r="AW52" i="3" a="1"/>
  <c r="AW52" i="3" s="1"/>
  <c r="AW49" i="3" a="1"/>
  <c r="AW49" i="3" s="1"/>
  <c r="AW48" i="3" a="1"/>
  <c r="AW48" i="3" s="1"/>
  <c r="AW47" i="3" a="1"/>
  <c r="AW47" i="3" s="1"/>
  <c r="AW46" i="3" a="1"/>
  <c r="AW46" i="3" s="1"/>
  <c r="AW45" i="3" a="1"/>
  <c r="AW45" i="3" s="1"/>
  <c r="AW44" i="3" a="1"/>
  <c r="AW44" i="3" s="1"/>
  <c r="AW40" i="3" a="1"/>
  <c r="AW40" i="3" s="1"/>
  <c r="AW39" i="3" a="1"/>
  <c r="AW39" i="3" s="1"/>
  <c r="AW38" i="3" a="1"/>
  <c r="AW38" i="3" s="1"/>
  <c r="AW37" i="3" a="1"/>
  <c r="AW37" i="3" s="1"/>
  <c r="AW36" i="3" a="1"/>
  <c r="AW36" i="3" s="1"/>
  <c r="AW35" i="3" a="1"/>
  <c r="AW35" i="3" s="1"/>
  <c r="AW31" i="3" a="1"/>
  <c r="AW31" i="3" s="1"/>
  <c r="AW30" i="3" a="1"/>
  <c r="AW30" i="3" s="1"/>
  <c r="AW29" i="3" a="1"/>
  <c r="AW29" i="3" s="1"/>
  <c r="AW28" i="3" a="1"/>
  <c r="AW28" i="3" s="1"/>
  <c r="AW27" i="3" a="1"/>
  <c r="AW27" i="3" s="1"/>
  <c r="AW26" i="3" a="1"/>
  <c r="AW26" i="3" s="1"/>
  <c r="AW23" i="3" a="1"/>
  <c r="AW23" i="3" s="1"/>
  <c r="AW22" i="3" a="1"/>
  <c r="AW22" i="3" s="1"/>
  <c r="AW21" i="3" a="1"/>
  <c r="AW21" i="3" s="1"/>
  <c r="AW20" i="3" a="1"/>
  <c r="AW20" i="3" s="1"/>
  <c r="AW19" i="3" a="1"/>
  <c r="AW19" i="3" s="1"/>
  <c r="AW18" i="3" a="1"/>
  <c r="AW18" i="3" s="1"/>
  <c r="AW14" i="3" a="1"/>
  <c r="AW14" i="3" s="1"/>
  <c r="AW13" i="3" a="1"/>
  <c r="AW13" i="3" s="1"/>
  <c r="AW12" i="3" a="1"/>
  <c r="AW12" i="3" s="1"/>
  <c r="AW11" i="3" a="1"/>
  <c r="AW11" i="3" s="1"/>
  <c r="AW10" i="3" a="1"/>
  <c r="AW10" i="3" s="1"/>
  <c r="AW9" i="3" a="1"/>
  <c r="AW9" i="3" s="1"/>
  <c r="AO90" i="3" a="1"/>
  <c r="AO90" i="3" s="1"/>
  <c r="AO89" i="3" a="1"/>
  <c r="AO89" i="3" s="1"/>
  <c r="AO88" i="3" a="1"/>
  <c r="AO88" i="3" s="1"/>
  <c r="AO87" i="3" a="1"/>
  <c r="AO87" i="3" s="1"/>
  <c r="AO86" i="3" a="1"/>
  <c r="AO86" i="3" s="1"/>
  <c r="AO85" i="3" a="1"/>
  <c r="AO85" i="3" s="1"/>
  <c r="AO82" i="3" a="1"/>
  <c r="AO82" i="3" s="1"/>
  <c r="AO81" i="3" a="1"/>
  <c r="AO81" i="3" s="1"/>
  <c r="AO80" i="3" a="1"/>
  <c r="AO80" i="3" s="1"/>
  <c r="AO79" i="3" a="1"/>
  <c r="AO79" i="3" s="1"/>
  <c r="AO78" i="3" a="1"/>
  <c r="AO78" i="3" s="1"/>
  <c r="AO77" i="3" a="1"/>
  <c r="AO77" i="3" s="1"/>
  <c r="AO74" i="3" a="1"/>
  <c r="AO74" i="3" s="1"/>
  <c r="AO73" i="3" a="1"/>
  <c r="AO73" i="3" s="1"/>
  <c r="AO72" i="3" a="1"/>
  <c r="AO72" i="3" s="1"/>
  <c r="AO71" i="3" a="1"/>
  <c r="AO71" i="3" s="1"/>
  <c r="AO70" i="3" a="1"/>
  <c r="AO70" i="3" s="1"/>
  <c r="AO69" i="3" a="1"/>
  <c r="AO69" i="3" s="1"/>
  <c r="AO65" i="3" a="1"/>
  <c r="AO65" i="3" s="1"/>
  <c r="AO64" i="3" a="1"/>
  <c r="AO64" i="3" s="1"/>
  <c r="AO63" i="3" a="1"/>
  <c r="AO63" i="3" s="1"/>
  <c r="AO62" i="3" a="1"/>
  <c r="AO62" i="3" s="1"/>
  <c r="AO61" i="3" a="1"/>
  <c r="AO61" i="3" s="1"/>
  <c r="AO60" i="3" a="1"/>
  <c r="AO60" i="3" s="1"/>
  <c r="AO57" i="3" a="1"/>
  <c r="AO57" i="3" s="1"/>
  <c r="AO56" i="3" a="1"/>
  <c r="AO56" i="3" s="1"/>
  <c r="AO55" i="3" a="1"/>
  <c r="AO55" i="3" s="1"/>
  <c r="AO54" i="3" a="1"/>
  <c r="AO54" i="3" s="1"/>
  <c r="AO53" i="3" a="1"/>
  <c r="AO53" i="3" s="1"/>
  <c r="AO52" i="3" a="1"/>
  <c r="AO52" i="3" s="1"/>
  <c r="AO49" i="3" a="1"/>
  <c r="AO49" i="3" s="1"/>
  <c r="AO48" i="3" a="1"/>
  <c r="AO48" i="3" s="1"/>
  <c r="AO47" i="3" a="1"/>
  <c r="AO47" i="3" s="1"/>
  <c r="AO46" i="3" a="1"/>
  <c r="AO46" i="3" s="1"/>
  <c r="AO45" i="3" a="1"/>
  <c r="AO45" i="3" s="1"/>
  <c r="AO44" i="3" a="1"/>
  <c r="AO44" i="3" s="1"/>
  <c r="AO40" i="3" a="1"/>
  <c r="AO40" i="3" s="1"/>
  <c r="AO39" i="3" a="1"/>
  <c r="AO39" i="3" s="1"/>
  <c r="AO38" i="3" a="1"/>
  <c r="AO38" i="3" s="1"/>
  <c r="AO37" i="3" a="1"/>
  <c r="AO37" i="3" s="1"/>
  <c r="AO36" i="3" a="1"/>
  <c r="AO36" i="3" s="1"/>
  <c r="AO35" i="3" a="1"/>
  <c r="AO35" i="3" s="1"/>
  <c r="AO31" i="3" a="1"/>
  <c r="AO31" i="3" s="1"/>
  <c r="AO30" i="3" a="1"/>
  <c r="AO30" i="3" s="1"/>
  <c r="AO29" i="3" a="1"/>
  <c r="AO29" i="3" s="1"/>
  <c r="AO28" i="3" a="1"/>
  <c r="AO28" i="3" s="1"/>
  <c r="AO27" i="3" a="1"/>
  <c r="AO27" i="3" s="1"/>
  <c r="AO26" i="3" a="1"/>
  <c r="AO26" i="3" s="1"/>
  <c r="AO23" i="3" a="1"/>
  <c r="AO23" i="3" s="1"/>
  <c r="AO22" i="3" a="1"/>
  <c r="AO22" i="3" s="1"/>
  <c r="AO21" i="3" a="1"/>
  <c r="AO21" i="3" s="1"/>
  <c r="AO20" i="3" a="1"/>
  <c r="AO20" i="3" s="1"/>
  <c r="AO19" i="3" a="1"/>
  <c r="AO19" i="3" s="1"/>
  <c r="AO18" i="3" a="1"/>
  <c r="AO18" i="3" s="1"/>
  <c r="AO14" i="3" a="1"/>
  <c r="AO14" i="3" s="1"/>
  <c r="AO13" i="3" a="1"/>
  <c r="AO13" i="3" s="1"/>
  <c r="AO12" i="3" a="1"/>
  <c r="AO12" i="3" s="1"/>
  <c r="AO11" i="3" a="1"/>
  <c r="AO11" i="3" s="1"/>
  <c r="AO10" i="3" a="1"/>
  <c r="AO10" i="3" s="1"/>
  <c r="AO9" i="3" a="1"/>
  <c r="AO9" i="3" s="1"/>
  <c r="AG90" i="3" a="1"/>
  <c r="AG90" i="3" s="1"/>
  <c r="AG89" i="3" a="1"/>
  <c r="AG89" i="3" s="1"/>
  <c r="AG88" i="3" a="1"/>
  <c r="AG88" i="3" s="1"/>
  <c r="AG87" i="3" a="1"/>
  <c r="AG87" i="3" s="1"/>
  <c r="AG86" i="3" a="1"/>
  <c r="AG86" i="3" s="1"/>
  <c r="AG85" i="3" a="1"/>
  <c r="AG85" i="3" s="1"/>
  <c r="AG82" i="3" a="1"/>
  <c r="AG82" i="3" s="1"/>
  <c r="AG81" i="3" a="1"/>
  <c r="AG81" i="3" s="1"/>
  <c r="AG80" i="3" a="1"/>
  <c r="AG80" i="3" s="1"/>
  <c r="AG79" i="3" a="1"/>
  <c r="AG79" i="3" s="1"/>
  <c r="AG78" i="3" a="1"/>
  <c r="AG78" i="3" s="1"/>
  <c r="AG77" i="3" a="1"/>
  <c r="AG77" i="3" s="1"/>
  <c r="AG74" i="3" a="1"/>
  <c r="AG74" i="3" s="1"/>
  <c r="AG73" i="3" a="1"/>
  <c r="AG73" i="3" s="1"/>
  <c r="AG72" i="3" a="1"/>
  <c r="AG72" i="3" s="1"/>
  <c r="AG71" i="3" a="1"/>
  <c r="AG71" i="3" s="1"/>
  <c r="AG70" i="3" a="1"/>
  <c r="AG70" i="3" s="1"/>
  <c r="AG69" i="3" a="1"/>
  <c r="AG69" i="3" s="1"/>
  <c r="AG65" i="3" a="1"/>
  <c r="AG65" i="3" s="1"/>
  <c r="AG64" i="3" a="1"/>
  <c r="AG64" i="3" s="1"/>
  <c r="AG63" i="3" a="1"/>
  <c r="AG63" i="3" s="1"/>
  <c r="AG62" i="3" a="1"/>
  <c r="AG62" i="3" s="1"/>
  <c r="AG61" i="3" a="1"/>
  <c r="AG61" i="3" s="1"/>
  <c r="AG60" i="3" a="1"/>
  <c r="AG60" i="3" s="1"/>
  <c r="AG57" i="3" a="1"/>
  <c r="AG57" i="3" s="1"/>
  <c r="AG56" i="3" a="1"/>
  <c r="AG56" i="3" s="1"/>
  <c r="AG55" i="3" a="1"/>
  <c r="AG55" i="3" s="1"/>
  <c r="AG54" i="3" a="1"/>
  <c r="AG54" i="3" s="1"/>
  <c r="AG53" i="3" a="1"/>
  <c r="AG53" i="3" s="1"/>
  <c r="AG52" i="3" a="1"/>
  <c r="AG52" i="3" s="1"/>
  <c r="AG49" i="3" a="1"/>
  <c r="AG49" i="3" s="1"/>
  <c r="AG48" i="3" a="1"/>
  <c r="AG48" i="3" s="1"/>
  <c r="AG47" i="3" a="1"/>
  <c r="AG47" i="3" s="1"/>
  <c r="AG46" i="3" a="1"/>
  <c r="AG46" i="3" s="1"/>
  <c r="AG45" i="3" a="1"/>
  <c r="AG45" i="3" s="1"/>
  <c r="AG44" i="3" a="1"/>
  <c r="AG44" i="3" s="1"/>
  <c r="AG40" i="3" a="1"/>
  <c r="AG40" i="3" s="1"/>
  <c r="AG39" i="3" a="1"/>
  <c r="AG39" i="3" s="1"/>
  <c r="AG38" i="3" a="1"/>
  <c r="AG38" i="3" s="1"/>
  <c r="AG37" i="3" a="1"/>
  <c r="AG37" i="3" s="1"/>
  <c r="AG36" i="3" a="1"/>
  <c r="AG36" i="3" s="1"/>
  <c r="AG35" i="3" a="1"/>
  <c r="AG35" i="3" s="1"/>
  <c r="AG31" i="3" a="1"/>
  <c r="AG31" i="3" s="1"/>
  <c r="AG30" i="3" a="1"/>
  <c r="AG30" i="3" s="1"/>
  <c r="AG29" i="3" a="1"/>
  <c r="AG29" i="3" s="1"/>
  <c r="AG28" i="3" a="1"/>
  <c r="AG28" i="3" s="1"/>
  <c r="AG27" i="3" a="1"/>
  <c r="AG27" i="3" s="1"/>
  <c r="AG26" i="3" a="1"/>
  <c r="AG26" i="3" s="1"/>
  <c r="AG23" i="3" a="1"/>
  <c r="AG23" i="3" s="1"/>
  <c r="AG22" i="3" a="1"/>
  <c r="AG22" i="3" s="1"/>
  <c r="AG21" i="3" a="1"/>
  <c r="AG21" i="3" s="1"/>
  <c r="AG20" i="3" a="1"/>
  <c r="AG20" i="3" s="1"/>
  <c r="AG19" i="3" a="1"/>
  <c r="AG19" i="3" s="1"/>
  <c r="AG18" i="3" a="1"/>
  <c r="AG18" i="3" s="1"/>
  <c r="AG14" i="3" a="1"/>
  <c r="AG14" i="3" s="1"/>
  <c r="AG13" i="3" a="1"/>
  <c r="AG13" i="3" s="1"/>
  <c r="AG12" i="3" a="1"/>
  <c r="AG12" i="3" s="1"/>
  <c r="AG11" i="3" a="1"/>
  <c r="AG11" i="3" s="1"/>
  <c r="AG10" i="3" a="1"/>
  <c r="AG10" i="3" s="1"/>
  <c r="AG9" i="3" a="1"/>
  <c r="AG9" i="3" s="1"/>
  <c r="AV90" i="3" a="1"/>
  <c r="AV90" i="3" s="1"/>
  <c r="AN90" i="3" a="1"/>
  <c r="AN90" i="3" s="1"/>
  <c r="AF90" i="3" a="1"/>
  <c r="AF90" i="3" s="1"/>
  <c r="H90" i="3" a="1"/>
  <c r="H90" i="3" s="1"/>
  <c r="AV89" i="3" a="1"/>
  <c r="AV89" i="3" s="1"/>
  <c r="AN89" i="3" a="1"/>
  <c r="AN89" i="3" s="1"/>
  <c r="AF89" i="3" a="1"/>
  <c r="AF89" i="3" s="1"/>
  <c r="H89" i="3" a="1"/>
  <c r="H89" i="3" s="1"/>
  <c r="AV88" i="3" a="1"/>
  <c r="AV88" i="3" s="1"/>
  <c r="AN88" i="3" a="1"/>
  <c r="AN88" i="3" s="1"/>
  <c r="AF88" i="3" a="1"/>
  <c r="AF88" i="3" s="1"/>
  <c r="H88" i="3" a="1"/>
  <c r="H88" i="3" s="1"/>
  <c r="AV87" i="3" a="1"/>
  <c r="AV87" i="3" s="1"/>
  <c r="AN87" i="3" a="1"/>
  <c r="AN87" i="3" s="1"/>
  <c r="AF87" i="3" a="1"/>
  <c r="AF87" i="3" s="1"/>
  <c r="H87" i="3" a="1"/>
  <c r="H87" i="3" s="1"/>
  <c r="AV86" i="3" a="1"/>
  <c r="AV86" i="3" s="1"/>
  <c r="AN86" i="3" a="1"/>
  <c r="AN86" i="3" s="1"/>
  <c r="AF86" i="3" a="1"/>
  <c r="AF86" i="3" s="1"/>
  <c r="H86" i="3" a="1"/>
  <c r="H86" i="3" s="1"/>
  <c r="AV85" i="3" a="1"/>
  <c r="AV85" i="3" s="1"/>
  <c r="AN85" i="3" a="1"/>
  <c r="AN85" i="3" s="1"/>
  <c r="AF85" i="3" a="1"/>
  <c r="AF85" i="3" s="1"/>
  <c r="H85" i="3" a="1"/>
  <c r="H85" i="3" s="1"/>
  <c r="AV82" i="3" a="1"/>
  <c r="AV82" i="3" s="1"/>
  <c r="AN82" i="3" a="1"/>
  <c r="AN82" i="3" s="1"/>
  <c r="AF82" i="3" a="1"/>
  <c r="AF82" i="3" s="1"/>
  <c r="H82" i="3" a="1"/>
  <c r="H82" i="3" s="1"/>
  <c r="AV81" i="3" a="1"/>
  <c r="AV81" i="3" s="1"/>
  <c r="AN81" i="3" a="1"/>
  <c r="AN81" i="3" s="1"/>
  <c r="AF81" i="3" a="1"/>
  <c r="AF81" i="3" s="1"/>
  <c r="H81" i="3" a="1"/>
  <c r="H81" i="3" s="1"/>
  <c r="AV80" i="3" a="1"/>
  <c r="AV80" i="3" s="1"/>
  <c r="AN80" i="3" a="1"/>
  <c r="AN80" i="3" s="1"/>
  <c r="AF80" i="3" a="1"/>
  <c r="AF80" i="3" s="1"/>
  <c r="H80" i="3" a="1"/>
  <c r="H80" i="3" s="1"/>
  <c r="AV79" i="3" a="1"/>
  <c r="AV79" i="3" s="1"/>
  <c r="AN79" i="3" a="1"/>
  <c r="AN79" i="3" s="1"/>
  <c r="AF79" i="3" a="1"/>
  <c r="AF79" i="3" s="1"/>
  <c r="H79" i="3" a="1"/>
  <c r="H79" i="3" s="1"/>
  <c r="AV78" i="3" a="1"/>
  <c r="AV78" i="3" s="1"/>
  <c r="AN78" i="3" a="1"/>
  <c r="AN78" i="3" s="1"/>
  <c r="AF78" i="3" a="1"/>
  <c r="AF78" i="3" s="1"/>
  <c r="H78" i="3" a="1"/>
  <c r="H78" i="3" s="1"/>
  <c r="AV77" i="3" a="1"/>
  <c r="AV77" i="3" s="1"/>
  <c r="AN77" i="3" a="1"/>
  <c r="AN77" i="3" s="1"/>
  <c r="AF77" i="3" a="1"/>
  <c r="AF77" i="3" s="1"/>
  <c r="H77" i="3" a="1"/>
  <c r="H77" i="3" s="1"/>
  <c r="AV74" i="3" a="1"/>
  <c r="AV74" i="3" s="1"/>
  <c r="AN74" i="3" a="1"/>
  <c r="AN74" i="3" s="1"/>
  <c r="AF74" i="3" a="1"/>
  <c r="AF74" i="3" s="1"/>
  <c r="H74" i="3" a="1"/>
  <c r="H74" i="3" s="1"/>
  <c r="AV73" i="3" a="1"/>
  <c r="AV73" i="3" s="1"/>
  <c r="AN73" i="3" a="1"/>
  <c r="AN73" i="3" s="1"/>
  <c r="AF73" i="3" a="1"/>
  <c r="AF73" i="3" s="1"/>
  <c r="H73" i="3" a="1"/>
  <c r="H73" i="3" s="1"/>
  <c r="AV72" i="3" a="1"/>
  <c r="AV72" i="3" s="1"/>
  <c r="AN72" i="3" a="1"/>
  <c r="AN72" i="3" s="1"/>
  <c r="AF72" i="3" a="1"/>
  <c r="AF72" i="3" s="1"/>
  <c r="H72" i="3" a="1"/>
  <c r="H72" i="3" s="1"/>
  <c r="AV71" i="3" a="1"/>
  <c r="AV71" i="3" s="1"/>
  <c r="AN71" i="3" a="1"/>
  <c r="AN71" i="3" s="1"/>
  <c r="AF71" i="3" a="1"/>
  <c r="AF71" i="3" s="1"/>
  <c r="H71" i="3" a="1"/>
  <c r="H71" i="3" s="1"/>
  <c r="AV70" i="3" a="1"/>
  <c r="AV70" i="3" s="1"/>
  <c r="AN70" i="3" a="1"/>
  <c r="AN70" i="3" s="1"/>
  <c r="AF70" i="3" a="1"/>
  <c r="AF70" i="3" s="1"/>
  <c r="H70" i="3" a="1"/>
  <c r="H70" i="3" s="1"/>
  <c r="AV69" i="3" a="1"/>
  <c r="AV69" i="3" s="1"/>
  <c r="AN69" i="3" a="1"/>
  <c r="AN69" i="3" s="1"/>
  <c r="AF69" i="3" a="1"/>
  <c r="AF69" i="3" s="1"/>
  <c r="H69" i="3" a="1"/>
  <c r="H69" i="3" s="1"/>
  <c r="AV65" i="3" a="1"/>
  <c r="AV65" i="3" s="1"/>
  <c r="AN65" i="3" a="1"/>
  <c r="AN65" i="3" s="1"/>
  <c r="AF65" i="3" a="1"/>
  <c r="AF65" i="3" s="1"/>
  <c r="X65" i="3" a="1"/>
  <c r="X65" i="3" s="1"/>
  <c r="P65" i="3" a="1"/>
  <c r="P65" i="3" s="1"/>
  <c r="H65" i="3" a="1"/>
  <c r="H65" i="3" s="1"/>
  <c r="AV64" i="3" a="1"/>
  <c r="AV64" i="3" s="1"/>
  <c r="AN64" i="3" a="1"/>
  <c r="AN64" i="3" s="1"/>
  <c r="AF64" i="3" a="1"/>
  <c r="AF64" i="3" s="1"/>
  <c r="X64" i="3" a="1"/>
  <c r="X64" i="3" s="1"/>
  <c r="P64" i="3" a="1"/>
  <c r="P64" i="3" s="1"/>
  <c r="H64" i="3" a="1"/>
  <c r="H64" i="3" s="1"/>
  <c r="AV63" i="3" a="1"/>
  <c r="AV63" i="3" s="1"/>
  <c r="AN63" i="3" a="1"/>
  <c r="AN63" i="3" s="1"/>
  <c r="AF63" i="3" a="1"/>
  <c r="AF63" i="3" s="1"/>
  <c r="X63" i="3" a="1"/>
  <c r="X63" i="3" s="1"/>
  <c r="P63" i="3" a="1"/>
  <c r="P63" i="3" s="1"/>
  <c r="H63" i="3" a="1"/>
  <c r="H63" i="3" s="1"/>
  <c r="AV62" i="3" a="1"/>
  <c r="AV62" i="3" s="1"/>
  <c r="AN62" i="3" a="1"/>
  <c r="AN62" i="3" s="1"/>
  <c r="AF62" i="3" a="1"/>
  <c r="AF62" i="3" s="1"/>
  <c r="X62" i="3" a="1"/>
  <c r="X62" i="3" s="1"/>
  <c r="P62" i="3" a="1"/>
  <c r="P62" i="3" s="1"/>
  <c r="H62" i="3" a="1"/>
  <c r="H62" i="3" s="1"/>
  <c r="AV61" i="3" a="1"/>
  <c r="AV61" i="3" s="1"/>
  <c r="AN61" i="3" a="1"/>
  <c r="AN61" i="3" s="1"/>
  <c r="AF61" i="3" a="1"/>
  <c r="AF61" i="3" s="1"/>
  <c r="X61" i="3" a="1"/>
  <c r="X61" i="3" s="1"/>
  <c r="P61" i="3" a="1"/>
  <c r="P61" i="3" s="1"/>
  <c r="H61" i="3" a="1"/>
  <c r="H61" i="3" s="1"/>
  <c r="AV60" i="3" a="1"/>
  <c r="AV60" i="3" s="1"/>
  <c r="AN60" i="3" a="1"/>
  <c r="AN60" i="3" s="1"/>
  <c r="AF60" i="3" a="1"/>
  <c r="AF60" i="3" s="1"/>
  <c r="X60" i="3" a="1"/>
  <c r="X60" i="3" s="1"/>
  <c r="P60" i="3" a="1"/>
  <c r="P60" i="3" s="1"/>
  <c r="H60" i="3" a="1"/>
  <c r="H60" i="3" s="1"/>
  <c r="AV57" i="3" a="1"/>
  <c r="AV57" i="3" s="1"/>
  <c r="AN57" i="3" a="1"/>
  <c r="AN57" i="3" s="1"/>
  <c r="AF57" i="3" a="1"/>
  <c r="AF57" i="3" s="1"/>
  <c r="X57" i="3" a="1"/>
  <c r="X57" i="3" s="1"/>
  <c r="P57" i="3" a="1"/>
  <c r="P57" i="3" s="1"/>
  <c r="H57" i="3" a="1"/>
  <c r="H57" i="3" s="1"/>
  <c r="AV56" i="3" a="1"/>
  <c r="AV56" i="3" s="1"/>
  <c r="AN56" i="3" a="1"/>
  <c r="AN56" i="3" s="1"/>
  <c r="AF56" i="3" a="1"/>
  <c r="AF56" i="3" s="1"/>
  <c r="X56" i="3" a="1"/>
  <c r="X56" i="3" s="1"/>
  <c r="P56" i="3" a="1"/>
  <c r="P56" i="3" s="1"/>
  <c r="H56" i="3" a="1"/>
  <c r="H56" i="3" s="1"/>
  <c r="AV55" i="3" a="1"/>
  <c r="AV55" i="3" s="1"/>
  <c r="AN55" i="3" a="1"/>
  <c r="AN55" i="3" s="1"/>
  <c r="AF55" i="3" a="1"/>
  <c r="AF55" i="3" s="1"/>
  <c r="X55" i="3" a="1"/>
  <c r="X55" i="3" s="1"/>
  <c r="P55" i="3" a="1"/>
  <c r="P55" i="3" s="1"/>
  <c r="H55" i="3" a="1"/>
  <c r="H55" i="3" s="1"/>
  <c r="AV54" i="3" a="1"/>
  <c r="AV54" i="3" s="1"/>
  <c r="AN54" i="3" a="1"/>
  <c r="AN54" i="3" s="1"/>
  <c r="AF54" i="3" a="1"/>
  <c r="AF54" i="3" s="1"/>
  <c r="X54" i="3" a="1"/>
  <c r="X54" i="3" s="1"/>
  <c r="P54" i="3" a="1"/>
  <c r="P54" i="3" s="1"/>
  <c r="H54" i="3" a="1"/>
  <c r="H54" i="3" s="1"/>
  <c r="AV53" i="3" a="1"/>
  <c r="AV53" i="3" s="1"/>
  <c r="AN53" i="3" a="1"/>
  <c r="AN53" i="3" s="1"/>
  <c r="AF53" i="3" a="1"/>
  <c r="AF53" i="3" s="1"/>
  <c r="X53" i="3" a="1"/>
  <c r="X53" i="3" s="1"/>
  <c r="P53" i="3" a="1"/>
  <c r="P53" i="3" s="1"/>
  <c r="H53" i="3" a="1"/>
  <c r="H53" i="3" s="1"/>
  <c r="AV52" i="3" a="1"/>
  <c r="AV52" i="3" s="1"/>
  <c r="AN52" i="3" a="1"/>
  <c r="AN52" i="3" s="1"/>
  <c r="AF52" i="3" a="1"/>
  <c r="AF52" i="3" s="1"/>
  <c r="X52" i="3" a="1"/>
  <c r="X52" i="3" s="1"/>
  <c r="P52" i="3" a="1"/>
  <c r="P52" i="3" s="1"/>
  <c r="H52" i="3" a="1"/>
  <c r="H52" i="3" s="1"/>
  <c r="AV49" i="3" a="1"/>
  <c r="AV49" i="3" s="1"/>
  <c r="AN49" i="3" a="1"/>
  <c r="AN49" i="3" s="1"/>
  <c r="AF49" i="3" a="1"/>
  <c r="AF49" i="3" s="1"/>
  <c r="X49" i="3" a="1"/>
  <c r="X49" i="3" s="1"/>
  <c r="P49" i="3" a="1"/>
  <c r="P49" i="3" s="1"/>
  <c r="H49" i="3" a="1"/>
  <c r="H49" i="3" s="1"/>
  <c r="AV48" i="3" a="1"/>
  <c r="AV48" i="3" s="1"/>
  <c r="AN48" i="3" a="1"/>
  <c r="AN48" i="3" s="1"/>
  <c r="AF48" i="3" a="1"/>
  <c r="AF48" i="3" s="1"/>
  <c r="X48" i="3" a="1"/>
  <c r="X48" i="3" s="1"/>
  <c r="P48" i="3" a="1"/>
  <c r="P48" i="3" s="1"/>
  <c r="H48" i="3" a="1"/>
  <c r="H48" i="3" s="1"/>
  <c r="AV47" i="3" a="1"/>
  <c r="AV47" i="3" s="1"/>
  <c r="AN47" i="3" a="1"/>
  <c r="AN47" i="3" s="1"/>
  <c r="AF47" i="3" a="1"/>
  <c r="AF47" i="3" s="1"/>
  <c r="X47" i="3" a="1"/>
  <c r="X47" i="3" s="1"/>
  <c r="P47" i="3" a="1"/>
  <c r="P47" i="3" s="1"/>
  <c r="H47" i="3" a="1"/>
  <c r="H47" i="3" s="1"/>
  <c r="AV46" i="3" a="1"/>
  <c r="AV46" i="3" s="1"/>
  <c r="AN46" i="3" a="1"/>
  <c r="AN46" i="3" s="1"/>
  <c r="AF46" i="3" a="1"/>
  <c r="AF46" i="3" s="1"/>
  <c r="X46" i="3" a="1"/>
  <c r="X46" i="3" s="1"/>
  <c r="P46" i="3" a="1"/>
  <c r="P46" i="3" s="1"/>
  <c r="H46" i="3" a="1"/>
  <c r="H46" i="3" s="1"/>
  <c r="AV45" i="3" a="1"/>
  <c r="AV45" i="3" s="1"/>
  <c r="AN45" i="3" a="1"/>
  <c r="AN45" i="3" s="1"/>
  <c r="AF45" i="3" a="1"/>
  <c r="AF45" i="3" s="1"/>
  <c r="X45" i="3" a="1"/>
  <c r="X45" i="3" s="1"/>
  <c r="P45" i="3" a="1"/>
  <c r="P45" i="3" s="1"/>
  <c r="H45" i="3" a="1"/>
  <c r="H45" i="3" s="1"/>
  <c r="AV44" i="3" a="1"/>
  <c r="AV44" i="3" s="1"/>
  <c r="AN44" i="3" a="1"/>
  <c r="AN44" i="3" s="1"/>
  <c r="AF44" i="3" a="1"/>
  <c r="AF44" i="3" s="1"/>
  <c r="X44" i="3" a="1"/>
  <c r="X44" i="3" s="1"/>
  <c r="P44" i="3" a="1"/>
  <c r="P44" i="3" s="1"/>
  <c r="H44" i="3" a="1"/>
  <c r="H44" i="3" s="1"/>
  <c r="AV40" i="3" a="1"/>
  <c r="AV40" i="3" s="1"/>
  <c r="AN40" i="3" a="1"/>
  <c r="AN40" i="3" s="1"/>
  <c r="AF40" i="3" a="1"/>
  <c r="AF40" i="3" s="1"/>
  <c r="X40" i="3" a="1"/>
  <c r="X40" i="3" s="1"/>
  <c r="P40" i="3" a="1"/>
  <c r="P40" i="3" s="1"/>
  <c r="H40" i="3" a="1"/>
  <c r="H40" i="3" s="1"/>
  <c r="AV39" i="3" a="1"/>
  <c r="AV39" i="3" s="1"/>
  <c r="AN39" i="3" a="1"/>
  <c r="AN39" i="3" s="1"/>
  <c r="AF39" i="3" a="1"/>
  <c r="AF39" i="3" s="1"/>
  <c r="X39" i="3" a="1"/>
  <c r="X39" i="3" s="1"/>
  <c r="P39" i="3" a="1"/>
  <c r="P39" i="3" s="1"/>
  <c r="H39" i="3" a="1"/>
  <c r="H39" i="3" s="1"/>
  <c r="AV38" i="3" a="1"/>
  <c r="AV38" i="3" s="1"/>
  <c r="AN38" i="3" a="1"/>
  <c r="AN38" i="3" s="1"/>
  <c r="AF38" i="3" a="1"/>
  <c r="AF38" i="3" s="1"/>
  <c r="X38" i="3" a="1"/>
  <c r="X38" i="3" s="1"/>
  <c r="P38" i="3" a="1"/>
  <c r="P38" i="3" s="1"/>
  <c r="H38" i="3" a="1"/>
  <c r="H38" i="3" s="1"/>
  <c r="AV37" i="3" a="1"/>
  <c r="AV37" i="3" s="1"/>
  <c r="AN37" i="3" a="1"/>
  <c r="AN37" i="3" s="1"/>
  <c r="AF37" i="3" a="1"/>
  <c r="AF37" i="3" s="1"/>
  <c r="X37" i="3" a="1"/>
  <c r="X37" i="3" s="1"/>
  <c r="P37" i="3" a="1"/>
  <c r="P37" i="3" s="1"/>
  <c r="H37" i="3" a="1"/>
  <c r="H37" i="3" s="1"/>
  <c r="AV36" i="3" a="1"/>
  <c r="AV36" i="3" s="1"/>
  <c r="AN36" i="3" a="1"/>
  <c r="AN36" i="3" s="1"/>
  <c r="AF36" i="3" a="1"/>
  <c r="AF36" i="3" s="1"/>
  <c r="X36" i="3" a="1"/>
  <c r="X36" i="3" s="1"/>
  <c r="P36" i="3" a="1"/>
  <c r="P36" i="3" s="1"/>
  <c r="H36" i="3" a="1"/>
  <c r="H36" i="3" s="1"/>
  <c r="AV35" i="3" a="1"/>
  <c r="AV35" i="3" s="1"/>
  <c r="AN35" i="3" a="1"/>
  <c r="AN35" i="3" s="1"/>
  <c r="AF35" i="3" a="1"/>
  <c r="AF35" i="3" s="1"/>
  <c r="X35" i="3" a="1"/>
  <c r="X35" i="3" s="1"/>
  <c r="P35" i="3" a="1"/>
  <c r="P35" i="3" s="1"/>
  <c r="H35" i="3" a="1"/>
  <c r="H35" i="3" s="1"/>
  <c r="AV31" i="3" a="1"/>
  <c r="AV31" i="3" s="1"/>
  <c r="AN31" i="3" a="1"/>
  <c r="AN31" i="3" s="1"/>
  <c r="AF31" i="3" a="1"/>
  <c r="AF31" i="3" s="1"/>
  <c r="X31" i="3" a="1"/>
  <c r="X31" i="3" s="1"/>
  <c r="P31" i="3" a="1"/>
  <c r="P31" i="3" s="1"/>
  <c r="H31" i="3" a="1"/>
  <c r="H31" i="3" s="1"/>
  <c r="AV30" i="3" a="1"/>
  <c r="AV30" i="3" s="1"/>
  <c r="AN30" i="3" a="1"/>
  <c r="AN30" i="3" s="1"/>
  <c r="AF30" i="3" a="1"/>
  <c r="AF30" i="3" s="1"/>
  <c r="X30" i="3" a="1"/>
  <c r="X30" i="3" s="1"/>
  <c r="P30" i="3" a="1"/>
  <c r="P30" i="3" s="1"/>
  <c r="H30" i="3" a="1"/>
  <c r="H30" i="3" s="1"/>
  <c r="AV29" i="3" a="1"/>
  <c r="AV29" i="3" s="1"/>
  <c r="AN29" i="3" a="1"/>
  <c r="AN29" i="3" s="1"/>
  <c r="AF29" i="3" a="1"/>
  <c r="AF29" i="3" s="1"/>
  <c r="X29" i="3" a="1"/>
  <c r="X29" i="3" s="1"/>
  <c r="P29" i="3" a="1"/>
  <c r="P29" i="3" s="1"/>
  <c r="H29" i="3" a="1"/>
  <c r="H29" i="3" s="1"/>
  <c r="AV28" i="3" a="1"/>
  <c r="AV28" i="3" s="1"/>
  <c r="AN28" i="3" a="1"/>
  <c r="AN28" i="3" s="1"/>
  <c r="AF28" i="3" a="1"/>
  <c r="AF28" i="3" s="1"/>
  <c r="X28" i="3" a="1"/>
  <c r="X28" i="3" s="1"/>
  <c r="P28" i="3" a="1"/>
  <c r="P28" i="3" s="1"/>
  <c r="H28" i="3" a="1"/>
  <c r="H28" i="3" s="1"/>
  <c r="AV27" i="3" a="1"/>
  <c r="AV27" i="3" s="1"/>
  <c r="AN27" i="3" a="1"/>
  <c r="AN27" i="3" s="1"/>
  <c r="AF27" i="3" a="1"/>
  <c r="AF27" i="3" s="1"/>
  <c r="X27" i="3" a="1"/>
  <c r="X27" i="3" s="1"/>
  <c r="P27" i="3" a="1"/>
  <c r="P27" i="3" s="1"/>
  <c r="H27" i="3" a="1"/>
  <c r="H27" i="3" s="1"/>
  <c r="AV26" i="3" a="1"/>
  <c r="AV26" i="3" s="1"/>
  <c r="AN26" i="3" a="1"/>
  <c r="AN26" i="3" s="1"/>
  <c r="AF26" i="3" a="1"/>
  <c r="AF26" i="3" s="1"/>
  <c r="X26" i="3" a="1"/>
  <c r="X26" i="3" s="1"/>
  <c r="P26" i="3" a="1"/>
  <c r="P26" i="3" s="1"/>
  <c r="H26" i="3" a="1"/>
  <c r="H26" i="3" s="1"/>
  <c r="AV23" i="3" a="1"/>
  <c r="AV23" i="3" s="1"/>
  <c r="AN23" i="3" a="1"/>
  <c r="AN23" i="3" s="1"/>
  <c r="AF23" i="3" a="1"/>
  <c r="AF23" i="3" s="1"/>
  <c r="X23" i="3" a="1"/>
  <c r="X23" i="3" s="1"/>
  <c r="P23" i="3" a="1"/>
  <c r="P23" i="3" s="1"/>
  <c r="H23" i="3" a="1"/>
  <c r="H23" i="3" s="1"/>
  <c r="AV22" i="3" a="1"/>
  <c r="AV22" i="3" s="1"/>
  <c r="AN22" i="3" a="1"/>
  <c r="AN22" i="3" s="1"/>
  <c r="AF22" i="3" a="1"/>
  <c r="AF22" i="3" s="1"/>
  <c r="X22" i="3" a="1"/>
  <c r="X22" i="3" s="1"/>
  <c r="P22" i="3" a="1"/>
  <c r="P22" i="3" s="1"/>
  <c r="H22" i="3" a="1"/>
  <c r="H22" i="3" s="1"/>
  <c r="AV21" i="3" a="1"/>
  <c r="AV21" i="3" s="1"/>
  <c r="AN21" i="3" a="1"/>
  <c r="AN21" i="3" s="1"/>
  <c r="AF21" i="3" a="1"/>
  <c r="AF21" i="3" s="1"/>
  <c r="X21" i="3" a="1"/>
  <c r="X21" i="3" s="1"/>
  <c r="P21" i="3" a="1"/>
  <c r="P21" i="3" s="1"/>
  <c r="H21" i="3" a="1"/>
  <c r="H21" i="3" s="1"/>
  <c r="AV20" i="3" a="1"/>
  <c r="AV20" i="3" s="1"/>
  <c r="AN20" i="3" a="1"/>
  <c r="AN20" i="3" s="1"/>
  <c r="AF20" i="3" a="1"/>
  <c r="AF20" i="3" s="1"/>
  <c r="X20" i="3" a="1"/>
  <c r="X20" i="3" s="1"/>
  <c r="P20" i="3" a="1"/>
  <c r="P20" i="3" s="1"/>
  <c r="H20" i="3" a="1"/>
  <c r="H20" i="3" s="1"/>
  <c r="AV19" i="3" a="1"/>
  <c r="AV19" i="3" s="1"/>
  <c r="AN19" i="3" a="1"/>
  <c r="AN19" i="3" s="1"/>
  <c r="AF19" i="3" a="1"/>
  <c r="AF19" i="3" s="1"/>
  <c r="X19" i="3" a="1"/>
  <c r="X19" i="3" s="1"/>
  <c r="P19" i="3" a="1"/>
  <c r="P19" i="3" s="1"/>
  <c r="H19" i="3" a="1"/>
  <c r="H19" i="3" s="1"/>
  <c r="AV18" i="3" a="1"/>
  <c r="AV18" i="3" s="1"/>
  <c r="AN18" i="3" a="1"/>
  <c r="AN18" i="3" s="1"/>
  <c r="AF18" i="3" a="1"/>
  <c r="AF18" i="3" s="1"/>
  <c r="X18" i="3" a="1"/>
  <c r="X18" i="3" s="1"/>
  <c r="P18" i="3" a="1"/>
  <c r="P18" i="3" s="1"/>
  <c r="H18" i="3" a="1"/>
  <c r="H18" i="3" s="1"/>
  <c r="AV14" i="3" a="1"/>
  <c r="AV14" i="3" s="1"/>
  <c r="AY14" i="3" s="1" a="1"/>
  <c r="AN14" i="3" a="1"/>
  <c r="AN14" i="3" s="1"/>
  <c r="AQ14" i="3" s="1" a="1"/>
  <c r="AF14" i="3" a="1"/>
  <c r="AF14" i="3" s="1"/>
  <c r="AI14" i="3" s="1" a="1"/>
  <c r="AI14" i="3" s="1"/>
  <c r="X14" i="3" a="1"/>
  <c r="X14" i="3" s="1"/>
  <c r="AA14" i="3" s="1" a="1"/>
  <c r="AA14" i="3" s="1"/>
  <c r="P14" i="3" a="1"/>
  <c r="P14" i="3" s="1"/>
  <c r="S14" i="3" s="1" a="1"/>
  <c r="S14" i="3" s="1"/>
  <c r="H14" i="3" a="1"/>
  <c r="H14" i="3" s="1"/>
  <c r="K14" i="3" s="1" a="1"/>
  <c r="K14" i="3" s="1"/>
  <c r="AV13" i="3" a="1"/>
  <c r="AV13" i="3" s="1"/>
  <c r="AY13" i="3" s="1" a="1"/>
  <c r="AN13" i="3" a="1"/>
  <c r="AN13" i="3" s="1"/>
  <c r="AQ13" i="3" s="1" a="1"/>
  <c r="AF13" i="3" a="1"/>
  <c r="AF13" i="3" s="1"/>
  <c r="AI13" i="3" s="1" a="1"/>
  <c r="AI13" i="3" s="1"/>
  <c r="X13" i="3" a="1"/>
  <c r="X13" i="3" s="1"/>
  <c r="AA13" i="3" s="1" a="1"/>
  <c r="AA13" i="3" s="1"/>
  <c r="P13" i="3" a="1"/>
  <c r="P13" i="3" s="1"/>
  <c r="S13" i="3" s="1" a="1"/>
  <c r="S13" i="3" s="1"/>
  <c r="H13" i="3" a="1"/>
  <c r="H13" i="3" s="1"/>
  <c r="K13" i="3" s="1" a="1"/>
  <c r="K13" i="3" s="1"/>
  <c r="AV12" i="3" a="1"/>
  <c r="AV12" i="3" s="1"/>
  <c r="AY12" i="3" s="1" a="1"/>
  <c r="AN12" i="3" a="1"/>
  <c r="AN12" i="3" s="1"/>
  <c r="AQ12" i="3" s="1" a="1"/>
  <c r="AF12" i="3" a="1"/>
  <c r="AF12" i="3" s="1"/>
  <c r="AI12" i="3" s="1" a="1"/>
  <c r="AI12" i="3" s="1"/>
  <c r="X12" i="3" a="1"/>
  <c r="X12" i="3" s="1"/>
  <c r="AA12" i="3" s="1" a="1"/>
  <c r="AA12" i="3" s="1"/>
  <c r="P12" i="3" a="1"/>
  <c r="P12" i="3" s="1"/>
  <c r="S12" i="3" s="1" a="1"/>
  <c r="S12" i="3" s="1"/>
  <c r="H12" i="3" a="1"/>
  <c r="H12" i="3" s="1"/>
  <c r="K12" i="3" s="1" a="1"/>
  <c r="K12" i="3" s="1"/>
  <c r="AV11" i="3" a="1"/>
  <c r="AV11" i="3" s="1"/>
  <c r="AY11" i="3" s="1" a="1"/>
  <c r="AN11" i="3" a="1"/>
  <c r="AN11" i="3" s="1"/>
  <c r="AQ11" i="3" s="1" a="1"/>
  <c r="AF11" i="3" a="1"/>
  <c r="AF11" i="3" s="1"/>
  <c r="AI11" i="3" s="1" a="1"/>
  <c r="AI11" i="3" s="1"/>
  <c r="X11" i="3" a="1"/>
  <c r="X11" i="3" s="1"/>
  <c r="AA11" i="3" s="1" a="1"/>
  <c r="AA11" i="3" s="1"/>
  <c r="P11" i="3" a="1"/>
  <c r="P11" i="3" s="1"/>
  <c r="S11" i="3" s="1" a="1"/>
  <c r="S11" i="3" s="1"/>
  <c r="H11" i="3" a="1"/>
  <c r="H11" i="3" s="1"/>
  <c r="K11" i="3" s="1" a="1"/>
  <c r="K11" i="3" s="1"/>
  <c r="AV10" i="3" a="1"/>
  <c r="AV10" i="3" s="1"/>
  <c r="AY10" i="3" s="1" a="1"/>
  <c r="AN10" i="3" a="1"/>
  <c r="AN10" i="3" s="1"/>
  <c r="AQ10" i="3" s="1" a="1"/>
  <c r="AF10" i="3" a="1"/>
  <c r="AF10" i="3" s="1"/>
  <c r="AI10" i="3" s="1" a="1"/>
  <c r="AI10" i="3" s="1"/>
  <c r="X10" i="3" a="1"/>
  <c r="X10" i="3" s="1"/>
  <c r="AA10" i="3" s="1" a="1"/>
  <c r="AA10" i="3" s="1"/>
  <c r="P10" i="3" a="1"/>
  <c r="P10" i="3" s="1"/>
  <c r="S10" i="3" s="1" a="1"/>
  <c r="S10" i="3" s="1"/>
  <c r="H10" i="3" a="1"/>
  <c r="H10" i="3" s="1"/>
  <c r="K10" i="3" s="1" a="1"/>
  <c r="K10" i="3" s="1"/>
  <c r="AV9" i="3" a="1"/>
  <c r="AV9" i="3" s="1"/>
  <c r="AY9" i="3" s="1" a="1"/>
  <c r="AN9" i="3" a="1"/>
  <c r="AN9" i="3" s="1"/>
  <c r="AQ9" i="3" s="1" a="1"/>
  <c r="AF9" i="3" a="1"/>
  <c r="AF9" i="3" s="1"/>
  <c r="AI9" i="3" s="1" a="1"/>
  <c r="AI9" i="3" s="1"/>
  <c r="X9" i="3" a="1"/>
  <c r="X9" i="3" s="1"/>
  <c r="AA9" i="3" s="1" a="1"/>
  <c r="AA9" i="3" s="1"/>
  <c r="P9" i="3" a="1"/>
  <c r="P9" i="3" s="1"/>
  <c r="S9" i="3" s="1" a="1"/>
  <c r="S9" i="3" s="1"/>
  <c r="H9" i="3" a="1"/>
  <c r="H9" i="3" s="1"/>
  <c r="K9" i="3" s="1" a="1"/>
  <c r="K9" i="3" s="1"/>
  <c r="Y65" i="3" a="1"/>
  <c r="Y65" i="3" s="1"/>
  <c r="Y64" i="3" a="1"/>
  <c r="Y64" i="3" s="1"/>
  <c r="Y63" i="3" a="1"/>
  <c r="Y63" i="3" s="1"/>
  <c r="Y62" i="3" a="1"/>
  <c r="Y62" i="3" s="1"/>
  <c r="Y61" i="3" a="1"/>
  <c r="Y61" i="3" s="1"/>
  <c r="Y60" i="3" a="1"/>
  <c r="Y60" i="3" s="1"/>
  <c r="Y57" i="3" a="1"/>
  <c r="Y57" i="3" s="1"/>
  <c r="Y56" i="3" a="1"/>
  <c r="Y56" i="3" s="1"/>
  <c r="Y55" i="3" a="1"/>
  <c r="Y55" i="3" s="1"/>
  <c r="Y54" i="3" a="1"/>
  <c r="Y54" i="3" s="1"/>
  <c r="Y53" i="3" a="1"/>
  <c r="Y53" i="3" s="1"/>
  <c r="Y52" i="3" a="1"/>
  <c r="Y52" i="3" s="1"/>
  <c r="Y49" i="3" a="1"/>
  <c r="Y49" i="3" s="1"/>
  <c r="Y48" i="3" a="1"/>
  <c r="Y48" i="3" s="1"/>
  <c r="Y47" i="3" a="1"/>
  <c r="Y47" i="3" s="1"/>
  <c r="Y46" i="3" a="1"/>
  <c r="Y46" i="3" s="1"/>
  <c r="Y45" i="3" a="1"/>
  <c r="Y45" i="3" s="1"/>
  <c r="Y44" i="3" a="1"/>
  <c r="Y44" i="3" s="1"/>
  <c r="Y40" i="3" a="1"/>
  <c r="Y40" i="3" s="1"/>
  <c r="Y39" i="3" a="1"/>
  <c r="Y39" i="3" s="1"/>
  <c r="Y38" i="3" a="1"/>
  <c r="Y38" i="3" s="1"/>
  <c r="Y37" i="3" a="1"/>
  <c r="Y37" i="3" s="1"/>
  <c r="Y36" i="3" a="1"/>
  <c r="Y36" i="3" s="1"/>
  <c r="Y35" i="3" a="1"/>
  <c r="Y35" i="3" s="1"/>
  <c r="Y31" i="3" a="1"/>
  <c r="Y31" i="3" s="1"/>
  <c r="Y30" i="3" a="1"/>
  <c r="Y30" i="3" s="1"/>
  <c r="Y29" i="3" a="1"/>
  <c r="Y29" i="3" s="1"/>
  <c r="Y28" i="3" a="1"/>
  <c r="Y28" i="3" s="1"/>
  <c r="Y27" i="3" a="1"/>
  <c r="Y27" i="3" s="1"/>
  <c r="Y26" i="3" a="1"/>
  <c r="Y26" i="3" s="1"/>
  <c r="Y23" i="3" a="1"/>
  <c r="Y23" i="3" s="1"/>
  <c r="Y22" i="3" a="1"/>
  <c r="Y22" i="3" s="1"/>
  <c r="Y21" i="3" a="1"/>
  <c r="Y21" i="3" s="1"/>
  <c r="Y20" i="3" a="1"/>
  <c r="Y20" i="3" s="1"/>
  <c r="Y19" i="3" a="1"/>
  <c r="Y19" i="3" s="1"/>
  <c r="Y18" i="3" a="1"/>
  <c r="Y18" i="3" s="1"/>
  <c r="Y14" i="3" a="1"/>
  <c r="Y14" i="3" s="1"/>
  <c r="Y13" i="3" a="1"/>
  <c r="Y13" i="3" s="1"/>
  <c r="Y12" i="3" a="1"/>
  <c r="Y12" i="3" s="1"/>
  <c r="Y11" i="3" a="1"/>
  <c r="Y11" i="3" s="1"/>
  <c r="Y10" i="3" a="1"/>
  <c r="Y10" i="3" s="1"/>
  <c r="Y9" i="3" a="1"/>
  <c r="Y9" i="3" s="1"/>
  <c r="Q65" i="3" a="1"/>
  <c r="Q65" i="3" s="1"/>
  <c r="Q64" i="3" a="1"/>
  <c r="Q64" i="3" s="1"/>
  <c r="Q63" i="3" a="1"/>
  <c r="Q63" i="3" s="1"/>
  <c r="Q62" i="3" a="1"/>
  <c r="Q62" i="3" s="1"/>
  <c r="Q61" i="3" a="1"/>
  <c r="Q61" i="3" s="1"/>
  <c r="Q60" i="3" a="1"/>
  <c r="Q60" i="3" s="1"/>
  <c r="Q57" i="3" a="1"/>
  <c r="Q57" i="3" s="1"/>
  <c r="Q56" i="3" a="1"/>
  <c r="Q56" i="3" s="1"/>
  <c r="Q55" i="3" a="1"/>
  <c r="Q55" i="3" s="1"/>
  <c r="Q54" i="3" a="1"/>
  <c r="Q54" i="3" s="1"/>
  <c r="Q53" i="3" a="1"/>
  <c r="Q53" i="3" s="1"/>
  <c r="Q52" i="3" a="1"/>
  <c r="Q52" i="3" s="1"/>
  <c r="Q49" i="3" a="1"/>
  <c r="Q49" i="3" s="1"/>
  <c r="Q48" i="3" a="1"/>
  <c r="Q48" i="3" s="1"/>
  <c r="Q47" i="3" a="1"/>
  <c r="Q47" i="3" s="1"/>
  <c r="Q46" i="3" a="1"/>
  <c r="Q46" i="3" s="1"/>
  <c r="Q45" i="3" a="1"/>
  <c r="Q45" i="3" s="1"/>
  <c r="Q44" i="3" a="1"/>
  <c r="Q44" i="3" s="1"/>
  <c r="Q40" i="3" a="1"/>
  <c r="Q40" i="3" s="1"/>
  <c r="Q39" i="3" a="1"/>
  <c r="Q39" i="3" s="1"/>
  <c r="Q38" i="3" a="1"/>
  <c r="Q38" i="3" s="1"/>
  <c r="Q37" i="3" a="1"/>
  <c r="Q37" i="3" s="1"/>
  <c r="Q36" i="3" a="1"/>
  <c r="Q36" i="3" s="1"/>
  <c r="Q35" i="3" a="1"/>
  <c r="Q35" i="3" s="1"/>
  <c r="Q31" i="3" a="1"/>
  <c r="Q31" i="3" s="1"/>
  <c r="Q30" i="3" a="1"/>
  <c r="Q30" i="3" s="1"/>
  <c r="Q29" i="3" a="1"/>
  <c r="Q29" i="3" s="1"/>
  <c r="Q28" i="3" a="1"/>
  <c r="Q28" i="3" s="1"/>
  <c r="Q27" i="3" a="1"/>
  <c r="Q27" i="3" s="1"/>
  <c r="Q26" i="3" a="1"/>
  <c r="Q26" i="3" s="1"/>
  <c r="Q23" i="3" a="1"/>
  <c r="Q23" i="3" s="1"/>
  <c r="Q22" i="3" a="1"/>
  <c r="Q22" i="3" s="1"/>
  <c r="Q21" i="3" a="1"/>
  <c r="Q21" i="3" s="1"/>
  <c r="Q20" i="3" a="1"/>
  <c r="Q20" i="3" s="1"/>
  <c r="Q19" i="3" a="1"/>
  <c r="Q19" i="3" s="1"/>
  <c r="Q18" i="3" a="1"/>
  <c r="Q18" i="3" s="1"/>
  <c r="Q14" i="3" a="1"/>
  <c r="Q14" i="3" s="1"/>
  <c r="Q13" i="3" a="1"/>
  <c r="Q13" i="3" s="1"/>
  <c r="Q12" i="3" a="1"/>
  <c r="Q12" i="3" s="1"/>
  <c r="Q11" i="3" a="1"/>
  <c r="Q11" i="3" s="1"/>
  <c r="Q10" i="3" a="1"/>
  <c r="Q10" i="3" s="1"/>
  <c r="Q9" i="3" a="1"/>
  <c r="Q9" i="3" s="1"/>
  <c r="U38" i="2" a="1"/>
  <c r="U38" i="2" s="1"/>
  <c r="R38" i="2" a="1"/>
  <c r="R38" i="2" s="1"/>
  <c r="O38" i="2" a="1"/>
  <c r="O38" i="2" s="1"/>
  <c r="L38" i="2" a="1"/>
  <c r="L38" i="2" s="1"/>
  <c r="I38" i="2" a="1"/>
  <c r="I38" i="2" s="1"/>
  <c r="F38" i="2" a="1"/>
  <c r="F38" i="2" s="1"/>
  <c r="U30" i="2" a="1"/>
  <c r="U30" i="2" s="1"/>
  <c r="R30" i="2" a="1"/>
  <c r="R30" i="2" s="1"/>
  <c r="O30" i="2" a="1"/>
  <c r="O30" i="2" s="1"/>
  <c r="L30" i="2" a="1"/>
  <c r="L30" i="2" s="1"/>
  <c r="I30" i="2" a="1"/>
  <c r="I30" i="2" s="1"/>
  <c r="F30" i="2" a="1"/>
  <c r="F30" i="2" s="1"/>
  <c r="U22" i="2" a="1"/>
  <c r="U22" i="2" s="1"/>
  <c r="R22" i="2" a="1"/>
  <c r="R22" i="2"/>
  <c r="O22" i="2" a="1"/>
  <c r="O22" i="2" s="1"/>
  <c r="L22" i="2" a="1"/>
  <c r="L22" i="2" s="1"/>
  <c r="I22" i="2" a="1"/>
  <c r="I22" i="2" s="1"/>
  <c r="F22" i="2" a="1"/>
  <c r="F22" i="2" s="1"/>
  <c r="U13" i="2"/>
  <c r="R13" i="2"/>
  <c r="O13" i="2" a="1"/>
  <c r="O13" i="2" s="1"/>
  <c r="L13" i="2" a="1"/>
  <c r="L13" i="2" s="1"/>
  <c r="I13" i="2" a="1"/>
  <c r="I13" i="2" s="1"/>
  <c r="U31" i="2" a="1"/>
  <c r="U31" i="2" s="1"/>
  <c r="R31" i="2" a="1"/>
  <c r="R31" i="2" s="1"/>
  <c r="O31" i="2" a="1"/>
  <c r="O31" i="2" s="1"/>
  <c r="L31" i="2" a="1"/>
  <c r="L31" i="2" s="1"/>
  <c r="I31" i="2" a="1"/>
  <c r="I31" i="2" s="1"/>
  <c r="F31" i="2" a="1"/>
  <c r="F31" i="2" s="1"/>
  <c r="U23" i="2" a="1"/>
  <c r="U23" i="2" s="1"/>
  <c r="R23" i="2" a="1"/>
  <c r="R23" i="2" s="1"/>
  <c r="O23" i="2" a="1"/>
  <c r="O23" i="2" s="1"/>
  <c r="L23" i="2" a="1"/>
  <c r="L23" i="2" s="1"/>
  <c r="I23" i="2" a="1"/>
  <c r="I23" i="2" s="1"/>
  <c r="F23" i="2" a="1"/>
  <c r="F23" i="2" s="1"/>
  <c r="R14" i="2"/>
  <c r="U14" i="2"/>
  <c r="O14" i="2" a="1"/>
  <c r="O14" i="2" s="1"/>
  <c r="L14" i="2" a="1"/>
  <c r="L14" i="2" s="1"/>
  <c r="I14" i="2" a="1"/>
  <c r="I14" i="2" s="1"/>
  <c r="F14" i="2"/>
  <c r="I90" i="3" a="1"/>
  <c r="I90" i="3" s="1"/>
  <c r="I89" i="3" a="1"/>
  <c r="I89" i="3" s="1"/>
  <c r="I88" i="3" a="1"/>
  <c r="I88" i="3" s="1"/>
  <c r="I87" i="3" a="1"/>
  <c r="I87" i="3" s="1"/>
  <c r="I86" i="3" a="1"/>
  <c r="I86" i="3" s="1"/>
  <c r="I85" i="3" a="1"/>
  <c r="I85" i="3" s="1"/>
  <c r="I82" i="3" a="1"/>
  <c r="I82" i="3" s="1"/>
  <c r="I81" i="3" a="1"/>
  <c r="I81" i="3" s="1"/>
  <c r="I80" i="3" a="1"/>
  <c r="I80" i="3" s="1"/>
  <c r="I79" i="3" a="1"/>
  <c r="I79" i="3" s="1"/>
  <c r="I78" i="3" a="1"/>
  <c r="I78" i="3" s="1"/>
  <c r="I77" i="3" a="1"/>
  <c r="I77" i="3" s="1"/>
  <c r="I74" i="3" a="1"/>
  <c r="I74" i="3" s="1"/>
  <c r="I73" i="3" a="1"/>
  <c r="I73" i="3" s="1"/>
  <c r="I72" i="3" a="1"/>
  <c r="I72" i="3" s="1"/>
  <c r="I71" i="3" a="1"/>
  <c r="I71" i="3" s="1"/>
  <c r="I70" i="3" a="1"/>
  <c r="I70" i="3" s="1"/>
  <c r="I69" i="3" a="1"/>
  <c r="I69" i="3" s="1"/>
  <c r="I65" i="3" a="1"/>
  <c r="I65" i="3" s="1"/>
  <c r="I64" i="3" a="1"/>
  <c r="I64" i="3" s="1"/>
  <c r="I63" i="3" a="1"/>
  <c r="I63" i="3" s="1"/>
  <c r="I62" i="3" a="1"/>
  <c r="I62" i="3" s="1"/>
  <c r="I61" i="3" a="1"/>
  <c r="I61" i="3" s="1"/>
  <c r="I60" i="3" a="1"/>
  <c r="I60" i="3" s="1"/>
  <c r="I57" i="3" a="1"/>
  <c r="I57" i="3" s="1"/>
  <c r="I56" i="3" a="1"/>
  <c r="I56" i="3" s="1"/>
  <c r="I55" i="3" a="1"/>
  <c r="I55" i="3" s="1"/>
  <c r="I54" i="3" a="1"/>
  <c r="I54" i="3" s="1"/>
  <c r="I53" i="3" a="1"/>
  <c r="I53" i="3" s="1"/>
  <c r="I52" i="3" a="1"/>
  <c r="I52" i="3" s="1"/>
  <c r="I49" i="3" a="1"/>
  <c r="I49" i="3" s="1"/>
  <c r="I48" i="3" a="1"/>
  <c r="I48" i="3" s="1"/>
  <c r="I47" i="3" a="1"/>
  <c r="I47" i="3" s="1"/>
  <c r="I46" i="3" a="1"/>
  <c r="I46" i="3" s="1"/>
  <c r="I45" i="3" a="1"/>
  <c r="I45" i="3" s="1"/>
  <c r="I44" i="3" a="1"/>
  <c r="I44" i="3" s="1"/>
  <c r="I40" i="3" a="1"/>
  <c r="I40" i="3" s="1"/>
  <c r="I39" i="3" a="1"/>
  <c r="I39" i="3" s="1"/>
  <c r="I38" i="3" a="1"/>
  <c r="I38" i="3" s="1"/>
  <c r="I37" i="3" a="1"/>
  <c r="I37" i="3" s="1"/>
  <c r="I36" i="3" a="1"/>
  <c r="I36" i="3" s="1"/>
  <c r="I35" i="3" a="1"/>
  <c r="I35" i="3" s="1"/>
  <c r="I31" i="3" a="1"/>
  <c r="I31" i="3" s="1"/>
  <c r="I30" i="3" a="1"/>
  <c r="I30" i="3" s="1"/>
  <c r="I29" i="3" a="1"/>
  <c r="I29" i="3" s="1"/>
  <c r="I28" i="3" a="1"/>
  <c r="I28" i="3" s="1"/>
  <c r="I27" i="3" a="1"/>
  <c r="I27" i="3" s="1"/>
  <c r="I26" i="3" a="1"/>
  <c r="I26" i="3" s="1"/>
  <c r="I23" i="3" a="1"/>
  <c r="I23" i="3" s="1"/>
  <c r="I22" i="3" a="1"/>
  <c r="I22" i="3" s="1"/>
  <c r="I21" i="3" a="1"/>
  <c r="I21" i="3" s="1"/>
  <c r="I20" i="3" a="1"/>
  <c r="I20" i="3" s="1"/>
  <c r="I19" i="3" a="1"/>
  <c r="I19" i="3" s="1"/>
  <c r="I18" i="3" a="1"/>
  <c r="I18" i="3" s="1"/>
  <c r="I14" i="3" a="1"/>
  <c r="I14" i="3" s="1"/>
  <c r="I13" i="3" a="1"/>
  <c r="I13" i="3" s="1"/>
  <c r="I12" i="3" a="1"/>
  <c r="I12" i="3" s="1"/>
  <c r="I11" i="3" a="1"/>
  <c r="I11" i="3" s="1"/>
  <c r="I10" i="3" a="1"/>
  <c r="I10" i="3" s="1"/>
  <c r="I9" i="3" a="1"/>
  <c r="I9" i="3" s="1"/>
  <c r="AY23" i="3" l="1"/>
  <c r="AY18" i="3"/>
  <c r="AY22" i="3"/>
  <c r="AY20" i="3"/>
  <c r="AO32" i="3"/>
  <c r="AY44" i="3"/>
  <c r="AY48" i="3"/>
  <c r="AY19" i="3"/>
  <c r="AY47" i="3"/>
  <c r="AY69" i="3"/>
  <c r="AY71" i="3"/>
  <c r="AX89" i="3"/>
  <c r="AY46" i="3"/>
  <c r="AY21" i="3"/>
  <c r="AY45" i="3"/>
  <c r="AY49" i="3"/>
  <c r="AY70" i="3"/>
  <c r="AY72" i="3"/>
  <c r="AY74" i="3"/>
  <c r="AQ19" i="3"/>
  <c r="AX13" i="3"/>
  <c r="AX21" i="3"/>
  <c r="AX31" i="3"/>
  <c r="AX45" i="3"/>
  <c r="AX55" i="3"/>
  <c r="AX65" i="3"/>
  <c r="AX78" i="3"/>
  <c r="AX88" i="3"/>
  <c r="AQ18" i="3"/>
  <c r="AQ23" i="3"/>
  <c r="AQ47" i="3"/>
  <c r="AQ69" i="3"/>
  <c r="AQ71" i="3"/>
  <c r="AQ73" i="3"/>
  <c r="AY9" i="3"/>
  <c r="AY13" i="3"/>
  <c r="AX22" i="3"/>
  <c r="AX46" i="3"/>
  <c r="AX56" i="3"/>
  <c r="AX79" i="3"/>
  <c r="AQ22" i="3"/>
  <c r="AX10" i="3"/>
  <c r="AX14" i="3"/>
  <c r="AX23" i="3"/>
  <c r="AX36" i="3"/>
  <c r="AX47" i="3"/>
  <c r="AX57" i="3"/>
  <c r="AX70" i="3"/>
  <c r="AX80" i="3"/>
  <c r="AQ46" i="3"/>
  <c r="AY10" i="3"/>
  <c r="AY14" i="3"/>
  <c r="AX37" i="3"/>
  <c r="AX48" i="3"/>
  <c r="AX71" i="3"/>
  <c r="AX81" i="3"/>
  <c r="AX90" i="3"/>
  <c r="AQ21" i="3"/>
  <c r="AY73" i="3"/>
  <c r="AX11" i="3"/>
  <c r="AX27" i="3"/>
  <c r="AX38" i="3"/>
  <c r="AX49" i="3"/>
  <c r="AX61" i="3"/>
  <c r="AX72" i="3"/>
  <c r="AX82" i="3"/>
  <c r="AQ45" i="3"/>
  <c r="AQ49" i="3"/>
  <c r="AQ70" i="3"/>
  <c r="AQ72" i="3"/>
  <c r="AQ74" i="3"/>
  <c r="AY11" i="3"/>
  <c r="AX28" i="3"/>
  <c r="AX39" i="3"/>
  <c r="AX62" i="3"/>
  <c r="AX73" i="3"/>
  <c r="AQ20" i="3"/>
  <c r="AX12" i="3"/>
  <c r="AX19" i="3"/>
  <c r="AX29" i="3"/>
  <c r="AX40" i="3"/>
  <c r="AX53" i="3"/>
  <c r="AX63" i="3"/>
  <c r="AX74" i="3"/>
  <c r="AX86" i="3"/>
  <c r="AQ44" i="3"/>
  <c r="AQ48" i="3"/>
  <c r="AY12" i="3"/>
  <c r="AX20" i="3"/>
  <c r="AX30" i="3"/>
  <c r="AX54" i="3"/>
  <c r="AX64" i="3"/>
  <c r="AX87" i="3"/>
  <c r="AW15" i="3"/>
  <c r="AW16" i="3" s="1"/>
  <c r="AX9" i="3"/>
  <c r="AW91" i="3"/>
  <c r="AX18" i="3"/>
  <c r="AW24" i="3"/>
  <c r="AW32" i="3"/>
  <c r="AX26" i="3"/>
  <c r="AW66" i="3"/>
  <c r="AX60" i="3"/>
  <c r="AX69" i="3"/>
  <c r="AW75" i="3"/>
  <c r="AW41" i="3"/>
  <c r="AX44" i="3"/>
  <c r="AW50" i="3"/>
  <c r="AW58" i="3"/>
  <c r="AX52" i="3"/>
  <c r="AW83" i="3"/>
  <c r="AX77" i="3"/>
  <c r="AX35" i="3"/>
  <c r="AX85" i="3"/>
  <c r="AP18" i="3"/>
  <c r="AP28" i="3"/>
  <c r="AP39" i="3"/>
  <c r="AP52" i="3"/>
  <c r="AP62" i="3"/>
  <c r="AP73" i="3"/>
  <c r="AP85" i="3"/>
  <c r="AQ10" i="3"/>
  <c r="AP19" i="3"/>
  <c r="AP29" i="3"/>
  <c r="AP40" i="3"/>
  <c r="AP53" i="3"/>
  <c r="AP63" i="3"/>
  <c r="AP74" i="3"/>
  <c r="AP86" i="3"/>
  <c r="AQ11" i="3"/>
  <c r="F27" i="2"/>
  <c r="AI23" i="3"/>
  <c r="AP9" i="3"/>
  <c r="AP20" i="3"/>
  <c r="AP30" i="3"/>
  <c r="AP44" i="3"/>
  <c r="AP54" i="3"/>
  <c r="AP64" i="3"/>
  <c r="AP77" i="3"/>
  <c r="AP87" i="3"/>
  <c r="AQ12" i="3"/>
  <c r="L35" i="2"/>
  <c r="AP10" i="3"/>
  <c r="AP21" i="3"/>
  <c r="AP31" i="3"/>
  <c r="AP45" i="3"/>
  <c r="AP55" i="3"/>
  <c r="AP65" i="3"/>
  <c r="AP78" i="3"/>
  <c r="AP88" i="3"/>
  <c r="AQ13" i="3"/>
  <c r="AP11" i="3"/>
  <c r="AP22" i="3"/>
  <c r="AP35" i="3"/>
  <c r="AP46" i="3"/>
  <c r="AP56" i="3"/>
  <c r="AP69" i="3"/>
  <c r="AP79" i="3"/>
  <c r="AP89" i="3"/>
  <c r="AQ14" i="3"/>
  <c r="R27" i="2"/>
  <c r="R35" i="2"/>
  <c r="AP12" i="3"/>
  <c r="AP23" i="3"/>
  <c r="AP36" i="3"/>
  <c r="AP47" i="3"/>
  <c r="AP57" i="3"/>
  <c r="AP70" i="3"/>
  <c r="AP80" i="3"/>
  <c r="AP90" i="3"/>
  <c r="AI70" i="3"/>
  <c r="AP13" i="3"/>
  <c r="AP26" i="3"/>
  <c r="AP37" i="3"/>
  <c r="AP48" i="3"/>
  <c r="AP60" i="3"/>
  <c r="AP71" i="3"/>
  <c r="AP81" i="3"/>
  <c r="AP14" i="3"/>
  <c r="AP27" i="3"/>
  <c r="AP38" i="3"/>
  <c r="AP49" i="3"/>
  <c r="AP61" i="3"/>
  <c r="AP72" i="3"/>
  <c r="AP82" i="3"/>
  <c r="AQ9" i="3"/>
  <c r="AO41" i="3"/>
  <c r="AO75" i="3"/>
  <c r="AO24" i="3"/>
  <c r="AO50" i="3"/>
  <c r="AO83" i="3"/>
  <c r="AO15" i="3"/>
  <c r="AO16" i="3" s="1"/>
  <c r="AO58" i="3"/>
  <c r="AO66" i="3"/>
  <c r="AO91" i="3"/>
  <c r="AI44" i="3"/>
  <c r="AH13" i="3"/>
  <c r="AH26" i="3"/>
  <c r="AH37" i="3"/>
  <c r="AH48" i="3"/>
  <c r="AH60" i="3"/>
  <c r="AH71" i="3"/>
  <c r="AH81" i="3"/>
  <c r="AI22" i="3"/>
  <c r="AI48" i="3"/>
  <c r="AI72" i="3"/>
  <c r="AI74" i="3"/>
  <c r="AH14" i="3"/>
  <c r="AH27" i="3"/>
  <c r="AH38" i="3"/>
  <c r="AH49" i="3"/>
  <c r="AH61" i="3"/>
  <c r="AH72" i="3"/>
  <c r="AH82" i="3"/>
  <c r="AH18" i="3"/>
  <c r="AH28" i="3"/>
  <c r="AH39" i="3"/>
  <c r="AH52" i="3"/>
  <c r="AH62" i="3"/>
  <c r="AH73" i="3"/>
  <c r="AH85" i="3"/>
  <c r="AI21" i="3"/>
  <c r="AH19" i="3"/>
  <c r="AH29" i="3"/>
  <c r="AH40" i="3"/>
  <c r="AH53" i="3"/>
  <c r="AH63" i="3"/>
  <c r="AH86" i="3"/>
  <c r="AI69" i="3"/>
  <c r="AH9" i="3"/>
  <c r="AH20" i="3"/>
  <c r="AH30" i="3"/>
  <c r="AH44" i="3"/>
  <c r="AH54" i="3"/>
  <c r="AH64" i="3"/>
  <c r="AH77" i="3"/>
  <c r="AH87" i="3"/>
  <c r="AI20" i="3"/>
  <c r="AI46" i="3"/>
  <c r="AI71" i="3"/>
  <c r="AI73" i="3"/>
  <c r="AH10" i="3"/>
  <c r="AH21" i="3"/>
  <c r="AH31" i="3"/>
  <c r="AH45" i="3"/>
  <c r="AH55" i="3"/>
  <c r="AH65" i="3"/>
  <c r="AH78" i="3"/>
  <c r="AH88" i="3"/>
  <c r="AI19" i="3"/>
  <c r="AH11" i="3"/>
  <c r="AH22" i="3"/>
  <c r="AH35" i="3"/>
  <c r="AH46" i="3"/>
  <c r="AH56" i="3"/>
  <c r="AH69" i="3"/>
  <c r="AH79" i="3"/>
  <c r="AH89" i="3"/>
  <c r="AI18" i="3"/>
  <c r="AI45" i="3"/>
  <c r="AI49" i="3"/>
  <c r="AH12" i="3"/>
  <c r="AH23" i="3"/>
  <c r="AH36" i="3"/>
  <c r="AH57" i="3"/>
  <c r="AH70" i="3"/>
  <c r="AH80" i="3"/>
  <c r="AI47" i="3"/>
  <c r="AH74" i="3"/>
  <c r="AH47" i="3"/>
  <c r="AH90" i="3"/>
  <c r="AG15" i="3"/>
  <c r="AG41" i="3"/>
  <c r="AG75" i="3"/>
  <c r="AG50" i="3"/>
  <c r="AG24" i="3"/>
  <c r="AG83" i="3"/>
  <c r="AG58" i="3"/>
  <c r="AG91" i="3"/>
  <c r="AG66" i="3"/>
  <c r="AG32" i="3"/>
  <c r="Y50" i="3"/>
  <c r="Y66" i="3"/>
  <c r="Y24" i="3"/>
  <c r="Y58" i="3"/>
  <c r="Y41" i="3"/>
  <c r="Y32" i="3"/>
  <c r="Y15" i="3"/>
  <c r="Q15" i="3"/>
  <c r="Q50" i="3"/>
  <c r="Q66" i="3"/>
  <c r="Q24" i="3"/>
  <c r="Q58" i="3"/>
  <c r="Q41" i="3"/>
  <c r="Q32" i="3"/>
  <c r="I32" i="3"/>
  <c r="U27" i="2"/>
  <c r="F35" i="2"/>
  <c r="I35" i="2"/>
  <c r="I27" i="2"/>
  <c r="L27" i="2"/>
  <c r="O27" i="2"/>
  <c r="O35" i="2"/>
  <c r="U35" i="2"/>
  <c r="I91" i="3"/>
  <c r="I75" i="3"/>
  <c r="I15" i="3"/>
  <c r="I41" i="3"/>
  <c r="I83" i="3"/>
  <c r="I66" i="3"/>
  <c r="I24" i="3"/>
  <c r="I50" i="3"/>
  <c r="I58" i="3"/>
  <c r="X27" i="1" a="1"/>
  <c r="X27" i="1" s="1"/>
  <c r="Y27" i="1" s="1"/>
  <c r="X28" i="1" a="1"/>
  <c r="X28" i="1" s="1"/>
  <c r="Y28" i="1" s="1"/>
  <c r="X29" i="1" a="1"/>
  <c r="X29" i="1" s="1"/>
  <c r="Y29" i="1" s="1"/>
  <c r="X31" i="1" a="1"/>
  <c r="X31" i="1" s="1"/>
  <c r="Y31" i="1" s="1"/>
  <c r="X32" i="1" a="1"/>
  <c r="X32" i="1" s="1"/>
  <c r="Y32" i="1" s="1"/>
  <c r="X33" i="1" a="1"/>
  <c r="X33" i="1" s="1"/>
  <c r="Y33" i="1" s="1"/>
  <c r="X34" i="1" a="1"/>
  <c r="X34" i="1" s="1"/>
  <c r="Y34" i="1" s="1"/>
  <c r="X35" i="1" a="1"/>
  <c r="X35" i="1" s="1"/>
  <c r="Y35" i="1" s="1"/>
  <c r="X37" i="1" a="1"/>
  <c r="X37" i="1" s="1"/>
  <c r="Y37" i="1" s="1"/>
  <c r="X38" i="1" a="1"/>
  <c r="X38" i="1" s="1"/>
  <c r="X39" i="1" a="1"/>
  <c r="X39" i="1" s="1"/>
  <c r="Y39" i="1" s="1"/>
  <c r="X40" i="1" a="1"/>
  <c r="X40" i="1" s="1"/>
  <c r="Y40" i="1" s="1"/>
  <c r="X41" i="1" a="1"/>
  <c r="X41" i="1" s="1"/>
  <c r="Y41" i="1" s="1"/>
  <c r="X43" i="1" a="1"/>
  <c r="X43" i="1" s="1"/>
  <c r="Y43" i="1" s="1"/>
  <c r="X26" i="1" a="1"/>
  <c r="X26" i="1" s="1"/>
  <c r="Y26" i="1" s="1"/>
  <c r="X22" i="1" a="1"/>
  <c r="X22" i="1" s="1"/>
  <c r="Y22" i="1" s="1"/>
  <c r="X16" i="1" a="1"/>
  <c r="X16" i="1" s="1"/>
  <c r="Y16" i="1" s="1"/>
  <c r="X10" i="1" a="1"/>
  <c r="X10" i="1" s="1"/>
  <c r="Y10" i="1" s="1"/>
  <c r="X6" i="1" a="1"/>
  <c r="X6" i="1" s="1"/>
  <c r="Y6" i="1" s="1"/>
  <c r="X7" i="1" a="1"/>
  <c r="X7" i="1" s="1"/>
  <c r="Y7" i="1" s="1"/>
  <c r="X8" i="1" a="1"/>
  <c r="X8" i="1" s="1"/>
  <c r="Y8" i="1" s="1"/>
  <c r="X11" i="1" a="1"/>
  <c r="X11" i="1" s="1"/>
  <c r="Y11" i="1" s="1"/>
  <c r="X12" i="1" a="1"/>
  <c r="X12" i="1" s="1"/>
  <c r="Y12" i="1" s="1"/>
  <c r="X13" i="1" a="1"/>
  <c r="X13" i="1" s="1"/>
  <c r="Y13" i="1" s="1"/>
  <c r="X14" i="1" a="1"/>
  <c r="X14" i="1" s="1"/>
  <c r="Y14" i="1" s="1"/>
  <c r="X17" i="1" a="1"/>
  <c r="X17" i="1" s="1"/>
  <c r="Y17" i="1" s="1"/>
  <c r="X18" i="1" a="1"/>
  <c r="X18" i="1" s="1"/>
  <c r="Y18" i="1" s="1"/>
  <c r="X19" i="1" a="1"/>
  <c r="X19" i="1" s="1"/>
  <c r="Y19" i="1" s="1"/>
  <c r="X20" i="1" a="1"/>
  <c r="X20" i="1" s="1"/>
  <c r="Y20" i="1" s="1"/>
  <c r="X5" i="1" a="1"/>
  <c r="X5" i="1" s="1"/>
  <c r="Y5" i="1" s="1"/>
  <c r="M11" i="1" l="1" a="1"/>
  <c r="M210" i="1" a="1"/>
  <c r="M202" i="1" a="1"/>
  <c r="M194" i="1" a="1"/>
  <c r="M186" i="1" a="1"/>
  <c r="M178" i="1" a="1"/>
  <c r="M170" i="1" a="1"/>
  <c r="M162" i="1" a="1"/>
  <c r="M154" i="1" a="1"/>
  <c r="M146" i="1" a="1"/>
  <c r="M138" i="1" a="1"/>
  <c r="M130" i="1" a="1"/>
  <c r="M122" i="1" a="1"/>
  <c r="M114" i="1" a="1"/>
  <c r="M106" i="1" a="1"/>
  <c r="M98" i="1" a="1"/>
  <c r="M98" i="1" s="1"/>
  <c r="N98" i="1" s="1"/>
  <c r="M90" i="1" a="1"/>
  <c r="M82" i="1" a="1"/>
  <c r="M74" i="1" a="1"/>
  <c r="M66" i="1" a="1"/>
  <c r="M58" i="1" a="1"/>
  <c r="M50" i="1" a="1"/>
  <c r="M42" i="1" a="1"/>
  <c r="M34" i="1" a="1"/>
  <c r="M34" i="1" s="1"/>
  <c r="N34" i="1" s="1"/>
  <c r="M26" i="1" a="1"/>
  <c r="M18" i="1" a="1"/>
  <c r="M10" i="1" a="1"/>
  <c r="M209" i="1" a="1"/>
  <c r="M201" i="1" a="1"/>
  <c r="M193" i="1" a="1"/>
  <c r="M185" i="1" a="1"/>
  <c r="M177" i="1" a="1"/>
  <c r="M169" i="1" a="1"/>
  <c r="M161" i="1" a="1"/>
  <c r="M153" i="1" a="1"/>
  <c r="M145" i="1" a="1"/>
  <c r="M137" i="1" a="1"/>
  <c r="M137" i="1" s="1"/>
  <c r="N137" i="1" s="1"/>
  <c r="M129" i="1" a="1"/>
  <c r="M121" i="1" a="1"/>
  <c r="M113" i="1" a="1"/>
  <c r="M105" i="1" a="1"/>
  <c r="M97" i="1" a="1"/>
  <c r="M89" i="1" a="1"/>
  <c r="M81" i="1" a="1"/>
  <c r="M73" i="1" a="1"/>
  <c r="M73" i="1" s="1"/>
  <c r="N73" i="1" s="1"/>
  <c r="M65" i="1" a="1"/>
  <c r="M57" i="1" a="1"/>
  <c r="M49" i="1" a="1"/>
  <c r="M41" i="1" a="1"/>
  <c r="M33" i="1" a="1"/>
  <c r="M25" i="1" a="1"/>
  <c r="M17" i="1" a="1"/>
  <c r="M9" i="1" a="1"/>
  <c r="M9" i="1" s="1"/>
  <c r="N9" i="1" s="1"/>
  <c r="M3" i="1" a="1"/>
  <c r="M208" i="1" a="1"/>
  <c r="M200" i="1" a="1"/>
  <c r="M200" i="1" s="1"/>
  <c r="N200" i="1" s="1"/>
  <c r="M192" i="1" a="1"/>
  <c r="M184" i="1" a="1"/>
  <c r="M176" i="1" a="1"/>
  <c r="M168" i="1" a="1"/>
  <c r="M160" i="1" a="1"/>
  <c r="M152" i="1" a="1"/>
  <c r="M144" i="1" a="1"/>
  <c r="M136" i="1" a="1"/>
  <c r="M136" i="1" s="1"/>
  <c r="N136" i="1" s="1"/>
  <c r="M128" i="1" a="1"/>
  <c r="M120" i="1" a="1"/>
  <c r="M112" i="1" a="1"/>
  <c r="M104" i="1" a="1"/>
  <c r="M96" i="1" a="1"/>
  <c r="M88" i="1" a="1"/>
  <c r="M80" i="1" a="1"/>
  <c r="M72" i="1" a="1"/>
  <c r="M64" i="1" a="1"/>
  <c r="M56" i="1" a="1"/>
  <c r="M48" i="1" a="1"/>
  <c r="M40" i="1" a="1"/>
  <c r="M32" i="1" a="1"/>
  <c r="M24" i="1" a="1"/>
  <c r="M16" i="1" a="1"/>
  <c r="M8" i="1" a="1"/>
  <c r="M8" i="1" s="1"/>
  <c r="N8" i="1" s="1"/>
  <c r="M215" i="1" a="1"/>
  <c r="M207" i="1" a="1"/>
  <c r="M199" i="1" a="1"/>
  <c r="M191" i="1" a="1"/>
  <c r="M191" i="1" s="1"/>
  <c r="N191" i="1" s="1"/>
  <c r="M183" i="1" a="1"/>
  <c r="M175" i="1" a="1"/>
  <c r="M167" i="1" a="1"/>
  <c r="M159" i="1" a="1"/>
  <c r="M151" i="1" a="1"/>
  <c r="M143" i="1" a="1"/>
  <c r="M135" i="1" a="1"/>
  <c r="M127" i="1" a="1"/>
  <c r="M127" i="1" s="1"/>
  <c r="N127" i="1" s="1"/>
  <c r="M119" i="1" a="1"/>
  <c r="M111" i="1" a="1"/>
  <c r="M103" i="1" a="1"/>
  <c r="M95" i="1" a="1"/>
  <c r="M87" i="1" a="1"/>
  <c r="M79" i="1" a="1"/>
  <c r="M71" i="1" a="1"/>
  <c r="M63" i="1" a="1"/>
  <c r="M63" i="1" s="1"/>
  <c r="N63" i="1" s="1"/>
  <c r="M55" i="1" a="1"/>
  <c r="M47" i="1" a="1"/>
  <c r="M39" i="1" a="1"/>
  <c r="M31" i="1" a="1"/>
  <c r="M23" i="1" a="1"/>
  <c r="M15" i="1" a="1"/>
  <c r="M7" i="1" a="1"/>
  <c r="M214" i="1" a="1"/>
  <c r="M206" i="1" a="1"/>
  <c r="M198" i="1" a="1"/>
  <c r="M190" i="1" a="1"/>
  <c r="M182" i="1" a="1"/>
  <c r="M174" i="1" a="1"/>
  <c r="M174" i="1" s="1"/>
  <c r="N174" i="1" s="1"/>
  <c r="M166" i="1" a="1"/>
  <c r="M158" i="1" a="1"/>
  <c r="M150" i="1" a="1"/>
  <c r="M142" i="1" a="1"/>
  <c r="M134" i="1" a="1"/>
  <c r="M126" i="1" a="1"/>
  <c r="M118" i="1" a="1"/>
  <c r="M110" i="1" a="1"/>
  <c r="M110" i="1" s="1"/>
  <c r="N110" i="1" s="1"/>
  <c r="M102" i="1" a="1"/>
  <c r="M94" i="1" a="1"/>
  <c r="M86" i="1" a="1"/>
  <c r="M78" i="1" a="1"/>
  <c r="M70" i="1" a="1"/>
  <c r="M62" i="1" a="1"/>
  <c r="M54" i="1" a="1"/>
  <c r="M46" i="1" a="1"/>
  <c r="M46" i="1" s="1"/>
  <c r="N46" i="1" s="1"/>
  <c r="M38" i="1" a="1"/>
  <c r="M30" i="1" a="1"/>
  <c r="M22" i="1" a="1"/>
  <c r="M14" i="1" a="1"/>
  <c r="M6" i="1" a="1"/>
  <c r="M213" i="1" a="1"/>
  <c r="M213" i="1" s="1"/>
  <c r="N213" i="1" s="1"/>
  <c r="M205" i="1" a="1"/>
  <c r="M197" i="1" a="1"/>
  <c r="M189" i="1" a="1"/>
  <c r="M181" i="1" a="1"/>
  <c r="M173" i="1" a="1"/>
  <c r="M165" i="1" a="1"/>
  <c r="M157" i="1" a="1"/>
  <c r="M149" i="1" a="1"/>
  <c r="M149" i="1" s="1"/>
  <c r="N149" i="1" s="1"/>
  <c r="M141" i="1" a="1"/>
  <c r="M133" i="1" a="1"/>
  <c r="M125" i="1" a="1"/>
  <c r="M117" i="1" a="1"/>
  <c r="M109" i="1" a="1"/>
  <c r="M101" i="1" a="1"/>
  <c r="M93" i="1" a="1"/>
  <c r="M85" i="1" a="1"/>
  <c r="M85" i="1" s="1"/>
  <c r="N85" i="1" s="1"/>
  <c r="M77" i="1" a="1"/>
  <c r="M69" i="1" a="1"/>
  <c r="M61" i="1" a="1"/>
  <c r="M53" i="1" a="1"/>
  <c r="M45" i="1" a="1"/>
  <c r="M45" i="1" s="1"/>
  <c r="N45" i="1" s="1"/>
  <c r="M37" i="1" a="1"/>
  <c r="M29" i="1" a="1"/>
  <c r="M21" i="1" a="1"/>
  <c r="M21" i="1" s="1"/>
  <c r="N21" i="1" s="1"/>
  <c r="M13" i="1" a="1"/>
  <c r="M5" i="1" a="1"/>
  <c r="M212" i="1" a="1"/>
  <c r="M204" i="1" a="1"/>
  <c r="M196" i="1" a="1"/>
  <c r="M196" i="1" s="1"/>
  <c r="N196" i="1" s="1"/>
  <c r="M188" i="1" a="1"/>
  <c r="M188" i="1" s="1"/>
  <c r="N188" i="1" s="1"/>
  <c r="M180" i="1" a="1"/>
  <c r="M172" i="1" a="1"/>
  <c r="M164" i="1" a="1"/>
  <c r="M156" i="1" a="1"/>
  <c r="M148" i="1" a="1"/>
  <c r="M140" i="1" a="1"/>
  <c r="M132" i="1" a="1"/>
  <c r="M132" i="1" s="1"/>
  <c r="N132" i="1" s="1"/>
  <c r="M124" i="1" a="1"/>
  <c r="M124" i="1" s="1"/>
  <c r="N124" i="1" s="1"/>
  <c r="M116" i="1" a="1"/>
  <c r="M108" i="1" a="1"/>
  <c r="M100" i="1" a="1"/>
  <c r="M92" i="1" a="1"/>
  <c r="M84" i="1" a="1"/>
  <c r="M76" i="1" a="1"/>
  <c r="M68" i="1" a="1"/>
  <c r="M68" i="1" s="1"/>
  <c r="N68" i="1" s="1"/>
  <c r="M60" i="1" a="1"/>
  <c r="M60" i="1" s="1"/>
  <c r="N60" i="1" s="1"/>
  <c r="M52" i="1" a="1"/>
  <c r="M44" i="1" a="1"/>
  <c r="M36" i="1" a="1"/>
  <c r="M28" i="1" a="1"/>
  <c r="M20" i="1" a="1"/>
  <c r="M12" i="1" a="1"/>
  <c r="M4" i="1" a="1"/>
  <c r="M4" i="1" s="1"/>
  <c r="N4" i="1" s="1"/>
  <c r="AO33" i="3" a="1"/>
  <c r="AO33" i="3" s="1"/>
  <c r="M211" i="1" a="1"/>
  <c r="M203" i="1" a="1"/>
  <c r="M195" i="1" a="1"/>
  <c r="M187" i="1" a="1"/>
  <c r="M187" i="1" s="1"/>
  <c r="N187" i="1" s="1"/>
  <c r="M179" i="1" a="1"/>
  <c r="M179" i="1" s="1"/>
  <c r="N179" i="1" s="1"/>
  <c r="M171" i="1" a="1"/>
  <c r="M163" i="1" a="1"/>
  <c r="M163" i="1" s="1"/>
  <c r="N163" i="1" s="1"/>
  <c r="M155" i="1" a="1"/>
  <c r="M155" i="1" s="1"/>
  <c r="N155" i="1" s="1"/>
  <c r="M147" i="1" a="1"/>
  <c r="M139" i="1" a="1"/>
  <c r="M131" i="1" a="1"/>
  <c r="M123" i="1" a="1"/>
  <c r="M123" i="1" s="1"/>
  <c r="N123" i="1" s="1"/>
  <c r="M115" i="1" a="1"/>
  <c r="M115" i="1" s="1"/>
  <c r="N115" i="1" s="1"/>
  <c r="M107" i="1" a="1"/>
  <c r="M107" i="1" s="1"/>
  <c r="N107" i="1" s="1"/>
  <c r="M99" i="1" a="1"/>
  <c r="M99" i="1" s="1"/>
  <c r="N99" i="1" s="1"/>
  <c r="M91" i="1" a="1"/>
  <c r="M91" i="1" s="1"/>
  <c r="N91" i="1" s="1"/>
  <c r="M83" i="1" a="1"/>
  <c r="M75" i="1" a="1"/>
  <c r="M75" i="1" s="1"/>
  <c r="N75" i="1" s="1"/>
  <c r="M67" i="1" a="1"/>
  <c r="M67" i="1" s="1"/>
  <c r="N67" i="1" s="1"/>
  <c r="M59" i="1" a="1"/>
  <c r="M59" i="1" s="1"/>
  <c r="N59" i="1" s="1"/>
  <c r="M51" i="1" a="1"/>
  <c r="M51" i="1" s="1"/>
  <c r="N51" i="1" s="1"/>
  <c r="M43" i="1" a="1"/>
  <c r="M43" i="1" s="1"/>
  <c r="N43" i="1" s="1"/>
  <c r="M35" i="1" a="1"/>
  <c r="M35" i="1" s="1"/>
  <c r="N35" i="1" s="1"/>
  <c r="M27" i="1" a="1"/>
  <c r="M27" i="1" s="1"/>
  <c r="N27" i="1" s="1"/>
  <c r="M19" i="1" a="1"/>
  <c r="M19" i="1" s="1"/>
  <c r="N19" i="1" s="1"/>
  <c r="AW33" i="3"/>
  <c r="AG33" i="3"/>
  <c r="AG42" i="3"/>
  <c r="AG16" i="3"/>
  <c r="Y42" i="3"/>
  <c r="Y33" i="3"/>
  <c r="Y16" i="3"/>
  <c r="Q42" i="3"/>
  <c r="Q16" i="3"/>
  <c r="Q33" i="3"/>
  <c r="I16" i="3"/>
  <c r="I33" i="3"/>
  <c r="I42" i="3"/>
  <c r="Y38" i="1"/>
  <c r="M83" i="1"/>
  <c r="N83" i="1" s="1"/>
  <c r="M147" i="1"/>
  <c r="N147" i="1" s="1"/>
  <c r="M211" i="1"/>
  <c r="N211" i="1" s="1"/>
  <c r="M7" i="1"/>
  <c r="N7" i="1" s="1"/>
  <c r="M39" i="1"/>
  <c r="N39" i="1" s="1"/>
  <c r="M71" i="1"/>
  <c r="N71" i="1" s="1"/>
  <c r="M103" i="1"/>
  <c r="N103" i="1" s="1"/>
  <c r="M135" i="1"/>
  <c r="N135" i="1" s="1"/>
  <c r="M167" i="1"/>
  <c r="N167" i="1" s="1"/>
  <c r="M199" i="1"/>
  <c r="N199" i="1" s="1"/>
  <c r="M15" i="1"/>
  <c r="N15" i="1" s="1"/>
  <c r="M47" i="1"/>
  <c r="N47" i="1" s="1"/>
  <c r="M79" i="1"/>
  <c r="N79" i="1" s="1"/>
  <c r="M111" i="1"/>
  <c r="N111" i="1" s="1"/>
  <c r="M143" i="1"/>
  <c r="N143" i="1" s="1"/>
  <c r="M175" i="1"/>
  <c r="N175" i="1" s="1"/>
  <c r="M207" i="1"/>
  <c r="N207" i="1" s="1"/>
  <c r="M131" i="1"/>
  <c r="N131" i="1" s="1"/>
  <c r="M195" i="1"/>
  <c r="N195" i="1" s="1"/>
  <c r="M23" i="1"/>
  <c r="N23" i="1" s="1"/>
  <c r="M55" i="1"/>
  <c r="N55" i="1" s="1"/>
  <c r="M87" i="1"/>
  <c r="N87" i="1" s="1"/>
  <c r="M119" i="1"/>
  <c r="N119" i="1" s="1"/>
  <c r="M151" i="1"/>
  <c r="N151" i="1" s="1"/>
  <c r="M183" i="1"/>
  <c r="N183" i="1" s="1"/>
  <c r="M215" i="1"/>
  <c r="N215" i="1" s="1"/>
  <c r="M11" i="1"/>
  <c r="N11" i="1" s="1"/>
  <c r="M139" i="1"/>
  <c r="N139" i="1" s="1"/>
  <c r="M171" i="1"/>
  <c r="N171" i="1" s="1"/>
  <c r="M203" i="1"/>
  <c r="N203" i="1" s="1"/>
  <c r="M31" i="1"/>
  <c r="N31" i="1" s="1"/>
  <c r="M95" i="1"/>
  <c r="N95" i="1" s="1"/>
  <c r="M159" i="1"/>
  <c r="N159" i="1" s="1"/>
  <c r="M204" i="1"/>
  <c r="N204" i="1" s="1"/>
  <c r="M198" i="1"/>
  <c r="N198" i="1" s="1"/>
  <c r="M185" i="1"/>
  <c r="N185" i="1" s="1"/>
  <c r="M172" i="1"/>
  <c r="N172" i="1" s="1"/>
  <c r="M166" i="1"/>
  <c r="N166" i="1" s="1"/>
  <c r="M153" i="1"/>
  <c r="N153" i="1" s="1"/>
  <c r="M140" i="1"/>
  <c r="N140" i="1" s="1"/>
  <c r="M134" i="1"/>
  <c r="N134" i="1" s="1"/>
  <c r="M121" i="1"/>
  <c r="N121" i="1" s="1"/>
  <c r="M108" i="1"/>
  <c r="N108" i="1" s="1"/>
  <c r="M102" i="1"/>
  <c r="N102" i="1" s="1"/>
  <c r="M89" i="1"/>
  <c r="N89" i="1" s="1"/>
  <c r="M76" i="1"/>
  <c r="N76" i="1" s="1"/>
  <c r="M70" i="1"/>
  <c r="N70" i="1" s="1"/>
  <c r="M57" i="1"/>
  <c r="N57" i="1" s="1"/>
  <c r="M44" i="1"/>
  <c r="N44" i="1" s="1"/>
  <c r="M38" i="1"/>
  <c r="N38" i="1" s="1"/>
  <c r="M25" i="1"/>
  <c r="N25" i="1" s="1"/>
  <c r="M12" i="1"/>
  <c r="N12" i="1" s="1"/>
  <c r="M6" i="1"/>
  <c r="N6" i="1" s="1"/>
  <c r="M3" i="1"/>
  <c r="N3" i="1" s="1"/>
  <c r="M210" i="1"/>
  <c r="N210" i="1" s="1"/>
  <c r="M197" i="1"/>
  <c r="N197" i="1" s="1"/>
  <c r="M184" i="1"/>
  <c r="N184" i="1" s="1"/>
  <c r="M178" i="1"/>
  <c r="N178" i="1" s="1"/>
  <c r="M165" i="1"/>
  <c r="N165" i="1" s="1"/>
  <c r="M152" i="1"/>
  <c r="N152" i="1" s="1"/>
  <c r="M146" i="1"/>
  <c r="N146" i="1" s="1"/>
  <c r="M133" i="1"/>
  <c r="N133" i="1" s="1"/>
  <c r="M120" i="1"/>
  <c r="N120" i="1" s="1"/>
  <c r="M114" i="1"/>
  <c r="N114" i="1" s="1"/>
  <c r="M101" i="1"/>
  <c r="N101" i="1" s="1"/>
  <c r="M88" i="1"/>
  <c r="N88" i="1" s="1"/>
  <c r="M82" i="1"/>
  <c r="N82" i="1" s="1"/>
  <c r="M69" i="1"/>
  <c r="N69" i="1" s="1"/>
  <c r="M56" i="1"/>
  <c r="N56" i="1" s="1"/>
  <c r="M50" i="1"/>
  <c r="N50" i="1" s="1"/>
  <c r="M37" i="1"/>
  <c r="N37" i="1" s="1"/>
  <c r="M24" i="1"/>
  <c r="N24" i="1" s="1"/>
  <c r="M18" i="1"/>
  <c r="N18" i="1" s="1"/>
  <c r="M5" i="1"/>
  <c r="N5" i="1" s="1"/>
  <c r="M209" i="1"/>
  <c r="N209" i="1" s="1"/>
  <c r="M190" i="1"/>
  <c r="N190" i="1" s="1"/>
  <c r="M177" i="1"/>
  <c r="N177" i="1" s="1"/>
  <c r="M164" i="1"/>
  <c r="N164" i="1" s="1"/>
  <c r="M158" i="1"/>
  <c r="N158" i="1" s="1"/>
  <c r="M145" i="1"/>
  <c r="N145" i="1" s="1"/>
  <c r="M126" i="1"/>
  <c r="N126" i="1" s="1"/>
  <c r="M113" i="1"/>
  <c r="N113" i="1" s="1"/>
  <c r="M100" i="1"/>
  <c r="N100" i="1" s="1"/>
  <c r="M94" i="1"/>
  <c r="N94" i="1" s="1"/>
  <c r="M81" i="1"/>
  <c r="N81" i="1" s="1"/>
  <c r="M62" i="1"/>
  <c r="N62" i="1" s="1"/>
  <c r="M49" i="1"/>
  <c r="N49" i="1" s="1"/>
  <c r="M36" i="1"/>
  <c r="N36" i="1" s="1"/>
  <c r="M30" i="1"/>
  <c r="N30" i="1" s="1"/>
  <c r="M17" i="1"/>
  <c r="N17" i="1" s="1"/>
  <c r="M208" i="1"/>
  <c r="N208" i="1" s="1"/>
  <c r="M202" i="1"/>
  <c r="N202" i="1" s="1"/>
  <c r="M189" i="1"/>
  <c r="N189" i="1" s="1"/>
  <c r="M176" i="1"/>
  <c r="N176" i="1" s="1"/>
  <c r="M170" i="1"/>
  <c r="N170" i="1" s="1"/>
  <c r="M157" i="1"/>
  <c r="N157" i="1" s="1"/>
  <c r="M144" i="1"/>
  <c r="N144" i="1" s="1"/>
  <c r="M138" i="1"/>
  <c r="N138" i="1" s="1"/>
  <c r="M125" i="1"/>
  <c r="N125" i="1" s="1"/>
  <c r="M112" i="1"/>
  <c r="N112" i="1" s="1"/>
  <c r="M106" i="1"/>
  <c r="N106" i="1" s="1"/>
  <c r="M93" i="1"/>
  <c r="N93" i="1" s="1"/>
  <c r="M80" i="1"/>
  <c r="N80" i="1" s="1"/>
  <c r="M74" i="1"/>
  <c r="N74" i="1" s="1"/>
  <c r="M61" i="1"/>
  <c r="N61" i="1" s="1"/>
  <c r="M48" i="1"/>
  <c r="N48" i="1" s="1"/>
  <c r="M42" i="1"/>
  <c r="N42" i="1" s="1"/>
  <c r="M29" i="1"/>
  <c r="N29" i="1" s="1"/>
  <c r="M16" i="1"/>
  <c r="N16" i="1" s="1"/>
  <c r="M10" i="1"/>
  <c r="N10" i="1" s="1"/>
  <c r="M214" i="1"/>
  <c r="N214" i="1" s="1"/>
  <c r="M201" i="1"/>
  <c r="N201" i="1" s="1"/>
  <c r="M182" i="1"/>
  <c r="N182" i="1" s="1"/>
  <c r="M169" i="1"/>
  <c r="N169" i="1" s="1"/>
  <c r="M156" i="1"/>
  <c r="N156" i="1" s="1"/>
  <c r="M150" i="1"/>
  <c r="N150" i="1" s="1"/>
  <c r="M118" i="1"/>
  <c r="N118" i="1" s="1"/>
  <c r="M105" i="1"/>
  <c r="N105" i="1" s="1"/>
  <c r="M92" i="1"/>
  <c r="N92" i="1" s="1"/>
  <c r="M86" i="1"/>
  <c r="N86" i="1" s="1"/>
  <c r="M54" i="1"/>
  <c r="N54" i="1" s="1"/>
  <c r="M41" i="1"/>
  <c r="N41" i="1" s="1"/>
  <c r="M28" i="1"/>
  <c r="N28" i="1" s="1"/>
  <c r="M22" i="1"/>
  <c r="N22" i="1" s="1"/>
  <c r="M194" i="1"/>
  <c r="N194" i="1" s="1"/>
  <c r="M181" i="1"/>
  <c r="N181" i="1" s="1"/>
  <c r="M168" i="1"/>
  <c r="N168" i="1" s="1"/>
  <c r="M162" i="1"/>
  <c r="N162" i="1" s="1"/>
  <c r="M130" i="1"/>
  <c r="N130" i="1" s="1"/>
  <c r="M117" i="1"/>
  <c r="N117" i="1" s="1"/>
  <c r="M104" i="1"/>
  <c r="N104" i="1" s="1"/>
  <c r="M72" i="1"/>
  <c r="N72" i="1" s="1"/>
  <c r="M66" i="1"/>
  <c r="N66" i="1" s="1"/>
  <c r="M53" i="1"/>
  <c r="N53" i="1" s="1"/>
  <c r="M40" i="1"/>
  <c r="N40" i="1" s="1"/>
  <c r="M212" i="1"/>
  <c r="N212" i="1" s="1"/>
  <c r="M206" i="1"/>
  <c r="N206" i="1" s="1"/>
  <c r="M193" i="1"/>
  <c r="N193" i="1" s="1"/>
  <c r="M180" i="1"/>
  <c r="N180" i="1" s="1"/>
  <c r="M161" i="1"/>
  <c r="N161" i="1" s="1"/>
  <c r="M148" i="1"/>
  <c r="N148" i="1" s="1"/>
  <c r="M142" i="1"/>
  <c r="N142" i="1" s="1"/>
  <c r="M129" i="1"/>
  <c r="N129" i="1" s="1"/>
  <c r="M116" i="1"/>
  <c r="N116" i="1" s="1"/>
  <c r="M97" i="1"/>
  <c r="N97" i="1" s="1"/>
  <c r="M84" i="1"/>
  <c r="N84" i="1" s="1"/>
  <c r="M78" i="1"/>
  <c r="N78" i="1" s="1"/>
  <c r="M65" i="1"/>
  <c r="N65" i="1" s="1"/>
  <c r="M52" i="1"/>
  <c r="N52" i="1" s="1"/>
  <c r="M33" i="1"/>
  <c r="N33" i="1" s="1"/>
  <c r="M20" i="1"/>
  <c r="N20" i="1" s="1"/>
  <c r="M14" i="1"/>
  <c r="N14" i="1" s="1"/>
  <c r="M205" i="1"/>
  <c r="N205" i="1" s="1"/>
  <c r="M192" i="1"/>
  <c r="N192" i="1" s="1"/>
  <c r="M186" i="1"/>
  <c r="N186" i="1" s="1"/>
  <c r="M173" i="1"/>
  <c r="N173" i="1" s="1"/>
  <c r="M160" i="1"/>
  <c r="N160" i="1" s="1"/>
  <c r="M154" i="1"/>
  <c r="N154" i="1" s="1"/>
  <c r="M141" i="1"/>
  <c r="N141" i="1" s="1"/>
  <c r="M128" i="1"/>
  <c r="N128" i="1" s="1"/>
  <c r="M122" i="1"/>
  <c r="N122" i="1" s="1"/>
  <c r="M109" i="1"/>
  <c r="N109" i="1" s="1"/>
  <c r="M96" i="1"/>
  <c r="N96" i="1" s="1"/>
  <c r="M90" i="1"/>
  <c r="N90" i="1" s="1"/>
  <c r="M77" i="1"/>
  <c r="N77" i="1" s="1"/>
  <c r="M64" i="1"/>
  <c r="N64" i="1" s="1"/>
  <c r="M58" i="1"/>
  <c r="N58" i="1" s="1"/>
  <c r="M32" i="1"/>
  <c r="N32" i="1" s="1"/>
  <c r="M26" i="1"/>
  <c r="N26" i="1" s="1"/>
  <c r="M13" i="1"/>
  <c r="N13" i="1" s="1"/>
  <c r="J57" i="3"/>
  <c r="L57" i="3" a="1"/>
  <c r="L57" i="3" s="1"/>
  <c r="R57" i="3"/>
  <c r="T57" i="3" a="1"/>
  <c r="T57" i="3" s="1"/>
  <c r="Z57" i="3"/>
  <c r="AB57" i="3" a="1"/>
  <c r="AB57" i="3" s="1"/>
  <c r="AJ57" i="3" a="1"/>
  <c r="AJ57" i="3" s="1"/>
  <c r="AR57" i="3" a="1"/>
  <c r="AR57" i="3" s="1"/>
  <c r="AZ57" i="3" a="1"/>
  <c r="AZ57" i="3" s="1"/>
  <c r="AZ65" i="3" a="1"/>
  <c r="AZ65" i="3" s="1"/>
  <c r="AR65" i="3" a="1"/>
  <c r="AR65" i="3" s="1"/>
  <c r="AJ65" i="3" a="1"/>
  <c r="AJ65" i="3" s="1"/>
  <c r="AB65" i="3" a="1"/>
  <c r="AB65" i="3" s="1"/>
  <c r="T65" i="3" a="1"/>
  <c r="T65" i="3" s="1"/>
  <c r="L65" i="3" a="1"/>
  <c r="L65" i="3" s="1"/>
  <c r="AZ64" i="3" a="1"/>
  <c r="AZ64" i="3" s="1"/>
  <c r="AR64" i="3" a="1"/>
  <c r="AR64" i="3" s="1"/>
  <c r="AJ64" i="3" a="1"/>
  <c r="AJ64" i="3" s="1"/>
  <c r="AB64" i="3" a="1"/>
  <c r="AB64" i="3" s="1"/>
  <c r="T64" i="3" a="1"/>
  <c r="T64" i="3" s="1"/>
  <c r="L64" i="3" a="1"/>
  <c r="L64" i="3" s="1"/>
  <c r="AZ63" i="3" a="1"/>
  <c r="AZ63" i="3" s="1"/>
  <c r="AR63" i="3" a="1"/>
  <c r="AR63" i="3" s="1"/>
  <c r="AJ63" i="3" a="1"/>
  <c r="AJ63" i="3" s="1"/>
  <c r="AB63" i="3" a="1"/>
  <c r="AB63" i="3" s="1"/>
  <c r="T63" i="3" a="1"/>
  <c r="T63" i="3" s="1"/>
  <c r="L63" i="3" a="1"/>
  <c r="L63" i="3" s="1"/>
  <c r="AZ62" i="3" a="1"/>
  <c r="AZ62" i="3" s="1"/>
  <c r="AR62" i="3" a="1"/>
  <c r="AR62" i="3" s="1"/>
  <c r="AJ62" i="3" a="1"/>
  <c r="AJ62" i="3" s="1"/>
  <c r="AB62" i="3" a="1"/>
  <c r="AB62" i="3" s="1"/>
  <c r="T62" i="3" a="1"/>
  <c r="T62" i="3" s="1"/>
  <c r="L62" i="3" a="1"/>
  <c r="L62" i="3" s="1"/>
  <c r="AZ61" i="3" a="1"/>
  <c r="AZ61" i="3" s="1"/>
  <c r="AR61" i="3" a="1"/>
  <c r="AR61" i="3" s="1"/>
  <c r="AJ61" i="3" a="1"/>
  <c r="AJ61" i="3" s="1"/>
  <c r="AB61" i="3" a="1"/>
  <c r="AB61" i="3" s="1"/>
  <c r="T61" i="3" a="1"/>
  <c r="T61" i="3" s="1"/>
  <c r="L61" i="3" a="1"/>
  <c r="L61" i="3" s="1"/>
  <c r="AZ60" i="3" a="1"/>
  <c r="AZ60" i="3" s="1"/>
  <c r="AR60" i="3" a="1"/>
  <c r="AR60" i="3" s="1"/>
  <c r="AJ60" i="3" a="1"/>
  <c r="AJ60" i="3" s="1"/>
  <c r="AB60" i="3" a="1"/>
  <c r="AB60" i="3" s="1"/>
  <c r="T60" i="3" a="1"/>
  <c r="T60" i="3" s="1"/>
  <c r="L60" i="3" a="1"/>
  <c r="L60" i="3" s="1"/>
  <c r="AZ56" i="3" a="1"/>
  <c r="AZ56" i="3" s="1"/>
  <c r="AR56" i="3" a="1"/>
  <c r="AR56" i="3" s="1"/>
  <c r="AJ56" i="3" a="1"/>
  <c r="AJ56" i="3" s="1"/>
  <c r="AB56" i="3" a="1"/>
  <c r="AB56" i="3" s="1"/>
  <c r="Z56" i="3"/>
  <c r="T56" i="3" a="1"/>
  <c r="T56" i="3" s="1"/>
  <c r="R56" i="3"/>
  <c r="L56" i="3" a="1"/>
  <c r="L56" i="3" s="1"/>
  <c r="J56" i="3"/>
  <c r="AZ55" i="3" a="1"/>
  <c r="AZ55" i="3" s="1"/>
  <c r="AR55" i="3" a="1"/>
  <c r="AR55" i="3" s="1"/>
  <c r="AJ55" i="3" a="1"/>
  <c r="AJ55" i="3" s="1"/>
  <c r="AB55" i="3" a="1"/>
  <c r="AB55" i="3" s="1"/>
  <c r="Z55" i="3"/>
  <c r="T55" i="3" a="1"/>
  <c r="T55" i="3" s="1"/>
  <c r="R55" i="3"/>
  <c r="L55" i="3" a="1"/>
  <c r="L55" i="3" s="1"/>
  <c r="J55" i="3"/>
  <c r="AZ54" i="3" a="1"/>
  <c r="AZ54" i="3" s="1"/>
  <c r="AR54" i="3" a="1"/>
  <c r="AR54" i="3" s="1"/>
  <c r="AJ54" i="3" a="1"/>
  <c r="AJ54" i="3" s="1"/>
  <c r="AB54" i="3" a="1"/>
  <c r="AB54" i="3" s="1"/>
  <c r="Z54" i="3"/>
  <c r="T54" i="3" a="1"/>
  <c r="T54" i="3" s="1"/>
  <c r="R54" i="3"/>
  <c r="L54" i="3" a="1"/>
  <c r="L54" i="3" s="1"/>
  <c r="J54" i="3"/>
  <c r="AZ53" i="3" a="1"/>
  <c r="AZ53" i="3" s="1"/>
  <c r="AR53" i="3" a="1"/>
  <c r="AR53" i="3" s="1"/>
  <c r="AJ53" i="3" a="1"/>
  <c r="AJ53" i="3" s="1"/>
  <c r="AB53" i="3" a="1"/>
  <c r="AB53" i="3" s="1"/>
  <c r="Z53" i="3"/>
  <c r="T53" i="3" a="1"/>
  <c r="T53" i="3" s="1"/>
  <c r="R53" i="3"/>
  <c r="L53" i="3" a="1"/>
  <c r="L53" i="3" s="1"/>
  <c r="J53" i="3"/>
  <c r="AZ52" i="3" a="1"/>
  <c r="AZ52" i="3" s="1"/>
  <c r="AR52" i="3" a="1"/>
  <c r="AR52" i="3" s="1"/>
  <c r="AJ52" i="3" a="1"/>
  <c r="AJ52" i="3" s="1"/>
  <c r="AB52" i="3" a="1"/>
  <c r="AB52" i="3" s="1"/>
  <c r="Z52" i="3"/>
  <c r="T52" i="3" a="1"/>
  <c r="T52" i="3" s="1"/>
  <c r="R52" i="3"/>
  <c r="L52" i="3" a="1"/>
  <c r="L52" i="3" s="1"/>
  <c r="J52" i="3"/>
  <c r="AZ49" i="3" a="1"/>
  <c r="AZ49" i="3" s="1"/>
  <c r="AR49" i="3" a="1"/>
  <c r="AR49" i="3" s="1"/>
  <c r="AJ49" i="3" a="1"/>
  <c r="AJ49" i="3" s="1"/>
  <c r="AB49" i="3" a="1"/>
  <c r="AB49" i="3" s="1"/>
  <c r="Z49" i="3"/>
  <c r="T49" i="3" a="1"/>
  <c r="T49" i="3" s="1"/>
  <c r="R49" i="3"/>
  <c r="L49" i="3" a="1"/>
  <c r="L49" i="3" s="1"/>
  <c r="J49" i="3"/>
  <c r="AZ48" i="3" a="1"/>
  <c r="AZ48" i="3" s="1"/>
  <c r="AR48" i="3" a="1"/>
  <c r="AR48" i="3" s="1"/>
  <c r="AJ48" i="3" a="1"/>
  <c r="AJ48" i="3" s="1"/>
  <c r="AB48" i="3" a="1"/>
  <c r="AB48" i="3" s="1"/>
  <c r="Z48" i="3"/>
  <c r="T48" i="3" a="1"/>
  <c r="T48" i="3" s="1"/>
  <c r="R48" i="3"/>
  <c r="L48" i="3" a="1"/>
  <c r="L48" i="3" s="1"/>
  <c r="J48" i="3"/>
  <c r="AZ47" i="3" a="1"/>
  <c r="AZ47" i="3" s="1"/>
  <c r="AR47" i="3" a="1"/>
  <c r="AR47" i="3" s="1"/>
  <c r="AJ47" i="3" a="1"/>
  <c r="AJ47" i="3" s="1"/>
  <c r="AB47" i="3" a="1"/>
  <c r="AB47" i="3" s="1"/>
  <c r="Z47" i="3"/>
  <c r="T47" i="3" a="1"/>
  <c r="T47" i="3" s="1"/>
  <c r="R47" i="3"/>
  <c r="L47" i="3" a="1"/>
  <c r="L47" i="3" s="1"/>
  <c r="J47" i="3"/>
  <c r="AZ46" i="3" a="1"/>
  <c r="AZ46" i="3" s="1"/>
  <c r="AR46" i="3" a="1"/>
  <c r="AR46" i="3" s="1"/>
  <c r="AJ46" i="3" a="1"/>
  <c r="AJ46" i="3" s="1"/>
  <c r="AB46" i="3" a="1"/>
  <c r="AB46" i="3" s="1"/>
  <c r="Z46" i="3"/>
  <c r="T46" i="3" a="1"/>
  <c r="T46" i="3" s="1"/>
  <c r="R46" i="3"/>
  <c r="L46" i="3" a="1"/>
  <c r="L46" i="3" s="1"/>
  <c r="J46" i="3"/>
  <c r="AZ45" i="3" a="1"/>
  <c r="AZ45" i="3" s="1"/>
  <c r="AR45" i="3" a="1"/>
  <c r="AR45" i="3" s="1"/>
  <c r="AJ45" i="3" a="1"/>
  <c r="AJ45" i="3" s="1"/>
  <c r="AB45" i="3" a="1"/>
  <c r="AB45" i="3" s="1"/>
  <c r="Z45" i="3"/>
  <c r="T45" i="3" a="1"/>
  <c r="T45" i="3" s="1"/>
  <c r="R45" i="3"/>
  <c r="L45" i="3" a="1"/>
  <c r="L45" i="3" s="1"/>
  <c r="J45" i="3"/>
  <c r="AZ44" i="3" a="1"/>
  <c r="AZ44" i="3" s="1"/>
  <c r="AR44" i="3" a="1"/>
  <c r="AR44" i="3" s="1"/>
  <c r="AJ44" i="3" a="1"/>
  <c r="AJ44" i="3" s="1"/>
  <c r="AB44" i="3" a="1"/>
  <c r="AB44" i="3" s="1"/>
  <c r="Z44" i="3"/>
  <c r="T44" i="3" a="1"/>
  <c r="T44" i="3" s="1"/>
  <c r="R44" i="3"/>
  <c r="L44" i="3" a="1"/>
  <c r="L44" i="3" s="1"/>
  <c r="J44" i="3"/>
  <c r="AZ90" i="3" a="1"/>
  <c r="AZ90" i="3" s="1"/>
  <c r="AR90" i="3" a="1"/>
  <c r="AR90" i="3" s="1"/>
  <c r="AJ90" i="3" a="1"/>
  <c r="AJ90" i="3" s="1"/>
  <c r="L90" i="3" a="1"/>
  <c r="L90" i="3" s="1"/>
  <c r="AZ89" i="3" a="1"/>
  <c r="AZ89" i="3" s="1"/>
  <c r="AR89" i="3" a="1"/>
  <c r="AR89" i="3" s="1"/>
  <c r="AJ89" i="3" a="1"/>
  <c r="AJ89" i="3" s="1"/>
  <c r="L89" i="3" a="1"/>
  <c r="L89" i="3" s="1"/>
  <c r="AZ88" i="3" a="1"/>
  <c r="AZ88" i="3" s="1"/>
  <c r="AR88" i="3" a="1"/>
  <c r="AR88" i="3" s="1"/>
  <c r="AJ88" i="3" a="1"/>
  <c r="AJ88" i="3" s="1"/>
  <c r="L88" i="3" a="1"/>
  <c r="L88" i="3" s="1"/>
  <c r="AZ87" i="3" a="1"/>
  <c r="AZ87" i="3" s="1"/>
  <c r="AR87" i="3" a="1"/>
  <c r="AR87" i="3" s="1"/>
  <c r="AJ87" i="3" a="1"/>
  <c r="AJ87" i="3" s="1"/>
  <c r="L87" i="3" a="1"/>
  <c r="L87" i="3" s="1"/>
  <c r="AZ86" i="3" a="1"/>
  <c r="AZ86" i="3" s="1"/>
  <c r="AR86" i="3" a="1"/>
  <c r="AR86" i="3" s="1"/>
  <c r="AJ86" i="3" a="1"/>
  <c r="AJ86" i="3" s="1"/>
  <c r="L86" i="3" a="1"/>
  <c r="L86" i="3" s="1"/>
  <c r="AZ85" i="3" a="1"/>
  <c r="AZ85" i="3" s="1"/>
  <c r="AV91" i="3"/>
  <c r="AX91" i="3" s="1"/>
  <c r="AR85" i="3" a="1"/>
  <c r="AR85" i="3" s="1"/>
  <c r="AN91" i="3"/>
  <c r="AJ85" i="3" a="1"/>
  <c r="AJ85" i="3" s="1"/>
  <c r="AF91" i="3"/>
  <c r="L85" i="3" a="1"/>
  <c r="L85" i="3" s="1"/>
  <c r="AZ82" i="3" a="1"/>
  <c r="AZ82" i="3" s="1"/>
  <c r="AR82" i="3" a="1"/>
  <c r="AR82" i="3" s="1"/>
  <c r="AJ82" i="3" a="1"/>
  <c r="AJ82" i="3" s="1"/>
  <c r="L82" i="3" a="1"/>
  <c r="L82" i="3" s="1"/>
  <c r="J82" i="3"/>
  <c r="AZ81" i="3" a="1"/>
  <c r="AZ81" i="3" s="1"/>
  <c r="AR81" i="3" a="1"/>
  <c r="AR81" i="3" s="1"/>
  <c r="AJ81" i="3" a="1"/>
  <c r="AJ81" i="3" s="1"/>
  <c r="L81" i="3" a="1"/>
  <c r="L81" i="3" s="1"/>
  <c r="J81" i="3"/>
  <c r="AZ80" i="3" a="1"/>
  <c r="AZ80" i="3" s="1"/>
  <c r="AR80" i="3" a="1"/>
  <c r="AR80" i="3" s="1"/>
  <c r="AJ80" i="3" a="1"/>
  <c r="AJ80" i="3" s="1"/>
  <c r="L80" i="3" a="1"/>
  <c r="L80" i="3" s="1"/>
  <c r="J80" i="3"/>
  <c r="AZ79" i="3" a="1"/>
  <c r="AZ79" i="3" s="1"/>
  <c r="AR79" i="3" a="1"/>
  <c r="AR79" i="3" s="1"/>
  <c r="AJ79" i="3" a="1"/>
  <c r="AJ79" i="3" s="1"/>
  <c r="L79" i="3" a="1"/>
  <c r="L79" i="3" s="1"/>
  <c r="J79" i="3"/>
  <c r="AZ78" i="3" a="1"/>
  <c r="AZ78" i="3" s="1"/>
  <c r="AR78" i="3" a="1"/>
  <c r="AR78" i="3" s="1"/>
  <c r="AJ78" i="3" a="1"/>
  <c r="AJ78" i="3" s="1"/>
  <c r="L78" i="3" a="1"/>
  <c r="L78" i="3" s="1"/>
  <c r="J78" i="3"/>
  <c r="AZ77" i="3" a="1"/>
  <c r="AZ77" i="3" s="1"/>
  <c r="AV83" i="3"/>
  <c r="AX83" i="3" s="1"/>
  <c r="AR77" i="3" a="1"/>
  <c r="AR77" i="3" s="1"/>
  <c r="AN83" i="3"/>
  <c r="AP83" i="3" s="1"/>
  <c r="AJ77" i="3" a="1"/>
  <c r="AJ77" i="3" s="1"/>
  <c r="AF83" i="3"/>
  <c r="AH83" i="3" s="1"/>
  <c r="L77" i="3" a="1"/>
  <c r="L77" i="3" s="1"/>
  <c r="AZ74" i="3" a="1"/>
  <c r="AZ74" i="3" s="1"/>
  <c r="AR74" i="3" a="1"/>
  <c r="AR74" i="3" s="1"/>
  <c r="AJ74" i="3" a="1"/>
  <c r="AJ74" i="3" s="1"/>
  <c r="L74" i="3" a="1"/>
  <c r="L74" i="3" s="1"/>
  <c r="J74" i="3"/>
  <c r="AZ73" i="3" a="1"/>
  <c r="AZ73" i="3" s="1"/>
  <c r="AR73" i="3" a="1"/>
  <c r="AR73" i="3" s="1"/>
  <c r="AJ73" i="3" a="1"/>
  <c r="AJ73" i="3" s="1"/>
  <c r="L73" i="3" a="1"/>
  <c r="L73" i="3" s="1"/>
  <c r="J73" i="3"/>
  <c r="AZ72" i="3" a="1"/>
  <c r="AZ72" i="3" s="1"/>
  <c r="AR72" i="3" a="1"/>
  <c r="AR72" i="3" s="1"/>
  <c r="AJ72" i="3" a="1"/>
  <c r="AJ72" i="3" s="1"/>
  <c r="L72" i="3" a="1"/>
  <c r="L72" i="3" s="1"/>
  <c r="J72" i="3"/>
  <c r="AZ71" i="3" a="1"/>
  <c r="AZ71" i="3" s="1"/>
  <c r="AR71" i="3" a="1"/>
  <c r="AR71" i="3" s="1"/>
  <c r="AJ71" i="3" a="1"/>
  <c r="AJ71" i="3" s="1"/>
  <c r="L71" i="3" a="1"/>
  <c r="L71" i="3" s="1"/>
  <c r="J71" i="3"/>
  <c r="AZ70" i="3" a="1"/>
  <c r="AZ70" i="3" s="1"/>
  <c r="AR70" i="3" a="1"/>
  <c r="AR70" i="3" s="1"/>
  <c r="AJ70" i="3" a="1"/>
  <c r="AJ70" i="3" s="1"/>
  <c r="L70" i="3" a="1"/>
  <c r="L70" i="3" s="1"/>
  <c r="J70" i="3"/>
  <c r="AZ69" i="3" a="1"/>
  <c r="AZ69" i="3" s="1"/>
  <c r="AV75" i="3"/>
  <c r="AX75" i="3" s="1"/>
  <c r="AR69" i="3" a="1"/>
  <c r="AR69" i="3" s="1"/>
  <c r="AN75" i="3"/>
  <c r="AP75" i="3" s="1"/>
  <c r="AJ69" i="3" a="1"/>
  <c r="AJ69" i="3" s="1"/>
  <c r="AF75" i="3"/>
  <c r="AH75" i="3" s="1"/>
  <c r="L69" i="3" a="1"/>
  <c r="L69" i="3" s="1"/>
  <c r="AZ19" i="3" a="1"/>
  <c r="AZ19" i="3" s="1"/>
  <c r="AZ20" i="3" a="1"/>
  <c r="AZ20" i="3" s="1"/>
  <c r="AZ21" i="3" a="1"/>
  <c r="AZ21" i="3" s="1"/>
  <c r="AZ22" i="3" a="1"/>
  <c r="AZ22" i="3" s="1"/>
  <c r="AZ23" i="3" a="1"/>
  <c r="AZ23" i="3" s="1"/>
  <c r="AZ18" i="3" a="1"/>
  <c r="AZ18" i="3" s="1"/>
  <c r="AR19" i="3" a="1"/>
  <c r="AR19" i="3" s="1"/>
  <c r="AR20" i="3" a="1"/>
  <c r="AR20" i="3" s="1"/>
  <c r="AR21" i="3" a="1"/>
  <c r="AR21" i="3" s="1"/>
  <c r="AR22" i="3" a="1"/>
  <c r="AR22" i="3" s="1"/>
  <c r="AR23" i="3" a="1"/>
  <c r="AR23" i="3" s="1"/>
  <c r="AR18" i="3" a="1"/>
  <c r="AR18" i="3" s="1"/>
  <c r="AJ19" i="3" a="1"/>
  <c r="AJ19" i="3" s="1"/>
  <c r="AJ20" i="3" a="1"/>
  <c r="AJ20" i="3" s="1"/>
  <c r="AJ21" i="3" a="1"/>
  <c r="AJ21" i="3" s="1"/>
  <c r="AJ22" i="3" a="1"/>
  <c r="AJ22" i="3" s="1"/>
  <c r="AJ23" i="3" a="1"/>
  <c r="AJ23" i="3" s="1"/>
  <c r="AJ18" i="3" a="1"/>
  <c r="AJ18" i="3" s="1"/>
  <c r="Z19" i="3"/>
  <c r="AB19" i="3" a="1"/>
  <c r="AB19" i="3" s="1"/>
  <c r="Z20" i="3"/>
  <c r="AB20" i="3" a="1"/>
  <c r="AB20" i="3" s="1"/>
  <c r="Z21" i="3"/>
  <c r="AB21" i="3" a="1"/>
  <c r="AB21" i="3" s="1"/>
  <c r="Z22" i="3"/>
  <c r="AB22" i="3" a="1"/>
  <c r="AB22" i="3" s="1"/>
  <c r="Z23" i="3"/>
  <c r="AB23" i="3" a="1"/>
  <c r="AB23" i="3" s="1"/>
  <c r="AB18" i="3" a="1"/>
  <c r="AB18" i="3" s="1"/>
  <c r="Z18" i="3"/>
  <c r="R19" i="3"/>
  <c r="T19" i="3" a="1"/>
  <c r="T19" i="3" s="1"/>
  <c r="R20" i="3"/>
  <c r="T20" i="3" a="1"/>
  <c r="T20" i="3" s="1"/>
  <c r="R21" i="3"/>
  <c r="T21" i="3" a="1"/>
  <c r="T21" i="3" s="1"/>
  <c r="R22" i="3"/>
  <c r="T22" i="3" a="1"/>
  <c r="T22" i="3" s="1"/>
  <c r="R23" i="3"/>
  <c r="T23" i="3" a="1"/>
  <c r="T23" i="3" s="1"/>
  <c r="T18" i="3" a="1"/>
  <c r="T18" i="3" s="1"/>
  <c r="R18" i="3"/>
  <c r="J19" i="3"/>
  <c r="L19" i="3" a="1"/>
  <c r="L19" i="3" s="1"/>
  <c r="J20" i="3"/>
  <c r="L20" i="3" a="1"/>
  <c r="L20" i="3" s="1"/>
  <c r="J21" i="3"/>
  <c r="L21" i="3" a="1"/>
  <c r="L21" i="3" s="1"/>
  <c r="J22" i="3"/>
  <c r="L22" i="3" a="1"/>
  <c r="L22" i="3" s="1"/>
  <c r="J23" i="3"/>
  <c r="L23" i="3" a="1"/>
  <c r="L23" i="3" s="1"/>
  <c r="L18" i="3" a="1"/>
  <c r="L18" i="3" s="1"/>
  <c r="J18" i="3"/>
  <c r="AZ40" i="3" a="1"/>
  <c r="AZ40" i="3" s="1"/>
  <c r="AR40" i="3" a="1"/>
  <c r="AR40" i="3" s="1"/>
  <c r="AJ40" i="3" a="1"/>
  <c r="AJ40" i="3" s="1"/>
  <c r="AB40" i="3" a="1"/>
  <c r="AB40" i="3" s="1"/>
  <c r="T40" i="3" a="1"/>
  <c r="T40" i="3" s="1"/>
  <c r="L40" i="3" a="1"/>
  <c r="L40" i="3" s="1"/>
  <c r="AZ39" i="3" a="1"/>
  <c r="AZ39" i="3" s="1"/>
  <c r="AR39" i="3" a="1"/>
  <c r="AR39" i="3" s="1"/>
  <c r="AJ39" i="3" a="1"/>
  <c r="AJ39" i="3" s="1"/>
  <c r="AB39" i="3" a="1"/>
  <c r="AB39" i="3" s="1"/>
  <c r="T39" i="3" a="1"/>
  <c r="T39" i="3" s="1"/>
  <c r="L39" i="3" a="1"/>
  <c r="L39" i="3" s="1"/>
  <c r="AZ38" i="3" a="1"/>
  <c r="AZ38" i="3" s="1"/>
  <c r="AR38" i="3" a="1"/>
  <c r="AR38" i="3" s="1"/>
  <c r="AJ38" i="3" a="1"/>
  <c r="AJ38" i="3" s="1"/>
  <c r="AB38" i="3" a="1"/>
  <c r="AB38" i="3" s="1"/>
  <c r="T38" i="3" a="1"/>
  <c r="T38" i="3" s="1"/>
  <c r="L38" i="3" a="1"/>
  <c r="L38" i="3" s="1"/>
  <c r="AZ37" i="3" a="1"/>
  <c r="AZ37" i="3" s="1"/>
  <c r="AR37" i="3" a="1"/>
  <c r="AR37" i="3" s="1"/>
  <c r="AJ37" i="3" a="1"/>
  <c r="AJ37" i="3" s="1"/>
  <c r="AB37" i="3" a="1"/>
  <c r="AB37" i="3" s="1"/>
  <c r="T37" i="3" a="1"/>
  <c r="T37" i="3" s="1"/>
  <c r="L37" i="3" a="1"/>
  <c r="L37" i="3" s="1"/>
  <c r="AZ36" i="3" a="1"/>
  <c r="AZ36" i="3" s="1"/>
  <c r="AR36" i="3" a="1"/>
  <c r="AR36" i="3" s="1"/>
  <c r="AJ36" i="3" a="1"/>
  <c r="AJ36" i="3" s="1"/>
  <c r="AB36" i="3" a="1"/>
  <c r="AB36" i="3" s="1"/>
  <c r="T36" i="3" a="1"/>
  <c r="T36" i="3" s="1"/>
  <c r="L36" i="3" a="1"/>
  <c r="L36" i="3" s="1"/>
  <c r="AZ35" i="3" a="1"/>
  <c r="AZ35" i="3" s="1"/>
  <c r="AR35" i="3" a="1"/>
  <c r="AR35" i="3" s="1"/>
  <c r="AJ35" i="3" a="1"/>
  <c r="AJ35" i="3" s="1"/>
  <c r="AB35" i="3" a="1"/>
  <c r="AB35" i="3" s="1"/>
  <c r="T35" i="3" a="1"/>
  <c r="T35" i="3" s="1"/>
  <c r="L35" i="3" a="1"/>
  <c r="L35" i="3" s="1"/>
  <c r="J27" i="3"/>
  <c r="L27" i="3" a="1"/>
  <c r="L27" i="3" s="1"/>
  <c r="J28" i="3"/>
  <c r="L28" i="3" a="1"/>
  <c r="L28" i="3" s="1"/>
  <c r="J29" i="3"/>
  <c r="L29" i="3" a="1"/>
  <c r="L29" i="3" s="1"/>
  <c r="J30" i="3"/>
  <c r="L30" i="3" a="1"/>
  <c r="L30" i="3" s="1"/>
  <c r="J31" i="3"/>
  <c r="L31" i="3" a="1"/>
  <c r="L31" i="3" s="1"/>
  <c r="R27" i="3"/>
  <c r="T27" i="3" a="1"/>
  <c r="T27" i="3" s="1"/>
  <c r="R28" i="3"/>
  <c r="T28" i="3" a="1"/>
  <c r="T28" i="3" s="1"/>
  <c r="R29" i="3"/>
  <c r="T29" i="3" a="1"/>
  <c r="T29" i="3" s="1"/>
  <c r="R30" i="3"/>
  <c r="T30" i="3" a="1"/>
  <c r="T30" i="3" s="1"/>
  <c r="R31" i="3"/>
  <c r="T31" i="3" a="1"/>
  <c r="T31" i="3" s="1"/>
  <c r="Z27" i="3"/>
  <c r="AB27" i="3" a="1"/>
  <c r="AB27" i="3" s="1"/>
  <c r="Z28" i="3"/>
  <c r="AB28" i="3" a="1"/>
  <c r="AB28" i="3" s="1"/>
  <c r="Z29" i="3"/>
  <c r="AB29" i="3" a="1"/>
  <c r="AB29" i="3" s="1"/>
  <c r="Z30" i="3"/>
  <c r="AB30" i="3" a="1"/>
  <c r="AB30" i="3" s="1"/>
  <c r="Z31" i="3"/>
  <c r="AB31" i="3" a="1"/>
  <c r="AB31" i="3" s="1"/>
  <c r="AJ27" i="3" a="1"/>
  <c r="AJ27" i="3" s="1"/>
  <c r="AJ28" i="3" a="1"/>
  <c r="AJ28" i="3" s="1"/>
  <c r="AJ29" i="3" a="1"/>
  <c r="AJ29" i="3" s="1"/>
  <c r="AJ30" i="3" a="1"/>
  <c r="AJ30" i="3" s="1"/>
  <c r="AJ31" i="3" a="1"/>
  <c r="AJ31" i="3" s="1"/>
  <c r="AR27" i="3" a="1"/>
  <c r="AR27" i="3" s="1"/>
  <c r="AR28" i="3" a="1"/>
  <c r="AR28" i="3" s="1"/>
  <c r="AR29" i="3" a="1"/>
  <c r="AR29" i="3" s="1"/>
  <c r="AR30" i="3" a="1"/>
  <c r="AR30" i="3" s="1"/>
  <c r="AR31" i="3" a="1"/>
  <c r="AR31" i="3" s="1"/>
  <c r="AZ27" i="3" a="1"/>
  <c r="AZ27" i="3" s="1"/>
  <c r="AZ28" i="3" a="1"/>
  <c r="AZ28" i="3" s="1"/>
  <c r="AZ29" i="3" a="1"/>
  <c r="AZ29" i="3" s="1"/>
  <c r="AZ30" i="3" a="1"/>
  <c r="AZ30" i="3" s="1"/>
  <c r="AZ31" i="3" a="1"/>
  <c r="AZ31" i="3" s="1"/>
  <c r="AZ26" i="3" a="1"/>
  <c r="AZ26" i="3" s="1"/>
  <c r="AR26" i="3" a="1"/>
  <c r="AR26" i="3" s="1"/>
  <c r="AJ26" i="3" a="1"/>
  <c r="AJ26" i="3" s="1"/>
  <c r="AB26" i="3" a="1"/>
  <c r="AB26" i="3" s="1"/>
  <c r="Z26" i="3"/>
  <c r="T26" i="3" a="1"/>
  <c r="T26" i="3" s="1"/>
  <c r="R26" i="3"/>
  <c r="J26" i="3"/>
  <c r="L26" i="3" a="1"/>
  <c r="L26" i="3" s="1"/>
  <c r="AZ14" i="3" a="1"/>
  <c r="AZ14" i="3" s="1"/>
  <c r="AZ13" i="3" a="1"/>
  <c r="AZ13" i="3" s="1"/>
  <c r="AZ12" i="3" a="1"/>
  <c r="AZ12" i="3" s="1"/>
  <c r="AZ11" i="3" a="1"/>
  <c r="AZ11" i="3" s="1"/>
  <c r="AZ10" i="3" a="1"/>
  <c r="AZ10" i="3" s="1"/>
  <c r="AZ9" i="3" a="1"/>
  <c r="AZ9" i="3" s="1"/>
  <c r="AR14" i="3" a="1"/>
  <c r="AR14" i="3" s="1"/>
  <c r="AR13" i="3" a="1"/>
  <c r="AR13" i="3" s="1"/>
  <c r="AR12" i="3" a="1"/>
  <c r="AR12" i="3" s="1"/>
  <c r="AR11" i="3" a="1"/>
  <c r="AR11" i="3" s="1"/>
  <c r="AR10" i="3" a="1"/>
  <c r="AR10" i="3" s="1"/>
  <c r="AR9" i="3" a="1"/>
  <c r="AR9" i="3" s="1"/>
  <c r="AJ14" i="3" a="1"/>
  <c r="AJ14" i="3" s="1"/>
  <c r="AJ13" i="3" a="1"/>
  <c r="AJ13" i="3" s="1"/>
  <c r="AJ12" i="3" a="1"/>
  <c r="AJ12" i="3" s="1"/>
  <c r="AJ11" i="3" a="1"/>
  <c r="AJ11" i="3" s="1"/>
  <c r="AJ10" i="3" a="1"/>
  <c r="AJ10" i="3" s="1"/>
  <c r="AJ9" i="3" a="1"/>
  <c r="AJ9" i="3" s="1"/>
  <c r="AB14" i="3" a="1"/>
  <c r="AB14" i="3" s="1"/>
  <c r="AB13" i="3" a="1"/>
  <c r="AB13" i="3" s="1"/>
  <c r="AB12" i="3" a="1"/>
  <c r="AB12" i="3" s="1"/>
  <c r="AB11" i="3" a="1"/>
  <c r="AB11" i="3" s="1"/>
  <c r="AB10" i="3" a="1"/>
  <c r="AB10" i="3" s="1"/>
  <c r="AB9" i="3" a="1"/>
  <c r="AB9" i="3" s="1"/>
  <c r="T10" i="3" a="1"/>
  <c r="T10" i="3" s="1"/>
  <c r="T11" i="3" a="1"/>
  <c r="T11" i="3" s="1"/>
  <c r="T12" i="3" a="1"/>
  <c r="T12" i="3" s="1"/>
  <c r="T13" i="3" a="1"/>
  <c r="T13" i="3" s="1"/>
  <c r="T14" i="3" a="1"/>
  <c r="T14" i="3" s="1"/>
  <c r="T9" i="3" a="1"/>
  <c r="T9" i="3" s="1"/>
  <c r="L10" i="3" a="1"/>
  <c r="L10" i="3" s="1"/>
  <c r="L11" i="3" a="1"/>
  <c r="L11" i="3" s="1"/>
  <c r="L12" i="3" a="1"/>
  <c r="L12" i="3" s="1"/>
  <c r="L13" i="3" a="1"/>
  <c r="L13" i="3" s="1"/>
  <c r="L14" i="3" a="1"/>
  <c r="L14" i="3" s="1"/>
  <c r="L9" i="3" a="1"/>
  <c r="L9" i="3" s="1"/>
  <c r="O18" i="2"/>
  <c r="O15" i="2" a="1"/>
  <c r="O15" i="2" s="1"/>
  <c r="L15" i="2" a="1"/>
  <c r="L15" i="2" s="1"/>
  <c r="L18" i="2"/>
  <c r="I15" i="2" a="1"/>
  <c r="I15" i="2" s="1"/>
  <c r="I18" i="2"/>
  <c r="O39" i="2" a="1"/>
  <c r="O39" i="2" s="1"/>
  <c r="O32" i="2" a="1"/>
  <c r="O32" i="2" s="1"/>
  <c r="O24" i="2" a="1"/>
  <c r="O24" i="2" s="1"/>
  <c r="L39" i="2" a="1"/>
  <c r="L39" i="2" s="1"/>
  <c r="L32" i="2" a="1"/>
  <c r="L32" i="2" s="1"/>
  <c r="L24" i="2" a="1"/>
  <c r="L24" i="2" s="1"/>
  <c r="I39" i="2" a="1"/>
  <c r="I39" i="2" s="1"/>
  <c r="I32" i="2" a="1"/>
  <c r="I32" i="2" s="1"/>
  <c r="I24" i="2" a="1"/>
  <c r="I24" i="2" s="1"/>
  <c r="U39" i="2" a="1"/>
  <c r="U39" i="2" s="1"/>
  <c r="R39" i="2" a="1"/>
  <c r="R39" i="2" s="1"/>
  <c r="F39" i="2" a="1"/>
  <c r="F39" i="2" s="1"/>
  <c r="U32" i="2" a="1"/>
  <c r="U32" i="2" s="1"/>
  <c r="U24" i="2" a="1"/>
  <c r="U24" i="2" s="1"/>
  <c r="R32" i="2" a="1"/>
  <c r="R32" i="2" s="1"/>
  <c r="R24" i="2" a="1"/>
  <c r="R24" i="2" s="1"/>
  <c r="F32" i="2" a="1"/>
  <c r="F32" i="2" s="1"/>
  <c r="F24" i="2" a="1"/>
  <c r="F24" i="2" s="1"/>
  <c r="U15" i="2"/>
  <c r="U18" i="2"/>
  <c r="R15" i="2"/>
  <c r="R18" i="2"/>
  <c r="F15" i="2"/>
  <c r="F13" i="2"/>
  <c r="F18" i="2" s="1"/>
  <c r="O5" i="2"/>
  <c r="O3" i="2"/>
  <c r="R1" i="6" s="1"/>
  <c r="O2" i="2"/>
  <c r="R2" i="6" s="1"/>
  <c r="T23" i="6" l="1"/>
  <c r="T8" i="6"/>
  <c r="T7" i="6"/>
  <c r="T20" i="6"/>
  <c r="T21" i="6"/>
  <c r="T9" i="6"/>
  <c r="T22" i="6"/>
  <c r="T10" i="6"/>
  <c r="O63" i="1" a="1"/>
  <c r="O127" i="1" a="1"/>
  <c r="O191" i="1" a="1"/>
  <c r="O24" i="1" a="1"/>
  <c r="O88" i="1" a="1"/>
  <c r="O152" i="1" a="1"/>
  <c r="O3" i="1" a="1"/>
  <c r="O41" i="1" a="1"/>
  <c r="O41" i="1" s="1"/>
  <c r="P41" i="1" s="1"/>
  <c r="O105" i="1" a="1"/>
  <c r="O169" i="1" a="1"/>
  <c r="O66" i="1" a="1"/>
  <c r="O130" i="1" a="1"/>
  <c r="O194" i="1" a="1"/>
  <c r="O19" i="1" a="1"/>
  <c r="O83" i="1" a="1"/>
  <c r="O147" i="1" a="1"/>
  <c r="O147" i="1" s="1"/>
  <c r="P147" i="1" s="1"/>
  <c r="O211" i="1" a="1"/>
  <c r="O28" i="1" a="1"/>
  <c r="O28" i="1" s="1"/>
  <c r="P28" i="1" s="1"/>
  <c r="O92" i="1" a="1"/>
  <c r="O156" i="1" a="1"/>
  <c r="O29" i="1" a="1"/>
  <c r="O93" i="1" a="1"/>
  <c r="O157" i="1" a="1"/>
  <c r="O54" i="1" a="1"/>
  <c r="O54" i="1" s="1"/>
  <c r="P54" i="1" s="1"/>
  <c r="O118" i="1" a="1"/>
  <c r="O182" i="1" a="1"/>
  <c r="O71" i="1" a="1"/>
  <c r="O135" i="1" a="1"/>
  <c r="O199" i="1" a="1"/>
  <c r="O32" i="1" a="1"/>
  <c r="O96" i="1" a="1"/>
  <c r="O160" i="1" a="1"/>
  <c r="O49" i="1" a="1"/>
  <c r="O113" i="1" a="1"/>
  <c r="O177" i="1" a="1"/>
  <c r="O10" i="1" a="1"/>
  <c r="O74" i="1" a="1"/>
  <c r="O138" i="1" a="1"/>
  <c r="O202" i="1" a="1"/>
  <c r="O27" i="1" a="1"/>
  <c r="O27" i="1" s="1"/>
  <c r="P27" i="1" s="1"/>
  <c r="O91" i="1" a="1"/>
  <c r="O155" i="1" a="1"/>
  <c r="O36" i="1" a="1"/>
  <c r="O100" i="1" a="1"/>
  <c r="O164" i="1" a="1"/>
  <c r="O37" i="1" a="1"/>
  <c r="O101" i="1" a="1"/>
  <c r="O165" i="1" a="1"/>
  <c r="O165" i="1" s="1"/>
  <c r="P165" i="1" s="1"/>
  <c r="O62" i="1" a="1"/>
  <c r="O126" i="1" a="1"/>
  <c r="O126" i="1" s="1"/>
  <c r="P126" i="1" s="1"/>
  <c r="O190" i="1" a="1"/>
  <c r="O15" i="1" a="1"/>
  <c r="O79" i="1" a="1"/>
  <c r="O143" i="1" a="1"/>
  <c r="O207" i="1" a="1"/>
  <c r="O40" i="1" a="1"/>
  <c r="O40" i="1" s="1"/>
  <c r="P40" i="1" s="1"/>
  <c r="O104" i="1" a="1"/>
  <c r="O168" i="1" a="1"/>
  <c r="O168" i="1" s="1"/>
  <c r="P168" i="1" s="1"/>
  <c r="O57" i="1" a="1"/>
  <c r="O121" i="1" a="1"/>
  <c r="O185" i="1" a="1"/>
  <c r="O18" i="1" a="1"/>
  <c r="O82" i="1" a="1"/>
  <c r="O146" i="1" a="1"/>
  <c r="O146" i="1" s="1"/>
  <c r="P146" i="1" s="1"/>
  <c r="O210" i="1" a="1"/>
  <c r="O35" i="1" a="1"/>
  <c r="O35" i="1" s="1"/>
  <c r="P35" i="1" s="1"/>
  <c r="O99" i="1" a="1"/>
  <c r="O163" i="1" a="1"/>
  <c r="O44" i="1" a="1"/>
  <c r="O108" i="1" a="1"/>
  <c r="O172" i="1" a="1"/>
  <c r="O45" i="1" a="1"/>
  <c r="O45" i="1" s="1"/>
  <c r="P45" i="1" s="1"/>
  <c r="O109" i="1" a="1"/>
  <c r="O173" i="1" a="1"/>
  <c r="O173" i="1" s="1"/>
  <c r="P173" i="1" s="1"/>
  <c r="O6" i="1" a="1"/>
  <c r="O70" i="1" a="1"/>
  <c r="O134" i="1" a="1"/>
  <c r="O198" i="1" a="1"/>
  <c r="O23" i="1" a="1"/>
  <c r="O87" i="1" a="1"/>
  <c r="O151" i="1" a="1"/>
  <c r="O215" i="1" a="1"/>
  <c r="O215" i="1" s="1"/>
  <c r="P215" i="1" s="1"/>
  <c r="O48" i="1" a="1"/>
  <c r="O112" i="1" a="1"/>
  <c r="O176" i="1" a="1"/>
  <c r="O176" i="1" s="1"/>
  <c r="P176" i="1" s="1"/>
  <c r="O65" i="1" a="1"/>
  <c r="O129" i="1" a="1"/>
  <c r="O193" i="1" a="1"/>
  <c r="O26" i="1" a="1"/>
  <c r="O90" i="1" a="1"/>
  <c r="O90" i="1" s="1"/>
  <c r="P90" i="1" s="1"/>
  <c r="O154" i="1" a="1"/>
  <c r="O43" i="1" a="1"/>
  <c r="O107" i="1" a="1"/>
  <c r="O107" i="1" s="1"/>
  <c r="P107" i="1" s="1"/>
  <c r="O171" i="1" a="1"/>
  <c r="O52" i="1" a="1"/>
  <c r="O116" i="1" a="1"/>
  <c r="O180" i="1" a="1"/>
  <c r="O53" i="1" a="1"/>
  <c r="O53" i="1" s="1"/>
  <c r="P53" i="1" s="1"/>
  <c r="O117" i="1" a="1"/>
  <c r="O181" i="1" a="1"/>
  <c r="O14" i="1" a="1"/>
  <c r="O14" i="1" s="1"/>
  <c r="P14" i="1" s="1"/>
  <c r="O78" i="1" a="1"/>
  <c r="O142" i="1" a="1"/>
  <c r="O206" i="1" a="1"/>
  <c r="O206" i="1" s="1"/>
  <c r="P206" i="1" s="1"/>
  <c r="O31" i="1" a="1"/>
  <c r="O95" i="1" a="1"/>
  <c r="O95" i="1" s="1"/>
  <c r="P95" i="1" s="1"/>
  <c r="O159" i="1" a="1"/>
  <c r="O56" i="1" a="1"/>
  <c r="O120" i="1" a="1"/>
  <c r="O120" i="1" s="1"/>
  <c r="P120" i="1" s="1"/>
  <c r="O184" i="1" a="1"/>
  <c r="O9" i="1" a="1"/>
  <c r="O73" i="1" a="1"/>
  <c r="O73" i="1" s="1"/>
  <c r="P73" i="1" s="1"/>
  <c r="O137" i="1" a="1"/>
  <c r="O201" i="1" a="1"/>
  <c r="O201" i="1" s="1"/>
  <c r="P201" i="1" s="1"/>
  <c r="O34" i="1" a="1"/>
  <c r="O98" i="1" a="1"/>
  <c r="O162" i="1" a="1"/>
  <c r="O162" i="1" s="1"/>
  <c r="P162" i="1" s="1"/>
  <c r="O51" i="1" a="1"/>
  <c r="O115" i="1" a="1"/>
  <c r="O115" i="1" s="1"/>
  <c r="P115" i="1" s="1"/>
  <c r="O179" i="1" a="1"/>
  <c r="O179" i="1" s="1"/>
  <c r="P179" i="1" s="1"/>
  <c r="O60" i="1" a="1"/>
  <c r="O60" i="1" s="1"/>
  <c r="P60" i="1" s="1"/>
  <c r="O124" i="1" a="1"/>
  <c r="O124" i="1" s="1"/>
  <c r="P124" i="1" s="1"/>
  <c r="O188" i="1" a="1"/>
  <c r="O61" i="1" a="1"/>
  <c r="O125" i="1" a="1"/>
  <c r="O125" i="1" s="1"/>
  <c r="P125" i="1" s="1"/>
  <c r="O189" i="1" a="1"/>
  <c r="O22" i="1" a="1"/>
  <c r="O86" i="1" a="1"/>
  <c r="O86" i="1" s="1"/>
  <c r="P86" i="1" s="1"/>
  <c r="O150" i="1" a="1"/>
  <c r="O214" i="1" a="1"/>
  <c r="O214" i="1" s="1"/>
  <c r="P214" i="1" s="1"/>
  <c r="O39" i="1" a="1"/>
  <c r="O103" i="1" a="1"/>
  <c r="O167" i="1" a="1"/>
  <c r="O167" i="1" s="1"/>
  <c r="P167" i="1" s="1"/>
  <c r="O64" i="1" a="1"/>
  <c r="O128" i="1" a="1"/>
  <c r="O192" i="1" a="1"/>
  <c r="O192" i="1" s="1"/>
  <c r="P192" i="1" s="1"/>
  <c r="O17" i="1" a="1"/>
  <c r="O81" i="1" a="1"/>
  <c r="O81" i="1" s="1"/>
  <c r="P81" i="1" s="1"/>
  <c r="O145" i="1" a="1"/>
  <c r="O209" i="1" a="1"/>
  <c r="O42" i="1" a="1"/>
  <c r="O42" i="1" s="1"/>
  <c r="P42" i="1" s="1"/>
  <c r="O106" i="1" a="1"/>
  <c r="O170" i="1" a="1"/>
  <c r="O59" i="1" a="1"/>
  <c r="O59" i="1" s="1"/>
  <c r="P59" i="1" s="1"/>
  <c r="O123" i="1" a="1"/>
  <c r="O187" i="1" a="1"/>
  <c r="O187" i="1" s="1"/>
  <c r="P187" i="1" s="1"/>
  <c r="O4" i="1" a="1"/>
  <c r="O68" i="1" a="1"/>
  <c r="O132" i="1" a="1"/>
  <c r="O132" i="1" s="1"/>
  <c r="P132" i="1" s="1"/>
  <c r="O196" i="1" a="1"/>
  <c r="O5" i="1" a="1"/>
  <c r="O69" i="1" a="1"/>
  <c r="O133" i="1" a="1"/>
  <c r="O197" i="1" a="1"/>
  <c r="O197" i="1" s="1"/>
  <c r="P197" i="1" s="1"/>
  <c r="O30" i="1" a="1"/>
  <c r="O94" i="1" a="1"/>
  <c r="O158" i="1" a="1"/>
  <c r="O158" i="1" s="1"/>
  <c r="P158" i="1" s="1"/>
  <c r="O47" i="1" a="1"/>
  <c r="O111" i="1" a="1"/>
  <c r="O175" i="1" a="1"/>
  <c r="O175" i="1" s="1"/>
  <c r="P175" i="1" s="1"/>
  <c r="O8" i="1" a="1"/>
  <c r="O72" i="1" a="1"/>
  <c r="O72" i="1" s="1"/>
  <c r="P72" i="1" s="1"/>
  <c r="O136" i="1" a="1"/>
  <c r="O200" i="1" a="1"/>
  <c r="O25" i="1" a="1"/>
  <c r="O25" i="1" s="1"/>
  <c r="P25" i="1" s="1"/>
  <c r="O89" i="1" a="1"/>
  <c r="O153" i="1" a="1"/>
  <c r="O50" i="1" a="1"/>
  <c r="O50" i="1" s="1"/>
  <c r="P50" i="1" s="1"/>
  <c r="O114" i="1" a="1"/>
  <c r="O178" i="1" a="1"/>
  <c r="O178" i="1" s="1"/>
  <c r="P178" i="1" s="1"/>
  <c r="O67" i="1" a="1"/>
  <c r="O131" i="1" a="1"/>
  <c r="O195" i="1" a="1"/>
  <c r="O195" i="1" s="1"/>
  <c r="P195" i="1" s="1"/>
  <c r="O12" i="1" a="1"/>
  <c r="O76" i="1" a="1"/>
  <c r="O140" i="1" a="1"/>
  <c r="O204" i="1" a="1"/>
  <c r="O13" i="1" a="1"/>
  <c r="O13" i="1" s="1"/>
  <c r="P13" i="1" s="1"/>
  <c r="O77" i="1" a="1"/>
  <c r="O141" i="1" a="1"/>
  <c r="O205" i="1" a="1"/>
  <c r="O38" i="1" a="1"/>
  <c r="O102" i="1" a="1"/>
  <c r="O166" i="1" a="1"/>
  <c r="O166" i="1" s="1"/>
  <c r="P166" i="1" s="1"/>
  <c r="O55" i="1" a="1"/>
  <c r="O119" i="1" a="1"/>
  <c r="O119" i="1" s="1"/>
  <c r="P119" i="1" s="1"/>
  <c r="O183" i="1" a="1"/>
  <c r="O183" i="1" s="1"/>
  <c r="P183" i="1" s="1"/>
  <c r="O16" i="1" a="1"/>
  <c r="O80" i="1" a="1"/>
  <c r="O80" i="1" s="1"/>
  <c r="P80" i="1" s="1"/>
  <c r="O144" i="1" a="1"/>
  <c r="O208" i="1" a="1"/>
  <c r="O33" i="1" a="1"/>
  <c r="O33" i="1" s="1"/>
  <c r="P33" i="1" s="1"/>
  <c r="O97" i="1" a="1"/>
  <c r="O97" i="1" s="1"/>
  <c r="P97" i="1" s="1"/>
  <c r="O161" i="1" a="1"/>
  <c r="O161" i="1" s="1"/>
  <c r="P161" i="1" s="1"/>
  <c r="O58" i="1" a="1"/>
  <c r="O58" i="1" s="1"/>
  <c r="P58" i="1" s="1"/>
  <c r="O122" i="1" a="1"/>
  <c r="O186" i="1" a="1"/>
  <c r="O186" i="1" s="1"/>
  <c r="P186" i="1" s="1"/>
  <c r="O11" i="1" a="1"/>
  <c r="O75" i="1" a="1"/>
  <c r="O75" i="1" s="1"/>
  <c r="P75" i="1" s="1"/>
  <c r="O139" i="1" a="1"/>
  <c r="O139" i="1" s="1"/>
  <c r="P139" i="1" s="1"/>
  <c r="O203" i="1" a="1"/>
  <c r="O203" i="1" s="1"/>
  <c r="P203" i="1" s="1"/>
  <c r="O20" i="1" a="1"/>
  <c r="O20" i="1" s="1"/>
  <c r="P20" i="1" s="1"/>
  <c r="O84" i="1" a="1"/>
  <c r="O84" i="1" s="1"/>
  <c r="P84" i="1" s="1"/>
  <c r="O148" i="1" a="1"/>
  <c r="O148" i="1" s="1"/>
  <c r="P148" i="1" s="1"/>
  <c r="O212" i="1" a="1"/>
  <c r="O212" i="1" s="1"/>
  <c r="P212" i="1" s="1"/>
  <c r="O21" i="1" a="1"/>
  <c r="O85" i="1" a="1"/>
  <c r="O85" i="1" s="1"/>
  <c r="P85" i="1" s="1"/>
  <c r="O149" i="1" a="1"/>
  <c r="O149" i="1" s="1"/>
  <c r="P149" i="1" s="1"/>
  <c r="O213" i="1" a="1"/>
  <c r="O213" i="1" s="1"/>
  <c r="P213" i="1" s="1"/>
  <c r="O46" i="1" a="1"/>
  <c r="O46" i="1" s="1"/>
  <c r="P46" i="1" s="1"/>
  <c r="O110" i="1" a="1"/>
  <c r="O110" i="1" s="1"/>
  <c r="P110" i="1" s="1"/>
  <c r="O174" i="1" a="1"/>
  <c r="O174" i="1" s="1"/>
  <c r="P174" i="1" s="1"/>
  <c r="O7" i="1" a="1"/>
  <c r="O7" i="1" s="1"/>
  <c r="P7" i="1" s="1"/>
  <c r="AY75" i="3"/>
  <c r="AJ91" i="3"/>
  <c r="AL91" i="3" s="1"/>
  <c r="AQ75" i="3"/>
  <c r="AP91" i="3"/>
  <c r="AR91" i="3"/>
  <c r="AT91" i="3" s="1"/>
  <c r="AZ75" i="3"/>
  <c r="BA75" i="3" s="1"/>
  <c r="AZ83" i="3"/>
  <c r="BA83" i="3" s="1"/>
  <c r="AZ91" i="3"/>
  <c r="BB91" i="3" s="1"/>
  <c r="L75" i="3"/>
  <c r="L83" i="3"/>
  <c r="AI75" i="3"/>
  <c r="AH91" i="3"/>
  <c r="AJ75" i="3"/>
  <c r="AK75" i="3" s="1"/>
  <c r="AJ83" i="3"/>
  <c r="AL83" i="3" s="1"/>
  <c r="Z11" i="3"/>
  <c r="AA18" i="3"/>
  <c r="Z35" i="3"/>
  <c r="AA20" i="3"/>
  <c r="Z37" i="3"/>
  <c r="AA22" i="3"/>
  <c r="Z39" i="3"/>
  <c r="AA45" i="3"/>
  <c r="AA47" i="3"/>
  <c r="AA49" i="3"/>
  <c r="Z14" i="3"/>
  <c r="Z12" i="3"/>
  <c r="Z10" i="3"/>
  <c r="Z9" i="3"/>
  <c r="AA19" i="3"/>
  <c r="Z36" i="3"/>
  <c r="AA21" i="3"/>
  <c r="Z38" i="3"/>
  <c r="AA23" i="3"/>
  <c r="Z40" i="3"/>
  <c r="AA44" i="3"/>
  <c r="AA46" i="3"/>
  <c r="AA48" i="3"/>
  <c r="Z64" i="3"/>
  <c r="Z13" i="3"/>
  <c r="R11" i="3"/>
  <c r="R14" i="3"/>
  <c r="R10" i="3"/>
  <c r="R13" i="3"/>
  <c r="S18" i="3"/>
  <c r="R35" i="3"/>
  <c r="S20" i="3"/>
  <c r="R37" i="3"/>
  <c r="S22" i="3"/>
  <c r="R39" i="3"/>
  <c r="S45" i="3"/>
  <c r="R61" i="3"/>
  <c r="S47" i="3"/>
  <c r="R63" i="3"/>
  <c r="S49" i="3"/>
  <c r="R65" i="3"/>
  <c r="R12" i="3"/>
  <c r="R9" i="3"/>
  <c r="S19" i="3"/>
  <c r="R36" i="3"/>
  <c r="S21" i="3"/>
  <c r="R38" i="3"/>
  <c r="S23" i="3"/>
  <c r="R40" i="3"/>
  <c r="S44" i="3"/>
  <c r="R60" i="3"/>
  <c r="S46" i="3"/>
  <c r="R62" i="3"/>
  <c r="S48" i="3"/>
  <c r="R64" i="3"/>
  <c r="J13" i="3"/>
  <c r="J9" i="3"/>
  <c r="K18" i="3"/>
  <c r="J35" i="3"/>
  <c r="K20" i="3"/>
  <c r="J37" i="3"/>
  <c r="K22" i="3"/>
  <c r="J39" i="3"/>
  <c r="H75" i="3"/>
  <c r="J75" i="3" s="1"/>
  <c r="J69" i="3"/>
  <c r="H83" i="3"/>
  <c r="J83" i="3" s="1"/>
  <c r="J77" i="3"/>
  <c r="K69" i="3"/>
  <c r="J85" i="3"/>
  <c r="K70" i="3"/>
  <c r="J86" i="3"/>
  <c r="K71" i="3"/>
  <c r="J87" i="3"/>
  <c r="K72" i="3"/>
  <c r="J88" i="3"/>
  <c r="K73" i="3"/>
  <c r="J89" i="3"/>
  <c r="K74" i="3"/>
  <c r="J90" i="3"/>
  <c r="K45" i="3"/>
  <c r="J61" i="3"/>
  <c r="K47" i="3"/>
  <c r="J63" i="3"/>
  <c r="K49" i="3"/>
  <c r="J65" i="3"/>
  <c r="J10" i="3"/>
  <c r="J14" i="3"/>
  <c r="J12" i="3"/>
  <c r="J11" i="3"/>
  <c r="K19" i="3"/>
  <c r="J36" i="3"/>
  <c r="K21" i="3"/>
  <c r="J38" i="3"/>
  <c r="K23" i="3"/>
  <c r="J40" i="3"/>
  <c r="K44" i="3"/>
  <c r="J60" i="3"/>
  <c r="K46" i="3"/>
  <c r="J62" i="3"/>
  <c r="K48" i="3"/>
  <c r="J64" i="3"/>
  <c r="R19" i="2"/>
  <c r="O19" i="2"/>
  <c r="L19" i="2"/>
  <c r="U19" i="2"/>
  <c r="F19" i="2"/>
  <c r="I19" i="2"/>
  <c r="O52" i="1"/>
  <c r="P52" i="1" s="1"/>
  <c r="O140" i="1"/>
  <c r="P140" i="1" s="1"/>
  <c r="O15" i="1"/>
  <c r="P15" i="1" s="1"/>
  <c r="O57" i="1"/>
  <c r="P57" i="1" s="1"/>
  <c r="O44" i="1"/>
  <c r="P44" i="1" s="1"/>
  <c r="O29" i="1"/>
  <c r="P29" i="1" s="1"/>
  <c r="O76" i="1"/>
  <c r="P76" i="1" s="1"/>
  <c r="O37" i="1"/>
  <c r="P37" i="1" s="1"/>
  <c r="O30" i="1"/>
  <c r="P30" i="1" s="1"/>
  <c r="O79" i="1"/>
  <c r="P79" i="1" s="1"/>
  <c r="O121" i="1"/>
  <c r="P121" i="1" s="1"/>
  <c r="O156" i="1"/>
  <c r="P156" i="1" s="1"/>
  <c r="O61" i="1"/>
  <c r="P61" i="1" s="1"/>
  <c r="O38" i="1"/>
  <c r="P38" i="1" s="1"/>
  <c r="O143" i="1"/>
  <c r="P143" i="1" s="1"/>
  <c r="O185" i="1"/>
  <c r="P185" i="1" s="1"/>
  <c r="O92" i="1"/>
  <c r="P92" i="1" s="1"/>
  <c r="O172" i="1"/>
  <c r="P172" i="1" s="1"/>
  <c r="O93" i="1"/>
  <c r="P93" i="1" s="1"/>
  <c r="O94" i="1"/>
  <c r="P94" i="1" s="1"/>
  <c r="O207" i="1"/>
  <c r="P207" i="1" s="1"/>
  <c r="O26" i="1"/>
  <c r="P26" i="1" s="1"/>
  <c r="O100" i="1"/>
  <c r="P100" i="1" s="1"/>
  <c r="O180" i="1"/>
  <c r="P180" i="1" s="1"/>
  <c r="O101" i="1"/>
  <c r="P101" i="1" s="1"/>
  <c r="O102" i="1"/>
  <c r="P102" i="1" s="1"/>
  <c r="O64" i="1"/>
  <c r="P64" i="1" s="1"/>
  <c r="O36" i="1"/>
  <c r="P36" i="1" s="1"/>
  <c r="O108" i="1"/>
  <c r="P108" i="1" s="1"/>
  <c r="O188" i="1"/>
  <c r="P188" i="1" s="1"/>
  <c r="O157" i="1"/>
  <c r="P157" i="1" s="1"/>
  <c r="O128" i="1"/>
  <c r="P128" i="1" s="1"/>
  <c r="O154" i="1"/>
  <c r="P154" i="1" s="1"/>
  <c r="O116" i="1"/>
  <c r="P116" i="1" s="1"/>
  <c r="O204" i="1"/>
  <c r="P204" i="1" s="1"/>
  <c r="O19" i="1"/>
  <c r="P19" i="1" s="1"/>
  <c r="O9" i="1"/>
  <c r="P9" i="1" s="1"/>
  <c r="O6" i="1"/>
  <c r="P6" i="1" s="1"/>
  <c r="O109" i="1"/>
  <c r="P109" i="1" s="1"/>
  <c r="O51" i="1"/>
  <c r="P51" i="1" s="1"/>
  <c r="O23" i="1"/>
  <c r="P23" i="1" s="1"/>
  <c r="O87" i="1"/>
  <c r="P87" i="1" s="1"/>
  <c r="O151" i="1"/>
  <c r="P151" i="1" s="1"/>
  <c r="O136" i="1"/>
  <c r="P136" i="1" s="1"/>
  <c r="O200" i="1"/>
  <c r="P200" i="1" s="1"/>
  <c r="O91" i="1"/>
  <c r="P91" i="1" s="1"/>
  <c r="O65" i="1"/>
  <c r="P65" i="1" s="1"/>
  <c r="O129" i="1"/>
  <c r="P129" i="1" s="1"/>
  <c r="O193" i="1"/>
  <c r="P193" i="1" s="1"/>
  <c r="O34" i="1"/>
  <c r="P34" i="1" s="1"/>
  <c r="O98" i="1"/>
  <c r="P98" i="1" s="1"/>
  <c r="O155" i="1"/>
  <c r="P155" i="1" s="1"/>
  <c r="O68" i="1"/>
  <c r="P68" i="1" s="1"/>
  <c r="O196" i="1"/>
  <c r="P196" i="1" s="1"/>
  <c r="O117" i="1"/>
  <c r="P117" i="1" s="1"/>
  <c r="O181" i="1"/>
  <c r="P181" i="1" s="1"/>
  <c r="O67" i="1"/>
  <c r="P67" i="1" s="1"/>
  <c r="O118" i="1"/>
  <c r="P118" i="1" s="1"/>
  <c r="O182" i="1"/>
  <c r="P182" i="1" s="1"/>
  <c r="O31" i="1"/>
  <c r="P31" i="1" s="1"/>
  <c r="O159" i="1"/>
  <c r="P159" i="1" s="1"/>
  <c r="O16" i="1"/>
  <c r="P16" i="1" s="1"/>
  <c r="O144" i="1"/>
  <c r="P144" i="1" s="1"/>
  <c r="O208" i="1"/>
  <c r="P208" i="1" s="1"/>
  <c r="O4" i="1"/>
  <c r="P4" i="1" s="1"/>
  <c r="O137" i="1"/>
  <c r="P137" i="1" s="1"/>
  <c r="O106" i="1"/>
  <c r="P106" i="1" s="1"/>
  <c r="O170" i="1"/>
  <c r="P170" i="1" s="1"/>
  <c r="O211" i="1"/>
  <c r="P211" i="1" s="1"/>
  <c r="O189" i="1"/>
  <c r="P189" i="1" s="1"/>
  <c r="O83" i="1"/>
  <c r="P83" i="1" s="1"/>
  <c r="O62" i="1"/>
  <c r="P62" i="1" s="1"/>
  <c r="O190" i="1"/>
  <c r="P190" i="1" s="1"/>
  <c r="O39" i="1"/>
  <c r="P39" i="1" s="1"/>
  <c r="O103" i="1"/>
  <c r="P103" i="1" s="1"/>
  <c r="O24" i="1"/>
  <c r="P24" i="1" s="1"/>
  <c r="O88" i="1"/>
  <c r="P88" i="1" s="1"/>
  <c r="O152" i="1"/>
  <c r="P152" i="1" s="1"/>
  <c r="O3" i="1"/>
  <c r="P3" i="1" s="1"/>
  <c r="O17" i="1"/>
  <c r="P17" i="1" s="1"/>
  <c r="O145" i="1"/>
  <c r="P145" i="1" s="1"/>
  <c r="O209" i="1"/>
  <c r="P209" i="1" s="1"/>
  <c r="O114" i="1"/>
  <c r="P114" i="1" s="1"/>
  <c r="O123" i="1"/>
  <c r="P123" i="1" s="1"/>
  <c r="O69" i="1"/>
  <c r="P69" i="1" s="1"/>
  <c r="O133" i="1"/>
  <c r="P133" i="1" s="1"/>
  <c r="O70" i="1"/>
  <c r="P70" i="1" s="1"/>
  <c r="O134" i="1"/>
  <c r="P134" i="1" s="1"/>
  <c r="O198" i="1"/>
  <c r="P198" i="1" s="1"/>
  <c r="O47" i="1"/>
  <c r="P47" i="1" s="1"/>
  <c r="O111" i="1"/>
  <c r="P111" i="1" s="1"/>
  <c r="O32" i="1"/>
  <c r="P32" i="1" s="1"/>
  <c r="O96" i="1"/>
  <c r="P96" i="1" s="1"/>
  <c r="O160" i="1"/>
  <c r="P160" i="1" s="1"/>
  <c r="O12" i="1"/>
  <c r="P12" i="1" s="1"/>
  <c r="O89" i="1"/>
  <c r="P89" i="1" s="1"/>
  <c r="O153" i="1"/>
  <c r="P153" i="1" s="1"/>
  <c r="O99" i="1"/>
  <c r="P99" i="1" s="1"/>
  <c r="O122" i="1"/>
  <c r="P122" i="1" s="1"/>
  <c r="O131" i="1"/>
  <c r="P131" i="1" s="1"/>
  <c r="O77" i="1"/>
  <c r="P77" i="1" s="1"/>
  <c r="O141" i="1"/>
  <c r="P141" i="1" s="1"/>
  <c r="O205" i="1"/>
  <c r="P205" i="1" s="1"/>
  <c r="O8" i="1"/>
  <c r="P8" i="1" s="1"/>
  <c r="O78" i="1"/>
  <c r="P78" i="1" s="1"/>
  <c r="O142" i="1"/>
  <c r="P142" i="1" s="1"/>
  <c r="O55" i="1"/>
  <c r="P55" i="1" s="1"/>
  <c r="O104" i="1"/>
  <c r="P104" i="1" s="1"/>
  <c r="O5" i="1"/>
  <c r="P5" i="1" s="1"/>
  <c r="O66" i="1"/>
  <c r="P66" i="1" s="1"/>
  <c r="O130" i="1"/>
  <c r="P130" i="1" s="1"/>
  <c r="O194" i="1"/>
  <c r="P194" i="1" s="1"/>
  <c r="O163" i="1"/>
  <c r="P163" i="1" s="1"/>
  <c r="O164" i="1"/>
  <c r="P164" i="1" s="1"/>
  <c r="O21" i="1"/>
  <c r="P21" i="1" s="1"/>
  <c r="O22" i="1"/>
  <c r="P22" i="1" s="1"/>
  <c r="O150" i="1"/>
  <c r="P150" i="1" s="1"/>
  <c r="O63" i="1"/>
  <c r="P63" i="1" s="1"/>
  <c r="O127" i="1"/>
  <c r="P127" i="1" s="1"/>
  <c r="O191" i="1"/>
  <c r="P191" i="1" s="1"/>
  <c r="O48" i="1"/>
  <c r="P48" i="1" s="1"/>
  <c r="O112" i="1"/>
  <c r="P112" i="1" s="1"/>
  <c r="O43" i="1"/>
  <c r="P43" i="1" s="1"/>
  <c r="O105" i="1"/>
  <c r="P105" i="1" s="1"/>
  <c r="O169" i="1"/>
  <c r="P169" i="1" s="1"/>
  <c r="O11" i="1"/>
  <c r="P11" i="1" s="1"/>
  <c r="O74" i="1"/>
  <c r="P74" i="1" s="1"/>
  <c r="O138" i="1"/>
  <c r="P138" i="1" s="1"/>
  <c r="O202" i="1"/>
  <c r="P202" i="1" s="1"/>
  <c r="O10" i="1"/>
  <c r="P10" i="1" s="1"/>
  <c r="O171" i="1"/>
  <c r="P171" i="1" s="1"/>
  <c r="O71" i="1"/>
  <c r="P71" i="1" s="1"/>
  <c r="O135" i="1"/>
  <c r="P135" i="1" s="1"/>
  <c r="O199" i="1"/>
  <c r="P199" i="1" s="1"/>
  <c r="O56" i="1"/>
  <c r="P56" i="1" s="1"/>
  <c r="O184" i="1"/>
  <c r="P184" i="1" s="1"/>
  <c r="O49" i="1"/>
  <c r="P49" i="1" s="1"/>
  <c r="O113" i="1"/>
  <c r="P113" i="1" s="1"/>
  <c r="O177" i="1"/>
  <c r="P177" i="1" s="1"/>
  <c r="O18" i="1"/>
  <c r="P18" i="1" s="1"/>
  <c r="O82" i="1"/>
  <c r="P82" i="1" s="1"/>
  <c r="O210" i="1"/>
  <c r="P210" i="1" s="1"/>
  <c r="AR75" i="3"/>
  <c r="AT75" i="3" s="1"/>
  <c r="AR83" i="3"/>
  <c r="AS83" i="3" s="1"/>
  <c r="L91" i="3"/>
  <c r="P66" i="3"/>
  <c r="AV66" i="3"/>
  <c r="T66" i="3"/>
  <c r="AZ66" i="3"/>
  <c r="H91" i="3"/>
  <c r="AB66" i="3"/>
  <c r="AF50" i="3"/>
  <c r="AH50" i="3" s="1"/>
  <c r="AF58" i="3"/>
  <c r="AH58" i="3" s="1"/>
  <c r="L50" i="3"/>
  <c r="AR50" i="3"/>
  <c r="L58" i="3"/>
  <c r="AR58" i="3"/>
  <c r="AJ66" i="3"/>
  <c r="AB15" i="3"/>
  <c r="AB16" i="3" s="1"/>
  <c r="AR15" i="3"/>
  <c r="AR16" i="3" s="1"/>
  <c r="AJ50" i="3"/>
  <c r="H15" i="3"/>
  <c r="K15" i="3" s="1" a="1"/>
  <c r="K15" i="3" s="1"/>
  <c r="X15" i="3"/>
  <c r="AA15" i="3" s="1" a="1"/>
  <c r="AA15" i="3" s="1"/>
  <c r="AN15" i="3"/>
  <c r="AQ15" i="3" s="1" a="1"/>
  <c r="T50" i="3"/>
  <c r="AZ50" i="3"/>
  <c r="T58" i="3"/>
  <c r="AZ58" i="3"/>
  <c r="P15" i="3"/>
  <c r="S15" i="3" s="1" a="1"/>
  <c r="S15" i="3" s="1"/>
  <c r="AF15" i="3"/>
  <c r="AV15" i="3"/>
  <c r="AY15" i="3" s="1" a="1"/>
  <c r="T15" i="3"/>
  <c r="AJ15" i="3"/>
  <c r="AJ16" i="3" s="1"/>
  <c r="AZ15" i="3"/>
  <c r="AB50" i="3"/>
  <c r="AB58" i="3"/>
  <c r="L66" i="3"/>
  <c r="AR66" i="3"/>
  <c r="L15" i="3"/>
  <c r="H32" i="3"/>
  <c r="J32" i="3" s="1"/>
  <c r="X50" i="3"/>
  <c r="Z50" i="3" s="1"/>
  <c r="X58" i="3"/>
  <c r="Z58" i="3" s="1"/>
  <c r="H66" i="3"/>
  <c r="AN66" i="3"/>
  <c r="P50" i="3"/>
  <c r="R50" i="3" s="1"/>
  <c r="AV50" i="3"/>
  <c r="AX50" i="3" s="1"/>
  <c r="P58" i="3"/>
  <c r="R58" i="3" s="1"/>
  <c r="AV58" i="3"/>
  <c r="AX58" i="3" s="1"/>
  <c r="AF66" i="3"/>
  <c r="AJ58" i="3"/>
  <c r="AN41" i="3"/>
  <c r="H50" i="3"/>
  <c r="J50" i="3" s="1"/>
  <c r="AN50" i="3"/>
  <c r="AP50" i="3" s="1"/>
  <c r="H58" i="3"/>
  <c r="J58" i="3" s="1"/>
  <c r="AN58" i="3"/>
  <c r="AP58" i="3" s="1"/>
  <c r="X66" i="3"/>
  <c r="AK57" i="3"/>
  <c r="AC57" i="3"/>
  <c r="AD57" i="3"/>
  <c r="BB57" i="3"/>
  <c r="BA57" i="3"/>
  <c r="U57" i="3"/>
  <c r="V57" i="3"/>
  <c r="AS57" i="3"/>
  <c r="AT57" i="3"/>
  <c r="N57" i="3"/>
  <c r="M57" i="3"/>
  <c r="AL57" i="3"/>
  <c r="AB41" i="3"/>
  <c r="H41" i="3"/>
  <c r="P32" i="3"/>
  <c r="R32" i="3" s="1"/>
  <c r="X32" i="3"/>
  <c r="Z32" i="3" s="1"/>
  <c r="T41" i="3"/>
  <c r="AZ41" i="3"/>
  <c r="H24" i="3"/>
  <c r="J24" i="3" s="1"/>
  <c r="X24" i="3"/>
  <c r="Z24" i="3" s="1"/>
  <c r="AN24" i="3"/>
  <c r="AP24" i="3" s="1"/>
  <c r="L41" i="3"/>
  <c r="AR41" i="3"/>
  <c r="L24" i="3"/>
  <c r="AB24" i="3"/>
  <c r="AR24" i="3"/>
  <c r="AZ32" i="3"/>
  <c r="X41" i="3"/>
  <c r="P24" i="3"/>
  <c r="R24" i="3" s="1"/>
  <c r="AF24" i="3"/>
  <c r="AH24" i="3" s="1"/>
  <c r="AV24" i="3"/>
  <c r="AX24" i="3" s="1"/>
  <c r="T24" i="3"/>
  <c r="AJ24" i="3"/>
  <c r="AZ24" i="3"/>
  <c r="AJ32" i="3"/>
  <c r="AF41" i="3"/>
  <c r="L32" i="3"/>
  <c r="AN32" i="3"/>
  <c r="AJ41" i="3"/>
  <c r="AR32" i="3"/>
  <c r="AV32" i="3"/>
  <c r="AX32" i="3" s="1"/>
  <c r="T32" i="3"/>
  <c r="P41" i="3"/>
  <c r="AV41" i="3"/>
  <c r="AB32" i="3"/>
  <c r="AF32" i="3"/>
  <c r="AH32" i="3" s="1"/>
  <c r="AT69" i="3"/>
  <c r="AT71" i="3"/>
  <c r="AT72" i="3"/>
  <c r="AT73" i="3"/>
  <c r="AT77" i="3"/>
  <c r="AT78" i="3"/>
  <c r="AT79" i="3"/>
  <c r="AT80" i="3"/>
  <c r="AT82" i="3"/>
  <c r="AT85" i="3"/>
  <c r="AD44" i="3"/>
  <c r="AC46" i="3"/>
  <c r="AS47" i="3"/>
  <c r="AT53" i="3"/>
  <c r="AC56" i="3"/>
  <c r="AT81" i="3"/>
  <c r="N12" i="3"/>
  <c r="N69" i="3"/>
  <c r="N70" i="3"/>
  <c r="N71" i="3"/>
  <c r="N73" i="3"/>
  <c r="N74" i="3"/>
  <c r="N77" i="3"/>
  <c r="N78" i="3"/>
  <c r="N79" i="3"/>
  <c r="N80" i="3"/>
  <c r="N81" i="3"/>
  <c r="N82" i="3"/>
  <c r="N85" i="3"/>
  <c r="N86" i="3"/>
  <c r="M11" i="3"/>
  <c r="AS44" i="3"/>
  <c r="AD45" i="3"/>
  <c r="M46" i="3"/>
  <c r="AT46" i="3"/>
  <c r="AC47" i="3"/>
  <c r="N48" i="3"/>
  <c r="AS48" i="3"/>
  <c r="AD49" i="3"/>
  <c r="M52" i="3"/>
  <c r="AT52" i="3"/>
  <c r="AC53" i="3"/>
  <c r="N54" i="3"/>
  <c r="AS54" i="3"/>
  <c r="AD55" i="3"/>
  <c r="M56" i="3"/>
  <c r="AT56" i="3"/>
  <c r="N60" i="3"/>
  <c r="AS60" i="3"/>
  <c r="V44" i="3"/>
  <c r="BB44" i="3"/>
  <c r="BB46" i="3"/>
  <c r="V48" i="3"/>
  <c r="AL49" i="3"/>
  <c r="V52" i="3"/>
  <c r="BB52" i="3"/>
  <c r="AL53" i="3"/>
  <c r="V54" i="3"/>
  <c r="BB54" i="3"/>
  <c r="AL55" i="3"/>
  <c r="V56" i="3"/>
  <c r="BB56" i="3"/>
  <c r="V60" i="3"/>
  <c r="AL45" i="3"/>
  <c r="AL47" i="3"/>
  <c r="BB48" i="3"/>
  <c r="M49" i="3"/>
  <c r="N49" i="3"/>
  <c r="V45" i="3"/>
  <c r="AL46" i="3"/>
  <c r="BB47" i="3"/>
  <c r="V49" i="3"/>
  <c r="BB49" i="3"/>
  <c r="AL52" i="3"/>
  <c r="V53" i="3"/>
  <c r="BB53" i="3"/>
  <c r="AL54" i="3"/>
  <c r="V55" i="3"/>
  <c r="BB55" i="3"/>
  <c r="AL56" i="3"/>
  <c r="AT74" i="3"/>
  <c r="AS74" i="3"/>
  <c r="AK69" i="3"/>
  <c r="BA70" i="3"/>
  <c r="AK73" i="3"/>
  <c r="BA74" i="3"/>
  <c r="AK79" i="3"/>
  <c r="BA80" i="3"/>
  <c r="AK81" i="3"/>
  <c r="AK85" i="3"/>
  <c r="BA73" i="3"/>
  <c r="BB73" i="3"/>
  <c r="BA81" i="3"/>
  <c r="BB69" i="3"/>
  <c r="BA69" i="3"/>
  <c r="AK70" i="3"/>
  <c r="BA71" i="3"/>
  <c r="AK72" i="3"/>
  <c r="AL72" i="3"/>
  <c r="AK74" i="3"/>
  <c r="BA77" i="3"/>
  <c r="AK78" i="3"/>
  <c r="AL78" i="3"/>
  <c r="BA79" i="3"/>
  <c r="BB79" i="3"/>
  <c r="AK80" i="3"/>
  <c r="AL82" i="3"/>
  <c r="AK82" i="3"/>
  <c r="BB85" i="3"/>
  <c r="BA85" i="3"/>
  <c r="AT70" i="3"/>
  <c r="AS70" i="3"/>
  <c r="N72" i="3"/>
  <c r="M72" i="3"/>
  <c r="M69" i="3"/>
  <c r="AL69" i="3"/>
  <c r="BB70" i="3"/>
  <c r="AS71" i="3"/>
  <c r="M73" i="3"/>
  <c r="AL73" i="3"/>
  <c r="BB74" i="3"/>
  <c r="AS77" i="3"/>
  <c r="M79" i="3"/>
  <c r="AL79" i="3"/>
  <c r="BB80" i="3"/>
  <c r="AS81" i="3"/>
  <c r="M85" i="3"/>
  <c r="AL85" i="3"/>
  <c r="N87" i="3"/>
  <c r="M87" i="3"/>
  <c r="AT87" i="3"/>
  <c r="AS87" i="3"/>
  <c r="N89" i="3"/>
  <c r="M89" i="3"/>
  <c r="AT89" i="3"/>
  <c r="AS89" i="3"/>
  <c r="M70" i="3"/>
  <c r="AL70" i="3"/>
  <c r="BB71" i="3"/>
  <c r="AS72" i="3"/>
  <c r="M74" i="3"/>
  <c r="AL74" i="3"/>
  <c r="BB77" i="3"/>
  <c r="AS78" i="3"/>
  <c r="M80" i="3"/>
  <c r="AL80" i="3"/>
  <c r="BB81" i="3"/>
  <c r="AS82" i="3"/>
  <c r="M86" i="3"/>
  <c r="AL86" i="3"/>
  <c r="AK86" i="3"/>
  <c r="BB87" i="3"/>
  <c r="BA87" i="3"/>
  <c r="AL88" i="3"/>
  <c r="AK88" i="3"/>
  <c r="BB89" i="3"/>
  <c r="BA89" i="3"/>
  <c r="AL90" i="3"/>
  <c r="AK90" i="3"/>
  <c r="AS69" i="3"/>
  <c r="M71" i="3"/>
  <c r="AL71" i="3"/>
  <c r="BB72" i="3"/>
  <c r="AS73" i="3"/>
  <c r="M77" i="3"/>
  <c r="AL77" i="3"/>
  <c r="BB78" i="3"/>
  <c r="AS79" i="3"/>
  <c r="M81" i="3"/>
  <c r="AL81" i="3"/>
  <c r="BB82" i="3"/>
  <c r="AS85" i="3"/>
  <c r="AT86" i="3"/>
  <c r="AS86" i="3"/>
  <c r="N88" i="3"/>
  <c r="M88" i="3"/>
  <c r="AT88" i="3"/>
  <c r="AS88" i="3"/>
  <c r="N90" i="3"/>
  <c r="M90" i="3"/>
  <c r="AT90" i="3"/>
  <c r="AS90" i="3"/>
  <c r="AK71" i="3"/>
  <c r="BA72" i="3"/>
  <c r="AK77" i="3"/>
  <c r="BA78" i="3"/>
  <c r="BA82" i="3"/>
  <c r="M78" i="3"/>
  <c r="AS80" i="3"/>
  <c r="M82" i="3"/>
  <c r="BB86" i="3"/>
  <c r="BA86" i="3"/>
  <c r="AL87" i="3"/>
  <c r="AK87" i="3"/>
  <c r="BB88" i="3"/>
  <c r="BA88" i="3"/>
  <c r="AL89" i="3"/>
  <c r="AK89" i="3"/>
  <c r="BB90" i="3"/>
  <c r="BA90" i="3"/>
  <c r="U45" i="3"/>
  <c r="AT45" i="3"/>
  <c r="AK46" i="3"/>
  <c r="N47" i="3"/>
  <c r="BA47" i="3"/>
  <c r="AD48" i="3"/>
  <c r="U49" i="3"/>
  <c r="AT49" i="3"/>
  <c r="AK52" i="3"/>
  <c r="N53" i="3"/>
  <c r="BA53" i="3"/>
  <c r="AD54" i="3"/>
  <c r="U55" i="3"/>
  <c r="AT55" i="3"/>
  <c r="AK56" i="3"/>
  <c r="AD60" i="3"/>
  <c r="AD61" i="3"/>
  <c r="AC61" i="3"/>
  <c r="N62" i="3"/>
  <c r="M62" i="3"/>
  <c r="AT62" i="3"/>
  <c r="AS62" i="3"/>
  <c r="AD63" i="3"/>
  <c r="AC63" i="3"/>
  <c r="N64" i="3"/>
  <c r="M64" i="3"/>
  <c r="AT64" i="3"/>
  <c r="AS64" i="3"/>
  <c r="AD65" i="3"/>
  <c r="AC65" i="3"/>
  <c r="AS45" i="3"/>
  <c r="V46" i="3"/>
  <c r="M47" i="3"/>
  <c r="AC48" i="3"/>
  <c r="AS49" i="3"/>
  <c r="M53" i="3"/>
  <c r="AC54" i="3"/>
  <c r="AS55" i="3"/>
  <c r="AC60" i="3"/>
  <c r="BB60" i="3"/>
  <c r="BA60" i="3"/>
  <c r="BA44" i="3"/>
  <c r="U46" i="3"/>
  <c r="AK47" i="3"/>
  <c r="BA48" i="3"/>
  <c r="U52" i="3"/>
  <c r="AK53" i="3"/>
  <c r="BA54" i="3"/>
  <c r="U56" i="3"/>
  <c r="AL61" i="3"/>
  <c r="AK61" i="3"/>
  <c r="V62" i="3"/>
  <c r="U62" i="3"/>
  <c r="BB62" i="3"/>
  <c r="BA62" i="3"/>
  <c r="AL63" i="3"/>
  <c r="AK63" i="3"/>
  <c r="V64" i="3"/>
  <c r="U64" i="3"/>
  <c r="BB64" i="3"/>
  <c r="BA64" i="3"/>
  <c r="AL65" i="3"/>
  <c r="AK65" i="3"/>
  <c r="AL44" i="3"/>
  <c r="AC45" i="3"/>
  <c r="BB45" i="3"/>
  <c r="AS46" i="3"/>
  <c r="V47" i="3"/>
  <c r="M48" i="3"/>
  <c r="AL48" i="3"/>
  <c r="AC49" i="3"/>
  <c r="AS52" i="3"/>
  <c r="M54" i="3"/>
  <c r="AC55" i="3"/>
  <c r="AS56" i="3"/>
  <c r="M60" i="3"/>
  <c r="AL60" i="3"/>
  <c r="N61" i="3"/>
  <c r="AC44" i="3"/>
  <c r="AK44" i="3"/>
  <c r="N45" i="3"/>
  <c r="BA45" i="3"/>
  <c r="AD46" i="3"/>
  <c r="U47" i="3"/>
  <c r="AT47" i="3"/>
  <c r="AK48" i="3"/>
  <c r="BA49" i="3"/>
  <c r="AD52" i="3"/>
  <c r="U53" i="3"/>
  <c r="AK54" i="3"/>
  <c r="N55" i="3"/>
  <c r="BA55" i="3"/>
  <c r="AD56" i="3"/>
  <c r="AK60" i="3"/>
  <c r="M61" i="3"/>
  <c r="AT61" i="3"/>
  <c r="AS61" i="3"/>
  <c r="AD62" i="3"/>
  <c r="AC62" i="3"/>
  <c r="N63" i="3"/>
  <c r="M63" i="3"/>
  <c r="AT63" i="3"/>
  <c r="AS63" i="3"/>
  <c r="AD64" i="3"/>
  <c r="AC64" i="3"/>
  <c r="N65" i="3"/>
  <c r="M65" i="3"/>
  <c r="AT65" i="3"/>
  <c r="AS65" i="3"/>
  <c r="AC52" i="3"/>
  <c r="AS53" i="3"/>
  <c r="M55" i="3"/>
  <c r="N44" i="3"/>
  <c r="M44" i="3"/>
  <c r="M45" i="3"/>
  <c r="U44" i="3"/>
  <c r="AT44" i="3"/>
  <c r="AK45" i="3"/>
  <c r="N46" i="3"/>
  <c r="BA46" i="3"/>
  <c r="AD47" i="3"/>
  <c r="U48" i="3"/>
  <c r="AT48" i="3"/>
  <c r="AK49" i="3"/>
  <c r="N52" i="3"/>
  <c r="BA52" i="3"/>
  <c r="AD53" i="3"/>
  <c r="U54" i="3"/>
  <c r="AT54" i="3"/>
  <c r="AK55" i="3"/>
  <c r="N56" i="3"/>
  <c r="BA56" i="3"/>
  <c r="U60" i="3"/>
  <c r="AT60" i="3"/>
  <c r="V61" i="3"/>
  <c r="U61" i="3"/>
  <c r="BB61" i="3"/>
  <c r="BA61" i="3"/>
  <c r="AL62" i="3"/>
  <c r="AK62" i="3"/>
  <c r="V63" i="3"/>
  <c r="U63" i="3"/>
  <c r="BB63" i="3"/>
  <c r="BA63" i="3"/>
  <c r="AL64" i="3"/>
  <c r="AK64" i="3"/>
  <c r="V65" i="3"/>
  <c r="U65" i="3"/>
  <c r="BB65" i="3"/>
  <c r="BA65" i="3"/>
  <c r="M35" i="3"/>
  <c r="N35" i="3"/>
  <c r="AT35" i="3"/>
  <c r="AS35" i="3"/>
  <c r="AD36" i="3"/>
  <c r="AC36" i="3"/>
  <c r="N37" i="3"/>
  <c r="M37" i="3"/>
  <c r="AT37" i="3"/>
  <c r="AS37" i="3"/>
  <c r="AD38" i="3"/>
  <c r="AC38" i="3"/>
  <c r="N39" i="3"/>
  <c r="M39" i="3"/>
  <c r="AT39" i="3"/>
  <c r="AS39" i="3"/>
  <c r="AD40" i="3"/>
  <c r="AC40" i="3"/>
  <c r="V35" i="3"/>
  <c r="U35" i="3"/>
  <c r="BB35" i="3"/>
  <c r="BA35" i="3"/>
  <c r="AL36" i="3"/>
  <c r="AK36" i="3"/>
  <c r="V37" i="3"/>
  <c r="U37" i="3"/>
  <c r="BB37" i="3"/>
  <c r="BA37" i="3"/>
  <c r="AL38" i="3"/>
  <c r="AK38" i="3"/>
  <c r="V39" i="3"/>
  <c r="U39" i="3"/>
  <c r="BB39" i="3"/>
  <c r="BA39" i="3"/>
  <c r="AL40" i="3"/>
  <c r="AK40" i="3"/>
  <c r="AD35" i="3"/>
  <c r="AC35" i="3"/>
  <c r="N36" i="3"/>
  <c r="M36" i="3"/>
  <c r="AT36" i="3"/>
  <c r="AS36" i="3"/>
  <c r="AD37" i="3"/>
  <c r="AC37" i="3"/>
  <c r="N38" i="3"/>
  <c r="M38" i="3"/>
  <c r="AT38" i="3"/>
  <c r="AS38" i="3"/>
  <c r="AD39" i="3"/>
  <c r="AC39" i="3"/>
  <c r="N40" i="3"/>
  <c r="M40" i="3"/>
  <c r="AT40" i="3"/>
  <c r="AS40" i="3"/>
  <c r="AL35" i="3"/>
  <c r="AK35" i="3"/>
  <c r="V36" i="3"/>
  <c r="U36" i="3"/>
  <c r="BB36" i="3"/>
  <c r="BA36" i="3"/>
  <c r="AL37" i="3"/>
  <c r="AK37" i="3"/>
  <c r="V38" i="3"/>
  <c r="U38" i="3"/>
  <c r="BB38" i="3"/>
  <c r="BA38" i="3"/>
  <c r="AL39" i="3"/>
  <c r="AK39" i="3"/>
  <c r="V40" i="3"/>
  <c r="U40" i="3"/>
  <c r="BB40" i="3"/>
  <c r="BA40" i="3"/>
  <c r="M26" i="3"/>
  <c r="N26" i="3"/>
  <c r="AT26" i="3"/>
  <c r="AS26" i="3"/>
  <c r="AD27" i="3"/>
  <c r="AC27" i="3"/>
  <c r="N28" i="3"/>
  <c r="M28" i="3"/>
  <c r="AT28" i="3"/>
  <c r="AS28" i="3"/>
  <c r="AD29" i="3"/>
  <c r="AC29" i="3"/>
  <c r="N30" i="3"/>
  <c r="M30" i="3"/>
  <c r="AT30" i="3"/>
  <c r="AS30" i="3"/>
  <c r="AD31" i="3"/>
  <c r="AC31" i="3"/>
  <c r="V26" i="3"/>
  <c r="U26" i="3"/>
  <c r="BB26" i="3"/>
  <c r="BA26" i="3"/>
  <c r="AL27" i="3"/>
  <c r="AK27" i="3"/>
  <c r="V28" i="3"/>
  <c r="U28" i="3"/>
  <c r="BB28" i="3"/>
  <c r="BA28" i="3"/>
  <c r="AL29" i="3"/>
  <c r="AK29" i="3"/>
  <c r="V30" i="3"/>
  <c r="U30" i="3"/>
  <c r="BB30" i="3"/>
  <c r="BA30" i="3"/>
  <c r="AL31" i="3"/>
  <c r="AK31" i="3"/>
  <c r="AD26" i="3"/>
  <c r="AC26" i="3"/>
  <c r="N27" i="3"/>
  <c r="M27" i="3"/>
  <c r="AT27" i="3"/>
  <c r="AS27" i="3"/>
  <c r="AD28" i="3"/>
  <c r="AC28" i="3"/>
  <c r="N29" i="3"/>
  <c r="M29" i="3"/>
  <c r="AT29" i="3"/>
  <c r="AS29" i="3"/>
  <c r="AD30" i="3"/>
  <c r="AC30" i="3"/>
  <c r="N31" i="3"/>
  <c r="M31" i="3"/>
  <c r="AT31" i="3"/>
  <c r="AS31" i="3"/>
  <c r="AL26" i="3"/>
  <c r="AK26" i="3"/>
  <c r="V27" i="3"/>
  <c r="U27" i="3"/>
  <c r="BB27" i="3"/>
  <c r="BA27" i="3"/>
  <c r="AL28" i="3"/>
  <c r="AK28" i="3"/>
  <c r="V29" i="3"/>
  <c r="U29" i="3"/>
  <c r="BB29" i="3"/>
  <c r="BA29" i="3"/>
  <c r="AL30" i="3"/>
  <c r="AK30" i="3"/>
  <c r="V31" i="3"/>
  <c r="U31" i="3"/>
  <c r="BB31" i="3"/>
  <c r="BA31" i="3"/>
  <c r="M13" i="3"/>
  <c r="M10" i="3"/>
  <c r="N9" i="3"/>
  <c r="M14" i="3"/>
  <c r="M18" i="3"/>
  <c r="N18" i="3"/>
  <c r="AT18" i="3"/>
  <c r="AS18" i="3"/>
  <c r="AD19" i="3"/>
  <c r="AC19" i="3"/>
  <c r="N20" i="3"/>
  <c r="M20" i="3"/>
  <c r="AT20" i="3"/>
  <c r="AS20" i="3"/>
  <c r="AD21" i="3"/>
  <c r="AC21" i="3"/>
  <c r="N22" i="3"/>
  <c r="M22" i="3"/>
  <c r="AT22" i="3"/>
  <c r="AS22" i="3"/>
  <c r="AD23" i="3"/>
  <c r="AC23" i="3"/>
  <c r="V18" i="3"/>
  <c r="U18" i="3"/>
  <c r="BB18" i="3"/>
  <c r="BA18" i="3"/>
  <c r="AL19" i="3"/>
  <c r="AK19" i="3"/>
  <c r="V20" i="3"/>
  <c r="U20" i="3"/>
  <c r="BB20" i="3"/>
  <c r="BA20" i="3"/>
  <c r="AL21" i="3"/>
  <c r="AK21" i="3"/>
  <c r="V22" i="3"/>
  <c r="U22" i="3"/>
  <c r="BB22" i="3"/>
  <c r="BA22" i="3"/>
  <c r="AL23" i="3"/>
  <c r="AK23" i="3"/>
  <c r="AD18" i="3"/>
  <c r="AC18" i="3"/>
  <c r="N19" i="3"/>
  <c r="M19" i="3"/>
  <c r="AT19" i="3"/>
  <c r="AS19" i="3"/>
  <c r="AD20" i="3"/>
  <c r="AC20" i="3"/>
  <c r="N21" i="3"/>
  <c r="M21" i="3"/>
  <c r="AT21" i="3"/>
  <c r="AS21" i="3"/>
  <c r="AD22" i="3"/>
  <c r="AC22" i="3"/>
  <c r="N23" i="3"/>
  <c r="M23" i="3"/>
  <c r="AT23" i="3"/>
  <c r="AS23" i="3"/>
  <c r="AL18" i="3"/>
  <c r="AK18" i="3"/>
  <c r="V19" i="3"/>
  <c r="U19" i="3"/>
  <c r="BB19" i="3"/>
  <c r="BA19" i="3"/>
  <c r="AL20" i="3"/>
  <c r="AK20" i="3"/>
  <c r="V21" i="3"/>
  <c r="U21" i="3"/>
  <c r="BB21" i="3"/>
  <c r="BA21" i="3"/>
  <c r="AL22" i="3"/>
  <c r="AK22" i="3"/>
  <c r="V23" i="3"/>
  <c r="U23" i="3"/>
  <c r="BB23" i="3"/>
  <c r="BA23" i="3"/>
  <c r="M12" i="3"/>
  <c r="M9" i="3"/>
  <c r="N11" i="3"/>
  <c r="N14" i="3"/>
  <c r="N10" i="3"/>
  <c r="N13" i="3"/>
  <c r="BB12" i="3"/>
  <c r="BA12" i="3"/>
  <c r="BB10" i="3"/>
  <c r="BA10" i="3"/>
  <c r="BB11" i="3"/>
  <c r="BA11" i="3"/>
  <c r="BB9" i="3"/>
  <c r="BA9" i="3"/>
  <c r="BB13" i="3"/>
  <c r="BA13" i="3"/>
  <c r="BB14" i="3"/>
  <c r="BA14" i="3"/>
  <c r="AT12" i="3"/>
  <c r="AS12" i="3"/>
  <c r="AT11" i="3"/>
  <c r="AS11" i="3"/>
  <c r="AT9" i="3"/>
  <c r="AS9" i="3"/>
  <c r="AT13" i="3"/>
  <c r="AS13" i="3"/>
  <c r="AT10" i="3"/>
  <c r="AS10" i="3"/>
  <c r="AT14" i="3"/>
  <c r="AS14" i="3"/>
  <c r="AL14" i="3"/>
  <c r="AK14" i="3"/>
  <c r="AL13" i="3"/>
  <c r="AK13" i="3"/>
  <c r="AL10" i="3"/>
  <c r="AK10" i="3"/>
  <c r="AL11" i="3"/>
  <c r="AK11" i="3"/>
  <c r="AL12" i="3"/>
  <c r="AK12" i="3"/>
  <c r="AL9" i="3"/>
  <c r="AK9" i="3"/>
  <c r="AD12" i="3"/>
  <c r="AC12" i="3"/>
  <c r="AD11" i="3"/>
  <c r="AC11" i="3"/>
  <c r="AC9" i="3"/>
  <c r="AD9" i="3"/>
  <c r="AD13" i="3"/>
  <c r="AC13" i="3"/>
  <c r="AD10" i="3"/>
  <c r="AC10" i="3"/>
  <c r="AD14" i="3"/>
  <c r="AC14" i="3"/>
  <c r="V11" i="3"/>
  <c r="U11" i="3"/>
  <c r="V12" i="3"/>
  <c r="U12" i="3"/>
  <c r="V9" i="3"/>
  <c r="U9" i="3"/>
  <c r="V13" i="3"/>
  <c r="U13" i="3"/>
  <c r="V10" i="3"/>
  <c r="U10" i="3"/>
  <c r="V14" i="3"/>
  <c r="U14" i="3"/>
  <c r="I17" i="2"/>
  <c r="I16" i="2"/>
  <c r="L17" i="2"/>
  <c r="L16" i="2"/>
  <c r="O17" i="2"/>
  <c r="O16" i="2"/>
  <c r="F17" i="2"/>
  <c r="O4" i="2"/>
  <c r="U17" i="2"/>
  <c r="O25" i="2"/>
  <c r="O26" i="2"/>
  <c r="O34" i="2"/>
  <c r="O33" i="2"/>
  <c r="O41" i="2"/>
  <c r="O40" i="2"/>
  <c r="L34" i="2"/>
  <c r="L33" i="2"/>
  <c r="L26" i="2"/>
  <c r="L25" i="2"/>
  <c r="L41" i="2"/>
  <c r="L40" i="2"/>
  <c r="I26" i="2"/>
  <c r="I25" i="2"/>
  <c r="I34" i="2"/>
  <c r="I33" i="2"/>
  <c r="I40" i="2"/>
  <c r="I41" i="2"/>
  <c r="U40" i="2"/>
  <c r="U41" i="2"/>
  <c r="F41" i="2"/>
  <c r="F40" i="2"/>
  <c r="R41" i="2"/>
  <c r="R40" i="2"/>
  <c r="U33" i="2"/>
  <c r="U34" i="2"/>
  <c r="U26" i="2"/>
  <c r="U25" i="2"/>
  <c r="R33" i="2"/>
  <c r="R34" i="2"/>
  <c r="R25" i="2"/>
  <c r="R26" i="2"/>
  <c r="F33" i="2"/>
  <c r="F34" i="2"/>
  <c r="F26" i="2"/>
  <c r="F25" i="2"/>
  <c r="U16" i="2"/>
  <c r="R17" i="2"/>
  <c r="R16" i="2"/>
  <c r="F16" i="2"/>
  <c r="AK91" i="3" l="1"/>
  <c r="AS91" i="3"/>
  <c r="BB75" i="3"/>
  <c r="BB83" i="3"/>
  <c r="AL75" i="3"/>
  <c r="BA91" i="3"/>
  <c r="AK83" i="3"/>
  <c r="M83" i="3"/>
  <c r="AV16" i="3"/>
  <c r="AY15" i="3"/>
  <c r="AY16" i="3" s="1"/>
  <c r="AX15" i="3"/>
  <c r="AY50" i="3"/>
  <c r="AX66" i="3"/>
  <c r="AT83" i="3"/>
  <c r="AY24" i="3"/>
  <c r="AX41" i="3"/>
  <c r="AQ24" i="3"/>
  <c r="AP41" i="3"/>
  <c r="AQ15" i="3"/>
  <c r="AQ16" i="3" s="1"/>
  <c r="AP15" i="3"/>
  <c r="AQ50" i="3"/>
  <c r="AP66" i="3"/>
  <c r="AI24" i="3"/>
  <c r="AH41" i="3"/>
  <c r="AI50" i="3"/>
  <c r="AH66" i="3"/>
  <c r="AF16" i="3"/>
  <c r="AI15" i="3" a="1"/>
  <c r="AI15" i="3" s="1"/>
  <c r="AI16" i="3" s="1"/>
  <c r="AH15" i="3"/>
  <c r="X16" i="3"/>
  <c r="AA16" i="3"/>
  <c r="Z15" i="3"/>
  <c r="AA24" i="3"/>
  <c r="Z41" i="3"/>
  <c r="AA50" i="3"/>
  <c r="Z66" i="3"/>
  <c r="S24" i="3"/>
  <c r="R41" i="3"/>
  <c r="P16" i="3"/>
  <c r="S16" i="3"/>
  <c r="R15" i="3"/>
  <c r="M75" i="3"/>
  <c r="N83" i="3"/>
  <c r="S50" i="3"/>
  <c r="R66" i="3"/>
  <c r="K24" i="3"/>
  <c r="J41" i="3"/>
  <c r="H16" i="3"/>
  <c r="K16" i="3"/>
  <c r="J15" i="3"/>
  <c r="K50" i="3"/>
  <c r="J66" i="3"/>
  <c r="N75" i="3"/>
  <c r="K75" i="3"/>
  <c r="J91" i="3"/>
  <c r="AS75" i="3"/>
  <c r="M91" i="3"/>
  <c r="V66" i="3"/>
  <c r="N91" i="3"/>
  <c r="N50" i="3"/>
  <c r="U66" i="3"/>
  <c r="P42" i="3"/>
  <c r="AB42" i="3"/>
  <c r="AD66" i="3"/>
  <c r="BA66" i="3"/>
  <c r="BB66" i="3"/>
  <c r="AF33" i="3"/>
  <c r="AN33" i="3" a="1"/>
  <c r="AN33" i="3" s="1"/>
  <c r="AL58" i="3"/>
  <c r="AT50" i="3"/>
  <c r="AR33" i="3" a="1"/>
  <c r="AR33" i="3" s="1"/>
  <c r="AT58" i="3"/>
  <c r="M58" i="3"/>
  <c r="AJ42" i="3"/>
  <c r="P33" i="3"/>
  <c r="AL50" i="3"/>
  <c r="AV33" i="3"/>
  <c r="AK66" i="3"/>
  <c r="BB50" i="3"/>
  <c r="X33" i="3"/>
  <c r="N66" i="3"/>
  <c r="AB33" i="3"/>
  <c r="AF42" i="3"/>
  <c r="AL66" i="3"/>
  <c r="AZ33" i="3"/>
  <c r="N41" i="3"/>
  <c r="L42" i="3"/>
  <c r="H42" i="3"/>
  <c r="X42" i="3"/>
  <c r="U41" i="3"/>
  <c r="T42" i="3"/>
  <c r="H33" i="3"/>
  <c r="T33" i="3"/>
  <c r="AJ33" i="3"/>
  <c r="M66" i="3"/>
  <c r="N32" i="3"/>
  <c r="L33" i="3"/>
  <c r="AC50" i="3"/>
  <c r="V50" i="3"/>
  <c r="U15" i="3"/>
  <c r="AT15" i="3"/>
  <c r="AS15" i="3"/>
  <c r="AN16" i="3"/>
  <c r="AD58" i="3"/>
  <c r="BB15" i="3"/>
  <c r="AZ16" i="3"/>
  <c r="AS50" i="3"/>
  <c r="BB58" i="3"/>
  <c r="AD50" i="3"/>
  <c r="V58" i="3"/>
  <c r="BA58" i="3"/>
  <c r="AT66" i="3"/>
  <c r="AK50" i="3"/>
  <c r="U58" i="3"/>
  <c r="AC15" i="3"/>
  <c r="AL15" i="3"/>
  <c r="V41" i="3"/>
  <c r="U50" i="3"/>
  <c r="AS58" i="3"/>
  <c r="N15" i="3"/>
  <c r="L16" i="3"/>
  <c r="V15" i="3"/>
  <c r="T16" i="3"/>
  <c r="AS41" i="3"/>
  <c r="AD15" i="3"/>
  <c r="AC58" i="3"/>
  <c r="AS66" i="3"/>
  <c r="AC66" i="3"/>
  <c r="AT41" i="3"/>
  <c r="BA15" i="3"/>
  <c r="AK15" i="3"/>
  <c r="M15" i="3"/>
  <c r="AC41" i="3"/>
  <c r="BA50" i="3"/>
  <c r="AS24" i="3"/>
  <c r="N58" i="3"/>
  <c r="U24" i="3"/>
  <c r="M50" i="3"/>
  <c r="AC24" i="3"/>
  <c r="U32" i="3"/>
  <c r="AK32" i="3"/>
  <c r="BA32" i="3"/>
  <c r="BA24" i="3"/>
  <c r="AK58" i="3"/>
  <c r="AD32" i="3"/>
  <c r="AK24" i="3"/>
  <c r="M41" i="3"/>
  <c r="BB32" i="3"/>
  <c r="M24" i="3"/>
  <c r="AL32" i="3"/>
  <c r="N24" i="3"/>
  <c r="AD41" i="3"/>
  <c r="AL41" i="3"/>
  <c r="AD24" i="3"/>
  <c r="BB41" i="3"/>
  <c r="V32" i="3"/>
  <c r="AT24" i="3"/>
  <c r="AL24" i="3"/>
  <c r="V24" i="3"/>
  <c r="AK41" i="3"/>
  <c r="AC32" i="3"/>
  <c r="BB24" i="3"/>
  <c r="AT32" i="3"/>
  <c r="BA41" i="3"/>
  <c r="AS32" i="3"/>
  <c r="M32" i="3"/>
  <c r="AP32" i="3"/>
</calcChain>
</file>

<file path=xl/sharedStrings.xml><?xml version="1.0" encoding="utf-8"?>
<sst xmlns="http://schemas.openxmlformats.org/spreadsheetml/2006/main" count="1592" uniqueCount="82">
  <si>
    <t>Reseau</t>
  </si>
  <si>
    <t>Segment</t>
  </si>
  <si>
    <t>Trage</t>
  </si>
  <si>
    <t>SEGMENT_MODOP</t>
  </si>
  <si>
    <t>PVFPNNBtotactu</t>
  </si>
  <si>
    <t>PMNBtotactu</t>
  </si>
  <si>
    <t>CANBtotactu</t>
  </si>
  <si>
    <t>FrGENBtotactu</t>
  </si>
  <si>
    <t>rachatsNBtotactu</t>
  </si>
  <si>
    <t>DCNBtotactu</t>
  </si>
  <si>
    <t>AG</t>
  </si>
  <si>
    <t>EURO</t>
  </si>
  <si>
    <t>+70ans</t>
  </si>
  <si>
    <t>0-30ans</t>
  </si>
  <si>
    <t>30-40ans</t>
  </si>
  <si>
    <t>40-50ans</t>
  </si>
  <si>
    <t>50-60ans</t>
  </si>
  <si>
    <t>60-70ans</t>
  </si>
  <si>
    <t>UC</t>
  </si>
  <si>
    <t>Prevoyance</t>
  </si>
  <si>
    <t>BA</t>
  </si>
  <si>
    <t>BS</t>
  </si>
  <si>
    <t>CO</t>
  </si>
  <si>
    <t>GP</t>
  </si>
  <si>
    <t>PAT C</t>
  </si>
  <si>
    <t>NC</t>
  </si>
  <si>
    <t>TOTAL</t>
  </si>
  <si>
    <t>Marque</t>
  </si>
  <si>
    <t>MMA</t>
  </si>
  <si>
    <t>MAAF</t>
  </si>
  <si>
    <t>Total</t>
  </si>
  <si>
    <t>PC</t>
  </si>
  <si>
    <t>PP</t>
  </si>
  <si>
    <t>GMF</t>
  </si>
  <si>
    <t>DAV</t>
  </si>
  <si>
    <t>CA</t>
  </si>
  <si>
    <t>Valeur</t>
  </si>
  <si>
    <t>Valeur % CA</t>
  </si>
  <si>
    <t>Score</t>
  </si>
  <si>
    <t>CAP</t>
  </si>
  <si>
    <t>Courtage</t>
  </si>
  <si>
    <t>Agents</t>
  </si>
  <si>
    <t>PREV</t>
  </si>
  <si>
    <t>Société</t>
  </si>
  <si>
    <t>Niveau</t>
  </si>
  <si>
    <t>MMA - CAP</t>
  </si>
  <si>
    <t>MMA - Courtage</t>
  </si>
  <si>
    <t>MMA - Agents</t>
  </si>
  <si>
    <t>Ex PC</t>
  </si>
  <si>
    <t>verif 1</t>
  </si>
  <si>
    <t>Verif 2</t>
  </si>
  <si>
    <t>Verif 3</t>
  </si>
  <si>
    <t>Coeef correctif</t>
  </si>
  <si>
    <t>cible</t>
  </si>
  <si>
    <t>constaté</t>
  </si>
  <si>
    <t>Correctif</t>
  </si>
  <si>
    <t>PVFP</t>
  </si>
  <si>
    <t>coeff correctif PVFP</t>
  </si>
  <si>
    <t>Cible PVFP</t>
  </si>
  <si>
    <t>Cible collecte</t>
  </si>
  <si>
    <t>Coeff correctif collecte</t>
  </si>
  <si>
    <t>collecte</t>
  </si>
  <si>
    <t>durée</t>
  </si>
  <si>
    <t>%UC</t>
  </si>
  <si>
    <t>PM actu</t>
  </si>
  <si>
    <t>PM</t>
  </si>
  <si>
    <t>Cible PM</t>
  </si>
  <si>
    <t>correctif PM</t>
  </si>
  <si>
    <t>PM corrigé</t>
  </si>
  <si>
    <t>CA UC</t>
  </si>
  <si>
    <t>% CA</t>
  </si>
  <si>
    <t>% Valeur</t>
  </si>
  <si>
    <t>score</t>
  </si>
  <si>
    <t>Valeur Euro</t>
  </si>
  <si>
    <t>Valeur UC</t>
  </si>
  <si>
    <t>taux UC</t>
  </si>
  <si>
    <t>%Valeur</t>
  </si>
  <si>
    <t>%Valeur Euro</t>
  </si>
  <si>
    <t>%Valeur UC</t>
  </si>
  <si>
    <t>CA EURO</t>
  </si>
  <si>
    <t>Valeur DAV</t>
  </si>
  <si>
    <t>CA 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</si>
</sst>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-* #,##0.00\ _€_-;\-* #,##0.00\ _€_-;_-* &quot;-&quot;??\ _€_-;_-@_-"/>
    <numFmt numFmtId="164" formatCode="0.0,,"/>
    <numFmt numFmtId="165" formatCode="0.0%"/>
    <numFmt numFmtId="166" formatCode="0,,"/>
    <numFmt numFmtId="167" formatCode="0.0"/>
    <numFmt numFmtId="168" formatCode="_-* #,##0.0\ _€_-;\-* #,##0.0\ _€_-;_-* &quot;-&quot;??\ _€_-;_-@_-"/>
    <numFmt numFmtId="169" formatCode="_-* #,##0\ _€_-;\-* #,##0\ _€_-;_-* &quot;-&quot;??\ _€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2" tint="-0.249977111117893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4">
    <xf numFmtId="0" fontId="0" fillId="0" borderId="0" xfId="0"/>
    <xf numFmtId="11" fontId="0" fillId="0" borderId="0" xfId="0" applyNumberFormat="1"/>
    <xf numFmtId="0" fontId="0" fillId="0" borderId="0" xfId="0"/>
    <xf numFmtId="165" fontId="0" fillId="0" borderId="0" xfId="2" applyNumberFormat="1" applyFont="1"/>
    <xf numFmtId="43" fontId="0" fillId="0" borderId="0" xfId="1" applyFont="1"/>
    <xf numFmtId="166" fontId="0" fillId="0" borderId="0" xfId="0" applyNumberFormat="1"/>
    <xf numFmtId="0" fontId="0" fillId="2" borderId="0" xfId="0" applyFill="1"/>
    <xf numFmtId="167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horizontal="center"/>
    </xf>
    <xf numFmtId="0" fontId="0" fillId="6" borderId="0" xfId="0" applyFill="1" applyAlignment="1"/>
    <xf numFmtId="165" fontId="0" fillId="7" borderId="0" xfId="2" applyNumberFormat="1" applyFont="1" applyFill="1"/>
    <xf numFmtId="166" fontId="0" fillId="6" borderId="0" xfId="0" applyNumberFormat="1" applyFill="1"/>
    <xf numFmtId="165" fontId="0" fillId="6" borderId="0" xfId="2" applyNumberFormat="1" applyFont="1" applyFill="1"/>
    <xf numFmtId="167" fontId="0" fillId="6" borderId="0" xfId="0" applyNumberFormat="1" applyFill="1"/>
    <xf numFmtId="0" fontId="0" fillId="0" borderId="0" xfId="0" applyFill="1"/>
    <xf numFmtId="0" fontId="0" fillId="0" borderId="0" xfId="0" applyFill="1" applyAlignment="1">
      <alignment horizontal="center"/>
    </xf>
    <xf numFmtId="166" fontId="0" fillId="0" borderId="0" xfId="0" applyNumberFormat="1" applyFill="1"/>
    <xf numFmtId="165" fontId="0" fillId="0" borderId="0" xfId="2" applyNumberFormat="1" applyFont="1" applyFill="1"/>
    <xf numFmtId="167" fontId="0" fillId="0" borderId="0" xfId="0" applyNumberFormat="1" applyFill="1"/>
    <xf numFmtId="0" fontId="5" fillId="9" borderId="3" xfId="0" applyFont="1" applyFill="1" applyBorder="1" applyAlignment="1">
      <alignment horizontal="center"/>
    </xf>
    <xf numFmtId="0" fontId="5" fillId="9" borderId="4" xfId="0" applyFont="1" applyFill="1" applyBorder="1" applyAlignment="1">
      <alignment horizontal="center"/>
    </xf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0" fillId="0" borderId="0" xfId="0" applyFill="1" applyAlignment="1"/>
    <xf numFmtId="0" fontId="0" fillId="0" borderId="0" xfId="0"/>
    <xf numFmtId="0" fontId="6" fillId="9" borderId="5" xfId="0" applyFont="1" applyFill="1" applyBorder="1" applyAlignment="1">
      <alignment horizontal="center"/>
    </xf>
    <xf numFmtId="0" fontId="6" fillId="9" borderId="7" xfId="0" applyFont="1" applyFill="1" applyBorder="1" applyAlignment="1">
      <alignment horizontal="center"/>
    </xf>
    <xf numFmtId="0" fontId="6" fillId="9" borderId="6" xfId="0" applyFont="1" applyFill="1" applyBorder="1" applyAlignment="1">
      <alignment horizontal="center"/>
    </xf>
    <xf numFmtId="0" fontId="5" fillId="9" borderId="12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9" borderId="11" xfId="0" applyFont="1" applyFill="1" applyBorder="1" applyAlignment="1">
      <alignment horizontal="center"/>
    </xf>
    <xf numFmtId="0" fontId="3" fillId="9" borderId="2" xfId="0" applyFont="1" applyFill="1" applyBorder="1" applyAlignment="1">
      <alignment horizontal="center"/>
    </xf>
    <xf numFmtId="0" fontId="5" fillId="6" borderId="0" xfId="0" applyFont="1" applyFill="1"/>
    <xf numFmtId="164" fontId="0" fillId="9" borderId="0" xfId="0" applyNumberFormat="1" applyFill="1"/>
    <xf numFmtId="0" fontId="7" fillId="6" borderId="0" xfId="0" applyFont="1" applyFill="1" applyBorder="1" applyAlignment="1">
      <alignment horizontal="center"/>
    </xf>
    <xf numFmtId="0" fontId="11" fillId="6" borderId="0" xfId="0" applyFont="1" applyFill="1"/>
    <xf numFmtId="0" fontId="11" fillId="9" borderId="13" xfId="0" applyFont="1" applyFill="1" applyBorder="1"/>
    <xf numFmtId="0" fontId="11" fillId="9" borderId="14" xfId="0" applyFont="1" applyFill="1" applyBorder="1"/>
    <xf numFmtId="165" fontId="0" fillId="8" borderId="0" xfId="2" applyNumberFormat="1" applyFont="1" applyFill="1"/>
    <xf numFmtId="168" fontId="0" fillId="8" borderId="0" xfId="1" applyNumberFormat="1" applyFont="1" applyFill="1"/>
    <xf numFmtId="168" fontId="0" fillId="7" borderId="0" xfId="1" applyNumberFormat="1" applyFont="1" applyFill="1"/>
    <xf numFmtId="164" fontId="0" fillId="6" borderId="0" xfId="0" applyNumberFormat="1" applyFill="1"/>
    <xf numFmtId="168" fontId="0" fillId="6" borderId="0" xfId="1" applyNumberFormat="1" applyFont="1" applyFill="1"/>
    <xf numFmtId="164" fontId="0" fillId="8" borderId="0" xfId="0" applyNumberFormat="1" applyFill="1"/>
    <xf numFmtId="0" fontId="11" fillId="8" borderId="15" xfId="0" applyFont="1" applyFill="1" applyBorder="1"/>
    <xf numFmtId="43" fontId="0" fillId="6" borderId="0" xfId="1" applyFont="1" applyFill="1"/>
    <xf numFmtId="43" fontId="11" fillId="6" borderId="0" xfId="1" applyFont="1" applyFill="1" applyBorder="1" applyAlignment="1">
      <alignment horizontal="center" vertical="center"/>
    </xf>
    <xf numFmtId="43" fontId="11" fillId="6" borderId="0" xfId="1" applyFont="1" applyFill="1" applyBorder="1"/>
    <xf numFmtId="43" fontId="10" fillId="6" borderId="0" xfId="1" applyFont="1" applyFill="1"/>
    <xf numFmtId="0" fontId="7" fillId="9" borderId="5" xfId="0" applyFont="1" applyFill="1" applyBorder="1" applyAlignment="1">
      <alignment horizontal="center"/>
    </xf>
    <xf numFmtId="0" fontId="7" fillId="9" borderId="6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9" borderId="1" xfId="0" applyFont="1" applyFill="1" applyBorder="1" applyAlignment="1">
      <alignment horizontal="center"/>
    </xf>
    <xf numFmtId="0" fontId="4" fillId="9" borderId="2" xfId="0" applyFont="1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8" fillId="9" borderId="3" xfId="0" applyFont="1" applyFill="1" applyBorder="1" applyAlignment="1">
      <alignment horizontal="center"/>
    </xf>
    <xf numFmtId="0" fontId="8" fillId="9" borderId="4" xfId="0" applyFont="1" applyFill="1" applyBorder="1" applyAlignment="1">
      <alignment horizontal="center"/>
    </xf>
    <xf numFmtId="0" fontId="9" fillId="9" borderId="8" xfId="0" applyFont="1" applyFill="1" applyBorder="1" applyAlignment="1">
      <alignment horizontal="center"/>
    </xf>
    <xf numFmtId="0" fontId="9" fillId="9" borderId="9" xfId="0" applyFont="1" applyFill="1" applyBorder="1" applyAlignment="1">
      <alignment horizontal="center"/>
    </xf>
    <xf numFmtId="0" fontId="9" fillId="9" borderId="10" xfId="0" applyFont="1" applyFill="1" applyBorder="1" applyAlignment="1">
      <alignment horizontal="center"/>
    </xf>
    <xf numFmtId="166" fontId="0" fillId="0" borderId="0" xfId="0" applyNumberFormat="1" applyAlignment="1">
      <alignment horizontal="center"/>
    </xf>
    <xf numFmtId="165" fontId="0" fillId="0" borderId="0" xfId="2" applyNumberFormat="1" applyFont="1" applyAlignment="1">
      <alignment horizontal="center"/>
    </xf>
    <xf numFmtId="0" fontId="11" fillId="8" borderId="13" xfId="0" applyFont="1" applyFill="1" applyBorder="1" applyAlignment="1">
      <alignment horizontal="center" vertical="center"/>
    </xf>
    <xf numFmtId="0" fontId="11" fillId="8" borderId="14" xfId="0" applyFont="1" applyFill="1" applyBorder="1" applyAlignment="1">
      <alignment horizontal="center" vertical="center"/>
    </xf>
    <xf numFmtId="0" fontId="11" fillId="8" borderId="15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9" borderId="13" xfId="0" applyFont="1" applyFill="1" applyBorder="1" applyAlignment="1">
      <alignment horizontal="center" vertical="center"/>
    </xf>
    <xf numFmtId="0" fontId="11" fillId="9" borderId="14" xfId="0" applyFont="1" applyFill="1" applyBorder="1" applyAlignment="1">
      <alignment horizontal="center" vertical="center"/>
    </xf>
    <xf numFmtId="0" fontId="11" fillId="9" borderId="15" xfId="0" applyFont="1" applyFill="1" applyBorder="1" applyAlignment="1">
      <alignment horizontal="center" vertical="center"/>
    </xf>
    <xf numFmtId="0" fontId="8" fillId="9" borderId="12" xfId="0" applyFont="1" applyFill="1" applyBorder="1" applyAlignment="1">
      <alignment horizontal="center"/>
    </xf>
    <xf numFmtId="0" fontId="4" fillId="9" borderId="11" xfId="0" applyFont="1" applyFill="1" applyBorder="1" applyAlignment="1">
      <alignment horizontal="center"/>
    </xf>
    <xf numFmtId="0" fontId="7" fillId="9" borderId="7" xfId="0" applyFont="1" applyFill="1" applyBorder="1" applyAlignment="1">
      <alignment horizontal="center"/>
    </xf>
    <xf numFmtId="169" fontId="0" fillId="0" borderId="0" xfId="1" applyNumberFormat="1" applyFont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9" fontId="0" fillId="0" borderId="0" xfId="2" applyFont="1"/>
    <xf numFmtId="169" fontId="0" fillId="9" borderId="0" xfId="1" applyNumberFormat="1" applyFont="1" applyFill="1"/>
    <xf numFmtId="169" fontId="0" fillId="8" borderId="0" xfId="1" applyNumberFormat="1" applyFont="1" applyFill="1"/>
    <xf numFmtId="169" fontId="10" fillId="6" borderId="0" xfId="1" applyNumberFormat="1" applyFont="1" applyFill="1"/>
    <xf numFmtId="169" fontId="0" fillId="6" borderId="0" xfId="1" applyNumberFormat="1" applyFont="1" applyFill="1"/>
    <xf numFmtId="9" fontId="0" fillId="9" borderId="0" xfId="2" applyFont="1" applyFill="1"/>
    <xf numFmtId="9" fontId="0" fillId="8" borderId="0" xfId="2" applyFont="1" applyFill="1"/>
    <xf numFmtId="165" fontId="0" fillId="9" borderId="0" xfId="2" applyNumberFormat="1" applyFont="1" applyFill="1"/>
    <xf numFmtId="9" fontId="0" fillId="9" borderId="0" xfId="2" applyNumberFormat="1" applyFont="1" applyFill="1"/>
    <xf numFmtId="9" fontId="0" fillId="8" borderId="0" xfId="2" applyNumberFormat="1" applyFont="1" applyFill="1"/>
    <xf numFmtId="9" fontId="0" fillId="6" borderId="0" xfId="2" applyNumberFormat="1" applyFont="1" applyFill="1"/>
    <xf numFmtId="0" fontId="0" fillId="10" borderId="0" xfId="0" applyFill="1"/>
    <xf numFmtId="164" fontId="0" fillId="0" borderId="0" xfId="0" applyNumberFormat="1"/>
  </cellXfs>
  <cellStyles count="3">
    <cellStyle name="Milliers" xfId="1" builtinId="3"/>
    <cellStyle name="Normal" xfId="0" builtinId="0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Y215"/>
  <sheetViews>
    <sheetView topLeftCell="A2" workbookViewId="0">
      <selection activeCell="N13" sqref="N13"/>
    </sheetView>
  </sheetViews>
  <sheetFormatPr baseColWidth="10" defaultRowHeight="15" x14ac:dyDescent="0.25"/>
  <cols>
    <col min="5" max="5" width="11.5703125" customWidth="1"/>
    <col min="13" max="13" width="12.85546875" customWidth="1"/>
    <col min="14" max="16" width="11.5703125" style="28"/>
    <col min="17" max="18" width="11.42578125" style="28"/>
    <col min="19" max="19" width="11.5703125" style="28"/>
  </cols>
  <sheetData>
    <row r="2" spans="1:25" x14ac:dyDescent="0.25">
      <c r="A2" t="s">
        <v>27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5</v>
      </c>
      <c r="L2" t="s">
        <v>9</v>
      </c>
      <c r="M2" t="s">
        <v>57</v>
      </c>
      <c r="N2" s="28" t="s">
        <v>56</v>
      </c>
      <c r="O2" s="28" t="s">
        <v>60</v>
      </c>
      <c r="P2" s="28" t="s">
        <v>61</v>
      </c>
      <c r="Q2" s="28" t="s">
        <v>67</v>
      </c>
      <c r="R2" s="28" t="s">
        <v>68</v>
      </c>
      <c r="U2" t="s">
        <v>52</v>
      </c>
    </row>
    <row r="3" spans="1:25" x14ac:dyDescent="0.25">
      <c r="A3" t="s">
        <v>28</v>
      </c>
      <c r="B3" t="s">
        <v>10</v>
      </c>
      <c r="C3" t="s">
        <v>11</v>
      </c>
      <c r="D3" t="s">
        <v>12</v>
      </c>
      <c r="E3" t="s">
        <v>23</v>
      </c>
      <c r="F3">
        <v>289499.17512516043</v>
      </c>
      <c r="G3" s="1">
        <v>279281900.24801672</v>
      </c>
      <c r="H3">
        <v>30225680.818959709</v>
      </c>
      <c r="I3">
        <v>1294844</v>
      </c>
      <c r="J3">
        <v>12496527</v>
      </c>
      <c r="K3" s="1">
        <v>279000000</v>
      </c>
      <c r="L3">
        <v>20293796</v>
      </c>
      <c r="M3">
        <f t="array" ref="M3">SUM((A3=$T$5:$T$22)*(B3=$U$5:$U$22)*($V$5:$V$22=C3)*($Y$5:$Y$22))</f>
        <v>1</v>
      </c>
      <c r="N3" s="28">
        <f>F3*M3</f>
        <v>289499.17512516043</v>
      </c>
      <c r="O3" s="28">
        <f t="array" ref="O3">SUM((A3=$T$26:$T$43)*(B3=$U$26:$U$43)*($V$26:$V$43=C3)*($Y$26:$Y$43))</f>
        <v>1</v>
      </c>
      <c r="P3" s="28">
        <f>H3*O3</f>
        <v>30225680.818959709</v>
      </c>
      <c r="Q3" s="28">
        <f t="array" ref="Q3">SUM((A3=$T$47:$T$64)*(B3=$U$47:$U$64)*($V$47:$V$64=C3)*($Y$47:$Y$64))</f>
        <v>1</v>
      </c>
      <c r="R3" s="1">
        <f>Q3*G3</f>
        <v>279281900.24801672</v>
      </c>
    </row>
    <row r="4" spans="1:25" x14ac:dyDescent="0.25">
      <c r="A4" t="s">
        <v>28</v>
      </c>
      <c r="B4" t="s">
        <v>10</v>
      </c>
      <c r="C4" t="s">
        <v>11</v>
      </c>
      <c r="D4" t="s">
        <v>12</v>
      </c>
      <c r="E4" t="s">
        <v>31</v>
      </c>
      <c r="F4">
        <v>1183288.6858298136</v>
      </c>
      <c r="G4" s="1">
        <v>856864898.25197959</v>
      </c>
      <c r="H4">
        <v>88373106.470678821</v>
      </c>
      <c r="I4">
        <v>2489093</v>
      </c>
      <c r="J4">
        <v>29886971</v>
      </c>
      <c r="K4" s="1">
        <v>856000000</v>
      </c>
      <c r="L4">
        <v>67547059</v>
      </c>
      <c r="M4" s="28">
        <f t="array" ref="M4">SUM((A4=$T$5:$T$22)*(B4=$U$5:$U$22)*($V$5:$V$22=C4)*($Y$5:$Y$22))</f>
        <v>1</v>
      </c>
      <c r="N4" s="28">
        <f t="shared" ref="N4:N67" si="0">F4*M4</f>
        <v>1183288.6858298136</v>
      </c>
      <c r="O4" s="28">
        <f t="array" ref="O4">SUM((A4=$T$26:$T$43)*(B4=$U$26:$U$43)*($V$26:$V$43=C4)*($Y$26:$Y$43))</f>
        <v>1</v>
      </c>
      <c r="P4" s="28">
        <f t="shared" ref="P4:P67" si="1">H4*O4</f>
        <v>88373106.470678821</v>
      </c>
      <c r="Q4" s="28">
        <f t="array" ref="Q4">SUM((A4=$T$47:$T$64)*(B4=$U$47:$U$64)*($V$47:$V$64=C4)*($Y$47:$Y$64))</f>
        <v>1</v>
      </c>
      <c r="R4" s="1">
        <f t="shared" ref="R4:R67" si="2">Q4*G4</f>
        <v>856864898.25197959</v>
      </c>
      <c r="T4" t="s">
        <v>58</v>
      </c>
      <c r="W4" t="s">
        <v>53</v>
      </c>
      <c r="X4" t="s">
        <v>54</v>
      </c>
      <c r="Y4" t="s">
        <v>55</v>
      </c>
    </row>
    <row r="5" spans="1:25" x14ac:dyDescent="0.25">
      <c r="A5" t="s">
        <v>28</v>
      </c>
      <c r="B5" t="s">
        <v>10</v>
      </c>
      <c r="C5" t="s">
        <v>11</v>
      </c>
      <c r="D5" t="s">
        <v>12</v>
      </c>
      <c r="E5" t="s">
        <v>32</v>
      </c>
      <c r="F5">
        <v>12832.548173495201</v>
      </c>
      <c r="G5">
        <v>11762734.013011863</v>
      </c>
      <c r="H5">
        <v>1747664.9895321538</v>
      </c>
      <c r="I5">
        <v>41245.620000000003</v>
      </c>
      <c r="J5">
        <v>1045018</v>
      </c>
      <c r="K5">
        <v>11750861</v>
      </c>
      <c r="L5">
        <v>839639.6</v>
      </c>
      <c r="M5" s="28">
        <f t="array" ref="M5">SUM((A5=$T$5:$T$22)*(B5=$U$5:$U$22)*($V$5:$V$22=C5)*($Y$5:$Y$22))</f>
        <v>1</v>
      </c>
      <c r="N5" s="28">
        <f t="shared" si="0"/>
        <v>12832.548173495201</v>
      </c>
      <c r="O5" s="28">
        <f t="array" ref="O5">SUM((A5=$T$26:$T$43)*(B5=$U$26:$U$43)*($V$26:$V$43=C5)*($Y$26:$Y$43))</f>
        <v>1</v>
      </c>
      <c r="P5" s="28">
        <f t="shared" si="1"/>
        <v>1747664.9895321538</v>
      </c>
      <c r="Q5" s="28">
        <f t="array" ref="Q5">SUM((A5=$T$47:$T$64)*(B5=$U$47:$U$64)*($V$47:$V$64=C5)*($Y$47:$Y$64))</f>
        <v>1</v>
      </c>
      <c r="R5" s="1">
        <f t="shared" si="2"/>
        <v>11762734.013011863</v>
      </c>
      <c r="T5" t="s">
        <v>29</v>
      </c>
      <c r="U5" t="s">
        <v>26</v>
      </c>
      <c r="V5" t="s">
        <v>11</v>
      </c>
      <c r="W5">
        <v>8164697.4260203792</v>
      </c>
      <c r="X5">
        <f t="array" ref="X5">SUM(($T5=$A$3:$A$215)*($U5=$B$3:$B$215)*($C$3:$C$215=$V5)*($F$3:$F$215))</f>
        <v>8164697.4260203782</v>
      </c>
      <c r="Y5">
        <f>W5/X5</f>
        <v>1.0000000000000002</v>
      </c>
    </row>
    <row r="6" spans="1:25" x14ac:dyDescent="0.25">
      <c r="A6" t="s">
        <v>28</v>
      </c>
      <c r="B6" t="s">
        <v>10</v>
      </c>
      <c r="C6" t="s">
        <v>11</v>
      </c>
      <c r="D6" t="s">
        <v>13</v>
      </c>
      <c r="E6" t="s">
        <v>23</v>
      </c>
      <c r="F6">
        <v>150204.93833042582</v>
      </c>
      <c r="G6" s="1">
        <v>121122257.813656</v>
      </c>
      <c r="H6">
        <v>7728354.9537101043</v>
      </c>
      <c r="I6">
        <v>731401.8</v>
      </c>
      <c r="J6">
        <v>7639715</v>
      </c>
      <c r="K6" s="1">
        <v>121000000</v>
      </c>
      <c r="L6">
        <v>91326.1</v>
      </c>
      <c r="M6" s="28">
        <f t="array" ref="M6">SUM((A6=$T$5:$T$22)*(B6=$U$5:$U$22)*($V$5:$V$22=C6)*($Y$5:$Y$22))</f>
        <v>1</v>
      </c>
      <c r="N6" s="28">
        <f t="shared" si="0"/>
        <v>150204.93833042582</v>
      </c>
      <c r="O6" s="28">
        <f t="array" ref="O6">SUM((A6=$T$26:$T$43)*(B6=$U$26:$U$43)*($V$26:$V$43=C6)*($Y$26:$Y$43))</f>
        <v>1</v>
      </c>
      <c r="P6" s="28">
        <f t="shared" si="1"/>
        <v>7728354.9537101043</v>
      </c>
      <c r="Q6" s="28">
        <f t="array" ref="Q6">SUM((A6=$T$47:$T$64)*(B6=$U$47:$U$64)*($V$47:$V$64=C6)*($Y$47:$Y$64))</f>
        <v>1</v>
      </c>
      <c r="R6" s="1">
        <f t="shared" si="2"/>
        <v>121122257.813656</v>
      </c>
      <c r="T6" s="28" t="s">
        <v>28</v>
      </c>
      <c r="U6" s="28" t="s">
        <v>21</v>
      </c>
      <c r="V6" s="28" t="s">
        <v>11</v>
      </c>
      <c r="W6">
        <v>1139717.098461193</v>
      </c>
      <c r="X6" s="28">
        <f t="array" ref="X6">SUM(($T6=$A$3:$A$215)*($U6=$B$3:$B$215)*($C$3:$C$215=$V6)*($F$3:$F$215))</f>
        <v>1139717.098461193</v>
      </c>
      <c r="Y6" s="28">
        <f t="shared" ref="Y6:Y22" si="3">W6/X6</f>
        <v>1</v>
      </c>
    </row>
    <row r="7" spans="1:25" x14ac:dyDescent="0.25">
      <c r="A7" t="s">
        <v>28</v>
      </c>
      <c r="B7" t="s">
        <v>10</v>
      </c>
      <c r="C7" t="s">
        <v>11</v>
      </c>
      <c r="D7" t="s">
        <v>13</v>
      </c>
      <c r="E7" t="s">
        <v>31</v>
      </c>
      <c r="F7">
        <v>398521.45270655624</v>
      </c>
      <c r="G7" s="1">
        <v>212214203.77268654</v>
      </c>
      <c r="H7">
        <v>11000086.934113678</v>
      </c>
      <c r="I7">
        <v>404579.7</v>
      </c>
      <c r="J7">
        <v>10717923</v>
      </c>
      <c r="K7" s="1">
        <v>212000000</v>
      </c>
      <c r="L7">
        <v>156668.1</v>
      </c>
      <c r="M7" s="28">
        <f t="array" ref="M7">SUM((A7=$T$5:$T$22)*(B7=$U$5:$U$22)*($V$5:$V$22=C7)*($Y$5:$Y$22))</f>
        <v>1</v>
      </c>
      <c r="N7" s="28">
        <f t="shared" si="0"/>
        <v>398521.45270655624</v>
      </c>
      <c r="O7" s="28">
        <f t="array" ref="O7">SUM((A7=$T$26:$T$43)*(B7=$U$26:$U$43)*($V$26:$V$43=C7)*($Y$26:$Y$43))</f>
        <v>1</v>
      </c>
      <c r="P7" s="28">
        <f t="shared" si="1"/>
        <v>11000086.934113678</v>
      </c>
      <c r="Q7" s="28">
        <f t="array" ref="Q7">SUM((A7=$T$47:$T$64)*(B7=$U$47:$U$64)*($V$47:$V$64=C7)*($Y$47:$Y$64))</f>
        <v>1</v>
      </c>
      <c r="R7" s="1">
        <f t="shared" si="2"/>
        <v>212214203.77268654</v>
      </c>
      <c r="T7" s="28" t="s">
        <v>28</v>
      </c>
      <c r="U7" s="28" t="s">
        <v>22</v>
      </c>
      <c r="V7" s="28" t="s">
        <v>11</v>
      </c>
      <c r="W7">
        <v>5946659.2463836651</v>
      </c>
      <c r="X7" s="28">
        <f t="array" ref="X7">SUM(($T7=$A$3:$A$215)*($U7=$B$3:$B$215)*($C$3:$C$215=$V7)*($F$3:$F$215))</f>
        <v>5946659.2463836661</v>
      </c>
      <c r="Y7" s="28">
        <f t="shared" si="3"/>
        <v>0.99999999999999989</v>
      </c>
    </row>
    <row r="8" spans="1:25" x14ac:dyDescent="0.25">
      <c r="A8" t="s">
        <v>28</v>
      </c>
      <c r="B8" t="s">
        <v>10</v>
      </c>
      <c r="C8" t="s">
        <v>11</v>
      </c>
      <c r="D8" t="s">
        <v>13</v>
      </c>
      <c r="E8" t="s">
        <v>32</v>
      </c>
      <c r="F8">
        <v>3206.9795375820472</v>
      </c>
      <c r="G8">
        <v>3135930.3305751905</v>
      </c>
      <c r="H8">
        <v>364831.49781479861</v>
      </c>
      <c r="I8">
        <v>15601.07</v>
      </c>
      <c r="J8">
        <v>386610.6</v>
      </c>
      <c r="K8">
        <v>3132765</v>
      </c>
      <c r="L8">
        <v>1459.01</v>
      </c>
      <c r="M8" s="28">
        <f t="array" ref="M8">SUM((A8=$T$5:$T$22)*(B8=$U$5:$U$22)*($V$5:$V$22=C8)*($Y$5:$Y$22))</f>
        <v>1</v>
      </c>
      <c r="N8" s="28">
        <f t="shared" si="0"/>
        <v>3206.9795375820472</v>
      </c>
      <c r="O8" s="28">
        <f t="array" ref="O8">SUM((A8=$T$26:$T$43)*(B8=$U$26:$U$43)*($V$26:$V$43=C8)*($Y$26:$Y$43))</f>
        <v>1</v>
      </c>
      <c r="P8" s="28">
        <f t="shared" si="1"/>
        <v>364831.49781479861</v>
      </c>
      <c r="Q8" s="28">
        <f t="array" ref="Q8">SUM((A8=$T$47:$T$64)*(B8=$U$47:$U$64)*($V$47:$V$64=C8)*($Y$47:$Y$64))</f>
        <v>1</v>
      </c>
      <c r="R8" s="1">
        <f t="shared" si="2"/>
        <v>3135930.3305751905</v>
      </c>
      <c r="T8" s="28" t="s">
        <v>28</v>
      </c>
      <c r="U8" s="28" t="s">
        <v>10</v>
      </c>
      <c r="V8" s="28" t="s">
        <v>11</v>
      </c>
      <c r="W8">
        <v>9408600.9237165973</v>
      </c>
      <c r="X8" s="28">
        <f t="array" ref="X8">SUM(($T8=$A$3:$A$215)*($U8=$B$3:$B$215)*($C$3:$C$215=$V8)*($F$3:$F$215))</f>
        <v>9408600.9237165973</v>
      </c>
      <c r="Y8" s="28">
        <f t="shared" si="3"/>
        <v>1</v>
      </c>
    </row>
    <row r="9" spans="1:25" x14ac:dyDescent="0.25">
      <c r="A9" t="s">
        <v>28</v>
      </c>
      <c r="B9" t="s">
        <v>10</v>
      </c>
      <c r="C9" t="s">
        <v>11</v>
      </c>
      <c r="D9" t="s">
        <v>14</v>
      </c>
      <c r="E9" t="s">
        <v>23</v>
      </c>
      <c r="F9">
        <v>189148.26077384429</v>
      </c>
      <c r="G9" s="1">
        <v>131132361.76519781</v>
      </c>
      <c r="H9">
        <v>7425174.9555260362</v>
      </c>
      <c r="I9">
        <v>713674.3</v>
      </c>
      <c r="J9">
        <v>6371665</v>
      </c>
      <c r="K9" s="1">
        <v>131000000</v>
      </c>
      <c r="L9">
        <v>383196.9</v>
      </c>
      <c r="M9" s="28">
        <f t="array" ref="M9">SUM((A9=$T$5:$T$22)*(B9=$U$5:$U$22)*($V$5:$V$22=C9)*($Y$5:$Y$22))</f>
        <v>1</v>
      </c>
      <c r="N9" s="28">
        <f t="shared" si="0"/>
        <v>189148.26077384429</v>
      </c>
      <c r="O9" s="28">
        <f t="array" ref="O9">SUM((A9=$T$26:$T$43)*(B9=$U$26:$U$43)*($V$26:$V$43=C9)*($Y$26:$Y$43))</f>
        <v>1</v>
      </c>
      <c r="P9" s="28">
        <f t="shared" si="1"/>
        <v>7425174.9555260362</v>
      </c>
      <c r="Q9" s="28">
        <f t="array" ref="Q9">SUM((A9=$T$47:$T$64)*(B9=$U$47:$U$64)*($V$47:$V$64=C9)*($Y$47:$Y$64))</f>
        <v>1</v>
      </c>
      <c r="R9" s="1">
        <f t="shared" si="2"/>
        <v>131132361.76519781</v>
      </c>
      <c r="T9" s="28" t="s">
        <v>28</v>
      </c>
      <c r="U9" s="28" t="s">
        <v>20</v>
      </c>
      <c r="V9" s="28" t="s">
        <v>11</v>
      </c>
      <c r="W9" s="28">
        <v>24402.720283672577</v>
      </c>
      <c r="X9" s="28">
        <f t="array" ref="X9">SUM(($T9=$A$3:$A$215)*($U9=$B$3:$B$215)*($C$3:$C$215=$V9)*($F$3:$F$215))</f>
        <v>24402.720283672577</v>
      </c>
      <c r="Y9" s="28">
        <f t="shared" si="3"/>
        <v>1</v>
      </c>
    </row>
    <row r="10" spans="1:25" x14ac:dyDescent="0.25">
      <c r="A10" t="s">
        <v>28</v>
      </c>
      <c r="B10" t="s">
        <v>10</v>
      </c>
      <c r="C10" t="s">
        <v>11</v>
      </c>
      <c r="D10" t="s">
        <v>14</v>
      </c>
      <c r="E10" t="s">
        <v>31</v>
      </c>
      <c r="F10">
        <v>300730.69876767276</v>
      </c>
      <c r="G10" s="1">
        <v>156157621.64405236</v>
      </c>
      <c r="H10">
        <v>8284180.9503809186</v>
      </c>
      <c r="I10">
        <v>289283.3</v>
      </c>
      <c r="J10">
        <v>7438916</v>
      </c>
      <c r="K10" s="1">
        <v>156000000</v>
      </c>
      <c r="L10">
        <v>433019.8</v>
      </c>
      <c r="M10" s="28">
        <f t="array" ref="M10">SUM((A10=$T$5:$T$22)*(B10=$U$5:$U$22)*($V$5:$V$22=C10)*($Y$5:$Y$22))</f>
        <v>1</v>
      </c>
      <c r="N10" s="28">
        <f t="shared" si="0"/>
        <v>300730.69876767276</v>
      </c>
      <c r="O10" s="28">
        <f t="array" ref="O10">SUM((A10=$T$26:$T$43)*(B10=$U$26:$U$43)*($V$26:$V$43=C10)*($Y$26:$Y$43))</f>
        <v>1</v>
      </c>
      <c r="P10" s="28">
        <f t="shared" si="1"/>
        <v>8284180.9503809186</v>
      </c>
      <c r="Q10" s="28">
        <f t="array" ref="Q10">SUM((A10=$T$47:$T$64)*(B10=$U$47:$U$64)*($V$47:$V$64=C10)*($Y$47:$Y$64))</f>
        <v>1</v>
      </c>
      <c r="R10" s="1">
        <f t="shared" si="2"/>
        <v>156157621.64405236</v>
      </c>
      <c r="T10" s="28" t="s">
        <v>33</v>
      </c>
      <c r="U10" s="28" t="s">
        <v>26</v>
      </c>
      <c r="V10" s="28" t="s">
        <v>11</v>
      </c>
      <c r="W10" s="28">
        <v>19366151.106730964</v>
      </c>
      <c r="X10" s="28">
        <f t="array" ref="X10">SUM(($T10=$A$3:$A$215)*($U10=$B$3:$B$215)*($C$3:$C$215=$V10)*($F$3:$F$215))</f>
        <v>19366151.106730964</v>
      </c>
      <c r="Y10" s="28">
        <f t="shared" si="3"/>
        <v>1</v>
      </c>
    </row>
    <row r="11" spans="1:25" x14ac:dyDescent="0.25">
      <c r="A11" t="s">
        <v>28</v>
      </c>
      <c r="B11" t="s">
        <v>10</v>
      </c>
      <c r="C11" t="s">
        <v>11</v>
      </c>
      <c r="D11" t="s">
        <v>14</v>
      </c>
      <c r="E11" t="s">
        <v>32</v>
      </c>
      <c r="F11">
        <v>18970.903744691008</v>
      </c>
      <c r="G11">
        <v>10690678.907082405</v>
      </c>
      <c r="H11">
        <v>602329.09639227856</v>
      </c>
      <c r="I11">
        <v>38703.42</v>
      </c>
      <c r="J11">
        <v>477193.9</v>
      </c>
      <c r="K11">
        <v>10679888</v>
      </c>
      <c r="L11">
        <v>31800.69</v>
      </c>
      <c r="M11" s="28">
        <f t="array" ref="M11">SUM((A11=$T$5:$T$22)*(B11=$U$5:$U$22)*($V$5:$V$22=C11)*($Y$5:$Y$22))</f>
        <v>1</v>
      </c>
      <c r="N11" s="28">
        <f t="shared" si="0"/>
        <v>18970.903744691008</v>
      </c>
      <c r="O11" s="28">
        <f t="array" ref="O11">SUM((A11=$T$26:$T$43)*(B11=$U$26:$U$43)*($V$26:$V$43=C11)*($Y$26:$Y$43))</f>
        <v>1</v>
      </c>
      <c r="P11" s="28">
        <f t="shared" si="1"/>
        <v>602329.09639227856</v>
      </c>
      <c r="Q11" s="28">
        <f t="array" ref="Q11">SUM((A11=$T$47:$T$64)*(B11=$U$47:$U$64)*($V$47:$V$64=C11)*($Y$47:$Y$64))</f>
        <v>1</v>
      </c>
      <c r="R11" s="1">
        <f t="shared" si="2"/>
        <v>10690678.907082405</v>
      </c>
      <c r="T11" s="28" t="s">
        <v>29</v>
      </c>
      <c r="U11" s="28" t="s">
        <v>26</v>
      </c>
      <c r="V11" t="s">
        <v>18</v>
      </c>
      <c r="W11">
        <v>17340910.730204813</v>
      </c>
      <c r="X11" s="28">
        <f t="array" ref="X11">SUM(($T11=$A$3:$A$215)*($U11=$B$3:$B$215)*($C$3:$C$215=$V11)*($F$3:$F$215))</f>
        <v>17340910.730204813</v>
      </c>
      <c r="Y11" s="28">
        <f t="shared" si="3"/>
        <v>1</v>
      </c>
    </row>
    <row r="12" spans="1:25" x14ac:dyDescent="0.25">
      <c r="A12" t="s">
        <v>28</v>
      </c>
      <c r="B12" t="s">
        <v>10</v>
      </c>
      <c r="C12" t="s">
        <v>11</v>
      </c>
      <c r="D12" t="s">
        <v>15</v>
      </c>
      <c r="E12" t="s">
        <v>23</v>
      </c>
      <c r="F12">
        <v>427025.22379401518</v>
      </c>
      <c r="G12" s="1">
        <v>265267754.71585816</v>
      </c>
      <c r="H12">
        <v>13626689.91838133</v>
      </c>
      <c r="I12">
        <v>1199442</v>
      </c>
      <c r="J12">
        <v>10492966</v>
      </c>
      <c r="K12" s="1">
        <v>265000000</v>
      </c>
      <c r="L12">
        <v>2065039</v>
      </c>
      <c r="M12" s="28">
        <f t="array" ref="M12">SUM((A12=$T$5:$T$22)*(B12=$U$5:$U$22)*($V$5:$V$22=C12)*($Y$5:$Y$22))</f>
        <v>1</v>
      </c>
      <c r="N12" s="28">
        <f t="shared" si="0"/>
        <v>427025.22379401518</v>
      </c>
      <c r="O12" s="28">
        <f t="array" ref="O12">SUM((A12=$T$26:$T$43)*(B12=$U$26:$U$43)*($V$26:$V$43=C12)*($Y$26:$Y$43))</f>
        <v>1</v>
      </c>
      <c r="P12" s="28">
        <f t="shared" si="1"/>
        <v>13626689.91838133</v>
      </c>
      <c r="Q12" s="28">
        <f t="array" ref="Q12">SUM((A12=$T$47:$T$64)*(B12=$U$47:$U$64)*($V$47:$V$64=C12)*($Y$47:$Y$64))</f>
        <v>1</v>
      </c>
      <c r="R12" s="1">
        <f t="shared" si="2"/>
        <v>265267754.71585816</v>
      </c>
      <c r="T12" s="28" t="s">
        <v>28</v>
      </c>
      <c r="U12" s="28" t="s">
        <v>21</v>
      </c>
      <c r="V12" s="28" t="s">
        <v>18</v>
      </c>
      <c r="W12">
        <v>7012492.3925369829</v>
      </c>
      <c r="X12" s="28">
        <f t="array" ref="X12">SUM(($T12=$A$3:$A$215)*($U12=$B$3:$B$215)*($C$3:$C$215=$V12)*($F$3:$F$215))</f>
        <v>7012492.3925369829</v>
      </c>
      <c r="Y12" s="28">
        <f t="shared" si="3"/>
        <v>1</v>
      </c>
    </row>
    <row r="13" spans="1:25" x14ac:dyDescent="0.25">
      <c r="A13" t="s">
        <v>28</v>
      </c>
      <c r="B13" t="s">
        <v>10</v>
      </c>
      <c r="C13" t="s">
        <v>11</v>
      </c>
      <c r="D13" t="s">
        <v>15</v>
      </c>
      <c r="E13" t="s">
        <v>31</v>
      </c>
      <c r="F13">
        <v>759196.69272673433</v>
      </c>
      <c r="G13" s="1">
        <v>390394054.11013091</v>
      </c>
      <c r="H13">
        <v>18982033.886304863</v>
      </c>
      <c r="I13">
        <v>726735.7</v>
      </c>
      <c r="J13">
        <v>15355602</v>
      </c>
      <c r="K13" s="1">
        <v>390000000</v>
      </c>
      <c r="L13">
        <v>2995490</v>
      </c>
      <c r="M13" s="28">
        <f t="array" ref="M13">SUM((A13=$T$5:$T$22)*(B13=$U$5:$U$22)*($V$5:$V$22=C13)*($Y$5:$Y$22))</f>
        <v>1</v>
      </c>
      <c r="N13" s="28">
        <f t="shared" si="0"/>
        <v>759196.69272673433</v>
      </c>
      <c r="O13" s="28">
        <f t="array" ref="O13">SUM((A13=$T$26:$T$43)*(B13=$U$26:$U$43)*($V$26:$V$43=C13)*($Y$26:$Y$43))</f>
        <v>1</v>
      </c>
      <c r="P13" s="28">
        <f t="shared" si="1"/>
        <v>18982033.886304863</v>
      </c>
      <c r="Q13" s="28">
        <f t="array" ref="Q13">SUM((A13=$T$47:$T$64)*(B13=$U$47:$U$64)*($V$47:$V$64=C13)*($Y$47:$Y$64))</f>
        <v>1</v>
      </c>
      <c r="R13" s="1">
        <f t="shared" si="2"/>
        <v>390394054.11013091</v>
      </c>
      <c r="T13" s="28" t="s">
        <v>28</v>
      </c>
      <c r="U13" s="28" t="s">
        <v>22</v>
      </c>
      <c r="V13" s="28" t="s">
        <v>18</v>
      </c>
      <c r="W13">
        <v>8929899.7867180463</v>
      </c>
      <c r="X13" s="28">
        <f t="array" ref="X13">SUM(($T13=$A$3:$A$215)*($U13=$B$3:$B$215)*($C$3:$C$215=$V13)*($F$3:$F$215))</f>
        <v>8929899.7867180463</v>
      </c>
      <c r="Y13" s="28">
        <f t="shared" si="3"/>
        <v>1</v>
      </c>
    </row>
    <row r="14" spans="1:25" x14ac:dyDescent="0.25">
      <c r="A14" t="s">
        <v>28</v>
      </c>
      <c r="B14" t="s">
        <v>10</v>
      </c>
      <c r="C14" t="s">
        <v>11</v>
      </c>
      <c r="D14" t="s">
        <v>15</v>
      </c>
      <c r="E14" t="s">
        <v>32</v>
      </c>
      <c r="F14">
        <v>39826.530426253878</v>
      </c>
      <c r="G14">
        <v>22635538.753409408</v>
      </c>
      <c r="H14">
        <v>1198827.992819478</v>
      </c>
      <c r="I14">
        <v>70661.5</v>
      </c>
      <c r="J14">
        <v>955945.8</v>
      </c>
      <c r="K14">
        <v>22612691</v>
      </c>
      <c r="L14">
        <v>194851.3</v>
      </c>
      <c r="M14" s="28">
        <f t="array" ref="M14">SUM((A14=$T$5:$T$22)*(B14=$U$5:$U$22)*($V$5:$V$22=C14)*($Y$5:$Y$22))</f>
        <v>1</v>
      </c>
      <c r="N14" s="28">
        <f t="shared" si="0"/>
        <v>39826.530426253878</v>
      </c>
      <c r="O14" s="28">
        <f t="array" ref="O14">SUM((A14=$T$26:$T$43)*(B14=$U$26:$U$43)*($V$26:$V$43=C14)*($Y$26:$Y$43))</f>
        <v>1</v>
      </c>
      <c r="P14" s="28">
        <f t="shared" si="1"/>
        <v>1198827.992819478</v>
      </c>
      <c r="Q14" s="28">
        <f t="array" ref="Q14">SUM((A14=$T$47:$T$64)*(B14=$U$47:$U$64)*($V$47:$V$64=C14)*($Y$47:$Y$64))</f>
        <v>1</v>
      </c>
      <c r="R14" s="1">
        <f t="shared" si="2"/>
        <v>22635538.753409408</v>
      </c>
      <c r="T14" s="28" t="s">
        <v>28</v>
      </c>
      <c r="U14" s="28" t="s">
        <v>10</v>
      </c>
      <c r="V14" s="28" t="s">
        <v>18</v>
      </c>
      <c r="W14">
        <v>8919138.9201990385</v>
      </c>
      <c r="X14" s="28">
        <f t="array" ref="X14">SUM(($T14=$A$3:$A$215)*($U14=$B$3:$B$215)*($C$3:$C$215=$V14)*($F$3:$F$215))</f>
        <v>8919138.9201990403</v>
      </c>
      <c r="Y14" s="28">
        <f t="shared" si="3"/>
        <v>0.99999999999999978</v>
      </c>
    </row>
    <row r="15" spans="1:25" x14ac:dyDescent="0.25">
      <c r="A15" t="s">
        <v>28</v>
      </c>
      <c r="B15" t="s">
        <v>10</v>
      </c>
      <c r="C15" t="s">
        <v>11</v>
      </c>
      <c r="D15" t="s">
        <v>16</v>
      </c>
      <c r="E15" t="s">
        <v>23</v>
      </c>
      <c r="F15">
        <v>675289.99923990271</v>
      </c>
      <c r="G15" s="1">
        <v>445449625.84361088</v>
      </c>
      <c r="H15">
        <v>25138492.849430025</v>
      </c>
      <c r="I15">
        <v>1807521</v>
      </c>
      <c r="J15">
        <v>18160996</v>
      </c>
      <c r="K15" s="1">
        <v>445000000</v>
      </c>
      <c r="L15">
        <v>8046972</v>
      </c>
      <c r="M15" s="28">
        <f t="array" ref="M15">SUM((A15=$T$5:$T$22)*(B15=$U$5:$U$22)*($V$5:$V$22=C15)*($Y$5:$Y$22))</f>
        <v>1</v>
      </c>
      <c r="N15" s="28">
        <f t="shared" si="0"/>
        <v>675289.99923990271</v>
      </c>
      <c r="O15" s="28">
        <f t="array" ref="O15">SUM((A15=$T$26:$T$43)*(B15=$U$26:$U$43)*($V$26:$V$43=C15)*($Y$26:$Y$43))</f>
        <v>1</v>
      </c>
      <c r="P15" s="28">
        <f t="shared" si="1"/>
        <v>25138492.849430025</v>
      </c>
      <c r="Q15" s="28">
        <f t="array" ref="Q15">SUM((A15=$T$47:$T$64)*(B15=$U$47:$U$64)*($V$47:$V$64=C15)*($Y$47:$Y$64))</f>
        <v>1</v>
      </c>
      <c r="R15" s="1">
        <f t="shared" si="2"/>
        <v>445449625.84361088</v>
      </c>
      <c r="T15" s="28" t="s">
        <v>28</v>
      </c>
      <c r="U15" s="28" t="s">
        <v>20</v>
      </c>
      <c r="V15" s="28" t="s">
        <v>18</v>
      </c>
      <c r="W15" s="28">
        <v>51.779785642346326</v>
      </c>
      <c r="X15" s="28">
        <f t="array" ref="X15">SUM(($T15=$A$3:$A$215)*($U15=$B$3:$B$215)*($C$3:$C$215=$V15)*($F$3:$F$215))</f>
        <v>51.779785642346326</v>
      </c>
      <c r="Y15" s="28">
        <f t="shared" si="3"/>
        <v>1</v>
      </c>
    </row>
    <row r="16" spans="1:25" x14ac:dyDescent="0.25">
      <c r="A16" t="s">
        <v>28</v>
      </c>
      <c r="B16" t="s">
        <v>10</v>
      </c>
      <c r="C16" t="s">
        <v>11</v>
      </c>
      <c r="D16" t="s">
        <v>16</v>
      </c>
      <c r="E16" t="s">
        <v>31</v>
      </c>
      <c r="F16">
        <v>1880731.5024698593</v>
      </c>
      <c r="G16" s="1">
        <v>1011020499.1057236</v>
      </c>
      <c r="H16">
        <v>49899152.701123126</v>
      </c>
      <c r="I16">
        <v>1985981</v>
      </c>
      <c r="J16">
        <v>34700828</v>
      </c>
      <c r="K16" s="1">
        <v>1010000000</v>
      </c>
      <c r="L16">
        <v>18825479</v>
      </c>
      <c r="M16" s="28">
        <f t="array" ref="M16">SUM((A16=$T$5:$T$22)*(B16=$U$5:$U$22)*($V$5:$V$22=C16)*($Y$5:$Y$22))</f>
        <v>1</v>
      </c>
      <c r="N16" s="28">
        <f t="shared" si="0"/>
        <v>1880731.5024698593</v>
      </c>
      <c r="O16" s="28">
        <f t="array" ref="O16">SUM((A16=$T$26:$T$43)*(B16=$U$26:$U$43)*($V$26:$V$43=C16)*($Y$26:$Y$43))</f>
        <v>1</v>
      </c>
      <c r="P16" s="28">
        <f t="shared" si="1"/>
        <v>49899152.701123126</v>
      </c>
      <c r="Q16" s="28">
        <f t="array" ref="Q16">SUM((A16=$T$47:$T$64)*(B16=$U$47:$U$64)*($V$47:$V$64=C16)*($Y$47:$Y$64))</f>
        <v>1</v>
      </c>
      <c r="R16" s="1">
        <f t="shared" si="2"/>
        <v>1011020499.1057236</v>
      </c>
      <c r="T16" s="28" t="s">
        <v>33</v>
      </c>
      <c r="U16" s="28" t="s">
        <v>26</v>
      </c>
      <c r="V16" s="28" t="s">
        <v>18</v>
      </c>
      <c r="W16" s="28">
        <v>13260239.028036475</v>
      </c>
      <c r="X16" s="28">
        <f t="array" ref="X16">SUM(($T16=$A$3:$A$215)*($U16=$B$3:$B$215)*($C$3:$C$215=$V16)*($F$3:$F$215))</f>
        <v>13260239.028036471</v>
      </c>
      <c r="Y16" s="28">
        <f t="shared" si="3"/>
        <v>1.0000000000000002</v>
      </c>
    </row>
    <row r="17" spans="1:25" x14ac:dyDescent="0.25">
      <c r="A17" t="s">
        <v>28</v>
      </c>
      <c r="B17" t="s">
        <v>10</v>
      </c>
      <c r="C17" t="s">
        <v>11</v>
      </c>
      <c r="D17" t="s">
        <v>16</v>
      </c>
      <c r="E17" t="s">
        <v>32</v>
      </c>
      <c r="F17">
        <v>60654.759918377102</v>
      </c>
      <c r="G17">
        <v>38817895.824711002</v>
      </c>
      <c r="H17">
        <v>2749149.9835336409</v>
      </c>
      <c r="I17">
        <v>114195</v>
      </c>
      <c r="J17">
        <v>2370046</v>
      </c>
      <c r="K17">
        <v>38778714</v>
      </c>
      <c r="L17">
        <v>598072.69999999995</v>
      </c>
      <c r="M17" s="28">
        <f t="array" ref="M17">SUM((A17=$T$5:$T$22)*(B17=$U$5:$U$22)*($V$5:$V$22=C17)*($Y$5:$Y$22))</f>
        <v>1</v>
      </c>
      <c r="N17" s="28">
        <f t="shared" si="0"/>
        <v>60654.759918377102</v>
      </c>
      <c r="O17" s="28">
        <f t="array" ref="O17">SUM((A17=$T$26:$T$43)*(B17=$U$26:$U$43)*($V$26:$V$43=C17)*($Y$26:$Y$43))</f>
        <v>1</v>
      </c>
      <c r="P17" s="28">
        <f t="shared" si="1"/>
        <v>2749149.9835336409</v>
      </c>
      <c r="Q17" s="28">
        <f t="array" ref="Q17">SUM((A17=$T$47:$T$64)*(B17=$U$47:$U$64)*($V$47:$V$64=C17)*($Y$47:$Y$64))</f>
        <v>1</v>
      </c>
      <c r="R17" s="1">
        <f t="shared" si="2"/>
        <v>38817895.824711002</v>
      </c>
      <c r="T17" s="28" t="s">
        <v>29</v>
      </c>
      <c r="U17" s="28" t="s">
        <v>26</v>
      </c>
      <c r="V17" t="s">
        <v>19</v>
      </c>
      <c r="W17">
        <v>3138037.2737379461</v>
      </c>
      <c r="X17" s="28">
        <f t="array" ref="X17">SUM(($T17=$A$3:$A$215)*($U17=$B$3:$B$215)*($C$3:$C$215=$V17)*($F$3:$F$215))</f>
        <v>3138037.2737379465</v>
      </c>
      <c r="Y17" s="28">
        <f t="shared" si="3"/>
        <v>0.99999999999999989</v>
      </c>
    </row>
    <row r="18" spans="1:25" x14ac:dyDescent="0.25">
      <c r="A18" t="s">
        <v>28</v>
      </c>
      <c r="B18" t="s">
        <v>10</v>
      </c>
      <c r="C18" t="s">
        <v>11</v>
      </c>
      <c r="D18" t="s">
        <v>17</v>
      </c>
      <c r="E18" t="s">
        <v>23</v>
      </c>
      <c r="F18">
        <v>722867.91768147633</v>
      </c>
      <c r="G18" s="1">
        <v>564569862.8669585</v>
      </c>
      <c r="H18">
        <v>38791284.767655015</v>
      </c>
      <c r="I18">
        <v>2203314</v>
      </c>
      <c r="J18">
        <v>25952452</v>
      </c>
      <c r="K18" s="1">
        <v>564000000</v>
      </c>
      <c r="L18">
        <v>17275576</v>
      </c>
      <c r="M18" s="28">
        <f t="array" ref="M18">SUM((A18=$T$5:$T$22)*(B18=$U$5:$U$22)*($V$5:$V$22=C18)*($Y$5:$Y$22))</f>
        <v>1</v>
      </c>
      <c r="N18" s="28">
        <f t="shared" si="0"/>
        <v>722867.91768147633</v>
      </c>
      <c r="O18" s="28">
        <f t="array" ref="O18">SUM((A18=$T$26:$T$43)*(B18=$U$26:$U$43)*($V$26:$V$43=C18)*($Y$26:$Y$43))</f>
        <v>1</v>
      </c>
      <c r="P18" s="28">
        <f t="shared" si="1"/>
        <v>38791284.767655015</v>
      </c>
      <c r="Q18" s="28">
        <f t="array" ref="Q18">SUM((A18=$T$47:$T$64)*(B18=$U$47:$U$64)*($V$47:$V$64=C18)*($Y$47:$Y$64))</f>
        <v>1</v>
      </c>
      <c r="R18" s="1">
        <f t="shared" si="2"/>
        <v>564569862.8669585</v>
      </c>
      <c r="T18" s="28" t="s">
        <v>28</v>
      </c>
      <c r="U18" s="28" t="s">
        <v>21</v>
      </c>
      <c r="V18" s="28" t="s">
        <v>19</v>
      </c>
      <c r="W18">
        <v>131628.24465752905</v>
      </c>
      <c r="X18" s="28">
        <f t="array" ref="X18">SUM(($T18=$A$3:$A$215)*($U18=$B$3:$B$215)*($C$3:$C$215=$V18)*($F$3:$F$215))</f>
        <v>131628.24465752902</v>
      </c>
      <c r="Y18" s="28">
        <f t="shared" si="3"/>
        <v>1.0000000000000002</v>
      </c>
    </row>
    <row r="19" spans="1:25" x14ac:dyDescent="0.25">
      <c r="A19" t="s">
        <v>28</v>
      </c>
      <c r="B19" t="s">
        <v>10</v>
      </c>
      <c r="C19" t="s">
        <v>11</v>
      </c>
      <c r="D19" t="s">
        <v>17</v>
      </c>
      <c r="E19" t="s">
        <v>31</v>
      </c>
      <c r="F19">
        <v>2259144.7421554578</v>
      </c>
      <c r="G19" s="1">
        <v>1371384241.3612289</v>
      </c>
      <c r="H19">
        <v>83677735.498802304</v>
      </c>
      <c r="I19">
        <v>2976712</v>
      </c>
      <c r="J19">
        <v>51972828</v>
      </c>
      <c r="K19" s="1">
        <v>1370000000</v>
      </c>
      <c r="L19">
        <v>42904089</v>
      </c>
      <c r="M19" s="28">
        <f t="array" ref="M19">SUM((A19=$T$5:$T$22)*(B19=$U$5:$U$22)*($V$5:$V$22=C19)*($Y$5:$Y$22))</f>
        <v>1</v>
      </c>
      <c r="N19" s="28">
        <f t="shared" si="0"/>
        <v>2259144.7421554578</v>
      </c>
      <c r="O19" s="28">
        <f t="array" ref="O19">SUM((A19=$T$26:$T$43)*(B19=$U$26:$U$43)*($V$26:$V$43=C19)*($Y$26:$Y$43))</f>
        <v>1</v>
      </c>
      <c r="P19" s="28">
        <f t="shared" si="1"/>
        <v>83677735.498802304</v>
      </c>
      <c r="Q19" s="28">
        <f t="array" ref="Q19">SUM((A19=$T$47:$T$64)*(B19=$U$47:$U$64)*($V$47:$V$64=C19)*($Y$47:$Y$64))</f>
        <v>1</v>
      </c>
      <c r="R19" s="1">
        <f t="shared" si="2"/>
        <v>1371384241.3612289</v>
      </c>
      <c r="T19" s="28" t="s">
        <v>28</v>
      </c>
      <c r="U19" s="28" t="s">
        <v>22</v>
      </c>
      <c r="V19" s="28" t="s">
        <v>19</v>
      </c>
      <c r="W19">
        <v>38360.796932464131</v>
      </c>
      <c r="X19" s="28">
        <f t="array" ref="X19">SUM(($T19=$A$3:$A$215)*($U19=$B$3:$B$215)*($C$3:$C$215=$V19)*($F$3:$F$215))</f>
        <v>38360.796932464131</v>
      </c>
      <c r="Y19" s="28">
        <f t="shared" si="3"/>
        <v>1</v>
      </c>
    </row>
    <row r="20" spans="1:25" x14ac:dyDescent="0.25">
      <c r="A20" t="s">
        <v>28</v>
      </c>
      <c r="B20" t="s">
        <v>10</v>
      </c>
      <c r="C20" t="s">
        <v>11</v>
      </c>
      <c r="D20" t="s">
        <v>17</v>
      </c>
      <c r="E20" t="s">
        <v>32</v>
      </c>
      <c r="F20">
        <v>37459.9123152791</v>
      </c>
      <c r="G20">
        <v>26500695.146750469</v>
      </c>
      <c r="H20">
        <v>2246067.9865469099</v>
      </c>
      <c r="I20">
        <v>77549.429999999993</v>
      </c>
      <c r="J20">
        <v>1825912</v>
      </c>
      <c r="K20">
        <v>26473946</v>
      </c>
      <c r="L20">
        <v>678883.7</v>
      </c>
      <c r="M20" s="28">
        <f t="array" ref="M20">SUM((A20=$T$5:$T$22)*(B20=$U$5:$U$22)*($V$5:$V$22=C20)*($Y$5:$Y$22))</f>
        <v>1</v>
      </c>
      <c r="N20" s="28">
        <f t="shared" si="0"/>
        <v>37459.9123152791</v>
      </c>
      <c r="O20" s="28">
        <f t="array" ref="O20">SUM((A20=$T$26:$T$43)*(B20=$U$26:$U$43)*($V$26:$V$43=C20)*($Y$26:$Y$43))</f>
        <v>1</v>
      </c>
      <c r="P20" s="28">
        <f t="shared" si="1"/>
        <v>2246067.9865469099</v>
      </c>
      <c r="Q20" s="28">
        <f t="array" ref="Q20">SUM((A20=$T$47:$T$64)*(B20=$U$47:$U$64)*($V$47:$V$64=C20)*($Y$47:$Y$64))</f>
        <v>1</v>
      </c>
      <c r="R20" s="1">
        <f t="shared" si="2"/>
        <v>26500695.146750469</v>
      </c>
      <c r="T20" s="28" t="s">
        <v>28</v>
      </c>
      <c r="U20" s="28" t="s">
        <v>10</v>
      </c>
      <c r="V20" s="28" t="s">
        <v>19</v>
      </c>
      <c r="W20">
        <v>560025.50660709059</v>
      </c>
      <c r="X20" s="28">
        <f t="array" ref="X20">SUM(($T20=$A$3:$A$215)*($U20=$B$3:$B$215)*($C$3:$C$215=$V20)*($F$3:$F$215))</f>
        <v>560025.50660709059</v>
      </c>
      <c r="Y20" s="28">
        <f t="shared" si="3"/>
        <v>1</v>
      </c>
    </row>
    <row r="21" spans="1:25" x14ac:dyDescent="0.25">
      <c r="A21" t="s">
        <v>28</v>
      </c>
      <c r="B21" t="s">
        <v>10</v>
      </c>
      <c r="C21" t="s">
        <v>18</v>
      </c>
      <c r="D21" t="s">
        <v>12</v>
      </c>
      <c r="E21" t="s">
        <v>23</v>
      </c>
      <c r="F21">
        <v>103394.90716221649</v>
      </c>
      <c r="G21">
        <v>30479515.982148543</v>
      </c>
      <c r="H21">
        <v>2518468.0612372789</v>
      </c>
      <c r="I21">
        <v>150805.29999999999</v>
      </c>
      <c r="J21">
        <v>920298</v>
      </c>
      <c r="K21">
        <v>30483732</v>
      </c>
      <c r="L21">
        <v>1843806</v>
      </c>
      <c r="M21" s="28">
        <f t="array" ref="M21">SUM((A21=$T$5:$T$22)*(B21=$U$5:$U$22)*($V$5:$V$22=C21)*($Y$5:$Y$22))</f>
        <v>0.99999999999999978</v>
      </c>
      <c r="N21" s="28">
        <f t="shared" si="0"/>
        <v>103394.90716221646</v>
      </c>
      <c r="O21" s="28">
        <f t="array" ref="O21">SUM((A21=$T$26:$T$43)*(B21=$U$26:$U$43)*($V$26:$V$43=C21)*($Y$26:$Y$43))</f>
        <v>0.99999999999999989</v>
      </c>
      <c r="P21" s="28">
        <f t="shared" si="1"/>
        <v>2518468.0612372784</v>
      </c>
      <c r="Q21" s="28">
        <f t="array" ref="Q21">SUM((A21=$T$47:$T$64)*(B21=$U$47:$U$64)*($V$47:$V$64=C21)*($Y$47:$Y$64))</f>
        <v>1</v>
      </c>
      <c r="R21" s="1">
        <f t="shared" si="2"/>
        <v>30479515.982148543</v>
      </c>
      <c r="T21" s="28" t="s">
        <v>28</v>
      </c>
      <c r="U21" s="28" t="s">
        <v>20</v>
      </c>
      <c r="V21" s="28" t="s">
        <v>19</v>
      </c>
      <c r="W21" s="28">
        <v>0</v>
      </c>
      <c r="X21" s="28">
        <f t="array" ref="X21">SUM(($T21=$A$3:$A$215)*($U21=$B$3:$B$215)*($C$3:$C$215=$V21)*($F$3:$F$215))</f>
        <v>0</v>
      </c>
      <c r="Y21" s="92">
        <v>1</v>
      </c>
    </row>
    <row r="22" spans="1:25" x14ac:dyDescent="0.25">
      <c r="A22" t="s">
        <v>28</v>
      </c>
      <c r="B22" t="s">
        <v>10</v>
      </c>
      <c r="C22" t="s">
        <v>18</v>
      </c>
      <c r="D22" t="s">
        <v>12</v>
      </c>
      <c r="E22" t="s">
        <v>31</v>
      </c>
      <c r="F22">
        <v>718984.17362269922</v>
      </c>
      <c r="G22" s="1">
        <v>164977179.86283666</v>
      </c>
      <c r="H22">
        <v>12594956.306250002</v>
      </c>
      <c r="I22">
        <v>610750.30000000005</v>
      </c>
      <c r="J22">
        <v>3887110</v>
      </c>
      <c r="K22" s="1">
        <v>165000000</v>
      </c>
      <c r="L22">
        <v>10016120</v>
      </c>
      <c r="M22" s="28">
        <f t="array" ref="M22">SUM((A22=$T$5:$T$22)*(B22=$U$5:$U$22)*($V$5:$V$22=C22)*($Y$5:$Y$22))</f>
        <v>0.99999999999999978</v>
      </c>
      <c r="N22" s="28">
        <f t="shared" si="0"/>
        <v>718984.17362269911</v>
      </c>
      <c r="O22" s="28">
        <f t="array" ref="O22">SUM((A22=$T$26:$T$43)*(B22=$U$26:$U$43)*($V$26:$V$43=C22)*($Y$26:$Y$43))</f>
        <v>0.99999999999999989</v>
      </c>
      <c r="P22" s="28">
        <f t="shared" si="1"/>
        <v>12594956.30625</v>
      </c>
      <c r="Q22" s="28">
        <f t="array" ref="Q22">SUM((A22=$T$47:$T$64)*(B22=$U$47:$U$64)*($V$47:$V$64=C22)*($Y$47:$Y$64))</f>
        <v>1</v>
      </c>
      <c r="R22" s="1">
        <f t="shared" si="2"/>
        <v>164977179.86283666</v>
      </c>
      <c r="T22" s="28" t="s">
        <v>33</v>
      </c>
      <c r="U22" s="28" t="s">
        <v>26</v>
      </c>
      <c r="V22" t="s">
        <v>19</v>
      </c>
      <c r="W22">
        <v>1784735.7687823817</v>
      </c>
      <c r="X22" s="28">
        <f t="array" ref="X22">SUM(($T22=$A$3:$A$215)*($U22=$B$3:$B$215)*($C$3:$C$215=$V22)*($F$3:$F$215))</f>
        <v>1784735.7687823819</v>
      </c>
      <c r="Y22" s="28">
        <f t="shared" si="3"/>
        <v>0.99999999999999989</v>
      </c>
    </row>
    <row r="23" spans="1:25" x14ac:dyDescent="0.25">
      <c r="A23" t="s">
        <v>28</v>
      </c>
      <c r="B23" t="s">
        <v>10</v>
      </c>
      <c r="C23" t="s">
        <v>18</v>
      </c>
      <c r="D23" t="s">
        <v>12</v>
      </c>
      <c r="E23" t="s">
        <v>32</v>
      </c>
      <c r="F23">
        <v>7691.9623981433342</v>
      </c>
      <c r="G23">
        <v>2318633.2797069368</v>
      </c>
      <c r="H23">
        <v>227576.80553359579</v>
      </c>
      <c r="I23">
        <v>10321.040000000001</v>
      </c>
      <c r="J23">
        <v>135361.29999999999</v>
      </c>
      <c r="K23">
        <v>2318954</v>
      </c>
      <c r="L23">
        <v>115618.3</v>
      </c>
      <c r="M23" s="28">
        <f t="array" ref="M23">SUM((A23=$T$5:$T$22)*(B23=$U$5:$U$22)*($V$5:$V$22=C23)*($Y$5:$Y$22))</f>
        <v>0.99999999999999978</v>
      </c>
      <c r="N23" s="28">
        <f t="shared" si="0"/>
        <v>7691.9623981433324</v>
      </c>
      <c r="O23" s="28">
        <f t="array" ref="O23">SUM((A23=$T$26:$T$43)*(B23=$U$26:$U$43)*($V$26:$V$43=C23)*($Y$26:$Y$43))</f>
        <v>0.99999999999999989</v>
      </c>
      <c r="P23" s="28">
        <f t="shared" si="1"/>
        <v>227576.80553359576</v>
      </c>
      <c r="Q23" s="28">
        <f t="array" ref="Q23">SUM((A23=$T$47:$T$64)*(B23=$U$47:$U$64)*($V$47:$V$64=C23)*($Y$47:$Y$64))</f>
        <v>1</v>
      </c>
      <c r="R23" s="1">
        <f t="shared" si="2"/>
        <v>2318633.2797069368</v>
      </c>
      <c r="T23" s="28"/>
      <c r="U23" s="28"/>
      <c r="X23" s="28"/>
    </row>
    <row r="24" spans="1:25" x14ac:dyDescent="0.25">
      <c r="A24" t="s">
        <v>28</v>
      </c>
      <c r="B24" t="s">
        <v>10</v>
      </c>
      <c r="C24" t="s">
        <v>18</v>
      </c>
      <c r="D24" t="s">
        <v>13</v>
      </c>
      <c r="E24" t="s">
        <v>23</v>
      </c>
      <c r="F24">
        <v>59655.286508189725</v>
      </c>
      <c r="G24">
        <v>37577978.101628162</v>
      </c>
      <c r="H24">
        <v>1925209.0468120142</v>
      </c>
      <c r="I24">
        <v>295270.3</v>
      </c>
      <c r="J24">
        <v>1602293</v>
      </c>
      <c r="K24">
        <v>37583176</v>
      </c>
      <c r="L24">
        <v>31192.080000000002</v>
      </c>
      <c r="M24" s="28">
        <f t="array" ref="M24">SUM((A24=$T$5:$T$22)*(B24=$U$5:$U$22)*($V$5:$V$22=C24)*($Y$5:$Y$22))</f>
        <v>0.99999999999999978</v>
      </c>
      <c r="N24" s="28">
        <f t="shared" si="0"/>
        <v>59655.286508189711</v>
      </c>
      <c r="O24" s="28">
        <f t="array" ref="O24">SUM((A24=$T$26:$T$43)*(B24=$U$26:$U$43)*($V$26:$V$43=C24)*($Y$26:$Y$43))</f>
        <v>0.99999999999999989</v>
      </c>
      <c r="P24" s="28">
        <f t="shared" si="1"/>
        <v>1925209.046812014</v>
      </c>
      <c r="Q24" s="28">
        <f t="array" ref="Q24">SUM((A24=$T$47:$T$64)*(B24=$U$47:$U$64)*($V$47:$V$64=C24)*($Y$47:$Y$64))</f>
        <v>1</v>
      </c>
      <c r="R24" s="1">
        <f t="shared" si="2"/>
        <v>37577978.101628162</v>
      </c>
      <c r="T24" s="28"/>
      <c r="U24" s="28"/>
      <c r="X24" s="28"/>
    </row>
    <row r="25" spans="1:25" x14ac:dyDescent="0.25">
      <c r="A25" t="s">
        <v>28</v>
      </c>
      <c r="B25" t="s">
        <v>10</v>
      </c>
      <c r="C25" t="s">
        <v>18</v>
      </c>
      <c r="D25" t="s">
        <v>13</v>
      </c>
      <c r="E25" t="s">
        <v>31</v>
      </c>
      <c r="F25">
        <v>523170.72610922798</v>
      </c>
      <c r="G25">
        <v>81632403.36170654</v>
      </c>
      <c r="H25">
        <v>3631620.0883038919</v>
      </c>
      <c r="I25">
        <v>210093.1</v>
      </c>
      <c r="J25">
        <v>2923288</v>
      </c>
      <c r="K25">
        <v>81643695</v>
      </c>
      <c r="L25">
        <v>58190.21</v>
      </c>
      <c r="M25" s="28">
        <f t="array" ref="M25">SUM((A25=$T$5:$T$22)*(B25=$U$5:$U$22)*($V$5:$V$22=C25)*($Y$5:$Y$22))</f>
        <v>0.99999999999999978</v>
      </c>
      <c r="N25" s="28">
        <f t="shared" si="0"/>
        <v>523170.72610922786</v>
      </c>
      <c r="O25" s="28">
        <f t="array" ref="O25">SUM((A25=$T$26:$T$43)*(B25=$U$26:$U$43)*($V$26:$V$43=C25)*($Y$26:$Y$43))</f>
        <v>0.99999999999999989</v>
      </c>
      <c r="P25" s="28">
        <f t="shared" si="1"/>
        <v>3631620.0883038915</v>
      </c>
      <c r="Q25" s="28">
        <f t="array" ref="Q25">SUM((A25=$T$47:$T$64)*(B25=$U$47:$U$64)*($V$47:$V$64=C25)*($Y$47:$Y$64))</f>
        <v>1</v>
      </c>
      <c r="R25" s="1">
        <f t="shared" si="2"/>
        <v>81632403.36170654</v>
      </c>
      <c r="T25" s="28" t="s">
        <v>59</v>
      </c>
      <c r="U25" s="28"/>
      <c r="V25" s="28"/>
      <c r="W25" s="28" t="s">
        <v>53</v>
      </c>
      <c r="X25" s="28" t="s">
        <v>54</v>
      </c>
      <c r="Y25" s="28" t="s">
        <v>55</v>
      </c>
    </row>
    <row r="26" spans="1:25" x14ac:dyDescent="0.25">
      <c r="A26" t="s">
        <v>28</v>
      </c>
      <c r="B26" t="s">
        <v>10</v>
      </c>
      <c r="C26" t="s">
        <v>18</v>
      </c>
      <c r="D26" t="s">
        <v>13</v>
      </c>
      <c r="E26" t="s">
        <v>32</v>
      </c>
      <c r="F26">
        <v>4970.5212279420502</v>
      </c>
      <c r="G26">
        <v>2306257.9914938314</v>
      </c>
      <c r="H26">
        <v>206636.60502442878</v>
      </c>
      <c r="I26">
        <v>13971.31</v>
      </c>
      <c r="J26">
        <v>209267.5</v>
      </c>
      <c r="K26">
        <v>2306577</v>
      </c>
      <c r="L26">
        <v>1340.2739999999999</v>
      </c>
      <c r="M26" s="28">
        <f t="array" ref="M26">SUM((A26=$T$5:$T$22)*(B26=$U$5:$U$22)*($V$5:$V$22=C26)*($Y$5:$Y$22))</f>
        <v>0.99999999999999978</v>
      </c>
      <c r="N26" s="28">
        <f t="shared" si="0"/>
        <v>4970.5212279420493</v>
      </c>
      <c r="O26" s="28">
        <f t="array" ref="O26">SUM((A26=$T$26:$T$43)*(B26=$U$26:$U$43)*($V$26:$V$43=C26)*($Y$26:$Y$43))</f>
        <v>0.99999999999999989</v>
      </c>
      <c r="P26" s="28">
        <f t="shared" si="1"/>
        <v>206636.60502442875</v>
      </c>
      <c r="Q26" s="28">
        <f t="array" ref="Q26">SUM((A26=$T$47:$T$64)*(B26=$U$47:$U$64)*($V$47:$V$64=C26)*($Y$47:$Y$64))</f>
        <v>1</v>
      </c>
      <c r="R26" s="1">
        <f t="shared" si="2"/>
        <v>2306257.9914938314</v>
      </c>
      <c r="T26" s="28" t="s">
        <v>29</v>
      </c>
      <c r="U26" s="28" t="s">
        <v>26</v>
      </c>
      <c r="V26" s="28" t="s">
        <v>11</v>
      </c>
      <c r="W26" s="28">
        <v>404088478.92077899</v>
      </c>
      <c r="X26" s="28">
        <f t="array" ref="X26">SUM(($T26=$A$3:$A$215)*($U26=$B$3:$B$215)*($C$3:$C$215=$V26)*($H$3:$H$215))</f>
        <v>404088478.92077899</v>
      </c>
      <c r="Y26" s="28">
        <f>W26/X26</f>
        <v>1</v>
      </c>
    </row>
    <row r="27" spans="1:25" x14ac:dyDescent="0.25">
      <c r="A27" t="s">
        <v>28</v>
      </c>
      <c r="B27" t="s">
        <v>10</v>
      </c>
      <c r="C27" t="s">
        <v>18</v>
      </c>
      <c r="D27" t="s">
        <v>14</v>
      </c>
      <c r="E27" t="s">
        <v>23</v>
      </c>
      <c r="F27">
        <v>160290.81031890446</v>
      </c>
      <c r="G27">
        <v>60725942.205969907</v>
      </c>
      <c r="H27">
        <v>2861214.0695712469</v>
      </c>
      <c r="I27">
        <v>371778.6</v>
      </c>
      <c r="J27">
        <v>1902961</v>
      </c>
      <c r="K27">
        <v>60734342</v>
      </c>
      <c r="L27">
        <v>172287.3</v>
      </c>
      <c r="M27" s="28">
        <f t="array" ref="M27">SUM((A27=$T$5:$T$22)*(B27=$U$5:$U$22)*($V$5:$V$22=C27)*($Y$5:$Y$22))</f>
        <v>0.99999999999999978</v>
      </c>
      <c r="N27" s="28">
        <f t="shared" si="0"/>
        <v>160290.81031890443</v>
      </c>
      <c r="O27" s="28">
        <f t="array" ref="O27">SUM((A27=$T$26:$T$43)*(B27=$U$26:$U$43)*($V$26:$V$43=C27)*($Y$26:$Y$43))</f>
        <v>0.99999999999999989</v>
      </c>
      <c r="P27" s="28">
        <f t="shared" si="1"/>
        <v>2861214.0695712464</v>
      </c>
      <c r="Q27" s="28">
        <f t="array" ref="Q27">SUM((A27=$T$47:$T$64)*(B27=$U$47:$U$64)*($V$47:$V$64=C27)*($Y$47:$Y$64))</f>
        <v>1</v>
      </c>
      <c r="R27" s="1">
        <f t="shared" si="2"/>
        <v>60725942.205969907</v>
      </c>
      <c r="T27" s="28" t="s">
        <v>28</v>
      </c>
      <c r="U27" s="28" t="s">
        <v>21</v>
      </c>
      <c r="V27" s="28" t="s">
        <v>11</v>
      </c>
      <c r="W27" s="28">
        <v>86345335.777492955</v>
      </c>
      <c r="X27" s="28">
        <f t="array" ref="X27">SUM(($T27=$A$3:$A$215)*($U27=$B$3:$B$215)*($C$3:$C$215=$V27)*($H$3:$H$215))</f>
        <v>86345335.77749297</v>
      </c>
      <c r="Y27" s="28">
        <f t="shared" ref="Y27:Y43" si="4">W27/X27</f>
        <v>0.99999999999999978</v>
      </c>
    </row>
    <row r="28" spans="1:25" x14ac:dyDescent="0.25">
      <c r="A28" t="s">
        <v>28</v>
      </c>
      <c r="B28" t="s">
        <v>10</v>
      </c>
      <c r="C28" t="s">
        <v>18</v>
      </c>
      <c r="D28" t="s">
        <v>14</v>
      </c>
      <c r="E28" t="s">
        <v>31</v>
      </c>
      <c r="F28">
        <v>557999.42411855911</v>
      </c>
      <c r="G28">
        <v>93711530.540691972</v>
      </c>
      <c r="H28">
        <v>4136347.1005764748</v>
      </c>
      <c r="I28">
        <v>229004.9</v>
      </c>
      <c r="J28">
        <v>2806422</v>
      </c>
      <c r="K28">
        <v>93724493</v>
      </c>
      <c r="L28">
        <v>256966.6</v>
      </c>
      <c r="M28" s="28">
        <f t="array" ref="M28">SUM((A28=$T$5:$T$22)*(B28=$U$5:$U$22)*($V$5:$V$22=C28)*($Y$5:$Y$22))</f>
        <v>0.99999999999999978</v>
      </c>
      <c r="N28" s="28">
        <f t="shared" si="0"/>
        <v>557999.42411855899</v>
      </c>
      <c r="O28" s="28">
        <f t="array" ref="O28">SUM((A28=$T$26:$T$43)*(B28=$U$26:$U$43)*($V$26:$V$43=C28)*($Y$26:$Y$43))</f>
        <v>0.99999999999999989</v>
      </c>
      <c r="P28" s="28">
        <f t="shared" si="1"/>
        <v>4136347.1005764743</v>
      </c>
      <c r="Q28" s="28">
        <f t="array" ref="Q28">SUM((A28=$T$47:$T$64)*(B28=$U$47:$U$64)*($V$47:$V$64=C28)*($Y$47:$Y$64))</f>
        <v>1</v>
      </c>
      <c r="R28" s="1">
        <f t="shared" si="2"/>
        <v>93711530.540691972</v>
      </c>
      <c r="T28" s="28" t="s">
        <v>28</v>
      </c>
      <c r="U28" s="28" t="s">
        <v>22</v>
      </c>
      <c r="V28" s="28" t="s">
        <v>11</v>
      </c>
      <c r="W28" s="28">
        <v>293402413.76399064</v>
      </c>
      <c r="X28" s="28">
        <f t="array" ref="X28">SUM(($T28=$A$3:$A$215)*($U28=$B$3:$B$215)*($C$3:$C$215=$V28)*($H$3:$H$215))</f>
        <v>293402413.76399064</v>
      </c>
      <c r="Y28" s="28">
        <f t="shared" si="4"/>
        <v>1</v>
      </c>
    </row>
    <row r="29" spans="1:25" x14ac:dyDescent="0.25">
      <c r="A29" t="s">
        <v>28</v>
      </c>
      <c r="B29" t="s">
        <v>10</v>
      </c>
      <c r="C29" t="s">
        <v>18</v>
      </c>
      <c r="D29" t="s">
        <v>14</v>
      </c>
      <c r="E29" t="s">
        <v>32</v>
      </c>
      <c r="F29">
        <v>14568.710800104343</v>
      </c>
      <c r="G29">
        <v>4430673.1360343639</v>
      </c>
      <c r="H29">
        <v>262083.50637263618</v>
      </c>
      <c r="I29">
        <v>19002.88</v>
      </c>
      <c r="J29">
        <v>206407</v>
      </c>
      <c r="K29">
        <v>4431286</v>
      </c>
      <c r="L29">
        <v>13605.94</v>
      </c>
      <c r="M29" s="28">
        <f t="array" ref="M29">SUM((A29=$T$5:$T$22)*(B29=$U$5:$U$22)*($V$5:$V$22=C29)*($Y$5:$Y$22))</f>
        <v>0.99999999999999978</v>
      </c>
      <c r="N29" s="28">
        <f t="shared" si="0"/>
        <v>14568.71080010434</v>
      </c>
      <c r="O29" s="28">
        <f t="array" ref="O29">SUM((A29=$T$26:$T$43)*(B29=$U$26:$U$43)*($V$26:$V$43=C29)*($Y$26:$Y$43))</f>
        <v>0.99999999999999989</v>
      </c>
      <c r="P29" s="28">
        <f t="shared" si="1"/>
        <v>262083.50637263615</v>
      </c>
      <c r="Q29" s="28">
        <f t="array" ref="Q29">SUM((A29=$T$47:$T$64)*(B29=$U$47:$U$64)*($V$47:$V$64=C29)*($Y$47:$Y$64))</f>
        <v>1</v>
      </c>
      <c r="R29" s="1">
        <f t="shared" si="2"/>
        <v>4430673.1360343639</v>
      </c>
      <c r="T29" s="28" t="s">
        <v>28</v>
      </c>
      <c r="U29" s="28" t="s">
        <v>10</v>
      </c>
      <c r="V29" s="28" t="s">
        <v>11</v>
      </c>
      <c r="W29" s="28">
        <v>392060846.25170523</v>
      </c>
      <c r="X29" s="28">
        <f t="array" ref="X29">SUM(($T29=$A$3:$A$215)*($U29=$B$3:$B$215)*($C$3:$C$215=$V29)*($H$3:$H$215))</f>
        <v>392060846.25170523</v>
      </c>
      <c r="Y29" s="28">
        <f t="shared" si="4"/>
        <v>1</v>
      </c>
    </row>
    <row r="30" spans="1:25" x14ac:dyDescent="0.25">
      <c r="A30" t="s">
        <v>28</v>
      </c>
      <c r="B30" t="s">
        <v>10</v>
      </c>
      <c r="C30" t="s">
        <v>18</v>
      </c>
      <c r="D30" t="s">
        <v>15</v>
      </c>
      <c r="E30" t="s">
        <v>23</v>
      </c>
      <c r="F30">
        <v>273413.56256126938</v>
      </c>
      <c r="G30">
        <v>81777803.249558985</v>
      </c>
      <c r="H30">
        <v>3739605.0909295785</v>
      </c>
      <c r="I30">
        <v>431750.5</v>
      </c>
      <c r="J30">
        <v>2305075</v>
      </c>
      <c r="K30">
        <v>81789115</v>
      </c>
      <c r="L30">
        <v>557321.6</v>
      </c>
      <c r="M30" s="28">
        <f t="array" ref="M30">SUM((A30=$T$5:$T$22)*(B30=$U$5:$U$22)*($V$5:$V$22=C30)*($Y$5:$Y$22))</f>
        <v>0.99999999999999978</v>
      </c>
      <c r="N30" s="28">
        <f t="shared" si="0"/>
        <v>273413.56256126933</v>
      </c>
      <c r="O30" s="28">
        <f t="array" ref="O30">SUM((A30=$T$26:$T$43)*(B30=$U$26:$U$43)*($V$26:$V$43=C30)*($Y$26:$Y$43))</f>
        <v>0.99999999999999989</v>
      </c>
      <c r="P30" s="28">
        <f t="shared" si="1"/>
        <v>3739605.0909295781</v>
      </c>
      <c r="Q30" s="28">
        <f t="array" ref="Q30">SUM((A30=$T$47:$T$64)*(B30=$U$47:$U$64)*($V$47:$V$64=C30)*($Y$47:$Y$64))</f>
        <v>1</v>
      </c>
      <c r="R30" s="1">
        <f t="shared" si="2"/>
        <v>81777803.249558985</v>
      </c>
      <c r="T30" s="28" t="s">
        <v>28</v>
      </c>
      <c r="U30" s="28" t="s">
        <v>20</v>
      </c>
      <c r="V30" s="28" t="s">
        <v>11</v>
      </c>
      <c r="W30" s="28">
        <v>1414026.2296208078</v>
      </c>
      <c r="X30" s="28">
        <f t="array" ref="X30">SUM(($T30=$A$3:$A$215)*($U30=$B$3:$B$215)*($C$3:$C$215=$V30)*($H$3:$H$215))</f>
        <v>1414026.229620808</v>
      </c>
      <c r="Y30" s="28">
        <f t="shared" ref="Y30" si="5">W30/X30</f>
        <v>0.99999999999999989</v>
      </c>
    </row>
    <row r="31" spans="1:25" x14ac:dyDescent="0.25">
      <c r="A31" t="s">
        <v>28</v>
      </c>
      <c r="B31" t="s">
        <v>10</v>
      </c>
      <c r="C31" t="s">
        <v>18</v>
      </c>
      <c r="D31" t="s">
        <v>15</v>
      </c>
      <c r="E31" t="s">
        <v>31</v>
      </c>
      <c r="F31">
        <v>1096875.9076041679</v>
      </c>
      <c r="G31" s="1">
        <v>193973169.05085039</v>
      </c>
      <c r="H31">
        <v>8233502.2001999849</v>
      </c>
      <c r="I31">
        <v>490094.8</v>
      </c>
      <c r="J31">
        <v>5043030</v>
      </c>
      <c r="K31" s="1">
        <v>194000000</v>
      </c>
      <c r="L31">
        <v>1425317</v>
      </c>
      <c r="M31" s="28">
        <f t="array" ref="M31">SUM((A31=$T$5:$T$22)*(B31=$U$5:$U$22)*($V$5:$V$22=C31)*($Y$5:$Y$22))</f>
        <v>0.99999999999999978</v>
      </c>
      <c r="N31" s="28">
        <f t="shared" si="0"/>
        <v>1096875.9076041677</v>
      </c>
      <c r="O31" s="28">
        <f t="array" ref="O31">SUM((A31=$T$26:$T$43)*(B31=$U$26:$U$43)*($V$26:$V$43=C31)*($Y$26:$Y$43))</f>
        <v>0.99999999999999989</v>
      </c>
      <c r="P31" s="28">
        <f t="shared" si="1"/>
        <v>8233502.200199984</v>
      </c>
      <c r="Q31" s="28">
        <f t="array" ref="Q31">SUM((A31=$T$47:$T$64)*(B31=$U$47:$U$64)*($V$47:$V$64=C31)*($Y$47:$Y$64))</f>
        <v>1</v>
      </c>
      <c r="R31" s="1">
        <f t="shared" si="2"/>
        <v>193973169.05085039</v>
      </c>
      <c r="T31" s="28" t="s">
        <v>33</v>
      </c>
      <c r="U31" s="28" t="s">
        <v>26</v>
      </c>
      <c r="V31" s="28" t="s">
        <v>11</v>
      </c>
      <c r="W31" s="28">
        <v>836112166.63694358</v>
      </c>
      <c r="X31" s="28">
        <f t="array" ref="X31">SUM(($T31=$A$3:$A$215)*($U31=$B$3:$B$215)*($C$3:$C$215=$V31)*($H$3:$H$215))</f>
        <v>836112166.63694358</v>
      </c>
      <c r="Y31" s="28">
        <f t="shared" si="4"/>
        <v>1</v>
      </c>
    </row>
    <row r="32" spans="1:25" x14ac:dyDescent="0.25">
      <c r="A32" t="s">
        <v>28</v>
      </c>
      <c r="B32" t="s">
        <v>10</v>
      </c>
      <c r="C32" t="s">
        <v>18</v>
      </c>
      <c r="D32" t="s">
        <v>15</v>
      </c>
      <c r="E32" t="s">
        <v>32</v>
      </c>
      <c r="F32">
        <v>70376.332047206713</v>
      </c>
      <c r="G32">
        <v>19301820.114486858</v>
      </c>
      <c r="H32">
        <v>1056467.0256883011</v>
      </c>
      <c r="I32">
        <v>78037.95</v>
      </c>
      <c r="J32">
        <v>775624.4</v>
      </c>
      <c r="K32">
        <v>19304490</v>
      </c>
      <c r="L32">
        <v>125049.4</v>
      </c>
      <c r="M32" s="28">
        <f t="array" ref="M32">SUM((A32=$T$5:$T$22)*(B32=$U$5:$U$22)*($V$5:$V$22=C32)*($Y$5:$Y$22))</f>
        <v>0.99999999999999978</v>
      </c>
      <c r="N32" s="28">
        <f t="shared" si="0"/>
        <v>70376.332047206699</v>
      </c>
      <c r="O32" s="28">
        <f t="array" ref="O32">SUM((A32=$T$26:$T$43)*(B32=$U$26:$U$43)*($V$26:$V$43=C32)*($Y$26:$Y$43))</f>
        <v>0.99999999999999989</v>
      </c>
      <c r="P32" s="28">
        <f t="shared" si="1"/>
        <v>1056467.0256883008</v>
      </c>
      <c r="Q32" s="28">
        <f t="array" ref="Q32">SUM((A32=$T$47:$T$64)*(B32=$U$47:$U$64)*($V$47:$V$64=C32)*($Y$47:$Y$64))</f>
        <v>1</v>
      </c>
      <c r="R32" s="1">
        <f t="shared" si="2"/>
        <v>19301820.114486858</v>
      </c>
      <c r="T32" s="28" t="s">
        <v>29</v>
      </c>
      <c r="U32" s="28" t="s">
        <v>26</v>
      </c>
      <c r="V32" s="28" t="s">
        <v>18</v>
      </c>
      <c r="W32" s="28">
        <v>121441937.40652324</v>
      </c>
      <c r="X32" s="28">
        <f t="array" ref="X32">SUM(($T32=$A$3:$A$215)*($U32=$B$3:$B$215)*($C$3:$C$215=$V32)*($H$3:$H$215))</f>
        <v>121441937.40652324</v>
      </c>
      <c r="Y32" s="28">
        <f t="shared" si="4"/>
        <v>1</v>
      </c>
    </row>
    <row r="33" spans="1:25" x14ac:dyDescent="0.25">
      <c r="A33" t="s">
        <v>28</v>
      </c>
      <c r="B33" t="s">
        <v>10</v>
      </c>
      <c r="C33" t="s">
        <v>18</v>
      </c>
      <c r="D33" t="s">
        <v>16</v>
      </c>
      <c r="E33" t="s">
        <v>23</v>
      </c>
      <c r="F33">
        <v>414083.22210325679</v>
      </c>
      <c r="G33" s="1">
        <v>107985063.18294764</v>
      </c>
      <c r="H33">
        <v>5342879.1299136495</v>
      </c>
      <c r="I33">
        <v>502360.1</v>
      </c>
      <c r="J33">
        <v>3108305</v>
      </c>
      <c r="K33" s="1">
        <v>108000000</v>
      </c>
      <c r="L33">
        <v>1792728</v>
      </c>
      <c r="M33" s="28">
        <f t="array" ref="M33">SUM((A33=$T$5:$T$22)*(B33=$U$5:$U$22)*($V$5:$V$22=C33)*($Y$5:$Y$22))</f>
        <v>0.99999999999999978</v>
      </c>
      <c r="N33" s="28">
        <f t="shared" si="0"/>
        <v>414083.22210325667</v>
      </c>
      <c r="O33" s="28">
        <f t="array" ref="O33">SUM((A33=$T$26:$T$43)*(B33=$U$26:$U$43)*($V$26:$V$43=C33)*($Y$26:$Y$43))</f>
        <v>0.99999999999999989</v>
      </c>
      <c r="P33" s="28">
        <f t="shared" si="1"/>
        <v>5342879.1299136486</v>
      </c>
      <c r="Q33" s="28">
        <f t="array" ref="Q33">SUM((A33=$T$47:$T$64)*(B33=$U$47:$U$64)*($V$47:$V$64=C33)*($Y$47:$Y$64))</f>
        <v>1</v>
      </c>
      <c r="R33" s="1">
        <f t="shared" si="2"/>
        <v>107985063.18294764</v>
      </c>
      <c r="T33" s="28" t="s">
        <v>28</v>
      </c>
      <c r="U33" s="28" t="s">
        <v>21</v>
      </c>
      <c r="V33" s="28" t="s">
        <v>18</v>
      </c>
      <c r="W33" s="28">
        <v>61504922.001398042</v>
      </c>
      <c r="X33" s="28">
        <f t="array" ref="X33">SUM(($T33=$A$3:$A$215)*($U33=$B$3:$B$215)*($C$3:$C$215=$V33)*($H$3:$H$215))</f>
        <v>61504922.001398049</v>
      </c>
      <c r="Y33" s="28">
        <f t="shared" si="4"/>
        <v>0.99999999999999989</v>
      </c>
    </row>
    <row r="34" spans="1:25" x14ac:dyDescent="0.25">
      <c r="A34" t="s">
        <v>28</v>
      </c>
      <c r="B34" t="s">
        <v>10</v>
      </c>
      <c r="C34" t="s">
        <v>18</v>
      </c>
      <c r="D34" t="s">
        <v>16</v>
      </c>
      <c r="E34" t="s">
        <v>31</v>
      </c>
      <c r="F34">
        <v>2027847.3294079318</v>
      </c>
      <c r="G34" s="1">
        <v>373948274.35576314</v>
      </c>
      <c r="H34">
        <v>16731332.406827182</v>
      </c>
      <c r="I34">
        <v>1022598</v>
      </c>
      <c r="J34">
        <v>9004032</v>
      </c>
      <c r="K34" s="1">
        <v>374000000</v>
      </c>
      <c r="L34">
        <v>6347571</v>
      </c>
      <c r="M34" s="28">
        <f t="array" ref="M34">SUM((A34=$T$5:$T$22)*(B34=$U$5:$U$22)*($V$5:$V$22=C34)*($Y$5:$Y$22))</f>
        <v>0.99999999999999978</v>
      </c>
      <c r="N34" s="28">
        <f t="shared" si="0"/>
        <v>2027847.3294079313</v>
      </c>
      <c r="O34" s="28">
        <f t="array" ref="O34">SUM((A34=$T$26:$T$43)*(B34=$U$26:$U$43)*($V$26:$V$43=C34)*($Y$26:$Y$43))</f>
        <v>0.99999999999999989</v>
      </c>
      <c r="P34" s="28">
        <f t="shared" si="1"/>
        <v>16731332.40682718</v>
      </c>
      <c r="Q34" s="28">
        <f t="array" ref="Q34">SUM((A34=$T$47:$T$64)*(B34=$U$47:$U$64)*($V$47:$V$64=C34)*($Y$47:$Y$64))</f>
        <v>1</v>
      </c>
      <c r="R34" s="1">
        <f t="shared" si="2"/>
        <v>373948274.35576314</v>
      </c>
      <c r="T34" s="28" t="s">
        <v>28</v>
      </c>
      <c r="U34" s="28" t="s">
        <v>22</v>
      </c>
      <c r="V34" s="28" t="s">
        <v>18</v>
      </c>
      <c r="W34" s="28">
        <v>176693375.51647213</v>
      </c>
      <c r="X34" s="28">
        <f t="array" ref="X34">SUM(($T34=$A$3:$A$215)*($U34=$B$3:$B$215)*($C$3:$C$215=$V34)*($H$3:$H$215))</f>
        <v>176693375.51647216</v>
      </c>
      <c r="Y34" s="28">
        <f t="shared" si="4"/>
        <v>0.99999999999999978</v>
      </c>
    </row>
    <row r="35" spans="1:25" x14ac:dyDescent="0.25">
      <c r="A35" t="s">
        <v>28</v>
      </c>
      <c r="B35" t="s">
        <v>10</v>
      </c>
      <c r="C35" t="s">
        <v>18</v>
      </c>
      <c r="D35" t="s">
        <v>16</v>
      </c>
      <c r="E35" t="s">
        <v>32</v>
      </c>
      <c r="F35">
        <v>63011.678985724786</v>
      </c>
      <c r="G35">
        <v>17478801.279906895</v>
      </c>
      <c r="H35">
        <v>976759.3237501852</v>
      </c>
      <c r="I35">
        <v>68857.919999999998</v>
      </c>
      <c r="J35">
        <v>696799.6</v>
      </c>
      <c r="K35">
        <v>17481219</v>
      </c>
      <c r="L35">
        <v>232874.8</v>
      </c>
      <c r="M35" s="28">
        <f t="array" ref="M35">SUM((A35=$T$5:$T$22)*(B35=$U$5:$U$22)*($V$5:$V$22=C35)*($Y$5:$Y$22))</f>
        <v>0.99999999999999978</v>
      </c>
      <c r="N35" s="28">
        <f t="shared" si="0"/>
        <v>63011.678985724771</v>
      </c>
      <c r="O35" s="28">
        <f t="array" ref="O35">SUM((A35=$T$26:$T$43)*(B35=$U$26:$U$43)*($V$26:$V$43=C35)*($Y$26:$Y$43))</f>
        <v>0.99999999999999989</v>
      </c>
      <c r="P35" s="28">
        <f t="shared" si="1"/>
        <v>976759.32375018508</v>
      </c>
      <c r="Q35" s="28">
        <f t="array" ref="Q35">SUM((A35=$T$47:$T$64)*(B35=$U$47:$U$64)*($V$47:$V$64=C35)*($Y$47:$Y$64))</f>
        <v>1</v>
      </c>
      <c r="R35" s="1">
        <f t="shared" si="2"/>
        <v>17478801.279906895</v>
      </c>
      <c r="T35" s="28" t="s">
        <v>28</v>
      </c>
      <c r="U35" s="28" t="s">
        <v>10</v>
      </c>
      <c r="V35" s="28" t="s">
        <v>18</v>
      </c>
      <c r="W35" s="28">
        <v>95194462.114680842</v>
      </c>
      <c r="X35" s="28">
        <f t="array" ref="X35">SUM(($T35=$A$3:$A$215)*($U35=$B$3:$B$215)*($C$3:$C$215=$V35)*($H$3:$H$215))</f>
        <v>95194462.114680856</v>
      </c>
      <c r="Y35" s="28">
        <f t="shared" si="4"/>
        <v>0.99999999999999989</v>
      </c>
    </row>
    <row r="36" spans="1:25" x14ac:dyDescent="0.25">
      <c r="A36" t="s">
        <v>28</v>
      </c>
      <c r="B36" t="s">
        <v>10</v>
      </c>
      <c r="C36" t="s">
        <v>18</v>
      </c>
      <c r="D36" t="s">
        <v>17</v>
      </c>
      <c r="E36" t="s">
        <v>23</v>
      </c>
      <c r="F36">
        <v>364496.53406787192</v>
      </c>
      <c r="G36">
        <v>87930282.22025831</v>
      </c>
      <c r="H36">
        <v>5165707.1256056614</v>
      </c>
      <c r="I36">
        <v>388223.3</v>
      </c>
      <c r="J36">
        <v>2792643</v>
      </c>
      <c r="K36">
        <v>87942445</v>
      </c>
      <c r="L36">
        <v>2646615</v>
      </c>
      <c r="M36" s="28">
        <f t="array" ref="M36">SUM((A36=$T$5:$T$22)*(B36=$U$5:$U$22)*($V$5:$V$22=C36)*($Y$5:$Y$22))</f>
        <v>0.99999999999999978</v>
      </c>
      <c r="N36" s="28">
        <f t="shared" si="0"/>
        <v>364496.53406787186</v>
      </c>
      <c r="O36" s="28">
        <f t="array" ref="O36">SUM((A36=$T$26:$T$43)*(B36=$U$26:$U$43)*($V$26:$V$43=C36)*($Y$26:$Y$43))</f>
        <v>0.99999999999999989</v>
      </c>
      <c r="P36" s="28">
        <f t="shared" si="1"/>
        <v>5165707.1256056605</v>
      </c>
      <c r="Q36" s="28">
        <f t="array" ref="Q36">SUM((A36=$T$47:$T$64)*(B36=$U$47:$U$64)*($V$47:$V$64=C36)*($Y$47:$Y$64))</f>
        <v>1</v>
      </c>
      <c r="R36" s="1">
        <f t="shared" si="2"/>
        <v>87930282.22025831</v>
      </c>
      <c r="T36" s="28" t="s">
        <v>28</v>
      </c>
      <c r="U36" s="28" t="s">
        <v>20</v>
      </c>
      <c r="V36" s="28" t="s">
        <v>18</v>
      </c>
      <c r="W36" s="28">
        <v>638.3152524879257</v>
      </c>
      <c r="X36" s="28">
        <f t="array" ref="X36">SUM(($T36=$A$3:$A$215)*($U36=$B$3:$B$215)*($C$3:$C$215=$V36)*($H$3:$H$215))</f>
        <v>638.3152524879257</v>
      </c>
      <c r="Y36" s="28">
        <f t="shared" ref="Y36" si="6">W36/X36</f>
        <v>1</v>
      </c>
    </row>
    <row r="37" spans="1:25" x14ac:dyDescent="0.25">
      <c r="A37" t="s">
        <v>28</v>
      </c>
      <c r="B37" t="s">
        <v>10</v>
      </c>
      <c r="C37" t="s">
        <v>18</v>
      </c>
      <c r="D37" t="s">
        <v>17</v>
      </c>
      <c r="E37" t="s">
        <v>31</v>
      </c>
      <c r="F37">
        <v>2427826.2782000317</v>
      </c>
      <c r="G37" s="1">
        <v>465935550.4004963</v>
      </c>
      <c r="H37">
        <v>25012219.608179346</v>
      </c>
      <c r="I37">
        <v>1416115</v>
      </c>
      <c r="J37">
        <v>11858031</v>
      </c>
      <c r="K37" s="1">
        <v>466000000</v>
      </c>
      <c r="L37">
        <v>14525485</v>
      </c>
      <c r="M37" s="28">
        <f t="array" ref="M37">SUM((A37=$T$5:$T$22)*(B37=$U$5:$U$22)*($V$5:$V$22=C37)*($Y$5:$Y$22))</f>
        <v>0.99999999999999978</v>
      </c>
      <c r="N37" s="28">
        <f t="shared" si="0"/>
        <v>2427826.2782000313</v>
      </c>
      <c r="O37" s="28">
        <f t="array" ref="O37">SUM((A37=$T$26:$T$43)*(B37=$U$26:$U$43)*($V$26:$V$43=C37)*($Y$26:$Y$43))</f>
        <v>0.99999999999999989</v>
      </c>
      <c r="P37" s="28">
        <f t="shared" si="1"/>
        <v>25012219.608179342</v>
      </c>
      <c r="Q37" s="28">
        <f t="array" ref="Q37">SUM((A37=$T$47:$T$64)*(B37=$U$47:$U$64)*($V$47:$V$64=C37)*($Y$47:$Y$64))</f>
        <v>1</v>
      </c>
      <c r="R37" s="1">
        <f t="shared" si="2"/>
        <v>465935550.4004963</v>
      </c>
      <c r="T37" s="28" t="s">
        <v>33</v>
      </c>
      <c r="U37" s="28" t="s">
        <v>26</v>
      </c>
      <c r="V37" s="28" t="s">
        <v>18</v>
      </c>
      <c r="W37" s="28">
        <v>96870682.472346231</v>
      </c>
      <c r="X37" s="28">
        <f t="array" ref="X37">SUM(($T37=$A$3:$A$215)*($U37=$B$3:$B$215)*($C$3:$C$215=$V37)*($H$3:$H$215))</f>
        <v>96870682.472346216</v>
      </c>
      <c r="Y37" s="28">
        <f t="shared" si="4"/>
        <v>1.0000000000000002</v>
      </c>
    </row>
    <row r="38" spans="1:25" x14ac:dyDescent="0.25">
      <c r="A38" t="s">
        <v>28</v>
      </c>
      <c r="B38" t="s">
        <v>10</v>
      </c>
      <c r="C38" t="s">
        <v>18</v>
      </c>
      <c r="D38" t="s">
        <v>17</v>
      </c>
      <c r="E38" t="s">
        <v>32</v>
      </c>
      <c r="F38">
        <v>30481.552955592026</v>
      </c>
      <c r="G38">
        <v>8041536.6705858391</v>
      </c>
      <c r="H38">
        <v>571878.61390539375</v>
      </c>
      <c r="I38">
        <v>31663.16</v>
      </c>
      <c r="J38">
        <v>416578.3</v>
      </c>
      <c r="K38">
        <v>8042649</v>
      </c>
      <c r="L38">
        <v>194998.2</v>
      </c>
      <c r="M38" s="28">
        <f t="array" ref="M38">SUM((A38=$T$5:$T$22)*(B38=$U$5:$U$22)*($V$5:$V$22=C38)*($Y$5:$Y$22))</f>
        <v>0.99999999999999978</v>
      </c>
      <c r="N38" s="28">
        <f t="shared" si="0"/>
        <v>30481.552955592018</v>
      </c>
      <c r="O38" s="28">
        <f t="array" ref="O38">SUM((A38=$T$26:$T$43)*(B38=$U$26:$U$43)*($V$26:$V$43=C38)*($Y$26:$Y$43))</f>
        <v>0.99999999999999989</v>
      </c>
      <c r="P38" s="28">
        <f t="shared" si="1"/>
        <v>571878.61390539363</v>
      </c>
      <c r="Q38" s="28">
        <f t="array" ref="Q38">SUM((A38=$T$47:$T$64)*(B38=$U$47:$U$64)*($V$47:$V$64=C38)*($Y$47:$Y$64))</f>
        <v>1</v>
      </c>
      <c r="R38" s="1">
        <f t="shared" si="2"/>
        <v>8041536.6705858391</v>
      </c>
      <c r="T38" s="28" t="s">
        <v>29</v>
      </c>
      <c r="U38" s="28" t="s">
        <v>26</v>
      </c>
      <c r="V38" s="28" t="s">
        <v>19</v>
      </c>
      <c r="W38" s="28">
        <v>45162068.195891909</v>
      </c>
      <c r="X38" s="28">
        <f t="array" ref="X38">SUM(($T38=$A$3:$A$215)*($U38=$B$3:$B$215)*($C$3:$C$215=$V38)*($H$3:$H$215))</f>
        <v>45162068.195891909</v>
      </c>
      <c r="Y38" s="28">
        <f t="shared" si="4"/>
        <v>1</v>
      </c>
    </row>
    <row r="39" spans="1:25" x14ac:dyDescent="0.25">
      <c r="A39" t="s">
        <v>28</v>
      </c>
      <c r="B39" t="s">
        <v>10</v>
      </c>
      <c r="C39" t="s">
        <v>19</v>
      </c>
      <c r="D39" t="s">
        <v>12</v>
      </c>
      <c r="E39" s="28" t="s">
        <v>25</v>
      </c>
      <c r="F39">
        <v>2328.2245909457897</v>
      </c>
      <c r="G39">
        <v>0</v>
      </c>
      <c r="H39">
        <v>42146.171461695223</v>
      </c>
      <c r="I39">
        <v>1276.289</v>
      </c>
      <c r="J39">
        <v>0</v>
      </c>
      <c r="K39">
        <v>0</v>
      </c>
      <c r="L39">
        <v>14034.68</v>
      </c>
      <c r="M39" s="28">
        <f t="array" ref="M39">SUM((A39=$T$5:$T$22)*(B39=$U$5:$U$22)*($V$5:$V$22=C39)*($Y$5:$Y$22))</f>
        <v>1</v>
      </c>
      <c r="N39" s="28">
        <f t="shared" si="0"/>
        <v>2328.2245909457897</v>
      </c>
      <c r="O39" s="28">
        <f t="array" ref="O39">SUM((A39=$T$26:$T$43)*(B39=$U$26:$U$43)*($V$26:$V$43=C39)*($Y$26:$Y$43))</f>
        <v>0.99999999999999989</v>
      </c>
      <c r="P39" s="28">
        <f t="shared" si="1"/>
        <v>42146.171461695216</v>
      </c>
      <c r="Q39" s="28">
        <f t="array" ref="Q39">SUM((A39=$T$47:$T$64)*(B39=$U$47:$U$64)*($V$47:$V$64=C39)*($Y$47:$Y$64))</f>
        <v>1</v>
      </c>
      <c r="R39" s="1">
        <f t="shared" si="2"/>
        <v>0</v>
      </c>
      <c r="T39" s="28" t="s">
        <v>28</v>
      </c>
      <c r="U39" s="28" t="s">
        <v>21</v>
      </c>
      <c r="V39" s="28" t="s">
        <v>19</v>
      </c>
      <c r="W39" s="28">
        <v>1948741.7706900514</v>
      </c>
      <c r="X39" s="28">
        <f t="array" ref="X39">SUM(($T39=$A$3:$A$215)*($U39=$B$3:$B$215)*($C$3:$C$215=$V39)*($H$3:$H$215))</f>
        <v>1948741.7706900514</v>
      </c>
      <c r="Y39" s="28">
        <f t="shared" si="4"/>
        <v>1</v>
      </c>
    </row>
    <row r="40" spans="1:25" x14ac:dyDescent="0.25">
      <c r="A40" t="s">
        <v>28</v>
      </c>
      <c r="B40" t="s">
        <v>10</v>
      </c>
      <c r="C40" t="s">
        <v>19</v>
      </c>
      <c r="D40" t="s">
        <v>13</v>
      </c>
      <c r="E40" s="28" t="s">
        <v>25</v>
      </c>
      <c r="F40">
        <v>52095.390847172115</v>
      </c>
      <c r="G40">
        <v>0</v>
      </c>
      <c r="H40">
        <v>1352412.0469037676</v>
      </c>
      <c r="I40">
        <v>43256.98</v>
      </c>
      <c r="J40">
        <v>0</v>
      </c>
      <c r="K40">
        <v>0</v>
      </c>
      <c r="L40">
        <v>450353.3</v>
      </c>
      <c r="M40" s="28">
        <f t="array" ref="M40">SUM((A40=$T$5:$T$22)*(B40=$U$5:$U$22)*($V$5:$V$22=C40)*($Y$5:$Y$22))</f>
        <v>1</v>
      </c>
      <c r="N40" s="28">
        <f t="shared" si="0"/>
        <v>52095.390847172115</v>
      </c>
      <c r="O40" s="28">
        <f t="array" ref="O40">SUM((A40=$T$26:$T$43)*(B40=$U$26:$U$43)*($V$26:$V$43=C40)*($Y$26:$Y$43))</f>
        <v>0.99999999999999989</v>
      </c>
      <c r="P40" s="28">
        <f t="shared" si="1"/>
        <v>1352412.0469037674</v>
      </c>
      <c r="Q40" s="28">
        <f t="array" ref="Q40">SUM((A40=$T$47:$T$64)*(B40=$U$47:$U$64)*($V$47:$V$64=C40)*($Y$47:$Y$64))</f>
        <v>1</v>
      </c>
      <c r="R40" s="1">
        <f t="shared" si="2"/>
        <v>0</v>
      </c>
      <c r="T40" s="28" t="s">
        <v>28</v>
      </c>
      <c r="U40" s="28" t="s">
        <v>22</v>
      </c>
      <c r="V40" s="28" t="s">
        <v>19</v>
      </c>
      <c r="W40" s="28">
        <v>1019010.2710351259</v>
      </c>
      <c r="X40" s="28">
        <f t="array" ref="X40">SUM(($T40=$A$3:$A$215)*($U40=$B$3:$B$215)*($C$3:$C$215=$V40)*($H$3:$H$215))</f>
        <v>1019010.2710351258</v>
      </c>
      <c r="Y40" s="28">
        <f t="shared" si="4"/>
        <v>1.0000000000000002</v>
      </c>
    </row>
    <row r="41" spans="1:25" x14ac:dyDescent="0.25">
      <c r="A41" t="s">
        <v>28</v>
      </c>
      <c r="B41" t="s">
        <v>10</v>
      </c>
      <c r="C41" t="s">
        <v>19</v>
      </c>
      <c r="D41" t="s">
        <v>14</v>
      </c>
      <c r="E41" s="28" t="s">
        <v>25</v>
      </c>
      <c r="F41">
        <v>136887.37594976116</v>
      </c>
      <c r="G41">
        <v>0</v>
      </c>
      <c r="H41">
        <v>4086739.141734513</v>
      </c>
      <c r="I41">
        <v>130431.9</v>
      </c>
      <c r="J41">
        <v>0</v>
      </c>
      <c r="K41">
        <v>0</v>
      </c>
      <c r="L41">
        <v>1360884</v>
      </c>
      <c r="M41" s="28">
        <f t="array" ref="M41">SUM((A41=$T$5:$T$22)*(B41=$U$5:$U$22)*($V$5:$V$22=C41)*($Y$5:$Y$22))</f>
        <v>1</v>
      </c>
      <c r="N41" s="28">
        <f t="shared" si="0"/>
        <v>136887.37594976116</v>
      </c>
      <c r="O41" s="28">
        <f t="array" ref="O41">SUM((A41=$T$26:$T$43)*(B41=$U$26:$U$43)*($V$26:$V$43=C41)*($Y$26:$Y$43))</f>
        <v>0.99999999999999989</v>
      </c>
      <c r="P41" s="28">
        <f t="shared" si="1"/>
        <v>4086739.1417345125</v>
      </c>
      <c r="Q41" s="28">
        <f t="array" ref="Q41">SUM((A41=$T$47:$T$64)*(B41=$U$47:$U$64)*($V$47:$V$64=C41)*($Y$47:$Y$64))</f>
        <v>1</v>
      </c>
      <c r="R41" s="1">
        <f t="shared" si="2"/>
        <v>0</v>
      </c>
      <c r="T41" s="28" t="s">
        <v>28</v>
      </c>
      <c r="U41" s="28" t="s">
        <v>10</v>
      </c>
      <c r="V41" s="28" t="s">
        <v>19</v>
      </c>
      <c r="W41" s="28">
        <v>13622856.542461997</v>
      </c>
      <c r="X41" s="28">
        <f t="array" ref="X41">SUM(($T41=$A$3:$A$215)*($U41=$B$3:$B$215)*($C$3:$C$215=$V41)*($H$3:$H$215))</f>
        <v>13622856.542461999</v>
      </c>
      <c r="Y41" s="28">
        <f t="shared" si="4"/>
        <v>0.99999999999999989</v>
      </c>
    </row>
    <row r="42" spans="1:25" x14ac:dyDescent="0.25">
      <c r="A42" t="s">
        <v>28</v>
      </c>
      <c r="B42" t="s">
        <v>10</v>
      </c>
      <c r="C42" t="s">
        <v>19</v>
      </c>
      <c r="D42" t="s">
        <v>15</v>
      </c>
      <c r="E42" s="28" t="s">
        <v>25</v>
      </c>
      <c r="F42">
        <v>203597.56422920662</v>
      </c>
      <c r="G42">
        <v>0</v>
      </c>
      <c r="H42">
        <v>4697684.1629230436</v>
      </c>
      <c r="I42">
        <v>149208</v>
      </c>
      <c r="J42">
        <v>0</v>
      </c>
      <c r="K42">
        <v>0</v>
      </c>
      <c r="L42">
        <v>1564329</v>
      </c>
      <c r="M42" s="28">
        <f t="array" ref="M42">SUM((A42=$T$5:$T$22)*(B42=$U$5:$U$22)*($V$5:$V$22=C42)*($Y$5:$Y$22))</f>
        <v>1</v>
      </c>
      <c r="N42" s="28">
        <f t="shared" si="0"/>
        <v>203597.56422920662</v>
      </c>
      <c r="O42" s="28">
        <f t="array" ref="O42">SUM((A42=$T$26:$T$43)*(B42=$U$26:$U$43)*($V$26:$V$43=C42)*($Y$26:$Y$43))</f>
        <v>0.99999999999999989</v>
      </c>
      <c r="P42" s="28">
        <f t="shared" si="1"/>
        <v>4697684.1629230427</v>
      </c>
      <c r="Q42" s="28">
        <f t="array" ref="Q42">SUM((A42=$T$47:$T$64)*(B42=$U$47:$U$64)*($V$47:$V$64=C42)*($Y$47:$Y$64))</f>
        <v>1</v>
      </c>
      <c r="R42" s="1">
        <f t="shared" si="2"/>
        <v>0</v>
      </c>
      <c r="T42" s="28" t="s">
        <v>28</v>
      </c>
      <c r="U42" s="28" t="s">
        <v>20</v>
      </c>
      <c r="V42" s="28" t="s">
        <v>19</v>
      </c>
      <c r="W42" s="28">
        <v>0</v>
      </c>
      <c r="X42" s="28">
        <f t="array" ref="X42">SUM(($T42=$A$3:$A$215)*($U42=$B$3:$B$215)*($C$3:$C$215=$V42)*($H$3:$H$215))</f>
        <v>0</v>
      </c>
      <c r="Y42" s="92">
        <v>1</v>
      </c>
    </row>
    <row r="43" spans="1:25" x14ac:dyDescent="0.25">
      <c r="A43" t="s">
        <v>28</v>
      </c>
      <c r="B43" t="s">
        <v>10</v>
      </c>
      <c r="C43" t="s">
        <v>19</v>
      </c>
      <c r="D43" t="s">
        <v>16</v>
      </c>
      <c r="E43" s="28" t="s">
        <v>25</v>
      </c>
      <c r="F43">
        <v>114918.4798095561</v>
      </c>
      <c r="G43">
        <v>0</v>
      </c>
      <c r="H43">
        <v>2537223.0879948698</v>
      </c>
      <c r="I43">
        <v>79542.460000000006</v>
      </c>
      <c r="J43">
        <v>0</v>
      </c>
      <c r="K43">
        <v>0</v>
      </c>
      <c r="L43">
        <v>844895.1</v>
      </c>
      <c r="M43" s="28">
        <f t="array" ref="M43">SUM((A43=$T$5:$T$22)*(B43=$U$5:$U$22)*($V$5:$V$22=C43)*($Y$5:$Y$22))</f>
        <v>1</v>
      </c>
      <c r="N43" s="28">
        <f t="shared" si="0"/>
        <v>114918.4798095561</v>
      </c>
      <c r="O43" s="28">
        <f t="array" ref="O43">SUM((A43=$T$26:$T$43)*(B43=$U$26:$U$43)*($V$26:$V$43=C43)*($Y$26:$Y$43))</f>
        <v>0.99999999999999989</v>
      </c>
      <c r="P43" s="28">
        <f t="shared" si="1"/>
        <v>2537223.0879948693</v>
      </c>
      <c r="Q43" s="28">
        <f t="array" ref="Q43">SUM((A43=$T$47:$T$64)*(B43=$U$47:$U$64)*($V$47:$V$64=C43)*($Y$47:$Y$64))</f>
        <v>1</v>
      </c>
      <c r="R43" s="1">
        <f t="shared" si="2"/>
        <v>0</v>
      </c>
      <c r="T43" s="28" t="s">
        <v>33</v>
      </c>
      <c r="U43" s="28" t="s">
        <v>26</v>
      </c>
      <c r="V43" s="28" t="s">
        <v>19</v>
      </c>
      <c r="W43" s="28">
        <v>28746448.378230847</v>
      </c>
      <c r="X43" s="28">
        <f t="array" ref="X43">SUM(($T43=$A$3:$A$215)*($U43=$B$3:$B$215)*($C$3:$C$215=$V43)*($H$3:$H$215))</f>
        <v>28746448.378230847</v>
      </c>
      <c r="Y43" s="28">
        <f t="shared" si="4"/>
        <v>1</v>
      </c>
    </row>
    <row r="44" spans="1:25" x14ac:dyDescent="0.25">
      <c r="A44" t="s">
        <v>28</v>
      </c>
      <c r="B44" t="s">
        <v>10</v>
      </c>
      <c r="C44" t="s">
        <v>19</v>
      </c>
      <c r="D44" t="s">
        <v>17</v>
      </c>
      <c r="E44" s="28" t="s">
        <v>25</v>
      </c>
      <c r="F44">
        <v>50198.471180448803</v>
      </c>
      <c r="G44">
        <v>0</v>
      </c>
      <c r="H44">
        <v>906651.93144410884</v>
      </c>
      <c r="I44">
        <v>27589.73</v>
      </c>
      <c r="J44">
        <v>0</v>
      </c>
      <c r="K44">
        <v>0</v>
      </c>
      <c r="L44">
        <v>301915.09999999998</v>
      </c>
      <c r="M44" s="28">
        <f t="array" ref="M44">SUM((A44=$T$5:$T$22)*(B44=$U$5:$U$22)*($V$5:$V$22=C44)*($Y$5:$Y$22))</f>
        <v>1</v>
      </c>
      <c r="N44" s="28">
        <f t="shared" si="0"/>
        <v>50198.471180448803</v>
      </c>
      <c r="O44" s="28">
        <f t="array" ref="O44">SUM((A44=$T$26:$T$43)*(B44=$U$26:$U$43)*($V$26:$V$43=C44)*($Y$26:$Y$43))</f>
        <v>0.99999999999999989</v>
      </c>
      <c r="P44" s="28">
        <f t="shared" si="1"/>
        <v>906651.93144410872</v>
      </c>
      <c r="Q44" s="28">
        <f t="array" ref="Q44">SUM((A44=$T$47:$T$64)*(B44=$U$47:$U$64)*($V$47:$V$64=C44)*($Y$47:$Y$64))</f>
        <v>1</v>
      </c>
      <c r="R44" s="1">
        <f t="shared" si="2"/>
        <v>0</v>
      </c>
    </row>
    <row r="45" spans="1:25" x14ac:dyDescent="0.25">
      <c r="A45" t="s">
        <v>28</v>
      </c>
      <c r="B45" t="s">
        <v>20</v>
      </c>
      <c r="C45" t="s">
        <v>11</v>
      </c>
      <c r="D45" t="s">
        <v>12</v>
      </c>
      <c r="E45" t="s">
        <v>23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s="28">
        <f t="array" ref="M45">SUM((A45=$T$5:$T$22)*(B45=$U$5:$U$22)*($V$5:$V$22=C45)*($Y$5:$Y$22))</f>
        <v>1</v>
      </c>
      <c r="N45" s="28">
        <f t="shared" si="0"/>
        <v>0</v>
      </c>
      <c r="O45" s="28">
        <f t="array" ref="O45">SUM((A45=$T$26:$T$43)*(B45=$U$26:$U$43)*($V$26:$V$43=C45)*($Y$26:$Y$43))</f>
        <v>0.99999999999999989</v>
      </c>
      <c r="P45" s="28">
        <f t="shared" si="1"/>
        <v>0</v>
      </c>
      <c r="Q45" s="28">
        <f t="array" ref="Q45">SUM((A45=$T$47:$T$64)*(B45=$U$47:$U$64)*($V$47:$V$64=C45)*($Y$47:$Y$64))</f>
        <v>1.0000000000000002</v>
      </c>
      <c r="R45" s="1">
        <f t="shared" si="2"/>
        <v>0</v>
      </c>
    </row>
    <row r="46" spans="1:25" x14ac:dyDescent="0.25">
      <c r="A46" t="s">
        <v>28</v>
      </c>
      <c r="B46" t="s">
        <v>20</v>
      </c>
      <c r="C46" t="s">
        <v>11</v>
      </c>
      <c r="D46" t="s">
        <v>12</v>
      </c>
      <c r="E46" t="s">
        <v>31</v>
      </c>
      <c r="F46">
        <v>18643.558224934146</v>
      </c>
      <c r="G46">
        <v>11650784.28453986</v>
      </c>
      <c r="H46">
        <v>1263762.0443477584</v>
      </c>
      <c r="I46">
        <v>17906.580000000002</v>
      </c>
      <c r="J46">
        <v>245263.5</v>
      </c>
      <c r="K46">
        <v>11650784</v>
      </c>
      <c r="L46">
        <v>1118771</v>
      </c>
      <c r="M46" s="28">
        <f t="array" ref="M46">SUM((A46=$T$5:$T$22)*(B46=$U$5:$U$22)*($V$5:$V$22=C46)*($Y$5:$Y$22))</f>
        <v>1</v>
      </c>
      <c r="N46" s="28">
        <f t="shared" si="0"/>
        <v>18643.558224934146</v>
      </c>
      <c r="O46" s="28">
        <f t="array" ref="O46">SUM((A46=$T$26:$T$43)*(B46=$U$26:$U$43)*($V$26:$V$43=C46)*($Y$26:$Y$43))</f>
        <v>0.99999999999999989</v>
      </c>
      <c r="P46" s="28">
        <f t="shared" si="1"/>
        <v>1263762.0443477582</v>
      </c>
      <c r="Q46" s="28">
        <f t="array" ref="Q46">SUM((A46=$T$47:$T$64)*(B46=$U$47:$U$64)*($V$47:$V$64=C46)*($Y$47:$Y$64))</f>
        <v>1.0000000000000002</v>
      </c>
      <c r="R46" s="1">
        <f t="shared" si="2"/>
        <v>11650784.284539862</v>
      </c>
      <c r="T46" s="28" t="s">
        <v>66</v>
      </c>
      <c r="U46" s="28"/>
      <c r="V46" s="28"/>
      <c r="W46" s="28" t="s">
        <v>53</v>
      </c>
      <c r="X46" s="28" t="s">
        <v>54</v>
      </c>
      <c r="Y46" s="28" t="s">
        <v>55</v>
      </c>
    </row>
    <row r="47" spans="1:25" x14ac:dyDescent="0.25">
      <c r="A47" t="s">
        <v>28</v>
      </c>
      <c r="B47" t="s">
        <v>20</v>
      </c>
      <c r="C47" t="s">
        <v>11</v>
      </c>
      <c r="D47" t="s">
        <v>13</v>
      </c>
      <c r="E47" t="s">
        <v>31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s="28">
        <f t="array" ref="M47">SUM((A47=$T$5:$T$22)*(B47=$U$5:$U$22)*($V$5:$V$22=C47)*($Y$5:$Y$22))</f>
        <v>1</v>
      </c>
      <c r="N47" s="28">
        <f t="shared" si="0"/>
        <v>0</v>
      </c>
      <c r="O47" s="28">
        <f t="array" ref="O47">SUM((A47=$T$26:$T$43)*(B47=$U$26:$U$43)*($V$26:$V$43=C47)*($Y$26:$Y$43))</f>
        <v>0.99999999999999989</v>
      </c>
      <c r="P47" s="28">
        <f t="shared" si="1"/>
        <v>0</v>
      </c>
      <c r="Q47" s="28">
        <f t="array" ref="Q47">SUM((A47=$T$47:$T$64)*(B47=$U$47:$U$64)*($V$47:$V$64=C47)*($Y$47:$Y$64))</f>
        <v>1.0000000000000002</v>
      </c>
      <c r="R47" s="1">
        <f t="shared" si="2"/>
        <v>0</v>
      </c>
      <c r="T47" s="28" t="s">
        <v>29</v>
      </c>
      <c r="U47" s="28" t="s">
        <v>26</v>
      </c>
      <c r="V47" s="28" t="s">
        <v>11</v>
      </c>
      <c r="W47" s="28">
        <v>6641929924.0301304</v>
      </c>
      <c r="X47" s="28">
        <f t="array" ref="X47">SUM(($T47=$A$3:$A$215)*($U47=$B$3:$B$215)*($C$3:$C$215=$V47)*($G$3:$G$215))</f>
        <v>6641929924.0301313</v>
      </c>
      <c r="Y47" s="28">
        <f>W47/X47</f>
        <v>0.99999999999999989</v>
      </c>
    </row>
    <row r="48" spans="1:25" x14ac:dyDescent="0.25">
      <c r="A48" t="s">
        <v>28</v>
      </c>
      <c r="B48" t="s">
        <v>20</v>
      </c>
      <c r="C48" t="s">
        <v>11</v>
      </c>
      <c r="D48" t="s">
        <v>14</v>
      </c>
      <c r="E48" t="s">
        <v>31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s="28">
        <f t="array" ref="M48">SUM((A48=$T$5:$T$22)*(B48=$U$5:$U$22)*($V$5:$V$22=C48)*($Y$5:$Y$22))</f>
        <v>1</v>
      </c>
      <c r="N48" s="28">
        <f t="shared" si="0"/>
        <v>0</v>
      </c>
      <c r="O48" s="28">
        <f t="array" ref="O48">SUM((A48=$T$26:$T$43)*(B48=$U$26:$U$43)*($V$26:$V$43=C48)*($Y$26:$Y$43))</f>
        <v>0.99999999999999989</v>
      </c>
      <c r="P48" s="28">
        <f t="shared" si="1"/>
        <v>0</v>
      </c>
      <c r="Q48" s="28">
        <f t="array" ref="Q48">SUM((A48=$T$47:$T$64)*(B48=$U$47:$U$64)*($V$47:$V$64=C48)*($Y$47:$Y$64))</f>
        <v>1.0000000000000002</v>
      </c>
      <c r="R48" s="1">
        <f t="shared" si="2"/>
        <v>0</v>
      </c>
      <c r="T48" s="28" t="s">
        <v>28</v>
      </c>
      <c r="U48" s="28" t="s">
        <v>21</v>
      </c>
      <c r="V48" s="28" t="s">
        <v>11</v>
      </c>
      <c r="W48" s="28">
        <v>1255669235.9943969</v>
      </c>
      <c r="X48" s="28">
        <f t="array" ref="X48">SUM(($T48=$A$3:$A$215)*($U48=$B$3:$B$215)*($C$3:$C$215=$V48)*($G$3:$G$215))</f>
        <v>1255669235.9943967</v>
      </c>
      <c r="Y48" s="28">
        <f>W48/X48</f>
        <v>1.0000000000000002</v>
      </c>
    </row>
    <row r="49" spans="1:25" x14ac:dyDescent="0.25">
      <c r="A49" t="s">
        <v>28</v>
      </c>
      <c r="B49" t="s">
        <v>20</v>
      </c>
      <c r="C49" t="s">
        <v>11</v>
      </c>
      <c r="D49" t="s">
        <v>15</v>
      </c>
      <c r="E49" t="s">
        <v>31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s="28">
        <f t="array" ref="M49">SUM((A49=$T$5:$T$22)*(B49=$U$5:$U$22)*($V$5:$V$22=C49)*($Y$5:$Y$22))</f>
        <v>1</v>
      </c>
      <c r="N49" s="28">
        <f t="shared" si="0"/>
        <v>0</v>
      </c>
      <c r="O49" s="28">
        <f t="array" ref="O49">SUM((A49=$T$26:$T$43)*(B49=$U$26:$U$43)*($V$26:$V$43=C49)*($Y$26:$Y$43))</f>
        <v>0.99999999999999989</v>
      </c>
      <c r="P49" s="28">
        <f t="shared" si="1"/>
        <v>0</v>
      </c>
      <c r="Q49" s="28">
        <f t="array" ref="Q49">SUM((A49=$T$47:$T$64)*(B49=$U$47:$U$64)*($V$47:$V$64=C49)*($Y$47:$Y$64))</f>
        <v>1.0000000000000002</v>
      </c>
      <c r="R49" s="1">
        <f t="shared" si="2"/>
        <v>0</v>
      </c>
      <c r="T49" s="28" t="s">
        <v>28</v>
      </c>
      <c r="U49" s="28" t="s">
        <v>22</v>
      </c>
      <c r="V49" s="28" t="s">
        <v>11</v>
      </c>
      <c r="W49" s="28">
        <v>4109956451.3147922</v>
      </c>
      <c r="X49" s="28">
        <f t="array" ref="X49">SUM(($T49=$A$3:$A$215)*($U49=$B$3:$B$215)*($C$3:$C$215=$V49)*($G$3:$G$215))</f>
        <v>4109956451.3147917</v>
      </c>
      <c r="Y49" s="28">
        <f t="shared" ref="Y49:Y58" si="7">W49/X49</f>
        <v>1.0000000000000002</v>
      </c>
    </row>
    <row r="50" spans="1:25" x14ac:dyDescent="0.25">
      <c r="A50" t="s">
        <v>28</v>
      </c>
      <c r="B50" t="s">
        <v>20</v>
      </c>
      <c r="C50" t="s">
        <v>11</v>
      </c>
      <c r="D50" t="s">
        <v>16</v>
      </c>
      <c r="E50" t="s">
        <v>31</v>
      </c>
      <c r="F50">
        <v>4721.5627328668861</v>
      </c>
      <c r="G50">
        <v>2650570.0647332245</v>
      </c>
      <c r="H50">
        <v>103940.80364747594</v>
      </c>
      <c r="I50">
        <v>4590.3959999999997</v>
      </c>
      <c r="J50">
        <v>54798.27</v>
      </c>
      <c r="K50">
        <v>2650570</v>
      </c>
      <c r="L50">
        <v>51326.55</v>
      </c>
      <c r="M50" s="28">
        <f t="array" ref="M50">SUM((A50=$T$5:$T$22)*(B50=$U$5:$U$22)*($V$5:$V$22=C50)*($Y$5:$Y$22))</f>
        <v>1</v>
      </c>
      <c r="N50" s="28">
        <f t="shared" si="0"/>
        <v>4721.5627328668861</v>
      </c>
      <c r="O50" s="28">
        <f t="array" ref="O50">SUM((A50=$T$26:$T$43)*(B50=$U$26:$U$43)*($V$26:$V$43=C50)*($Y$26:$Y$43))</f>
        <v>0.99999999999999989</v>
      </c>
      <c r="P50" s="28">
        <f t="shared" si="1"/>
        <v>103940.80364747593</v>
      </c>
      <c r="Q50" s="28">
        <f t="array" ref="Q50">SUM((A50=$T$47:$T$64)*(B50=$U$47:$U$64)*($V$47:$V$64=C50)*($Y$47:$Y$64))</f>
        <v>1.0000000000000002</v>
      </c>
      <c r="R50" s="1">
        <f t="shared" si="2"/>
        <v>2650570.0647332249</v>
      </c>
      <c r="T50" s="28" t="s">
        <v>28</v>
      </c>
      <c r="U50" s="28" t="s">
        <v>10</v>
      </c>
      <c r="V50" s="28" t="s">
        <v>11</v>
      </c>
      <c r="W50" s="28">
        <v>5918402754.4746399</v>
      </c>
      <c r="X50" s="28">
        <f t="array" ref="X50">SUM(($T50=$A$3:$A$215)*($U50=$B$3:$B$215)*($C$3:$C$215=$V50)*($G$3:$G$215))</f>
        <v>5918402754.4746399</v>
      </c>
      <c r="Y50" s="28">
        <f t="shared" si="7"/>
        <v>1</v>
      </c>
    </row>
    <row r="51" spans="1:25" x14ac:dyDescent="0.25">
      <c r="A51" t="s">
        <v>28</v>
      </c>
      <c r="B51" t="s">
        <v>20</v>
      </c>
      <c r="C51" t="s">
        <v>11</v>
      </c>
      <c r="D51" t="s">
        <v>17</v>
      </c>
      <c r="E51" t="s">
        <v>31</v>
      </c>
      <c r="F51">
        <v>1037.5993258715455</v>
      </c>
      <c r="G51">
        <v>754215.81841974403</v>
      </c>
      <c r="H51">
        <v>46323.381625573536</v>
      </c>
      <c r="I51">
        <v>1066.931</v>
      </c>
      <c r="J51">
        <v>15752.12</v>
      </c>
      <c r="K51">
        <v>754215.8</v>
      </c>
      <c r="L51">
        <v>32667.68</v>
      </c>
      <c r="M51" s="28">
        <f t="array" ref="M51">SUM((A51=$T$5:$T$22)*(B51=$U$5:$U$22)*($V$5:$V$22=C51)*($Y$5:$Y$22))</f>
        <v>1</v>
      </c>
      <c r="N51" s="28">
        <f t="shared" si="0"/>
        <v>1037.5993258715455</v>
      </c>
      <c r="O51" s="28">
        <f t="array" ref="O51">SUM((A51=$T$26:$T$43)*(B51=$U$26:$U$43)*($V$26:$V$43=C51)*($Y$26:$Y$43))</f>
        <v>0.99999999999999989</v>
      </c>
      <c r="P51" s="28">
        <f t="shared" si="1"/>
        <v>46323.381625573529</v>
      </c>
      <c r="Q51" s="28">
        <f t="array" ref="Q51">SUM((A51=$T$47:$T$64)*(B51=$U$47:$U$64)*($V$47:$V$64=C51)*($Y$47:$Y$64))</f>
        <v>1.0000000000000002</v>
      </c>
      <c r="R51" s="1">
        <f t="shared" si="2"/>
        <v>754215.81841974414</v>
      </c>
      <c r="T51" s="28" t="s">
        <v>28</v>
      </c>
      <c r="U51" s="28" t="s">
        <v>20</v>
      </c>
      <c r="V51" s="28" t="s">
        <v>11</v>
      </c>
      <c r="W51" s="28">
        <v>15055570.167692829</v>
      </c>
      <c r="X51" s="28">
        <f t="array" ref="X51">SUM(($T51=$A$3:$A$215)*($U51=$B$3:$B$215)*($C$3:$C$215=$V51)*($G$3:$G$215))</f>
        <v>15055570.167692827</v>
      </c>
      <c r="Y51" s="28">
        <f t="shared" si="7"/>
        <v>1.0000000000000002</v>
      </c>
    </row>
    <row r="52" spans="1:25" x14ac:dyDescent="0.25">
      <c r="A52" t="s">
        <v>28</v>
      </c>
      <c r="B52" t="s">
        <v>20</v>
      </c>
      <c r="C52" t="s">
        <v>18</v>
      </c>
      <c r="D52" t="s">
        <v>12</v>
      </c>
      <c r="E52" t="s">
        <v>31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s="28">
        <f t="array" ref="M52">SUM((A52=$T$5:$T$22)*(B52=$U$5:$U$22)*($V$5:$V$22=C52)*($Y$5:$Y$22))</f>
        <v>1</v>
      </c>
      <c r="N52" s="28">
        <f t="shared" si="0"/>
        <v>0</v>
      </c>
      <c r="O52" s="28">
        <f t="array" ref="O52">SUM((A52=$T$26:$T$43)*(B52=$U$26:$U$43)*($V$26:$V$43=C52)*($Y$26:$Y$43))</f>
        <v>1</v>
      </c>
      <c r="P52" s="28">
        <f t="shared" si="1"/>
        <v>0</v>
      </c>
      <c r="Q52" s="28">
        <f t="array" ref="Q52">SUM((A52=$T$47:$T$64)*(B52=$U$47:$U$64)*($V$47:$V$64=C52)*($Y$47:$Y$64))</f>
        <v>1</v>
      </c>
      <c r="R52" s="1">
        <f t="shared" si="2"/>
        <v>0</v>
      </c>
      <c r="T52" s="28" t="s">
        <v>33</v>
      </c>
      <c r="U52" s="28" t="s">
        <v>26</v>
      </c>
      <c r="V52" s="28" t="s">
        <v>11</v>
      </c>
      <c r="W52" s="28">
        <v>14540891144.230352</v>
      </c>
      <c r="X52" s="28">
        <f t="array" ref="X52">SUM(($T52=$A$3:$A$215)*($U52=$B$3:$B$215)*($C$3:$C$215=$V52)*($G$3:$G$215))</f>
        <v>14540891144.230358</v>
      </c>
      <c r="Y52" s="28">
        <f>W52/X52</f>
        <v>0.99999999999999956</v>
      </c>
    </row>
    <row r="53" spans="1:25" x14ac:dyDescent="0.25">
      <c r="A53" t="s">
        <v>28</v>
      </c>
      <c r="B53" t="s">
        <v>20</v>
      </c>
      <c r="C53" t="s">
        <v>18</v>
      </c>
      <c r="D53" t="s">
        <v>13</v>
      </c>
      <c r="E53" t="s">
        <v>31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s="28">
        <f t="array" ref="M53">SUM((A53=$T$5:$T$22)*(B53=$U$5:$U$22)*($V$5:$V$22=C53)*($Y$5:$Y$22))</f>
        <v>1</v>
      </c>
      <c r="N53" s="28">
        <f t="shared" si="0"/>
        <v>0</v>
      </c>
      <c r="O53" s="28">
        <f t="array" ref="O53">SUM((A53=$T$26:$T$43)*(B53=$U$26:$U$43)*($V$26:$V$43=C53)*($Y$26:$Y$43))</f>
        <v>1</v>
      </c>
      <c r="P53" s="28">
        <f t="shared" si="1"/>
        <v>0</v>
      </c>
      <c r="Q53" s="28">
        <f t="array" ref="Q53">SUM((A53=$T$47:$T$64)*(B53=$U$47:$U$64)*($V$47:$V$64=C53)*($Y$47:$Y$64))</f>
        <v>1</v>
      </c>
      <c r="R53" s="1">
        <f t="shared" si="2"/>
        <v>0</v>
      </c>
      <c r="T53" s="28" t="s">
        <v>29</v>
      </c>
      <c r="U53" s="28" t="s">
        <v>26</v>
      </c>
      <c r="V53" s="28" t="s">
        <v>18</v>
      </c>
      <c r="W53" s="28">
        <v>2223416523.4526262</v>
      </c>
      <c r="X53" s="28">
        <f t="array" ref="X53">SUM(($T53=$A$3:$A$215)*($U53=$B$3:$B$215)*($C$3:$C$215=$V53)*($G$3:$G$215))</f>
        <v>2223416523.4526262</v>
      </c>
      <c r="Y53" s="28">
        <f>W53/X53</f>
        <v>1</v>
      </c>
    </row>
    <row r="54" spans="1:25" x14ac:dyDescent="0.25">
      <c r="A54" t="s">
        <v>28</v>
      </c>
      <c r="B54" t="s">
        <v>20</v>
      </c>
      <c r="C54" t="s">
        <v>18</v>
      </c>
      <c r="D54" t="s">
        <v>14</v>
      </c>
      <c r="E54" t="s">
        <v>31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s="28">
        <f t="array" ref="M54">SUM((A54=$T$5:$T$22)*(B54=$U$5:$U$22)*($V$5:$V$22=C54)*($Y$5:$Y$22))</f>
        <v>1</v>
      </c>
      <c r="N54" s="28">
        <f t="shared" si="0"/>
        <v>0</v>
      </c>
      <c r="O54" s="28">
        <f t="array" ref="O54">SUM((A54=$T$26:$T$43)*(B54=$U$26:$U$43)*($V$26:$V$43=C54)*($Y$26:$Y$43))</f>
        <v>1</v>
      </c>
      <c r="P54" s="28">
        <f t="shared" si="1"/>
        <v>0</v>
      </c>
      <c r="Q54" s="28">
        <f t="array" ref="Q54">SUM((A54=$T$47:$T$64)*(B54=$U$47:$U$64)*($V$47:$V$64=C54)*($Y$47:$Y$64))</f>
        <v>1</v>
      </c>
      <c r="R54" s="1">
        <f t="shared" si="2"/>
        <v>0</v>
      </c>
      <c r="T54" s="28" t="s">
        <v>28</v>
      </c>
      <c r="U54" s="28" t="s">
        <v>21</v>
      </c>
      <c r="V54" s="28" t="s">
        <v>18</v>
      </c>
      <c r="W54" s="28">
        <v>1189886682.5450556</v>
      </c>
      <c r="X54" s="28">
        <f t="array" ref="X54">SUM(($T54=$A$3:$A$215)*($U54=$B$3:$B$215)*($C$3:$C$215=$V54)*($G$3:$G$215))</f>
        <v>1189886682.5450559</v>
      </c>
      <c r="Y54" s="28">
        <f t="shared" si="7"/>
        <v>0.99999999999999978</v>
      </c>
    </row>
    <row r="55" spans="1:25" x14ac:dyDescent="0.25">
      <c r="A55" t="s">
        <v>28</v>
      </c>
      <c r="B55" t="s">
        <v>20</v>
      </c>
      <c r="C55" t="s">
        <v>18</v>
      </c>
      <c r="D55" t="s">
        <v>15</v>
      </c>
      <c r="E55" t="s">
        <v>31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s="28">
        <f t="array" ref="M55">SUM((A55=$T$5:$T$22)*(B55=$U$5:$U$22)*($V$5:$V$22=C55)*($Y$5:$Y$22))</f>
        <v>1</v>
      </c>
      <c r="N55" s="28">
        <f t="shared" si="0"/>
        <v>0</v>
      </c>
      <c r="O55" s="28">
        <f t="array" ref="O55">SUM((A55=$T$26:$T$43)*(B55=$U$26:$U$43)*($V$26:$V$43=C55)*($Y$26:$Y$43))</f>
        <v>1</v>
      </c>
      <c r="P55" s="28">
        <f t="shared" si="1"/>
        <v>0</v>
      </c>
      <c r="Q55" s="28">
        <f t="array" ref="Q55">SUM((A55=$T$47:$T$64)*(B55=$U$47:$U$64)*($V$47:$V$64=C55)*($Y$47:$Y$64))</f>
        <v>1</v>
      </c>
      <c r="R55" s="1">
        <f t="shared" si="2"/>
        <v>0</v>
      </c>
      <c r="T55" s="28" t="s">
        <v>28</v>
      </c>
      <c r="U55" s="28" t="s">
        <v>22</v>
      </c>
      <c r="V55" s="28" t="s">
        <v>18</v>
      </c>
      <c r="W55" s="28">
        <v>2608675150.6251907</v>
      </c>
      <c r="X55" s="28">
        <f t="array" ref="X55">SUM(($T55=$A$3:$A$215)*($U55=$B$3:$B$215)*($C$3:$C$215=$V55)*($G$3:$G$215))</f>
        <v>2608675150.6251907</v>
      </c>
      <c r="Y55" s="28">
        <f t="shared" si="7"/>
        <v>1</v>
      </c>
    </row>
    <row r="56" spans="1:25" x14ac:dyDescent="0.25">
      <c r="A56" t="s">
        <v>28</v>
      </c>
      <c r="B56" t="s">
        <v>20</v>
      </c>
      <c r="C56" t="s">
        <v>18</v>
      </c>
      <c r="D56" t="s">
        <v>16</v>
      </c>
      <c r="E56" t="s">
        <v>31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s="28">
        <f t="array" ref="M56">SUM((A56=$T$5:$T$22)*(B56=$U$5:$U$22)*($V$5:$V$22=C56)*($Y$5:$Y$22))</f>
        <v>1</v>
      </c>
      <c r="N56" s="28">
        <f t="shared" si="0"/>
        <v>0</v>
      </c>
      <c r="O56" s="28">
        <f t="array" ref="O56">SUM((A56=$T$26:$T$43)*(B56=$U$26:$U$43)*($V$26:$V$43=C56)*($Y$26:$Y$43))</f>
        <v>1</v>
      </c>
      <c r="P56" s="28">
        <f t="shared" si="1"/>
        <v>0</v>
      </c>
      <c r="Q56" s="28">
        <f t="array" ref="Q56">SUM((A56=$T$47:$T$64)*(B56=$U$47:$U$64)*($V$47:$V$64=C56)*($Y$47:$Y$64))</f>
        <v>1</v>
      </c>
      <c r="R56" s="1">
        <f t="shared" si="2"/>
        <v>0</v>
      </c>
      <c r="T56" s="28" t="s">
        <v>28</v>
      </c>
      <c r="U56" s="28" t="s">
        <v>10</v>
      </c>
      <c r="V56" s="28" t="s">
        <v>18</v>
      </c>
      <c r="W56" s="28">
        <v>1834532414.9870713</v>
      </c>
      <c r="X56" s="28">
        <f t="array" ref="X56">SUM(($T56=$A$3:$A$215)*($U56=$B$3:$B$215)*($C$3:$C$215=$V56)*($G$3:$G$215))</f>
        <v>1834532414.9870713</v>
      </c>
      <c r="Y56" s="28">
        <f t="shared" si="7"/>
        <v>1</v>
      </c>
    </row>
    <row r="57" spans="1:25" x14ac:dyDescent="0.25">
      <c r="A57" t="s">
        <v>28</v>
      </c>
      <c r="B57" t="s">
        <v>20</v>
      </c>
      <c r="C57" t="s">
        <v>18</v>
      </c>
      <c r="D57" t="s">
        <v>17</v>
      </c>
      <c r="E57" t="s">
        <v>31</v>
      </c>
      <c r="F57">
        <v>51.779785642346326</v>
      </c>
      <c r="G57">
        <v>10121.841718202224</v>
      </c>
      <c r="H57">
        <v>638.3152524879257</v>
      </c>
      <c r="I57">
        <v>22.318169999999999</v>
      </c>
      <c r="J57">
        <v>68.584580000000003</v>
      </c>
      <c r="K57">
        <v>10121.84</v>
      </c>
      <c r="L57">
        <v>560.42240000000004</v>
      </c>
      <c r="M57" s="28">
        <f t="array" ref="M57">SUM((A57=$T$5:$T$22)*(B57=$U$5:$U$22)*($V$5:$V$22=C57)*($Y$5:$Y$22))</f>
        <v>1</v>
      </c>
      <c r="N57" s="28">
        <f t="shared" si="0"/>
        <v>51.779785642346326</v>
      </c>
      <c r="O57" s="28">
        <f t="array" ref="O57">SUM((A57=$T$26:$T$43)*(B57=$U$26:$U$43)*($V$26:$V$43=C57)*($Y$26:$Y$43))</f>
        <v>1</v>
      </c>
      <c r="P57" s="28">
        <f t="shared" si="1"/>
        <v>638.3152524879257</v>
      </c>
      <c r="Q57" s="28">
        <f t="array" ref="Q57">SUM((A57=$T$47:$T$64)*(B57=$U$47:$U$64)*($V$47:$V$64=C57)*($Y$47:$Y$64))</f>
        <v>1</v>
      </c>
      <c r="R57" s="1">
        <f t="shared" si="2"/>
        <v>10121.841718202224</v>
      </c>
      <c r="T57" s="28" t="s">
        <v>28</v>
      </c>
      <c r="U57" s="28" t="s">
        <v>20</v>
      </c>
      <c r="V57" s="28" t="s">
        <v>18</v>
      </c>
      <c r="W57" s="28">
        <v>10121.841718202224</v>
      </c>
      <c r="X57" s="28">
        <f t="array" ref="X57">SUM(($T57=$A$3:$A$215)*($U57=$B$3:$B$215)*($C$3:$C$215=$V57)*($G$3:$G$215))</f>
        <v>10121.841718202224</v>
      </c>
      <c r="Y57" s="28">
        <f t="shared" si="7"/>
        <v>1</v>
      </c>
    </row>
    <row r="58" spans="1:25" x14ac:dyDescent="0.25">
      <c r="A58" t="s">
        <v>28</v>
      </c>
      <c r="B58" t="s">
        <v>21</v>
      </c>
      <c r="C58" t="s">
        <v>11</v>
      </c>
      <c r="D58" t="s">
        <v>12</v>
      </c>
      <c r="E58" t="s">
        <v>23</v>
      </c>
      <c r="F58">
        <v>43126.232226081389</v>
      </c>
      <c r="G58">
        <v>14510479.3626917</v>
      </c>
      <c r="H58">
        <v>2491058.9676157231</v>
      </c>
      <c r="I58">
        <v>355088.1</v>
      </c>
      <c r="J58">
        <v>720946.6</v>
      </c>
      <c r="K58">
        <v>14503441</v>
      </c>
      <c r="L58">
        <v>1231867</v>
      </c>
      <c r="M58" s="28">
        <f t="array" ref="M58">SUM((A58=$T$5:$T$22)*(B58=$U$5:$U$22)*($V$5:$V$22=C58)*($Y$5:$Y$22))</f>
        <v>1</v>
      </c>
      <c r="N58" s="28">
        <f t="shared" si="0"/>
        <v>43126.232226081389</v>
      </c>
      <c r="O58" s="28">
        <f t="array" ref="O58">SUM((A58=$T$26:$T$43)*(B58=$U$26:$U$43)*($V$26:$V$43=C58)*($Y$26:$Y$43))</f>
        <v>0.99999999999999978</v>
      </c>
      <c r="P58" s="28">
        <f t="shared" si="1"/>
        <v>2491058.9676157227</v>
      </c>
      <c r="Q58" s="28">
        <f t="array" ref="Q58">SUM((A58=$T$47:$T$64)*(B58=$U$47:$U$64)*($V$47:$V$64=C58)*($Y$47:$Y$64))</f>
        <v>1.0000000000000002</v>
      </c>
      <c r="R58" s="1">
        <f t="shared" si="2"/>
        <v>14510479.362691704</v>
      </c>
      <c r="T58" s="28" t="s">
        <v>33</v>
      </c>
      <c r="U58" s="28" t="s">
        <v>26</v>
      </c>
      <c r="V58" s="28" t="s">
        <v>18</v>
      </c>
      <c r="W58" s="28">
        <v>1923221077.1560137</v>
      </c>
      <c r="X58" s="28">
        <f t="array" ref="X58">SUM(($T58=$A$3:$A$215)*($U58=$B$3:$B$215)*($C$3:$C$215=$V58)*($G$3:$G$215))</f>
        <v>1923221077.156014</v>
      </c>
      <c r="Y58" s="28">
        <f t="shared" si="7"/>
        <v>0.99999999999999989</v>
      </c>
    </row>
    <row r="59" spans="1:25" x14ac:dyDescent="0.25">
      <c r="A59" t="s">
        <v>28</v>
      </c>
      <c r="B59" t="s">
        <v>21</v>
      </c>
      <c r="C59" t="s">
        <v>11</v>
      </c>
      <c r="D59" t="s">
        <v>12</v>
      </c>
      <c r="E59" t="s">
        <v>31</v>
      </c>
      <c r="F59">
        <v>-9226.1334066043855</v>
      </c>
      <c r="G59" s="1">
        <v>219106278.32591468</v>
      </c>
      <c r="H59">
        <v>23393505.695879634</v>
      </c>
      <c r="I59">
        <v>738612.5</v>
      </c>
      <c r="J59">
        <v>8747815</v>
      </c>
      <c r="K59" s="1">
        <v>219000000</v>
      </c>
      <c r="L59">
        <v>16859527</v>
      </c>
      <c r="M59" s="28">
        <f t="array" ref="M59">SUM((A59=$T$5:$T$22)*(B59=$U$5:$U$22)*($V$5:$V$22=C59)*($Y$5:$Y$22))</f>
        <v>1</v>
      </c>
      <c r="N59" s="28">
        <f t="shared" si="0"/>
        <v>-9226.1334066043855</v>
      </c>
      <c r="O59" s="28">
        <f t="array" ref="O59">SUM((A59=$T$26:$T$43)*(B59=$U$26:$U$43)*($V$26:$V$43=C59)*($Y$26:$Y$43))</f>
        <v>0.99999999999999978</v>
      </c>
      <c r="P59" s="28">
        <f t="shared" si="1"/>
        <v>23393505.695879631</v>
      </c>
      <c r="Q59" s="28">
        <f t="array" ref="Q59">SUM((A59=$T$47:$T$64)*(B59=$U$47:$U$64)*($V$47:$V$64=C59)*($Y$47:$Y$64))</f>
        <v>1.0000000000000002</v>
      </c>
      <c r="R59" s="1">
        <f t="shared" si="2"/>
        <v>219106278.32591474</v>
      </c>
      <c r="T59" s="28" t="s">
        <v>29</v>
      </c>
      <c r="U59" s="28" t="s">
        <v>26</v>
      </c>
      <c r="V59" s="28" t="s">
        <v>19</v>
      </c>
      <c r="W59" s="28">
        <v>0</v>
      </c>
      <c r="X59" s="28">
        <f t="array" ref="X59">SUM(($T59=$A$3:$A$215)*($U59=$B$3:$B$215)*($C$3:$C$215=$V59)*($G$3:$G$215))</f>
        <v>0</v>
      </c>
      <c r="Y59" s="92">
        <v>1</v>
      </c>
    </row>
    <row r="60" spans="1:25" x14ac:dyDescent="0.25">
      <c r="A60" t="s">
        <v>28</v>
      </c>
      <c r="B60" t="s">
        <v>21</v>
      </c>
      <c r="C60" t="s">
        <v>11</v>
      </c>
      <c r="D60" t="s">
        <v>13</v>
      </c>
      <c r="E60" t="s">
        <v>23</v>
      </c>
      <c r="F60">
        <v>312.28843839236458</v>
      </c>
      <c r="G60">
        <v>810727.14625718689</v>
      </c>
      <c r="H60">
        <v>51278.309333371471</v>
      </c>
      <c r="I60">
        <v>6670.4570000000003</v>
      </c>
      <c r="J60">
        <v>47999.63</v>
      </c>
      <c r="K60">
        <v>810333.9</v>
      </c>
      <c r="L60">
        <v>617.14229999999998</v>
      </c>
      <c r="M60" s="28">
        <f t="array" ref="M60">SUM((A60=$T$5:$T$22)*(B60=$U$5:$U$22)*($V$5:$V$22=C60)*($Y$5:$Y$22))</f>
        <v>1</v>
      </c>
      <c r="N60" s="28">
        <f t="shared" si="0"/>
        <v>312.28843839236458</v>
      </c>
      <c r="O60" s="28">
        <f t="array" ref="O60">SUM((A60=$T$26:$T$43)*(B60=$U$26:$U$43)*($V$26:$V$43=C60)*($Y$26:$Y$43))</f>
        <v>0.99999999999999978</v>
      </c>
      <c r="P60" s="28">
        <f t="shared" si="1"/>
        <v>51278.309333371457</v>
      </c>
      <c r="Q60" s="28">
        <f t="array" ref="Q60">SUM((A60=$T$47:$T$64)*(B60=$U$47:$U$64)*($V$47:$V$64=C60)*($Y$47:$Y$64))</f>
        <v>1.0000000000000002</v>
      </c>
      <c r="R60" s="1">
        <f t="shared" si="2"/>
        <v>810727.14625718712</v>
      </c>
      <c r="T60" s="28" t="s">
        <v>28</v>
      </c>
      <c r="U60" s="28" t="s">
        <v>21</v>
      </c>
      <c r="V60" s="28" t="s">
        <v>19</v>
      </c>
      <c r="W60" s="28">
        <v>0</v>
      </c>
      <c r="X60" s="28">
        <f t="array" ref="X60">SUM(($T60=$A$3:$A$215)*($U60=$B$3:$B$215)*($C$3:$C$215=$V60)*($G$3:$G$215))</f>
        <v>0</v>
      </c>
      <c r="Y60" s="92">
        <v>1</v>
      </c>
    </row>
    <row r="61" spans="1:25" x14ac:dyDescent="0.25">
      <c r="A61" t="s">
        <v>28</v>
      </c>
      <c r="B61" t="s">
        <v>21</v>
      </c>
      <c r="C61" t="s">
        <v>11</v>
      </c>
      <c r="D61" t="s">
        <v>13</v>
      </c>
      <c r="E61" t="s">
        <v>31</v>
      </c>
      <c r="F61">
        <v>91426.914772239514</v>
      </c>
      <c r="G61">
        <v>76276372.141723767</v>
      </c>
      <c r="H61">
        <v>4374389.9431320345</v>
      </c>
      <c r="I61">
        <v>196382.7</v>
      </c>
      <c r="J61">
        <v>4208346</v>
      </c>
      <c r="K61">
        <v>76239374</v>
      </c>
      <c r="L61">
        <v>61289.81</v>
      </c>
      <c r="M61" s="28">
        <f t="array" ref="M61">SUM((A61=$T$5:$T$22)*(B61=$U$5:$U$22)*($V$5:$V$22=C61)*($Y$5:$Y$22))</f>
        <v>1</v>
      </c>
      <c r="N61" s="28">
        <f t="shared" si="0"/>
        <v>91426.914772239514</v>
      </c>
      <c r="O61" s="28">
        <f t="array" ref="O61">SUM((A61=$T$26:$T$43)*(B61=$U$26:$U$43)*($V$26:$V$43=C61)*($Y$26:$Y$43))</f>
        <v>0.99999999999999978</v>
      </c>
      <c r="P61" s="28">
        <f t="shared" si="1"/>
        <v>4374389.9431320336</v>
      </c>
      <c r="Q61" s="28">
        <f t="array" ref="Q61">SUM((A61=$T$47:$T$64)*(B61=$U$47:$U$64)*($V$47:$V$64=C61)*($Y$47:$Y$64))</f>
        <v>1.0000000000000002</v>
      </c>
      <c r="R61" s="1">
        <f t="shared" si="2"/>
        <v>76276372.141723782</v>
      </c>
      <c r="T61" s="28" t="s">
        <v>28</v>
      </c>
      <c r="U61" s="28" t="s">
        <v>22</v>
      </c>
      <c r="V61" s="28" t="s">
        <v>19</v>
      </c>
      <c r="W61" s="28">
        <v>0</v>
      </c>
      <c r="X61" s="28">
        <f t="array" ref="X61">SUM(($T61=$A$3:$A$215)*($U61=$B$3:$B$215)*($C$3:$C$215=$V61)*($G$3:$G$215))</f>
        <v>0</v>
      </c>
      <c r="Y61" s="92">
        <v>1</v>
      </c>
    </row>
    <row r="62" spans="1:25" x14ac:dyDescent="0.25">
      <c r="A62" t="s">
        <v>28</v>
      </c>
      <c r="B62" t="s">
        <v>21</v>
      </c>
      <c r="C62" t="s">
        <v>11</v>
      </c>
      <c r="D62" t="s">
        <v>14</v>
      </c>
      <c r="E62" t="s">
        <v>23</v>
      </c>
      <c r="F62">
        <v>317.00490716927663</v>
      </c>
      <c r="G62">
        <v>497631.37797500781</v>
      </c>
      <c r="H62">
        <v>27837.68963810433</v>
      </c>
      <c r="I62">
        <v>4038.7809999999999</v>
      </c>
      <c r="J62">
        <v>22213.48</v>
      </c>
      <c r="K62">
        <v>497390</v>
      </c>
      <c r="L62">
        <v>1731.162</v>
      </c>
      <c r="M62" s="28">
        <f t="array" ref="M62">SUM((A62=$T$5:$T$22)*(B62=$U$5:$U$22)*($V$5:$V$22=C62)*($Y$5:$Y$22))</f>
        <v>1</v>
      </c>
      <c r="N62" s="28">
        <f t="shared" si="0"/>
        <v>317.00490716927663</v>
      </c>
      <c r="O62" s="28">
        <f t="array" ref="O62">SUM((A62=$T$26:$T$43)*(B62=$U$26:$U$43)*($V$26:$V$43=C62)*($Y$26:$Y$43))</f>
        <v>0.99999999999999978</v>
      </c>
      <c r="P62" s="28">
        <f t="shared" si="1"/>
        <v>27837.689638104323</v>
      </c>
      <c r="Q62" s="28">
        <f t="array" ref="Q62">SUM((A62=$T$47:$T$64)*(B62=$U$47:$U$64)*($V$47:$V$64=C62)*($Y$47:$Y$64))</f>
        <v>1.0000000000000002</v>
      </c>
      <c r="R62" s="1">
        <f t="shared" si="2"/>
        <v>497631.37797500793</v>
      </c>
      <c r="T62" s="28" t="s">
        <v>28</v>
      </c>
      <c r="U62" s="28" t="s">
        <v>10</v>
      </c>
      <c r="V62" s="28" t="s">
        <v>19</v>
      </c>
      <c r="W62" s="28">
        <v>0</v>
      </c>
      <c r="X62" s="28">
        <f t="array" ref="X62">SUM(($T62=$A$3:$A$215)*($U62=$B$3:$B$215)*($C$3:$C$215=$V62)*($G$3:$G$215))</f>
        <v>0</v>
      </c>
      <c r="Y62" s="92">
        <v>1</v>
      </c>
    </row>
    <row r="63" spans="1:25" x14ac:dyDescent="0.25">
      <c r="A63" t="s">
        <v>28</v>
      </c>
      <c r="B63" t="s">
        <v>21</v>
      </c>
      <c r="C63" t="s">
        <v>11</v>
      </c>
      <c r="D63" t="s">
        <v>14</v>
      </c>
      <c r="E63" t="s">
        <v>31</v>
      </c>
      <c r="F63">
        <v>66105.852511615187</v>
      </c>
      <c r="G63">
        <v>59041052.084785864</v>
      </c>
      <c r="H63">
        <v>3438670.9552965732</v>
      </c>
      <c r="I63">
        <v>167464.6</v>
      </c>
      <c r="J63">
        <v>3112178</v>
      </c>
      <c r="K63">
        <v>59012414</v>
      </c>
      <c r="L63">
        <v>165202.1</v>
      </c>
      <c r="M63" s="28">
        <f t="array" ref="M63">SUM((A63=$T$5:$T$22)*(B63=$U$5:$U$22)*($V$5:$V$22=C63)*($Y$5:$Y$22))</f>
        <v>1</v>
      </c>
      <c r="N63" s="28">
        <f t="shared" si="0"/>
        <v>66105.852511615187</v>
      </c>
      <c r="O63" s="28">
        <f t="array" ref="O63">SUM((A63=$T$26:$T$43)*(B63=$U$26:$U$43)*($V$26:$V$43=C63)*($Y$26:$Y$43))</f>
        <v>0.99999999999999978</v>
      </c>
      <c r="P63" s="28">
        <f t="shared" si="1"/>
        <v>3438670.9552965723</v>
      </c>
      <c r="Q63" s="28">
        <f t="array" ref="Q63">SUM((A63=$T$47:$T$64)*(B63=$U$47:$U$64)*($V$47:$V$64=C63)*($Y$47:$Y$64))</f>
        <v>1.0000000000000002</v>
      </c>
      <c r="R63" s="1">
        <f t="shared" si="2"/>
        <v>59041052.084785879</v>
      </c>
      <c r="T63" s="28" t="s">
        <v>28</v>
      </c>
      <c r="U63" s="28" t="s">
        <v>20</v>
      </c>
      <c r="V63" s="28" t="s">
        <v>19</v>
      </c>
      <c r="W63" s="28">
        <v>0</v>
      </c>
      <c r="X63" s="28">
        <f t="array" ref="X63">SUM(($T63=$A$3:$A$215)*($U63=$B$3:$B$215)*($C$3:$C$215=$V63)*($G$3:$G$215))</f>
        <v>0</v>
      </c>
      <c r="Y63" s="92">
        <v>1</v>
      </c>
    </row>
    <row r="64" spans="1:25" x14ac:dyDescent="0.25">
      <c r="A64" t="s">
        <v>28</v>
      </c>
      <c r="B64" t="s">
        <v>21</v>
      </c>
      <c r="C64" t="s">
        <v>11</v>
      </c>
      <c r="D64" t="s">
        <v>15</v>
      </c>
      <c r="E64" t="s">
        <v>23</v>
      </c>
      <c r="F64">
        <v>6495.863152154504</v>
      </c>
      <c r="G64">
        <v>7027795.858862726</v>
      </c>
      <c r="H64">
        <v>415525.89459807827</v>
      </c>
      <c r="I64">
        <v>50087.03</v>
      </c>
      <c r="J64">
        <v>255154.9</v>
      </c>
      <c r="K64">
        <v>7024387</v>
      </c>
      <c r="L64">
        <v>70040.56</v>
      </c>
      <c r="M64" s="28">
        <f t="array" ref="M64">SUM((A64=$T$5:$T$22)*(B64=$U$5:$U$22)*($V$5:$V$22=C64)*($Y$5:$Y$22))</f>
        <v>1</v>
      </c>
      <c r="N64" s="28">
        <f t="shared" si="0"/>
        <v>6495.863152154504</v>
      </c>
      <c r="O64" s="28">
        <f t="array" ref="O64">SUM((A64=$T$26:$T$43)*(B64=$U$26:$U$43)*($V$26:$V$43=C64)*($Y$26:$Y$43))</f>
        <v>0.99999999999999978</v>
      </c>
      <c r="P64" s="28">
        <f t="shared" si="1"/>
        <v>415525.89459807816</v>
      </c>
      <c r="Q64" s="28">
        <f t="array" ref="Q64">SUM((A64=$T$47:$T$64)*(B64=$U$47:$U$64)*($V$47:$V$64=C64)*($Y$47:$Y$64))</f>
        <v>1.0000000000000002</v>
      </c>
      <c r="R64" s="1">
        <f t="shared" si="2"/>
        <v>7027795.8588627279</v>
      </c>
      <c r="T64" s="28" t="s">
        <v>33</v>
      </c>
      <c r="U64" s="28" t="s">
        <v>26</v>
      </c>
      <c r="V64" s="28" t="s">
        <v>19</v>
      </c>
      <c r="W64" s="28">
        <v>0</v>
      </c>
      <c r="X64" s="28">
        <f t="array" ref="X64">SUM(($T64=$A$3:$A$215)*($U64=$B$3:$B$215)*($C$3:$C$215=$V64)*($G$3:$G$215))</f>
        <v>0</v>
      </c>
      <c r="Y64" s="92">
        <v>1</v>
      </c>
    </row>
    <row r="65" spans="1:18" x14ac:dyDescent="0.25">
      <c r="A65" t="s">
        <v>28</v>
      </c>
      <c r="B65" t="s">
        <v>21</v>
      </c>
      <c r="C65" t="s">
        <v>11</v>
      </c>
      <c r="D65" t="s">
        <v>15</v>
      </c>
      <c r="E65" t="s">
        <v>31</v>
      </c>
      <c r="F65">
        <v>157151.65976214883</v>
      </c>
      <c r="G65" s="1">
        <v>119057749.40997191</v>
      </c>
      <c r="H65">
        <v>5984616.9221987538</v>
      </c>
      <c r="I65">
        <v>316930.5</v>
      </c>
      <c r="J65">
        <v>4763266</v>
      </c>
      <c r="K65" s="1">
        <v>119000000</v>
      </c>
      <c r="L65">
        <v>959110.9</v>
      </c>
      <c r="M65" s="28">
        <f t="array" ref="M65">SUM((A65=$T$5:$T$22)*(B65=$U$5:$U$22)*($V$5:$V$22=C65)*($Y$5:$Y$22))</f>
        <v>1</v>
      </c>
      <c r="N65" s="28">
        <f t="shared" si="0"/>
        <v>157151.65976214883</v>
      </c>
      <c r="O65" s="28">
        <f t="array" ref="O65">SUM((A65=$T$26:$T$43)*(B65=$U$26:$U$43)*($V$26:$V$43=C65)*($Y$26:$Y$43))</f>
        <v>0.99999999999999978</v>
      </c>
      <c r="P65" s="28">
        <f t="shared" si="1"/>
        <v>5984616.9221987529</v>
      </c>
      <c r="Q65" s="28">
        <f t="array" ref="Q65">SUM((A65=$T$47:$T$64)*(B65=$U$47:$U$64)*($V$47:$V$64=C65)*($Y$47:$Y$64))</f>
        <v>1.0000000000000002</v>
      </c>
      <c r="R65" s="1">
        <f t="shared" si="2"/>
        <v>119057749.40997194</v>
      </c>
    </row>
    <row r="66" spans="1:18" x14ac:dyDescent="0.25">
      <c r="A66" t="s">
        <v>28</v>
      </c>
      <c r="B66" t="s">
        <v>21</v>
      </c>
      <c r="C66" t="s">
        <v>11</v>
      </c>
      <c r="D66" t="s">
        <v>16</v>
      </c>
      <c r="E66" t="s">
        <v>23</v>
      </c>
      <c r="F66">
        <v>37218.304717123436</v>
      </c>
      <c r="G66">
        <v>36073938.799944848</v>
      </c>
      <c r="H66">
        <v>2667243.965325282</v>
      </c>
      <c r="I66">
        <v>363303.5</v>
      </c>
      <c r="J66">
        <v>1487981</v>
      </c>
      <c r="K66">
        <v>36056441</v>
      </c>
      <c r="L66">
        <v>747643.7</v>
      </c>
      <c r="M66" s="28">
        <f t="array" ref="M66">SUM((A66=$T$5:$T$22)*(B66=$U$5:$U$22)*($V$5:$V$22=C66)*($Y$5:$Y$22))</f>
        <v>1</v>
      </c>
      <c r="N66" s="28">
        <f t="shared" si="0"/>
        <v>37218.304717123436</v>
      </c>
      <c r="O66" s="28">
        <f t="array" ref="O66">SUM((A66=$T$26:$T$43)*(B66=$U$26:$U$43)*($V$26:$V$43=C66)*($Y$26:$Y$43))</f>
        <v>0.99999999999999978</v>
      </c>
      <c r="P66" s="28">
        <f t="shared" si="1"/>
        <v>2667243.9653252815</v>
      </c>
      <c r="Q66" s="28">
        <f t="array" ref="Q66">SUM((A66=$T$47:$T$64)*(B66=$U$47:$U$64)*($V$47:$V$64=C66)*($Y$47:$Y$64))</f>
        <v>1.0000000000000002</v>
      </c>
      <c r="R66" s="1">
        <f t="shared" si="2"/>
        <v>36073938.799944855</v>
      </c>
    </row>
    <row r="67" spans="1:18" x14ac:dyDescent="0.25">
      <c r="A67" t="s">
        <v>28</v>
      </c>
      <c r="B67" t="s">
        <v>21</v>
      </c>
      <c r="C67" t="s">
        <v>11</v>
      </c>
      <c r="D67" t="s">
        <v>16</v>
      </c>
      <c r="E67" t="s">
        <v>31</v>
      </c>
      <c r="F67">
        <v>393380.99344105204</v>
      </c>
      <c r="G67" s="1">
        <v>334162086.57924891</v>
      </c>
      <c r="H67">
        <v>17558388.771737348</v>
      </c>
      <c r="I67">
        <v>838198.7</v>
      </c>
      <c r="J67">
        <v>12759139</v>
      </c>
      <c r="K67" s="1">
        <v>334000000</v>
      </c>
      <c r="L67">
        <v>6074001</v>
      </c>
      <c r="M67" s="28">
        <f t="array" ref="M67">SUM((A67=$T$5:$T$22)*(B67=$U$5:$U$22)*($V$5:$V$22=C67)*($Y$5:$Y$22))</f>
        <v>1</v>
      </c>
      <c r="N67" s="28">
        <f t="shared" si="0"/>
        <v>393380.99344105204</v>
      </c>
      <c r="O67" s="28">
        <f t="array" ref="O67">SUM((A67=$T$26:$T$43)*(B67=$U$26:$U$43)*($V$26:$V$43=C67)*($Y$26:$Y$43))</f>
        <v>0.99999999999999978</v>
      </c>
      <c r="P67" s="28">
        <f t="shared" si="1"/>
        <v>17558388.771737345</v>
      </c>
      <c r="Q67" s="28">
        <f t="array" ref="Q67">SUM((A67=$T$47:$T$64)*(B67=$U$47:$U$64)*($V$47:$V$64=C67)*($Y$47:$Y$64))</f>
        <v>1.0000000000000002</v>
      </c>
      <c r="R67" s="1">
        <f t="shared" si="2"/>
        <v>334162086.57924896</v>
      </c>
    </row>
    <row r="68" spans="1:18" x14ac:dyDescent="0.25">
      <c r="A68" t="s">
        <v>28</v>
      </c>
      <c r="B68" t="s">
        <v>21</v>
      </c>
      <c r="C68" t="s">
        <v>11</v>
      </c>
      <c r="D68" t="s">
        <v>17</v>
      </c>
      <c r="E68" t="s">
        <v>23</v>
      </c>
      <c r="F68">
        <v>32956.023294384846</v>
      </c>
      <c r="G68">
        <v>20926538.496350788</v>
      </c>
      <c r="H68">
        <v>2324663.9697788921</v>
      </c>
      <c r="I68">
        <v>394677.4</v>
      </c>
      <c r="J68">
        <v>1057743</v>
      </c>
      <c r="K68">
        <v>20916388</v>
      </c>
      <c r="L68">
        <v>860847</v>
      </c>
      <c r="M68" s="28">
        <f t="array" ref="M68">SUM((A68=$T$5:$T$22)*(B68=$U$5:$U$22)*($V$5:$V$22=C68)*($Y$5:$Y$22))</f>
        <v>1</v>
      </c>
      <c r="N68" s="28">
        <f t="shared" ref="N68:N131" si="8">F68*M68</f>
        <v>32956.023294384846</v>
      </c>
      <c r="O68" s="28">
        <f t="array" ref="O68">SUM((A68=$T$26:$T$43)*(B68=$U$26:$U$43)*($V$26:$V$43=C68)*($Y$26:$Y$43))</f>
        <v>0.99999999999999978</v>
      </c>
      <c r="P68" s="28">
        <f t="shared" ref="P68:P131" si="9">H68*O68</f>
        <v>2324663.9697788917</v>
      </c>
      <c r="Q68" s="28">
        <f t="array" ref="Q68">SUM((A68=$T$47:$T$64)*(B68=$U$47:$U$64)*($V$47:$V$64=C68)*($Y$47:$Y$64))</f>
        <v>1.0000000000000002</v>
      </c>
      <c r="R68" s="1">
        <f t="shared" ref="R68:R131" si="10">Q68*G68</f>
        <v>20926538.496350791</v>
      </c>
    </row>
    <row r="69" spans="1:18" x14ac:dyDescent="0.25">
      <c r="A69" t="s">
        <v>28</v>
      </c>
      <c r="B69" t="s">
        <v>21</v>
      </c>
      <c r="C69" t="s">
        <v>11</v>
      </c>
      <c r="D69" t="s">
        <v>17</v>
      </c>
      <c r="E69" t="s">
        <v>31</v>
      </c>
      <c r="F69">
        <v>320452.09464543592</v>
      </c>
      <c r="G69" s="1">
        <v>368178586.41066945</v>
      </c>
      <c r="H69">
        <v>23618154.692959152</v>
      </c>
      <c r="I69">
        <v>925715.3</v>
      </c>
      <c r="J69">
        <v>15457972</v>
      </c>
      <c r="K69" s="1">
        <v>368000000</v>
      </c>
      <c r="L69">
        <v>11079942</v>
      </c>
      <c r="M69" s="28">
        <f t="array" ref="M69">SUM((A69=$T$5:$T$22)*(B69=$U$5:$U$22)*($V$5:$V$22=C69)*($Y$5:$Y$22))</f>
        <v>1</v>
      </c>
      <c r="N69" s="28">
        <f t="shared" si="8"/>
        <v>320452.09464543592</v>
      </c>
      <c r="O69" s="28">
        <f t="array" ref="O69">SUM((A69=$T$26:$T$43)*(B69=$U$26:$U$43)*($V$26:$V$43=C69)*($Y$26:$Y$43))</f>
        <v>0.99999999999999978</v>
      </c>
      <c r="P69" s="28">
        <f t="shared" si="9"/>
        <v>23618154.692959148</v>
      </c>
      <c r="Q69" s="28">
        <f t="array" ref="Q69">SUM((A69=$T$47:$T$64)*(B69=$U$47:$U$64)*($V$47:$V$64=C69)*($Y$47:$Y$64))</f>
        <v>1.0000000000000002</v>
      </c>
      <c r="R69" s="1">
        <f t="shared" si="10"/>
        <v>368178586.41066951</v>
      </c>
    </row>
    <row r="70" spans="1:18" x14ac:dyDescent="0.25">
      <c r="A70" t="s">
        <v>28</v>
      </c>
      <c r="B70" t="s">
        <v>21</v>
      </c>
      <c r="C70" t="s">
        <v>18</v>
      </c>
      <c r="D70" t="s">
        <v>12</v>
      </c>
      <c r="E70" t="s">
        <v>23</v>
      </c>
      <c r="F70">
        <v>695.05492139569787</v>
      </c>
      <c r="G70">
        <v>350038.94083153532</v>
      </c>
      <c r="H70">
        <v>26911.180610987201</v>
      </c>
      <c r="I70">
        <v>2213.5070000000001</v>
      </c>
      <c r="J70">
        <v>9338.7739999999994</v>
      </c>
      <c r="K70">
        <v>350016.8</v>
      </c>
      <c r="L70">
        <v>20345.560000000001</v>
      </c>
      <c r="M70" s="28">
        <f t="array" ref="M70">SUM((A70=$T$5:$T$22)*(B70=$U$5:$U$22)*($V$5:$V$22=C70)*($Y$5:$Y$22))</f>
        <v>1</v>
      </c>
      <c r="N70" s="28">
        <f t="shared" si="8"/>
        <v>695.05492139569787</v>
      </c>
      <c r="O70" s="28">
        <f t="array" ref="O70">SUM((A70=$T$26:$T$43)*(B70=$U$26:$U$43)*($V$26:$V$43=C70)*($Y$26:$Y$43))</f>
        <v>0.99999999999999989</v>
      </c>
      <c r="P70" s="28">
        <f t="shared" si="9"/>
        <v>26911.180610987198</v>
      </c>
      <c r="Q70" s="28">
        <f t="array" ref="Q70">SUM((A70=$T$47:$T$64)*(B70=$U$47:$U$64)*($V$47:$V$64=C70)*($Y$47:$Y$64))</f>
        <v>0.99999999999999978</v>
      </c>
      <c r="R70" s="1">
        <f t="shared" si="10"/>
        <v>350038.94083153526</v>
      </c>
    </row>
    <row r="71" spans="1:18" x14ac:dyDescent="0.25">
      <c r="A71" t="s">
        <v>28</v>
      </c>
      <c r="B71" t="s">
        <v>21</v>
      </c>
      <c r="C71" t="s">
        <v>18</v>
      </c>
      <c r="D71" t="s">
        <v>12</v>
      </c>
      <c r="E71" t="s">
        <v>31</v>
      </c>
      <c r="F71">
        <v>622400.69546523306</v>
      </c>
      <c r="G71" s="1">
        <v>145009172.18994239</v>
      </c>
      <c r="H71">
        <v>10766178.244433613</v>
      </c>
      <c r="I71">
        <v>535524.30000000005</v>
      </c>
      <c r="J71">
        <v>3444868</v>
      </c>
      <c r="K71" s="1">
        <v>145000000</v>
      </c>
      <c r="L71">
        <v>8308321</v>
      </c>
      <c r="M71" s="28">
        <f t="array" ref="M71">SUM((A71=$T$5:$T$22)*(B71=$U$5:$U$22)*($V$5:$V$22=C71)*($Y$5:$Y$22))</f>
        <v>1</v>
      </c>
      <c r="N71" s="28">
        <f t="shared" si="8"/>
        <v>622400.69546523306</v>
      </c>
      <c r="O71" s="28">
        <f t="array" ref="O71">SUM((A71=$T$26:$T$43)*(B71=$U$26:$U$43)*($V$26:$V$43=C71)*($Y$26:$Y$43))</f>
        <v>0.99999999999999989</v>
      </c>
      <c r="P71" s="28">
        <f t="shared" si="9"/>
        <v>10766178.244433612</v>
      </c>
      <c r="Q71" s="28">
        <f t="array" ref="Q71">SUM((A71=$T$47:$T$64)*(B71=$U$47:$U$64)*($V$47:$V$64=C71)*($Y$47:$Y$64))</f>
        <v>0.99999999999999978</v>
      </c>
      <c r="R71" s="1">
        <f t="shared" si="10"/>
        <v>145009172.18994236</v>
      </c>
    </row>
    <row r="72" spans="1:18" x14ac:dyDescent="0.25">
      <c r="A72" t="s">
        <v>28</v>
      </c>
      <c r="B72" t="s">
        <v>21</v>
      </c>
      <c r="C72" t="s">
        <v>18</v>
      </c>
      <c r="D72" t="s">
        <v>13</v>
      </c>
      <c r="E72" t="s">
        <v>23</v>
      </c>
      <c r="F72">
        <v>-178.08102652267132</v>
      </c>
      <c r="G72">
        <v>89286.087566578062</v>
      </c>
      <c r="H72">
        <v>4525.909102755526</v>
      </c>
      <c r="I72">
        <v>1261.2560000000001</v>
      </c>
      <c r="J72">
        <v>3662.759</v>
      </c>
      <c r="K72">
        <v>89280.44</v>
      </c>
      <c r="L72">
        <v>47.684170000000002</v>
      </c>
      <c r="M72" s="28">
        <f t="array" ref="M72">SUM((A72=$T$5:$T$22)*(B72=$U$5:$U$22)*($V$5:$V$22=C72)*($Y$5:$Y$22))</f>
        <v>1</v>
      </c>
      <c r="N72" s="28">
        <f t="shared" si="8"/>
        <v>-178.08102652267132</v>
      </c>
      <c r="O72" s="28">
        <f t="array" ref="O72">SUM((A72=$T$26:$T$43)*(B72=$U$26:$U$43)*($V$26:$V$43=C72)*($Y$26:$Y$43))</f>
        <v>0.99999999999999989</v>
      </c>
      <c r="P72" s="28">
        <f t="shared" si="9"/>
        <v>4525.9091027555251</v>
      </c>
      <c r="Q72" s="28">
        <f t="array" ref="Q72">SUM((A72=$T$47:$T$64)*(B72=$U$47:$U$64)*($V$47:$V$64=C72)*($Y$47:$Y$64))</f>
        <v>0.99999999999999978</v>
      </c>
      <c r="R72" s="1">
        <f t="shared" si="10"/>
        <v>89286.087566578048</v>
      </c>
    </row>
    <row r="73" spans="1:18" x14ac:dyDescent="0.25">
      <c r="A73" t="s">
        <v>28</v>
      </c>
      <c r="B73" t="s">
        <v>21</v>
      </c>
      <c r="C73" t="s">
        <v>18</v>
      </c>
      <c r="D73" t="s">
        <v>13</v>
      </c>
      <c r="E73" t="s">
        <v>31</v>
      </c>
      <c r="F73">
        <v>416278.10294734058</v>
      </c>
      <c r="G73">
        <v>66167138.235669412</v>
      </c>
      <c r="H73">
        <v>3123991.0709266006</v>
      </c>
      <c r="I73">
        <v>212701.8</v>
      </c>
      <c r="J73">
        <v>2342890</v>
      </c>
      <c r="K73">
        <v>66162953</v>
      </c>
      <c r="L73">
        <v>64056.99</v>
      </c>
      <c r="M73" s="28">
        <f t="array" ref="M73">SUM((A73=$T$5:$T$22)*(B73=$U$5:$U$22)*($V$5:$V$22=C73)*($Y$5:$Y$22))</f>
        <v>1</v>
      </c>
      <c r="N73" s="28">
        <f t="shared" si="8"/>
        <v>416278.10294734058</v>
      </c>
      <c r="O73" s="28">
        <f t="array" ref="O73">SUM((A73=$T$26:$T$43)*(B73=$U$26:$U$43)*($V$26:$V$43=C73)*($Y$26:$Y$43))</f>
        <v>0.99999999999999989</v>
      </c>
      <c r="P73" s="28">
        <f t="shared" si="9"/>
        <v>3123991.0709266001</v>
      </c>
      <c r="Q73" s="28">
        <f t="array" ref="Q73">SUM((A73=$T$47:$T$64)*(B73=$U$47:$U$64)*($V$47:$V$64=C73)*($Y$47:$Y$64))</f>
        <v>0.99999999999999978</v>
      </c>
      <c r="R73" s="1">
        <f t="shared" si="10"/>
        <v>66167138.235669397</v>
      </c>
    </row>
    <row r="74" spans="1:18" x14ac:dyDescent="0.25">
      <c r="A74" t="s">
        <v>28</v>
      </c>
      <c r="B74" t="s">
        <v>21</v>
      </c>
      <c r="C74" t="s">
        <v>18</v>
      </c>
      <c r="D74" t="s">
        <v>14</v>
      </c>
      <c r="E74" t="s">
        <v>23</v>
      </c>
      <c r="F74">
        <v>-70.80565324188251</v>
      </c>
      <c r="G74">
        <v>57443.083417555761</v>
      </c>
      <c r="H74">
        <v>2410.149054719644</v>
      </c>
      <c r="I74">
        <v>801.99689999999998</v>
      </c>
      <c r="J74">
        <v>1456.807</v>
      </c>
      <c r="K74">
        <v>57439.45</v>
      </c>
      <c r="L74">
        <v>141.8999</v>
      </c>
      <c r="M74" s="28">
        <f t="array" ref="M74">SUM((A74=$T$5:$T$22)*(B74=$U$5:$U$22)*($V$5:$V$22=C74)*($Y$5:$Y$22))</f>
        <v>1</v>
      </c>
      <c r="N74" s="28">
        <f t="shared" si="8"/>
        <v>-70.80565324188251</v>
      </c>
      <c r="O74" s="28">
        <f t="array" ref="O74">SUM((A74=$T$26:$T$43)*(B74=$U$26:$U$43)*($V$26:$V$43=C74)*($Y$26:$Y$43))</f>
        <v>0.99999999999999989</v>
      </c>
      <c r="P74" s="28">
        <f t="shared" si="9"/>
        <v>2410.1490547196436</v>
      </c>
      <c r="Q74" s="28">
        <f t="array" ref="Q74">SUM((A74=$T$47:$T$64)*(B74=$U$47:$U$64)*($V$47:$V$64=C74)*($Y$47:$Y$64))</f>
        <v>0.99999999999999978</v>
      </c>
      <c r="R74" s="1">
        <f t="shared" si="10"/>
        <v>57443.083417555747</v>
      </c>
    </row>
    <row r="75" spans="1:18" x14ac:dyDescent="0.25">
      <c r="A75" t="s">
        <v>28</v>
      </c>
      <c r="B75" t="s">
        <v>21</v>
      </c>
      <c r="C75" t="s">
        <v>18</v>
      </c>
      <c r="D75" t="s">
        <v>14</v>
      </c>
      <c r="E75" t="s">
        <v>31</v>
      </c>
      <c r="F75">
        <v>426754.12496480631</v>
      </c>
      <c r="G75">
        <v>66337163.990220264</v>
      </c>
      <c r="H75">
        <v>2904495.0659431978</v>
      </c>
      <c r="I75">
        <v>193869.1</v>
      </c>
      <c r="J75">
        <v>1945060</v>
      </c>
      <c r="K75">
        <v>66332968</v>
      </c>
      <c r="L75">
        <v>189238.7</v>
      </c>
      <c r="M75" s="28">
        <f t="array" ref="M75">SUM((A75=$T$5:$T$22)*(B75=$U$5:$U$22)*($V$5:$V$22=C75)*($Y$5:$Y$22))</f>
        <v>1</v>
      </c>
      <c r="N75" s="28">
        <f t="shared" si="8"/>
        <v>426754.12496480631</v>
      </c>
      <c r="O75" s="28">
        <f t="array" ref="O75">SUM((A75=$T$26:$T$43)*(B75=$U$26:$U$43)*($V$26:$V$43=C75)*($Y$26:$Y$43))</f>
        <v>0.99999999999999989</v>
      </c>
      <c r="P75" s="28">
        <f t="shared" si="9"/>
        <v>2904495.0659431973</v>
      </c>
      <c r="Q75" s="28">
        <f t="array" ref="Q75">SUM((A75=$T$47:$T$64)*(B75=$U$47:$U$64)*($V$47:$V$64=C75)*($Y$47:$Y$64))</f>
        <v>0.99999999999999978</v>
      </c>
      <c r="R75" s="1">
        <f t="shared" si="10"/>
        <v>66337163.990220249</v>
      </c>
    </row>
    <row r="76" spans="1:18" x14ac:dyDescent="0.25">
      <c r="A76" t="s">
        <v>28</v>
      </c>
      <c r="B76" t="s">
        <v>21</v>
      </c>
      <c r="C76" t="s">
        <v>18</v>
      </c>
      <c r="D76" t="s">
        <v>15</v>
      </c>
      <c r="E76" t="s">
        <v>23</v>
      </c>
      <c r="F76">
        <v>-104.77541808659417</v>
      </c>
      <c r="G76">
        <v>276880.81339845294</v>
      </c>
      <c r="H76">
        <v>12649.770287198389</v>
      </c>
      <c r="I76">
        <v>3402.7510000000002</v>
      </c>
      <c r="J76">
        <v>7999.7479999999996</v>
      </c>
      <c r="K76">
        <v>276863.3</v>
      </c>
      <c r="L76">
        <v>1641.973</v>
      </c>
      <c r="M76" s="28">
        <f t="array" ref="M76">SUM((A76=$T$5:$T$22)*(B76=$U$5:$U$22)*($V$5:$V$22=C76)*($Y$5:$Y$22))</f>
        <v>1</v>
      </c>
      <c r="N76" s="28">
        <f t="shared" si="8"/>
        <v>-104.77541808659417</v>
      </c>
      <c r="O76" s="28">
        <f t="array" ref="O76">SUM((A76=$T$26:$T$43)*(B76=$U$26:$U$43)*($V$26:$V$43=C76)*($Y$26:$Y$43))</f>
        <v>0.99999999999999989</v>
      </c>
      <c r="P76" s="28">
        <f t="shared" si="9"/>
        <v>12649.770287198387</v>
      </c>
      <c r="Q76" s="28">
        <f t="array" ref="Q76">SUM((A76=$T$47:$T$64)*(B76=$U$47:$U$64)*($V$47:$V$64=C76)*($Y$47:$Y$64))</f>
        <v>0.99999999999999978</v>
      </c>
      <c r="R76" s="1">
        <f t="shared" si="10"/>
        <v>276880.81339845288</v>
      </c>
    </row>
    <row r="77" spans="1:18" x14ac:dyDescent="0.25">
      <c r="A77" t="s">
        <v>28</v>
      </c>
      <c r="B77" t="s">
        <v>21</v>
      </c>
      <c r="C77" t="s">
        <v>18</v>
      </c>
      <c r="D77" t="s">
        <v>15</v>
      </c>
      <c r="E77" t="s">
        <v>31</v>
      </c>
      <c r="F77">
        <v>946927.28161994729</v>
      </c>
      <c r="G77" s="1">
        <v>149009425.21587184</v>
      </c>
      <c r="H77">
        <v>6451441.1464725025</v>
      </c>
      <c r="I77">
        <v>420460.7</v>
      </c>
      <c r="J77">
        <v>3795919</v>
      </c>
      <c r="K77" s="1">
        <v>149000000</v>
      </c>
      <c r="L77">
        <v>1118351</v>
      </c>
      <c r="M77" s="28">
        <f t="array" ref="M77">SUM((A77=$T$5:$T$22)*(B77=$U$5:$U$22)*($V$5:$V$22=C77)*($Y$5:$Y$22))</f>
        <v>1</v>
      </c>
      <c r="N77" s="28">
        <f t="shared" si="8"/>
        <v>946927.28161994729</v>
      </c>
      <c r="O77" s="28">
        <f t="array" ref="O77">SUM((A77=$T$26:$T$43)*(B77=$U$26:$U$43)*($V$26:$V$43=C77)*($Y$26:$Y$43))</f>
        <v>0.99999999999999989</v>
      </c>
      <c r="P77" s="28">
        <f t="shared" si="9"/>
        <v>6451441.1464725016</v>
      </c>
      <c r="Q77" s="28">
        <f t="array" ref="Q77">SUM((A77=$T$47:$T$64)*(B77=$U$47:$U$64)*($V$47:$V$64=C77)*($Y$47:$Y$64))</f>
        <v>0.99999999999999978</v>
      </c>
      <c r="R77" s="1">
        <f t="shared" si="10"/>
        <v>149009425.21587181</v>
      </c>
    </row>
    <row r="78" spans="1:18" x14ac:dyDescent="0.25">
      <c r="A78" t="s">
        <v>28</v>
      </c>
      <c r="B78" t="s">
        <v>21</v>
      </c>
      <c r="C78" t="s">
        <v>18</v>
      </c>
      <c r="D78" t="s">
        <v>16</v>
      </c>
      <c r="E78" t="s">
        <v>23</v>
      </c>
      <c r="F78">
        <v>376.266458871851</v>
      </c>
      <c r="G78">
        <v>504532.21291432821</v>
      </c>
      <c r="H78">
        <v>27450.150623223893</v>
      </c>
      <c r="I78">
        <v>5028.8310000000001</v>
      </c>
      <c r="J78">
        <v>13962.71</v>
      </c>
      <c r="K78">
        <v>504500.3</v>
      </c>
      <c r="L78">
        <v>8913.7070000000003</v>
      </c>
      <c r="M78" s="28">
        <f t="array" ref="M78">SUM((A78=$T$5:$T$22)*(B78=$U$5:$U$22)*($V$5:$V$22=C78)*($Y$5:$Y$22))</f>
        <v>1</v>
      </c>
      <c r="N78" s="28">
        <f t="shared" si="8"/>
        <v>376.266458871851</v>
      </c>
      <c r="O78" s="28">
        <f t="array" ref="O78">SUM((A78=$T$26:$T$43)*(B78=$U$26:$U$43)*($V$26:$V$43=C78)*($Y$26:$Y$43))</f>
        <v>0.99999999999999989</v>
      </c>
      <c r="P78" s="28">
        <f t="shared" si="9"/>
        <v>27450.15062322389</v>
      </c>
      <c r="Q78" s="28">
        <f t="array" ref="Q78">SUM((A78=$T$47:$T$64)*(B78=$U$47:$U$64)*($V$47:$V$64=C78)*($Y$47:$Y$64))</f>
        <v>0.99999999999999978</v>
      </c>
      <c r="R78" s="1">
        <f t="shared" si="10"/>
        <v>504532.21291432809</v>
      </c>
    </row>
    <row r="79" spans="1:18" x14ac:dyDescent="0.25">
      <c r="A79" t="s">
        <v>28</v>
      </c>
      <c r="B79" t="s">
        <v>21</v>
      </c>
      <c r="C79" t="s">
        <v>18</v>
      </c>
      <c r="D79" t="s">
        <v>16</v>
      </c>
      <c r="E79" t="s">
        <v>31</v>
      </c>
      <c r="F79">
        <v>2272294.5261575375</v>
      </c>
      <c r="G79" s="1">
        <v>368023278.38550895</v>
      </c>
      <c r="H79">
        <v>16856991.382718474</v>
      </c>
      <c r="I79">
        <v>1067378</v>
      </c>
      <c r="J79">
        <v>8928901</v>
      </c>
      <c r="K79" s="1">
        <v>368000000</v>
      </c>
      <c r="L79">
        <v>6406336</v>
      </c>
      <c r="M79" s="28">
        <f t="array" ref="M79">SUM((A79=$T$5:$T$22)*(B79=$U$5:$U$22)*($V$5:$V$22=C79)*($Y$5:$Y$22))</f>
        <v>1</v>
      </c>
      <c r="N79" s="28">
        <f t="shared" si="8"/>
        <v>2272294.5261575375</v>
      </c>
      <c r="O79" s="28">
        <f t="array" ref="O79">SUM((A79=$T$26:$T$43)*(B79=$U$26:$U$43)*($V$26:$V$43=C79)*($Y$26:$Y$43))</f>
        <v>0.99999999999999989</v>
      </c>
      <c r="P79" s="28">
        <f t="shared" si="9"/>
        <v>16856991.38271847</v>
      </c>
      <c r="Q79" s="28">
        <f t="array" ref="Q79">SUM((A79=$T$47:$T$64)*(B79=$U$47:$U$64)*($V$47:$V$64=C79)*($Y$47:$Y$64))</f>
        <v>0.99999999999999978</v>
      </c>
      <c r="R79" s="1">
        <f t="shared" si="10"/>
        <v>368023278.38550889</v>
      </c>
    </row>
    <row r="80" spans="1:18" x14ac:dyDescent="0.25">
      <c r="A80" t="s">
        <v>28</v>
      </c>
      <c r="B80" t="s">
        <v>21</v>
      </c>
      <c r="C80" t="s">
        <v>18</v>
      </c>
      <c r="D80" t="s">
        <v>17</v>
      </c>
      <c r="E80" t="s">
        <v>23</v>
      </c>
      <c r="F80">
        <v>80.570757466708784</v>
      </c>
      <c r="G80">
        <v>37400.335664029655</v>
      </c>
      <c r="H80">
        <v>2349.4470533414756</v>
      </c>
      <c r="I80">
        <v>277.3578</v>
      </c>
      <c r="J80">
        <v>974.74630000000002</v>
      </c>
      <c r="K80">
        <v>37397.97</v>
      </c>
      <c r="L80">
        <v>1403.9469999999999</v>
      </c>
      <c r="M80" s="28">
        <f t="array" ref="M80">SUM((A80=$T$5:$T$22)*(B80=$U$5:$U$22)*($V$5:$V$22=C80)*($Y$5:$Y$22))</f>
        <v>1</v>
      </c>
      <c r="N80" s="28">
        <f t="shared" si="8"/>
        <v>80.570757466708784</v>
      </c>
      <c r="O80" s="28">
        <f t="array" ref="O80">SUM((A80=$T$26:$T$43)*(B80=$U$26:$U$43)*($V$26:$V$43=C80)*($Y$26:$Y$43))</f>
        <v>0.99999999999999989</v>
      </c>
      <c r="P80" s="28">
        <f t="shared" si="9"/>
        <v>2349.4470533414751</v>
      </c>
      <c r="Q80" s="28">
        <f t="array" ref="Q80">SUM((A80=$T$47:$T$64)*(B80=$U$47:$U$64)*($V$47:$V$64=C80)*($Y$47:$Y$64))</f>
        <v>0.99999999999999978</v>
      </c>
      <c r="R80" s="1">
        <f t="shared" si="10"/>
        <v>37400.335664029648</v>
      </c>
    </row>
    <row r="81" spans="1:18" x14ac:dyDescent="0.25">
      <c r="A81" t="s">
        <v>28</v>
      </c>
      <c r="B81" t="s">
        <v>21</v>
      </c>
      <c r="C81" t="s">
        <v>18</v>
      </c>
      <c r="D81" t="s">
        <v>17</v>
      </c>
      <c r="E81" t="s">
        <v>31</v>
      </c>
      <c r="F81">
        <v>2327039.4313422358</v>
      </c>
      <c r="G81" s="1">
        <v>394024923.05405033</v>
      </c>
      <c r="H81">
        <v>21325528.484171435</v>
      </c>
      <c r="I81">
        <v>1243586</v>
      </c>
      <c r="J81">
        <v>9609761</v>
      </c>
      <c r="K81" s="1">
        <v>394000000</v>
      </c>
      <c r="L81">
        <v>12572399</v>
      </c>
      <c r="M81" s="28">
        <f t="array" ref="M81">SUM((A81=$T$5:$T$22)*(B81=$U$5:$U$22)*($V$5:$V$22=C81)*($Y$5:$Y$22))</f>
        <v>1</v>
      </c>
      <c r="N81" s="28">
        <f t="shared" si="8"/>
        <v>2327039.4313422358</v>
      </c>
      <c r="O81" s="28">
        <f t="array" ref="O81">SUM((A81=$T$26:$T$43)*(B81=$U$26:$U$43)*($V$26:$V$43=C81)*($Y$26:$Y$43))</f>
        <v>0.99999999999999989</v>
      </c>
      <c r="P81" s="28">
        <f t="shared" si="9"/>
        <v>21325528.484171432</v>
      </c>
      <c r="Q81" s="28">
        <f t="array" ref="Q81">SUM((A81=$T$47:$T$64)*(B81=$U$47:$U$64)*($V$47:$V$64=C81)*($Y$47:$Y$64))</f>
        <v>0.99999999999999978</v>
      </c>
      <c r="R81" s="1">
        <f t="shared" si="10"/>
        <v>394024923.05405027</v>
      </c>
    </row>
    <row r="82" spans="1:18" x14ac:dyDescent="0.25">
      <c r="A82" t="s">
        <v>28</v>
      </c>
      <c r="B82" t="s">
        <v>21</v>
      </c>
      <c r="C82" t="s">
        <v>19</v>
      </c>
      <c r="D82" t="s">
        <v>12</v>
      </c>
      <c r="E82" s="28" t="s">
        <v>25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s="28">
        <f t="array" ref="M82">SUM((A82=$T$5:$T$22)*(B82=$U$5:$U$22)*($V$5:$V$22=C82)*($Y$5:$Y$22))</f>
        <v>1.0000000000000002</v>
      </c>
      <c r="N82" s="28">
        <f t="shared" si="8"/>
        <v>0</v>
      </c>
      <c r="O82" s="28">
        <f t="array" ref="O82">SUM((A82=$T$26:$T$43)*(B82=$U$26:$U$43)*($V$26:$V$43=C82)*($Y$26:$Y$43))</f>
        <v>1</v>
      </c>
      <c r="P82" s="28">
        <f t="shared" si="9"/>
        <v>0</v>
      </c>
      <c r="Q82" s="28">
        <f t="array" ref="Q82">SUM((A82=$T$47:$T$64)*(B82=$U$47:$U$64)*($V$47:$V$64=C82)*($Y$47:$Y$64))</f>
        <v>1</v>
      </c>
      <c r="R82" s="1">
        <f t="shared" si="10"/>
        <v>0</v>
      </c>
    </row>
    <row r="83" spans="1:18" x14ac:dyDescent="0.25">
      <c r="A83" t="s">
        <v>28</v>
      </c>
      <c r="B83" t="s">
        <v>21</v>
      </c>
      <c r="C83" t="s">
        <v>19</v>
      </c>
      <c r="D83" t="s">
        <v>13</v>
      </c>
      <c r="E83" s="28" t="s">
        <v>25</v>
      </c>
      <c r="F83">
        <v>7122.6864684774537</v>
      </c>
      <c r="G83">
        <v>0</v>
      </c>
      <c r="H83">
        <v>112728.8983045069</v>
      </c>
      <c r="I83">
        <v>3605.5770000000002</v>
      </c>
      <c r="J83">
        <v>0</v>
      </c>
      <c r="K83">
        <v>0</v>
      </c>
      <c r="L83">
        <v>37538.720000000001</v>
      </c>
      <c r="M83" s="28">
        <f t="array" ref="M83">SUM((A83=$T$5:$T$22)*(B83=$U$5:$U$22)*($V$5:$V$22=C83)*($Y$5:$Y$22))</f>
        <v>1.0000000000000002</v>
      </c>
      <c r="N83" s="28">
        <f t="shared" si="8"/>
        <v>7122.6864684774555</v>
      </c>
      <c r="O83" s="28">
        <f t="array" ref="O83">SUM((A83=$T$26:$T$43)*(B83=$U$26:$U$43)*($V$26:$V$43=C83)*($Y$26:$Y$43))</f>
        <v>1</v>
      </c>
      <c r="P83" s="28">
        <f t="shared" si="9"/>
        <v>112728.8983045069</v>
      </c>
      <c r="Q83" s="28">
        <f t="array" ref="Q83">SUM((A83=$T$47:$T$64)*(B83=$U$47:$U$64)*($V$47:$V$64=C83)*($Y$47:$Y$64))</f>
        <v>1</v>
      </c>
      <c r="R83" s="1">
        <f t="shared" si="10"/>
        <v>0</v>
      </c>
    </row>
    <row r="84" spans="1:18" x14ac:dyDescent="0.25">
      <c r="A84" t="s">
        <v>28</v>
      </c>
      <c r="B84" t="s">
        <v>21</v>
      </c>
      <c r="C84" t="s">
        <v>19</v>
      </c>
      <c r="D84" t="s">
        <v>14</v>
      </c>
      <c r="E84" s="28" t="s">
        <v>25</v>
      </c>
      <c r="F84">
        <v>21032.381383353953</v>
      </c>
      <c r="G84">
        <v>0</v>
      </c>
      <c r="H84">
        <v>331215.09501837665</v>
      </c>
      <c r="I84">
        <v>10570.98</v>
      </c>
      <c r="J84">
        <v>0</v>
      </c>
      <c r="K84">
        <v>0</v>
      </c>
      <c r="L84">
        <v>110294.6</v>
      </c>
      <c r="M84" s="28">
        <f t="array" ref="M84">SUM((A84=$T$5:$T$22)*(B84=$U$5:$U$22)*($V$5:$V$22=C84)*($Y$5:$Y$22))</f>
        <v>1.0000000000000002</v>
      </c>
      <c r="N84" s="28">
        <f t="shared" si="8"/>
        <v>21032.381383353957</v>
      </c>
      <c r="O84" s="28">
        <f t="array" ref="O84">SUM((A84=$T$26:$T$43)*(B84=$U$26:$U$43)*($V$26:$V$43=C84)*($Y$26:$Y$43))</f>
        <v>1</v>
      </c>
      <c r="P84" s="28">
        <f t="shared" si="9"/>
        <v>331215.09501837665</v>
      </c>
      <c r="Q84" s="28">
        <f t="array" ref="Q84">SUM((A84=$T$47:$T$64)*(B84=$U$47:$U$64)*($V$47:$V$64=C84)*($Y$47:$Y$64))</f>
        <v>1</v>
      </c>
      <c r="R84" s="1">
        <f t="shared" si="10"/>
        <v>0</v>
      </c>
    </row>
    <row r="85" spans="1:18" x14ac:dyDescent="0.25">
      <c r="A85" t="s">
        <v>28</v>
      </c>
      <c r="B85" t="s">
        <v>21</v>
      </c>
      <c r="C85" t="s">
        <v>19</v>
      </c>
      <c r="D85" t="s">
        <v>15</v>
      </c>
      <c r="E85" s="28" t="s">
        <v>25</v>
      </c>
      <c r="F85">
        <v>42229.432777538677</v>
      </c>
      <c r="G85">
        <v>0</v>
      </c>
      <c r="H85">
        <v>642280.29033981694</v>
      </c>
      <c r="I85">
        <v>20394.57</v>
      </c>
      <c r="J85">
        <v>0</v>
      </c>
      <c r="K85">
        <v>0</v>
      </c>
      <c r="L85">
        <v>213879.3</v>
      </c>
      <c r="M85" s="28">
        <f t="array" ref="M85">SUM((A85=$T$5:$T$22)*(B85=$U$5:$U$22)*($V$5:$V$22=C85)*($Y$5:$Y$22))</f>
        <v>1.0000000000000002</v>
      </c>
      <c r="N85" s="28">
        <f t="shared" si="8"/>
        <v>42229.432777538685</v>
      </c>
      <c r="O85" s="28">
        <f t="array" ref="O85">SUM((A85=$T$26:$T$43)*(B85=$U$26:$U$43)*($V$26:$V$43=C85)*($Y$26:$Y$43))</f>
        <v>1</v>
      </c>
      <c r="P85" s="28">
        <f t="shared" si="9"/>
        <v>642280.29033981694</v>
      </c>
      <c r="Q85" s="28">
        <f t="array" ref="Q85">SUM((A85=$T$47:$T$64)*(B85=$U$47:$U$64)*($V$47:$V$64=C85)*($Y$47:$Y$64))</f>
        <v>1</v>
      </c>
      <c r="R85" s="1">
        <f t="shared" si="10"/>
        <v>0</v>
      </c>
    </row>
    <row r="86" spans="1:18" x14ac:dyDescent="0.25">
      <c r="A86" t="s">
        <v>28</v>
      </c>
      <c r="B86" t="s">
        <v>21</v>
      </c>
      <c r="C86" t="s">
        <v>19</v>
      </c>
      <c r="D86" t="s">
        <v>16</v>
      </c>
      <c r="E86" s="28" t="s">
        <v>25</v>
      </c>
      <c r="F86">
        <v>38372.202523838692</v>
      </c>
      <c r="G86">
        <v>0</v>
      </c>
      <c r="H86">
        <v>542719.7918372514</v>
      </c>
      <c r="I86">
        <v>17070.68</v>
      </c>
      <c r="J86">
        <v>0</v>
      </c>
      <c r="K86">
        <v>0</v>
      </c>
      <c r="L86">
        <v>180725.7</v>
      </c>
      <c r="M86" s="28">
        <f t="array" ref="M86">SUM((A86=$T$5:$T$22)*(B86=$U$5:$U$22)*($V$5:$V$22=C86)*($Y$5:$Y$22))</f>
        <v>1.0000000000000002</v>
      </c>
      <c r="N86" s="28">
        <f t="shared" si="8"/>
        <v>38372.2025238387</v>
      </c>
      <c r="O86" s="28">
        <f t="array" ref="O86">SUM((A86=$T$26:$T$43)*(B86=$U$26:$U$43)*($V$26:$V$43=C86)*($Y$26:$Y$43))</f>
        <v>1</v>
      </c>
      <c r="P86" s="28">
        <f t="shared" si="9"/>
        <v>542719.7918372514</v>
      </c>
      <c r="Q86" s="28">
        <f t="array" ref="Q86">SUM((A86=$T$47:$T$64)*(B86=$U$47:$U$64)*($V$47:$V$64=C86)*($Y$47:$Y$64))</f>
        <v>1</v>
      </c>
      <c r="R86" s="1">
        <f t="shared" si="10"/>
        <v>0</v>
      </c>
    </row>
    <row r="87" spans="1:18" x14ac:dyDescent="0.25">
      <c r="A87" t="s">
        <v>28</v>
      </c>
      <c r="B87" t="s">
        <v>21</v>
      </c>
      <c r="C87" t="s">
        <v>19</v>
      </c>
      <c r="D87" t="s">
        <v>17</v>
      </c>
      <c r="E87" s="28" t="s">
        <v>25</v>
      </c>
      <c r="F87">
        <v>22871.541504320256</v>
      </c>
      <c r="G87">
        <v>0</v>
      </c>
      <c r="H87">
        <v>319797.69519009953</v>
      </c>
      <c r="I87">
        <v>9889.3919999999998</v>
      </c>
      <c r="J87">
        <v>0</v>
      </c>
      <c r="K87">
        <v>0</v>
      </c>
      <c r="L87">
        <v>106492.6</v>
      </c>
      <c r="M87" s="28">
        <f t="array" ref="M87">SUM((A87=$T$5:$T$22)*(B87=$U$5:$U$22)*($V$5:$V$22=C87)*($Y$5:$Y$22))</f>
        <v>1.0000000000000002</v>
      </c>
      <c r="N87" s="28">
        <f t="shared" si="8"/>
        <v>22871.541504320259</v>
      </c>
      <c r="O87" s="28">
        <f t="array" ref="O87">SUM((A87=$T$26:$T$43)*(B87=$U$26:$U$43)*($V$26:$V$43=C87)*($Y$26:$Y$43))</f>
        <v>1</v>
      </c>
      <c r="P87" s="28">
        <f t="shared" si="9"/>
        <v>319797.69519009953</v>
      </c>
      <c r="Q87" s="28">
        <f t="array" ref="Q87">SUM((A87=$T$47:$T$64)*(B87=$U$47:$U$64)*($V$47:$V$64=C87)*($Y$47:$Y$64))</f>
        <v>1</v>
      </c>
      <c r="R87" s="1">
        <f t="shared" si="10"/>
        <v>0</v>
      </c>
    </row>
    <row r="88" spans="1:18" x14ac:dyDescent="0.25">
      <c r="A88" t="s">
        <v>28</v>
      </c>
      <c r="B88" t="s">
        <v>22</v>
      </c>
      <c r="C88" t="s">
        <v>11</v>
      </c>
      <c r="D88" t="s">
        <v>12</v>
      </c>
      <c r="E88" t="s">
        <v>23</v>
      </c>
      <c r="F88">
        <v>12224.618966452103</v>
      </c>
      <c r="G88">
        <v>5371039.8984014913</v>
      </c>
      <c r="H88">
        <v>738688.99975358776</v>
      </c>
      <c r="I88">
        <v>18394.650000000001</v>
      </c>
      <c r="J88">
        <v>189977.9</v>
      </c>
      <c r="K88">
        <v>5373477</v>
      </c>
      <c r="L88">
        <v>589804.6</v>
      </c>
      <c r="M88" s="28">
        <f t="array" ref="M88">SUM((A88=$T$5:$T$22)*(B88=$U$5:$U$22)*($V$5:$V$22=C88)*($Y$5:$Y$22))</f>
        <v>0.99999999999999989</v>
      </c>
      <c r="N88" s="28">
        <f t="shared" si="8"/>
        <v>12224.618966452101</v>
      </c>
      <c r="O88" s="28">
        <f t="array" ref="O88">SUM((A88=$T$26:$T$43)*(B88=$U$26:$U$43)*($V$26:$V$43=C88)*($Y$26:$Y$43))</f>
        <v>1</v>
      </c>
      <c r="P88" s="28">
        <f t="shared" si="9"/>
        <v>738688.99975358776</v>
      </c>
      <c r="Q88" s="28">
        <f t="array" ref="Q88">SUM((A88=$T$47:$T$64)*(B88=$U$47:$U$64)*($V$47:$V$64=C88)*($Y$47:$Y$64))</f>
        <v>1.0000000000000002</v>
      </c>
      <c r="R88" s="1">
        <f t="shared" si="10"/>
        <v>5371039.8984014923</v>
      </c>
    </row>
    <row r="89" spans="1:18" x14ac:dyDescent="0.25">
      <c r="A89" t="s">
        <v>28</v>
      </c>
      <c r="B89" t="s">
        <v>22</v>
      </c>
      <c r="C89" t="s">
        <v>11</v>
      </c>
      <c r="D89" t="s">
        <v>12</v>
      </c>
      <c r="E89" t="s">
        <v>31</v>
      </c>
      <c r="F89">
        <v>602426.3946103825</v>
      </c>
      <c r="G89" s="1">
        <v>559746016.05344832</v>
      </c>
      <c r="H89">
        <v>61246750.979569279</v>
      </c>
      <c r="I89">
        <v>1461919</v>
      </c>
      <c r="J89">
        <v>26752252</v>
      </c>
      <c r="K89" s="1">
        <v>560000000</v>
      </c>
      <c r="L89">
        <v>40861757</v>
      </c>
      <c r="M89" s="28">
        <f t="array" ref="M89">SUM((A89=$T$5:$T$22)*(B89=$U$5:$U$22)*($V$5:$V$22=C89)*($Y$5:$Y$22))</f>
        <v>0.99999999999999989</v>
      </c>
      <c r="N89" s="28">
        <f t="shared" si="8"/>
        <v>602426.39461038238</v>
      </c>
      <c r="O89" s="28">
        <f t="array" ref="O89">SUM((A89=$T$26:$T$43)*(B89=$U$26:$U$43)*($V$26:$V$43=C89)*($Y$26:$Y$43))</f>
        <v>1</v>
      </c>
      <c r="P89" s="28">
        <f t="shared" si="9"/>
        <v>61246750.979569279</v>
      </c>
      <c r="Q89" s="28">
        <f t="array" ref="Q89">SUM((A89=$T$47:$T$64)*(B89=$U$47:$U$64)*($V$47:$V$64=C89)*($Y$47:$Y$64))</f>
        <v>1.0000000000000002</v>
      </c>
      <c r="R89" s="1">
        <f t="shared" si="10"/>
        <v>559746016.05344844</v>
      </c>
    </row>
    <row r="90" spans="1:18" x14ac:dyDescent="0.25">
      <c r="A90" t="s">
        <v>28</v>
      </c>
      <c r="B90" t="s">
        <v>22</v>
      </c>
      <c r="C90" t="s">
        <v>11</v>
      </c>
      <c r="D90" t="s">
        <v>12</v>
      </c>
      <c r="E90" t="s">
        <v>32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s="28">
        <f t="array" ref="M90">SUM((A90=$T$5:$T$22)*(B90=$U$5:$U$22)*($V$5:$V$22=C90)*($Y$5:$Y$22))</f>
        <v>0.99999999999999989</v>
      </c>
      <c r="N90" s="28">
        <f t="shared" si="8"/>
        <v>0</v>
      </c>
      <c r="O90" s="28">
        <f t="array" ref="O90">SUM((A90=$T$26:$T$43)*(B90=$U$26:$U$43)*($V$26:$V$43=C90)*($Y$26:$Y$43))</f>
        <v>1</v>
      </c>
      <c r="P90" s="28">
        <f t="shared" si="9"/>
        <v>0</v>
      </c>
      <c r="Q90" s="28">
        <f t="array" ref="Q90">SUM((A90=$T$47:$T$64)*(B90=$U$47:$U$64)*($V$47:$V$64=C90)*($Y$47:$Y$64))</f>
        <v>1.0000000000000002</v>
      </c>
      <c r="R90" s="1">
        <f t="shared" si="10"/>
        <v>0</v>
      </c>
    </row>
    <row r="91" spans="1:18" x14ac:dyDescent="0.25">
      <c r="A91" t="s">
        <v>28</v>
      </c>
      <c r="B91" t="s">
        <v>22</v>
      </c>
      <c r="C91" t="s">
        <v>11</v>
      </c>
      <c r="D91" t="s">
        <v>13</v>
      </c>
      <c r="E91" t="s">
        <v>23</v>
      </c>
      <c r="F91">
        <v>1.6036292140923399E-2</v>
      </c>
      <c r="G91">
        <v>9.0914347745983974</v>
      </c>
      <c r="H91">
        <v>0.63163299978929954</v>
      </c>
      <c r="I91">
        <v>1.7492000000000001E-2</v>
      </c>
      <c r="J91">
        <v>0.52028300000000005</v>
      </c>
      <c r="K91">
        <v>9.0955600000000008</v>
      </c>
      <c r="L91">
        <v>1.1232000000000001E-2</v>
      </c>
      <c r="M91" s="28">
        <f t="array" ref="M91">SUM((A91=$T$5:$T$22)*(B91=$U$5:$U$22)*($V$5:$V$22=C91)*($Y$5:$Y$22))</f>
        <v>0.99999999999999989</v>
      </c>
      <c r="N91" s="28">
        <f t="shared" si="8"/>
        <v>1.6036292140923395E-2</v>
      </c>
      <c r="O91" s="28">
        <f t="array" ref="O91">SUM((A91=$T$26:$T$43)*(B91=$U$26:$U$43)*($V$26:$V$43=C91)*($Y$26:$Y$43))</f>
        <v>1</v>
      </c>
      <c r="P91" s="28">
        <f t="shared" si="9"/>
        <v>0.63163299978929954</v>
      </c>
      <c r="Q91" s="28">
        <f t="array" ref="Q91">SUM((A91=$T$47:$T$64)*(B91=$U$47:$U$64)*($V$47:$V$64=C91)*($Y$47:$Y$64))</f>
        <v>1.0000000000000002</v>
      </c>
      <c r="R91" s="1">
        <f t="shared" si="10"/>
        <v>9.0914347745983992</v>
      </c>
    </row>
    <row r="92" spans="1:18" x14ac:dyDescent="0.25">
      <c r="A92" t="s">
        <v>28</v>
      </c>
      <c r="B92" t="s">
        <v>22</v>
      </c>
      <c r="C92" t="s">
        <v>11</v>
      </c>
      <c r="D92" t="s">
        <v>13</v>
      </c>
      <c r="E92" t="s">
        <v>31</v>
      </c>
      <c r="F92">
        <v>1584859.8166438031</v>
      </c>
      <c r="G92" s="1">
        <v>998546910.78106225</v>
      </c>
      <c r="H92">
        <v>55597097.981453896</v>
      </c>
      <c r="I92">
        <v>2097914</v>
      </c>
      <c r="J92">
        <v>57630864</v>
      </c>
      <c r="K92" s="1">
        <v>999000000</v>
      </c>
      <c r="L92">
        <v>304346.5</v>
      </c>
      <c r="M92" s="28">
        <f t="array" ref="M92">SUM((A92=$T$5:$T$22)*(B92=$U$5:$U$22)*($V$5:$V$22=C92)*($Y$5:$Y$22))</f>
        <v>0.99999999999999989</v>
      </c>
      <c r="N92" s="28">
        <f t="shared" si="8"/>
        <v>1584859.8166438029</v>
      </c>
      <c r="O92" s="28">
        <f t="array" ref="O92">SUM((A92=$T$26:$T$43)*(B92=$U$26:$U$43)*($V$26:$V$43=C92)*($Y$26:$Y$43))</f>
        <v>1</v>
      </c>
      <c r="P92" s="28">
        <f t="shared" si="9"/>
        <v>55597097.981453896</v>
      </c>
      <c r="Q92" s="28">
        <f t="array" ref="Q92">SUM((A92=$T$47:$T$64)*(B92=$U$47:$U$64)*($V$47:$V$64=C92)*($Y$47:$Y$64))</f>
        <v>1.0000000000000002</v>
      </c>
      <c r="R92" s="1">
        <f t="shared" si="10"/>
        <v>998546910.78106248</v>
      </c>
    </row>
    <row r="93" spans="1:18" x14ac:dyDescent="0.25">
      <c r="A93" t="s">
        <v>28</v>
      </c>
      <c r="B93" t="s">
        <v>22</v>
      </c>
      <c r="C93" t="s">
        <v>11</v>
      </c>
      <c r="D93" t="s">
        <v>14</v>
      </c>
      <c r="E93" t="s">
        <v>23</v>
      </c>
      <c r="F93">
        <v>1.5791386634108267E-2</v>
      </c>
      <c r="G93">
        <v>9.0104495215400355</v>
      </c>
      <c r="H93">
        <v>0.63073099978960045</v>
      </c>
      <c r="I93">
        <v>1.7510999999999999E-2</v>
      </c>
      <c r="J93">
        <v>0.51655899999999999</v>
      </c>
      <c r="K93">
        <v>9.0145379999999999</v>
      </c>
      <c r="L93">
        <v>1.8488999999999998E-2</v>
      </c>
      <c r="M93" s="28">
        <f t="array" ref="M93">SUM((A93=$T$5:$T$22)*(B93=$U$5:$U$22)*($V$5:$V$22=C93)*($Y$5:$Y$22))</f>
        <v>0.99999999999999989</v>
      </c>
      <c r="N93" s="28">
        <f t="shared" si="8"/>
        <v>1.5791386634108263E-2</v>
      </c>
      <c r="O93" s="28">
        <f t="array" ref="O93">SUM((A93=$T$26:$T$43)*(B93=$U$26:$U$43)*($V$26:$V$43=C93)*($Y$26:$Y$43))</f>
        <v>1</v>
      </c>
      <c r="P93" s="28">
        <f t="shared" si="9"/>
        <v>0.63073099978960045</v>
      </c>
      <c r="Q93" s="28">
        <f t="array" ref="Q93">SUM((A93=$T$47:$T$64)*(B93=$U$47:$U$64)*($V$47:$V$64=C93)*($Y$47:$Y$64))</f>
        <v>1.0000000000000002</v>
      </c>
      <c r="R93" s="1">
        <f t="shared" si="10"/>
        <v>9.0104495215400373</v>
      </c>
    </row>
    <row r="94" spans="1:18" x14ac:dyDescent="0.25">
      <c r="A94" t="s">
        <v>28</v>
      </c>
      <c r="B94" t="s">
        <v>22</v>
      </c>
      <c r="C94" t="s">
        <v>11</v>
      </c>
      <c r="D94" t="s">
        <v>14</v>
      </c>
      <c r="E94" t="s">
        <v>31</v>
      </c>
      <c r="F94">
        <v>260667.88619863454</v>
      </c>
      <c r="G94" s="1">
        <v>172921537.10222599</v>
      </c>
      <c r="H94">
        <v>13891849.995365949</v>
      </c>
      <c r="I94">
        <v>418914.4</v>
      </c>
      <c r="J94">
        <v>13151811</v>
      </c>
      <c r="K94" s="1">
        <v>173000000</v>
      </c>
      <c r="L94">
        <v>418994.3</v>
      </c>
      <c r="M94" s="28">
        <f t="array" ref="M94">SUM((A94=$T$5:$T$22)*(B94=$U$5:$U$22)*($V$5:$V$22=C94)*($Y$5:$Y$22))</f>
        <v>0.99999999999999989</v>
      </c>
      <c r="N94" s="28">
        <f t="shared" si="8"/>
        <v>260667.88619863451</v>
      </c>
      <c r="O94" s="28">
        <f t="array" ref="O94">SUM((A94=$T$26:$T$43)*(B94=$U$26:$U$43)*($V$26:$V$43=C94)*($Y$26:$Y$43))</f>
        <v>1</v>
      </c>
      <c r="P94" s="28">
        <f t="shared" si="9"/>
        <v>13891849.995365949</v>
      </c>
      <c r="Q94" s="28">
        <f t="array" ref="Q94">SUM((A94=$T$47:$T$64)*(B94=$U$47:$U$64)*($V$47:$V$64=C94)*($Y$47:$Y$64))</f>
        <v>1.0000000000000002</v>
      </c>
      <c r="R94" s="1">
        <f t="shared" si="10"/>
        <v>172921537.10222602</v>
      </c>
    </row>
    <row r="95" spans="1:18" x14ac:dyDescent="0.25">
      <c r="A95" t="s">
        <v>28</v>
      </c>
      <c r="B95" t="s">
        <v>22</v>
      </c>
      <c r="C95" t="s">
        <v>11</v>
      </c>
      <c r="D95" t="s">
        <v>15</v>
      </c>
      <c r="E95" t="s">
        <v>23</v>
      </c>
      <c r="F95">
        <v>24.197396782432957</v>
      </c>
      <c r="G95">
        <v>13147.34441145711</v>
      </c>
      <c r="H95">
        <v>711.91949976251749</v>
      </c>
      <c r="I95">
        <v>20.183009999999999</v>
      </c>
      <c r="J95">
        <v>409.94569999999999</v>
      </c>
      <c r="K95">
        <v>13153.31</v>
      </c>
      <c r="L95">
        <v>154.09569999999999</v>
      </c>
      <c r="M95" s="28">
        <f t="array" ref="M95">SUM((A95=$T$5:$T$22)*(B95=$U$5:$U$22)*($V$5:$V$22=C95)*($Y$5:$Y$22))</f>
        <v>0.99999999999999989</v>
      </c>
      <c r="N95" s="28">
        <f t="shared" si="8"/>
        <v>24.197396782432953</v>
      </c>
      <c r="O95" s="28">
        <f t="array" ref="O95">SUM((A95=$T$26:$T$43)*(B95=$U$26:$U$43)*($V$26:$V$43=C95)*($Y$26:$Y$43))</f>
        <v>1</v>
      </c>
      <c r="P95" s="28">
        <f t="shared" si="9"/>
        <v>711.91949976251749</v>
      </c>
      <c r="Q95" s="28">
        <f t="array" ref="Q95">SUM((A95=$T$47:$T$64)*(B95=$U$47:$U$64)*($V$47:$V$64=C95)*($Y$47:$Y$64))</f>
        <v>1.0000000000000002</v>
      </c>
      <c r="R95" s="1">
        <f t="shared" si="10"/>
        <v>13147.344411457114</v>
      </c>
    </row>
    <row r="96" spans="1:18" x14ac:dyDescent="0.25">
      <c r="A96" t="s">
        <v>28</v>
      </c>
      <c r="B96" t="s">
        <v>22</v>
      </c>
      <c r="C96" t="s">
        <v>11</v>
      </c>
      <c r="D96" t="s">
        <v>15</v>
      </c>
      <c r="E96" t="s">
        <v>31</v>
      </c>
      <c r="F96">
        <v>548173.20035761443</v>
      </c>
      <c r="G96" s="1">
        <v>346842620.66169029</v>
      </c>
      <c r="H96">
        <v>24205796.991925418</v>
      </c>
      <c r="I96">
        <v>761432.3</v>
      </c>
      <c r="J96">
        <v>21893423</v>
      </c>
      <c r="K96" s="1">
        <v>347000000</v>
      </c>
      <c r="L96">
        <v>2397228</v>
      </c>
      <c r="M96" s="28">
        <f t="array" ref="M96">SUM((A96=$T$5:$T$22)*(B96=$U$5:$U$22)*($V$5:$V$22=C96)*($Y$5:$Y$22))</f>
        <v>0.99999999999999989</v>
      </c>
      <c r="N96" s="28">
        <f t="shared" si="8"/>
        <v>548173.20035761432</v>
      </c>
      <c r="O96" s="28">
        <f t="array" ref="O96">SUM((A96=$T$26:$T$43)*(B96=$U$26:$U$43)*($V$26:$V$43=C96)*($Y$26:$Y$43))</f>
        <v>1</v>
      </c>
      <c r="P96" s="28">
        <f t="shared" si="9"/>
        <v>24205796.991925418</v>
      </c>
      <c r="Q96" s="28">
        <f t="array" ref="Q96">SUM((A96=$T$47:$T$64)*(B96=$U$47:$U$64)*($V$47:$V$64=C96)*($Y$47:$Y$64))</f>
        <v>1.0000000000000002</v>
      </c>
      <c r="R96" s="1">
        <f t="shared" si="10"/>
        <v>346842620.66169035</v>
      </c>
    </row>
    <row r="97" spans="1:18" x14ac:dyDescent="0.25">
      <c r="A97" t="s">
        <v>28</v>
      </c>
      <c r="B97" t="s">
        <v>22</v>
      </c>
      <c r="C97" t="s">
        <v>11</v>
      </c>
      <c r="D97" t="s">
        <v>16</v>
      </c>
      <c r="E97" t="s">
        <v>23</v>
      </c>
      <c r="F97">
        <v>675.89413218165635</v>
      </c>
      <c r="G97">
        <v>402162.21947360685</v>
      </c>
      <c r="H97">
        <v>25065.07999163878</v>
      </c>
      <c r="I97">
        <v>1185.7149999999999</v>
      </c>
      <c r="J97">
        <v>14043.03</v>
      </c>
      <c r="K97">
        <v>402344.7</v>
      </c>
      <c r="L97">
        <v>9317.2569999999996</v>
      </c>
      <c r="M97" s="28">
        <f t="array" ref="M97">SUM((A97=$T$5:$T$22)*(B97=$U$5:$U$22)*($V$5:$V$22=C97)*($Y$5:$Y$22))</f>
        <v>0.99999999999999989</v>
      </c>
      <c r="N97" s="28">
        <f t="shared" si="8"/>
        <v>675.89413218165623</v>
      </c>
      <c r="O97" s="28">
        <f t="array" ref="O97">SUM((A97=$T$26:$T$43)*(B97=$U$26:$U$43)*($V$26:$V$43=C97)*($Y$26:$Y$43))</f>
        <v>1</v>
      </c>
      <c r="P97" s="28">
        <f t="shared" si="9"/>
        <v>25065.07999163878</v>
      </c>
      <c r="Q97" s="28">
        <f t="array" ref="Q97">SUM((A97=$T$47:$T$64)*(B97=$U$47:$U$64)*($V$47:$V$64=C97)*($Y$47:$Y$64))</f>
        <v>1.0000000000000002</v>
      </c>
      <c r="R97" s="1">
        <f t="shared" si="10"/>
        <v>402162.21947360697</v>
      </c>
    </row>
    <row r="98" spans="1:18" x14ac:dyDescent="0.25">
      <c r="A98" t="s">
        <v>28</v>
      </c>
      <c r="B98" t="s">
        <v>22</v>
      </c>
      <c r="C98" t="s">
        <v>11</v>
      </c>
      <c r="D98" t="s">
        <v>16</v>
      </c>
      <c r="E98" t="s">
        <v>31</v>
      </c>
      <c r="F98">
        <v>1175257.3639176877</v>
      </c>
      <c r="G98" s="1">
        <v>762653946.87282324</v>
      </c>
      <c r="H98">
        <v>50054920.983302653</v>
      </c>
      <c r="I98">
        <v>1550484</v>
      </c>
      <c r="J98">
        <v>41503869</v>
      </c>
      <c r="K98" s="1">
        <v>763000000</v>
      </c>
      <c r="L98">
        <v>12391251</v>
      </c>
      <c r="M98" s="28">
        <f t="array" ref="M98">SUM((A98=$T$5:$T$22)*(B98=$U$5:$U$22)*($V$5:$V$22=C98)*($Y$5:$Y$22))</f>
        <v>0.99999999999999989</v>
      </c>
      <c r="N98" s="28">
        <f t="shared" si="8"/>
        <v>1175257.3639176874</v>
      </c>
      <c r="O98" s="28">
        <f t="array" ref="O98">SUM((A98=$T$26:$T$43)*(B98=$U$26:$U$43)*($V$26:$V$43=C98)*($Y$26:$Y$43))</f>
        <v>1</v>
      </c>
      <c r="P98" s="28">
        <f t="shared" si="9"/>
        <v>50054920.983302653</v>
      </c>
      <c r="Q98" s="28">
        <f t="array" ref="Q98">SUM((A98=$T$47:$T$64)*(B98=$U$47:$U$64)*($V$47:$V$64=C98)*($Y$47:$Y$64))</f>
        <v>1.0000000000000002</v>
      </c>
      <c r="R98" s="1">
        <f t="shared" si="10"/>
        <v>762653946.87282336</v>
      </c>
    </row>
    <row r="99" spans="1:18" x14ac:dyDescent="0.25">
      <c r="A99" t="s">
        <v>28</v>
      </c>
      <c r="B99" t="s">
        <v>22</v>
      </c>
      <c r="C99" t="s">
        <v>11</v>
      </c>
      <c r="D99" t="s">
        <v>16</v>
      </c>
      <c r="E99" t="s">
        <v>32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s="28">
        <f t="array" ref="M99">SUM((A99=$T$5:$T$22)*(B99=$U$5:$U$22)*($V$5:$V$22=C99)*($Y$5:$Y$22))</f>
        <v>0.99999999999999989</v>
      </c>
      <c r="N99" s="28">
        <f t="shared" si="8"/>
        <v>0</v>
      </c>
      <c r="O99" s="28">
        <f t="array" ref="O99">SUM((A99=$T$26:$T$43)*(B99=$U$26:$U$43)*($V$26:$V$43=C99)*($Y$26:$Y$43))</f>
        <v>1</v>
      </c>
      <c r="P99" s="28">
        <f t="shared" si="9"/>
        <v>0</v>
      </c>
      <c r="Q99" s="28">
        <f t="array" ref="Q99">SUM((A99=$T$47:$T$64)*(B99=$U$47:$U$64)*($V$47:$V$64=C99)*($Y$47:$Y$64))</f>
        <v>1.0000000000000002</v>
      </c>
      <c r="R99" s="1">
        <f t="shared" si="10"/>
        <v>0</v>
      </c>
    </row>
    <row r="100" spans="1:18" x14ac:dyDescent="0.25">
      <c r="A100" t="s">
        <v>28</v>
      </c>
      <c r="B100" t="s">
        <v>22</v>
      </c>
      <c r="C100" t="s">
        <v>11</v>
      </c>
      <c r="D100" t="s">
        <v>17</v>
      </c>
      <c r="E100" t="s">
        <v>23</v>
      </c>
      <c r="F100">
        <v>9424.6253478567669</v>
      </c>
      <c r="G100">
        <v>4030516.159112575</v>
      </c>
      <c r="H100">
        <v>273820.59990865877</v>
      </c>
      <c r="I100">
        <v>9450.3690000000006</v>
      </c>
      <c r="J100">
        <v>146585.9</v>
      </c>
      <c r="K100">
        <v>4032345</v>
      </c>
      <c r="L100">
        <v>158450.70000000001</v>
      </c>
      <c r="M100" s="28">
        <f t="array" ref="M100">SUM((A100=$T$5:$T$22)*(B100=$U$5:$U$22)*($V$5:$V$22=C100)*($Y$5:$Y$22))</f>
        <v>0.99999999999999989</v>
      </c>
      <c r="N100" s="28">
        <f t="shared" si="8"/>
        <v>9424.6253478567651</v>
      </c>
      <c r="O100" s="28">
        <f t="array" ref="O100">SUM((A100=$T$26:$T$43)*(B100=$U$26:$U$43)*($V$26:$V$43=C100)*($Y$26:$Y$43))</f>
        <v>1</v>
      </c>
      <c r="P100" s="28">
        <f t="shared" si="9"/>
        <v>273820.59990865877</v>
      </c>
      <c r="Q100" s="28">
        <f t="array" ref="Q100">SUM((A100=$T$47:$T$64)*(B100=$U$47:$U$64)*($V$47:$V$64=C100)*($Y$47:$Y$64))</f>
        <v>1.0000000000000002</v>
      </c>
      <c r="R100" s="1">
        <f t="shared" si="10"/>
        <v>4030516.1591125759</v>
      </c>
    </row>
    <row r="101" spans="1:18" x14ac:dyDescent="0.25">
      <c r="A101" t="s">
        <v>28</v>
      </c>
      <c r="B101" t="s">
        <v>22</v>
      </c>
      <c r="C101" t="s">
        <v>11</v>
      </c>
      <c r="D101" t="s">
        <v>17</v>
      </c>
      <c r="E101" t="s">
        <v>31</v>
      </c>
      <c r="F101">
        <v>1752925.2169845917</v>
      </c>
      <c r="G101" s="1">
        <v>1259428536.1202586</v>
      </c>
      <c r="H101">
        <v>87367708.970855832</v>
      </c>
      <c r="I101">
        <v>2607599</v>
      </c>
      <c r="J101">
        <v>61536111</v>
      </c>
      <c r="K101" s="1">
        <v>1260000000</v>
      </c>
      <c r="L101">
        <v>37298379</v>
      </c>
      <c r="M101" s="28">
        <f t="array" ref="M101">SUM((A101=$T$5:$T$22)*(B101=$U$5:$U$22)*($V$5:$V$22=C101)*($Y$5:$Y$22))</f>
        <v>0.99999999999999989</v>
      </c>
      <c r="N101" s="28">
        <f t="shared" si="8"/>
        <v>1752925.2169845914</v>
      </c>
      <c r="O101" s="28">
        <f t="array" ref="O101">SUM((A101=$T$26:$T$43)*(B101=$U$26:$U$43)*($V$26:$V$43=C101)*($Y$26:$Y$43))</f>
        <v>1</v>
      </c>
      <c r="P101" s="28">
        <f t="shared" si="9"/>
        <v>87367708.970855832</v>
      </c>
      <c r="Q101" s="28">
        <f t="array" ref="Q101">SUM((A101=$T$47:$T$64)*(B101=$U$47:$U$64)*($V$47:$V$64=C101)*($Y$47:$Y$64))</f>
        <v>1.0000000000000002</v>
      </c>
      <c r="R101" s="1">
        <f t="shared" si="10"/>
        <v>1259428536.1202588</v>
      </c>
    </row>
    <row r="102" spans="1:18" x14ac:dyDescent="0.25">
      <c r="A102" t="s">
        <v>28</v>
      </c>
      <c r="B102" t="s">
        <v>22</v>
      </c>
      <c r="C102" t="s">
        <v>18</v>
      </c>
      <c r="D102" t="s">
        <v>12</v>
      </c>
      <c r="E102" t="s">
        <v>31</v>
      </c>
      <c r="F102">
        <v>1013403.2382757773</v>
      </c>
      <c r="G102" s="1">
        <v>332178603.82693493</v>
      </c>
      <c r="H102">
        <v>29707687.254966438</v>
      </c>
      <c r="I102">
        <v>738626.8</v>
      </c>
      <c r="J102">
        <v>11434132</v>
      </c>
      <c r="K102" s="1">
        <v>332000000</v>
      </c>
      <c r="L102">
        <v>19953897</v>
      </c>
      <c r="M102" s="28">
        <f t="array" ref="M102">SUM((A102=$T$5:$T$22)*(B102=$U$5:$U$22)*($V$5:$V$22=C102)*($Y$5:$Y$22))</f>
        <v>1</v>
      </c>
      <c r="N102" s="28">
        <f t="shared" si="8"/>
        <v>1013403.2382757773</v>
      </c>
      <c r="O102" s="28">
        <f t="array" ref="O102">SUM((A102=$T$26:$T$43)*(B102=$U$26:$U$43)*($V$26:$V$43=C102)*($Y$26:$Y$43))</f>
        <v>0.99999999999999978</v>
      </c>
      <c r="P102" s="28">
        <f t="shared" si="9"/>
        <v>29707687.25496643</v>
      </c>
      <c r="Q102" s="28">
        <f t="array" ref="Q102">SUM((A102=$T$47:$T$64)*(B102=$U$47:$U$64)*($V$47:$V$64=C102)*($Y$47:$Y$64))</f>
        <v>1</v>
      </c>
      <c r="R102" s="1">
        <f t="shared" si="10"/>
        <v>332178603.82693493</v>
      </c>
    </row>
    <row r="103" spans="1:18" x14ac:dyDescent="0.25">
      <c r="A103" t="s">
        <v>28</v>
      </c>
      <c r="B103" t="s">
        <v>22</v>
      </c>
      <c r="C103" t="s">
        <v>18</v>
      </c>
      <c r="D103" t="s">
        <v>13</v>
      </c>
      <c r="E103" t="s">
        <v>23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s="28">
        <f t="array" ref="M103">SUM((A103=$T$5:$T$22)*(B103=$U$5:$U$22)*($V$5:$V$22=C103)*($Y$5:$Y$22))</f>
        <v>1</v>
      </c>
      <c r="N103" s="28">
        <f t="shared" si="8"/>
        <v>0</v>
      </c>
      <c r="O103" s="28">
        <f t="array" ref="O103">SUM((A103=$T$26:$T$43)*(B103=$U$26:$U$43)*($V$26:$V$43=C103)*($Y$26:$Y$43))</f>
        <v>0.99999999999999978</v>
      </c>
      <c r="P103" s="28">
        <f t="shared" si="9"/>
        <v>0</v>
      </c>
      <c r="Q103" s="28">
        <f t="array" ref="Q103">SUM((A103=$T$47:$T$64)*(B103=$U$47:$U$64)*($V$47:$V$64=C103)*($Y$47:$Y$64))</f>
        <v>1</v>
      </c>
      <c r="R103" s="1">
        <f t="shared" si="10"/>
        <v>0</v>
      </c>
    </row>
    <row r="104" spans="1:18" x14ac:dyDescent="0.25">
      <c r="A104" t="s">
        <v>28</v>
      </c>
      <c r="B104" t="s">
        <v>22</v>
      </c>
      <c r="C104" t="s">
        <v>18</v>
      </c>
      <c r="D104" t="s">
        <v>13</v>
      </c>
      <c r="E104" t="s">
        <v>31</v>
      </c>
      <c r="F104">
        <v>772471.43747689819</v>
      </c>
      <c r="G104" s="1">
        <v>342183983.46027637</v>
      </c>
      <c r="H104">
        <v>18908737.162284371</v>
      </c>
      <c r="I104">
        <v>862931.5</v>
      </c>
      <c r="J104">
        <v>18521811</v>
      </c>
      <c r="K104" s="1">
        <v>342000000</v>
      </c>
      <c r="L104">
        <v>145001.70000000001</v>
      </c>
      <c r="M104" s="28">
        <f t="array" ref="M104">SUM((A104=$T$5:$T$22)*(B104=$U$5:$U$22)*($V$5:$V$22=C104)*($Y$5:$Y$22))</f>
        <v>1</v>
      </c>
      <c r="N104" s="28">
        <f t="shared" si="8"/>
        <v>772471.43747689819</v>
      </c>
      <c r="O104" s="28">
        <f t="array" ref="O104">SUM((A104=$T$26:$T$43)*(B104=$U$26:$U$43)*($V$26:$V$43=C104)*($Y$26:$Y$43))</f>
        <v>0.99999999999999978</v>
      </c>
      <c r="P104" s="28">
        <f t="shared" si="9"/>
        <v>18908737.162284367</v>
      </c>
      <c r="Q104" s="28">
        <f t="array" ref="Q104">SUM((A104=$T$47:$T$64)*(B104=$U$47:$U$64)*($V$47:$V$64=C104)*($Y$47:$Y$64))</f>
        <v>1</v>
      </c>
      <c r="R104" s="1">
        <f t="shared" si="10"/>
        <v>342183983.46027637</v>
      </c>
    </row>
    <row r="105" spans="1:18" x14ac:dyDescent="0.25">
      <c r="A105" t="s">
        <v>28</v>
      </c>
      <c r="B105" t="s">
        <v>22</v>
      </c>
      <c r="C105" t="s">
        <v>18</v>
      </c>
      <c r="D105" t="s">
        <v>14</v>
      </c>
      <c r="E105" t="s">
        <v>23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s="28">
        <f t="array" ref="M105">SUM((A105=$T$5:$T$22)*(B105=$U$5:$U$22)*($V$5:$V$22=C105)*($Y$5:$Y$22))</f>
        <v>1</v>
      </c>
      <c r="N105" s="28">
        <f t="shared" si="8"/>
        <v>0</v>
      </c>
      <c r="O105" s="28">
        <f t="array" ref="O105">SUM((A105=$T$26:$T$43)*(B105=$U$26:$U$43)*($V$26:$V$43=C105)*($Y$26:$Y$43))</f>
        <v>0.99999999999999978</v>
      </c>
      <c r="P105" s="28">
        <f t="shared" si="9"/>
        <v>0</v>
      </c>
      <c r="Q105" s="28">
        <f t="array" ref="Q105">SUM((A105=$T$47:$T$64)*(B105=$U$47:$U$64)*($V$47:$V$64=C105)*($Y$47:$Y$64))</f>
        <v>1</v>
      </c>
      <c r="R105" s="1">
        <f t="shared" si="10"/>
        <v>0</v>
      </c>
    </row>
    <row r="106" spans="1:18" x14ac:dyDescent="0.25">
      <c r="A106" t="s">
        <v>28</v>
      </c>
      <c r="B106" t="s">
        <v>22</v>
      </c>
      <c r="C106" t="s">
        <v>18</v>
      </c>
      <c r="D106" t="s">
        <v>14</v>
      </c>
      <c r="E106" t="s">
        <v>31</v>
      </c>
      <c r="F106">
        <v>593894.19963640417</v>
      </c>
      <c r="G106" s="1">
        <v>172092529.69347233</v>
      </c>
      <c r="H106">
        <v>11359586.097493729</v>
      </c>
      <c r="I106">
        <v>428509.4</v>
      </c>
      <c r="J106">
        <v>9731290</v>
      </c>
      <c r="K106" s="1">
        <v>172000000</v>
      </c>
      <c r="L106">
        <v>380314.4</v>
      </c>
      <c r="M106" s="28">
        <f t="array" ref="M106">SUM((A106=$T$5:$T$22)*(B106=$U$5:$U$22)*($V$5:$V$22=C106)*($Y$5:$Y$22))</f>
        <v>1</v>
      </c>
      <c r="N106" s="28">
        <f t="shared" si="8"/>
        <v>593894.19963640417</v>
      </c>
      <c r="O106" s="28">
        <f t="array" ref="O106">SUM((A106=$T$26:$T$43)*(B106=$U$26:$U$43)*($V$26:$V$43=C106)*($Y$26:$Y$43))</f>
        <v>0.99999999999999978</v>
      </c>
      <c r="P106" s="28">
        <f t="shared" si="9"/>
        <v>11359586.097493727</v>
      </c>
      <c r="Q106" s="28">
        <f t="array" ref="Q106">SUM((A106=$T$47:$T$64)*(B106=$U$47:$U$64)*($V$47:$V$64=C106)*($Y$47:$Y$64))</f>
        <v>1</v>
      </c>
      <c r="R106" s="1">
        <f t="shared" si="10"/>
        <v>172092529.69347233</v>
      </c>
    </row>
    <row r="107" spans="1:18" x14ac:dyDescent="0.25">
      <c r="A107" t="s">
        <v>28</v>
      </c>
      <c r="B107" t="s">
        <v>22</v>
      </c>
      <c r="C107" t="s">
        <v>18</v>
      </c>
      <c r="D107" t="s">
        <v>15</v>
      </c>
      <c r="E107" t="s">
        <v>31</v>
      </c>
      <c r="F107">
        <v>1385870.2978527069</v>
      </c>
      <c r="G107" s="1">
        <v>376202274.21363717</v>
      </c>
      <c r="H107">
        <v>24019743.206149615</v>
      </c>
      <c r="I107">
        <v>838055.4</v>
      </c>
      <c r="J107">
        <v>19580485</v>
      </c>
      <c r="K107" s="1">
        <v>376000000</v>
      </c>
      <c r="L107">
        <v>2114575</v>
      </c>
      <c r="M107" s="28">
        <f t="array" ref="M107">SUM((A107=$T$5:$T$22)*(B107=$U$5:$U$22)*($V$5:$V$22=C107)*($Y$5:$Y$22))</f>
        <v>1</v>
      </c>
      <c r="N107" s="28">
        <f t="shared" si="8"/>
        <v>1385870.2978527069</v>
      </c>
      <c r="O107" s="28">
        <f t="array" ref="O107">SUM((A107=$T$26:$T$43)*(B107=$U$26:$U$43)*($V$26:$V$43=C107)*($Y$26:$Y$43))</f>
        <v>0.99999999999999978</v>
      </c>
      <c r="P107" s="28">
        <f t="shared" si="9"/>
        <v>24019743.206149612</v>
      </c>
      <c r="Q107" s="28">
        <f t="array" ref="Q107">SUM((A107=$T$47:$T$64)*(B107=$U$47:$U$64)*($V$47:$V$64=C107)*($Y$47:$Y$64))</f>
        <v>1</v>
      </c>
      <c r="R107" s="1">
        <f t="shared" si="10"/>
        <v>376202274.21363717</v>
      </c>
    </row>
    <row r="108" spans="1:18" x14ac:dyDescent="0.25">
      <c r="A108" t="s">
        <v>28</v>
      </c>
      <c r="B108" t="s">
        <v>22</v>
      </c>
      <c r="C108" t="s">
        <v>18</v>
      </c>
      <c r="D108" t="s">
        <v>16</v>
      </c>
      <c r="E108" t="s">
        <v>23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s="28">
        <f t="array" ref="M108">SUM((A108=$T$5:$T$22)*(B108=$U$5:$U$22)*($V$5:$V$22=C108)*($Y$5:$Y$22))</f>
        <v>1</v>
      </c>
      <c r="N108" s="28">
        <f t="shared" si="8"/>
        <v>0</v>
      </c>
      <c r="O108" s="28">
        <f t="array" ref="O108">SUM((A108=$T$26:$T$43)*(B108=$U$26:$U$43)*($V$26:$V$43=C108)*($Y$26:$Y$43))</f>
        <v>0.99999999999999978</v>
      </c>
      <c r="P108" s="28">
        <f t="shared" si="9"/>
        <v>0</v>
      </c>
      <c r="Q108" s="28">
        <f t="array" ref="Q108">SUM((A108=$T$47:$T$64)*(B108=$U$47:$U$64)*($V$47:$V$64=C108)*($Y$47:$Y$64))</f>
        <v>1</v>
      </c>
      <c r="R108" s="1">
        <f t="shared" si="10"/>
        <v>0</v>
      </c>
    </row>
    <row r="109" spans="1:18" x14ac:dyDescent="0.25">
      <c r="A109" t="s">
        <v>28</v>
      </c>
      <c r="B109" t="s">
        <v>22</v>
      </c>
      <c r="C109" t="s">
        <v>18</v>
      </c>
      <c r="D109" t="s">
        <v>16</v>
      </c>
      <c r="E109" t="s">
        <v>31</v>
      </c>
      <c r="F109">
        <v>2481594.7088729367</v>
      </c>
      <c r="G109" s="1">
        <v>670360435.43387473</v>
      </c>
      <c r="H109">
        <v>43520553.373515457</v>
      </c>
      <c r="I109">
        <v>1357774</v>
      </c>
      <c r="J109">
        <v>33202148</v>
      </c>
      <c r="K109" s="1">
        <v>670000000</v>
      </c>
      <c r="L109">
        <v>8820344</v>
      </c>
      <c r="M109" s="28">
        <f t="array" ref="M109">SUM((A109=$T$5:$T$22)*(B109=$U$5:$U$22)*($V$5:$V$22=C109)*($Y$5:$Y$22))</f>
        <v>1</v>
      </c>
      <c r="N109" s="28">
        <f t="shared" si="8"/>
        <v>2481594.7088729367</v>
      </c>
      <c r="O109" s="28">
        <f t="array" ref="O109">SUM((A109=$T$26:$T$43)*(B109=$U$26:$U$43)*($V$26:$V$43=C109)*($Y$26:$Y$43))</f>
        <v>0.99999999999999978</v>
      </c>
      <c r="P109" s="28">
        <f t="shared" si="9"/>
        <v>43520553.373515449</v>
      </c>
      <c r="Q109" s="28">
        <f t="array" ref="Q109">SUM((A109=$T$47:$T$64)*(B109=$U$47:$U$64)*($V$47:$V$64=C109)*($Y$47:$Y$64))</f>
        <v>1</v>
      </c>
      <c r="R109" s="1">
        <f t="shared" si="10"/>
        <v>670360435.43387473</v>
      </c>
    </row>
    <row r="110" spans="1:18" x14ac:dyDescent="0.25">
      <c r="A110" t="s">
        <v>28</v>
      </c>
      <c r="B110" t="s">
        <v>22</v>
      </c>
      <c r="C110" t="s">
        <v>18</v>
      </c>
      <c r="D110" t="s">
        <v>16</v>
      </c>
      <c r="E110" t="s">
        <v>32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s="28">
        <f t="array" ref="M110">SUM((A110=$T$5:$T$22)*(B110=$U$5:$U$22)*($V$5:$V$22=C110)*($Y$5:$Y$22))</f>
        <v>1</v>
      </c>
      <c r="N110" s="28">
        <f t="shared" si="8"/>
        <v>0</v>
      </c>
      <c r="O110" s="28">
        <f t="array" ref="O110">SUM((A110=$T$26:$T$43)*(B110=$U$26:$U$43)*($V$26:$V$43=C110)*($Y$26:$Y$43))</f>
        <v>0.99999999999999978</v>
      </c>
      <c r="P110" s="28">
        <f t="shared" si="9"/>
        <v>0</v>
      </c>
      <c r="Q110" s="28">
        <f t="array" ref="Q110">SUM((A110=$T$47:$T$64)*(B110=$U$47:$U$64)*($V$47:$V$64=C110)*($Y$47:$Y$64))</f>
        <v>1</v>
      </c>
      <c r="R110" s="1">
        <f t="shared" si="10"/>
        <v>0</v>
      </c>
    </row>
    <row r="111" spans="1:18" x14ac:dyDescent="0.25">
      <c r="A111" t="s">
        <v>28</v>
      </c>
      <c r="B111" t="s">
        <v>22</v>
      </c>
      <c r="C111" t="s">
        <v>18</v>
      </c>
      <c r="D111" t="s">
        <v>17</v>
      </c>
      <c r="E111" t="s">
        <v>23</v>
      </c>
      <c r="F111">
        <v>989.26317862393512</v>
      </c>
      <c r="G111">
        <v>272680.21308412153</v>
      </c>
      <c r="H111">
        <v>18750.000160922009</v>
      </c>
      <c r="I111">
        <v>539.40260000000001</v>
      </c>
      <c r="J111">
        <v>13476.53</v>
      </c>
      <c r="K111">
        <v>272533.59999999998</v>
      </c>
      <c r="L111">
        <v>6473.2830000000004</v>
      </c>
      <c r="M111" s="28">
        <f t="array" ref="M111">SUM((A111=$T$5:$T$22)*(B111=$U$5:$U$22)*($V$5:$V$22=C111)*($Y$5:$Y$22))</f>
        <v>1</v>
      </c>
      <c r="N111" s="28">
        <f t="shared" si="8"/>
        <v>989.26317862393512</v>
      </c>
      <c r="O111" s="28">
        <f t="array" ref="O111">SUM((A111=$T$26:$T$43)*(B111=$U$26:$U$43)*($V$26:$V$43=C111)*($Y$26:$Y$43))</f>
        <v>0.99999999999999978</v>
      </c>
      <c r="P111" s="28">
        <f t="shared" si="9"/>
        <v>18750.000160922005</v>
      </c>
      <c r="Q111" s="28">
        <f t="array" ref="Q111">SUM((A111=$T$47:$T$64)*(B111=$U$47:$U$64)*($V$47:$V$64=C111)*($Y$47:$Y$64))</f>
        <v>1</v>
      </c>
      <c r="R111" s="1">
        <f t="shared" si="10"/>
        <v>272680.21308412153</v>
      </c>
    </row>
    <row r="112" spans="1:18" x14ac:dyDescent="0.25">
      <c r="A112" t="s">
        <v>28</v>
      </c>
      <c r="B112" t="s">
        <v>22</v>
      </c>
      <c r="C112" t="s">
        <v>18</v>
      </c>
      <c r="D112" t="s">
        <v>17</v>
      </c>
      <c r="E112" t="s">
        <v>31</v>
      </c>
      <c r="F112">
        <v>2681676.6414246988</v>
      </c>
      <c r="G112" s="1">
        <v>715384643.78391111</v>
      </c>
      <c r="H112">
        <v>49158318.421901613</v>
      </c>
      <c r="I112">
        <v>1426457</v>
      </c>
      <c r="J112">
        <v>30642455</v>
      </c>
      <c r="K112" s="1">
        <v>715000000</v>
      </c>
      <c r="L112">
        <v>19531476</v>
      </c>
      <c r="M112" s="28">
        <f t="array" ref="M112">SUM((A112=$T$5:$T$22)*(B112=$U$5:$U$22)*($V$5:$V$22=C112)*($Y$5:$Y$22))</f>
        <v>1</v>
      </c>
      <c r="N112" s="28">
        <f t="shared" si="8"/>
        <v>2681676.6414246988</v>
      </c>
      <c r="O112" s="28">
        <f t="array" ref="O112">SUM((A112=$T$26:$T$43)*(B112=$U$26:$U$43)*($V$26:$V$43=C112)*($Y$26:$Y$43))</f>
        <v>0.99999999999999978</v>
      </c>
      <c r="P112" s="28">
        <f t="shared" si="9"/>
        <v>49158318.421901606</v>
      </c>
      <c r="Q112" s="28">
        <f t="array" ref="Q112">SUM((A112=$T$47:$T$64)*(B112=$U$47:$U$64)*($V$47:$V$64=C112)*($Y$47:$Y$64))</f>
        <v>1</v>
      </c>
      <c r="R112" s="1">
        <f t="shared" si="10"/>
        <v>715384643.78391111</v>
      </c>
    </row>
    <row r="113" spans="1:18" x14ac:dyDescent="0.25">
      <c r="A113" t="s">
        <v>28</v>
      </c>
      <c r="B113" t="s">
        <v>22</v>
      </c>
      <c r="C113" t="s">
        <v>19</v>
      </c>
      <c r="D113" t="s">
        <v>12</v>
      </c>
      <c r="E113" s="28" t="s">
        <v>25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s="28">
        <f t="array" ref="M113">SUM((A113=$T$5:$T$22)*(B113=$U$5:$U$22)*($V$5:$V$22=C113)*($Y$5:$Y$22))</f>
        <v>1</v>
      </c>
      <c r="N113" s="28">
        <f t="shared" si="8"/>
        <v>0</v>
      </c>
      <c r="O113" s="28">
        <f t="array" ref="O113">SUM((A113=$T$26:$T$43)*(B113=$U$26:$U$43)*($V$26:$V$43=C113)*($Y$26:$Y$43))</f>
        <v>1.0000000000000002</v>
      </c>
      <c r="P113" s="28">
        <f t="shared" si="9"/>
        <v>0</v>
      </c>
      <c r="Q113" s="28">
        <f t="array" ref="Q113">SUM((A113=$T$47:$T$64)*(B113=$U$47:$U$64)*($V$47:$V$64=C113)*($Y$47:$Y$64))</f>
        <v>1</v>
      </c>
      <c r="R113" s="1">
        <f t="shared" si="10"/>
        <v>0</v>
      </c>
    </row>
    <row r="114" spans="1:18" x14ac:dyDescent="0.25">
      <c r="A114" t="s">
        <v>28</v>
      </c>
      <c r="B114" t="s">
        <v>22</v>
      </c>
      <c r="C114" t="s">
        <v>19</v>
      </c>
      <c r="D114" t="s">
        <v>13</v>
      </c>
      <c r="E114" s="28" t="s">
        <v>25</v>
      </c>
      <c r="F114">
        <v>674.50129353758427</v>
      </c>
      <c r="G114">
        <v>0</v>
      </c>
      <c r="H114">
        <v>20849.678793536514</v>
      </c>
      <c r="I114">
        <v>666.59699999999998</v>
      </c>
      <c r="J114">
        <v>0</v>
      </c>
      <c r="K114">
        <v>0</v>
      </c>
      <c r="L114">
        <v>6942.9430000000002</v>
      </c>
      <c r="M114" s="28">
        <f t="array" ref="M114">SUM((A114=$T$5:$T$22)*(B114=$U$5:$U$22)*($V$5:$V$22=C114)*($Y$5:$Y$22))</f>
        <v>1</v>
      </c>
      <c r="N114" s="28">
        <f t="shared" si="8"/>
        <v>674.50129353758427</v>
      </c>
      <c r="O114" s="28">
        <f t="array" ref="O114">SUM((A114=$T$26:$T$43)*(B114=$U$26:$U$43)*($V$26:$V$43=C114)*($Y$26:$Y$43))</f>
        <v>1.0000000000000002</v>
      </c>
      <c r="P114" s="28">
        <f t="shared" si="9"/>
        <v>20849.678793536517</v>
      </c>
      <c r="Q114" s="28">
        <f t="array" ref="Q114">SUM((A114=$T$47:$T$64)*(B114=$U$47:$U$64)*($V$47:$V$64=C114)*($Y$47:$Y$64))</f>
        <v>1</v>
      </c>
      <c r="R114" s="1">
        <f t="shared" si="10"/>
        <v>0</v>
      </c>
    </row>
    <row r="115" spans="1:18" x14ac:dyDescent="0.25">
      <c r="A115" t="s">
        <v>28</v>
      </c>
      <c r="B115" t="s">
        <v>22</v>
      </c>
      <c r="C115" t="s">
        <v>19</v>
      </c>
      <c r="D115" t="s">
        <v>14</v>
      </c>
      <c r="E115" s="28" t="s">
        <v>25</v>
      </c>
      <c r="F115">
        <v>10885.859895702273</v>
      </c>
      <c r="G115">
        <v>0</v>
      </c>
      <c r="H115">
        <v>283962.38356855995</v>
      </c>
      <c r="I115">
        <v>9061.598</v>
      </c>
      <c r="J115">
        <v>0</v>
      </c>
      <c r="K115">
        <v>0</v>
      </c>
      <c r="L115">
        <v>94559.47</v>
      </c>
      <c r="M115" s="28">
        <f t="array" ref="M115">SUM((A115=$T$5:$T$22)*(B115=$U$5:$U$22)*($V$5:$V$22=C115)*($Y$5:$Y$22))</f>
        <v>1</v>
      </c>
      <c r="N115" s="28">
        <f t="shared" si="8"/>
        <v>10885.859895702273</v>
      </c>
      <c r="O115" s="28">
        <f t="array" ref="O115">SUM((A115=$T$26:$T$43)*(B115=$U$26:$U$43)*($V$26:$V$43=C115)*($Y$26:$Y$43))</f>
        <v>1.0000000000000002</v>
      </c>
      <c r="P115" s="28">
        <f t="shared" si="9"/>
        <v>283962.38356856001</v>
      </c>
      <c r="Q115" s="28">
        <f t="array" ref="Q115">SUM((A115=$T$47:$T$64)*(B115=$U$47:$U$64)*($V$47:$V$64=C115)*($Y$47:$Y$64))</f>
        <v>1</v>
      </c>
      <c r="R115" s="1">
        <f t="shared" si="10"/>
        <v>0</v>
      </c>
    </row>
    <row r="116" spans="1:18" x14ac:dyDescent="0.25">
      <c r="A116" t="s">
        <v>28</v>
      </c>
      <c r="B116" t="s">
        <v>22</v>
      </c>
      <c r="C116" t="s">
        <v>19</v>
      </c>
      <c r="D116" t="s">
        <v>15</v>
      </c>
      <c r="E116" s="28" t="s">
        <v>25</v>
      </c>
      <c r="F116">
        <v>15866.179847985688</v>
      </c>
      <c r="G116">
        <v>0</v>
      </c>
      <c r="H116">
        <v>387412.97758240707</v>
      </c>
      <c r="I116">
        <v>12311.34</v>
      </c>
      <c r="J116">
        <v>0</v>
      </c>
      <c r="K116">
        <v>0</v>
      </c>
      <c r="L116">
        <v>129008.5</v>
      </c>
      <c r="M116" s="28">
        <f t="array" ref="M116">SUM((A116=$T$5:$T$22)*(B116=$U$5:$U$22)*($V$5:$V$22=C116)*($Y$5:$Y$22))</f>
        <v>1</v>
      </c>
      <c r="N116" s="28">
        <f t="shared" si="8"/>
        <v>15866.179847985688</v>
      </c>
      <c r="O116" s="28">
        <f t="array" ref="O116">SUM((A116=$T$26:$T$43)*(B116=$U$26:$U$43)*($V$26:$V$43=C116)*($Y$26:$Y$43))</f>
        <v>1.0000000000000002</v>
      </c>
      <c r="P116" s="28">
        <f t="shared" si="9"/>
        <v>387412.97758240713</v>
      </c>
      <c r="Q116" s="28">
        <f t="array" ref="Q116">SUM((A116=$T$47:$T$64)*(B116=$U$47:$U$64)*($V$47:$V$64=C116)*($Y$47:$Y$64))</f>
        <v>1</v>
      </c>
      <c r="R116" s="1">
        <f t="shared" si="10"/>
        <v>0</v>
      </c>
    </row>
    <row r="117" spans="1:18" x14ac:dyDescent="0.25">
      <c r="A117" t="s">
        <v>28</v>
      </c>
      <c r="B117" t="s">
        <v>22</v>
      </c>
      <c r="C117" t="s">
        <v>19</v>
      </c>
      <c r="D117" t="s">
        <v>16</v>
      </c>
      <c r="E117" s="28" t="s">
        <v>25</v>
      </c>
      <c r="F117">
        <v>8731.1919163462062</v>
      </c>
      <c r="G117">
        <v>0</v>
      </c>
      <c r="H117">
        <v>277442.58394582709</v>
      </c>
      <c r="I117">
        <v>8707.9009999999998</v>
      </c>
      <c r="J117">
        <v>0</v>
      </c>
      <c r="K117">
        <v>0</v>
      </c>
      <c r="L117">
        <v>92388.38</v>
      </c>
      <c r="M117" s="28">
        <f t="array" ref="M117">SUM((A117=$T$5:$T$22)*(B117=$U$5:$U$22)*($V$5:$V$22=C117)*($Y$5:$Y$22))</f>
        <v>1</v>
      </c>
      <c r="N117" s="28">
        <f t="shared" si="8"/>
        <v>8731.1919163462062</v>
      </c>
      <c r="O117" s="28">
        <f t="array" ref="O117">SUM((A117=$T$26:$T$43)*(B117=$U$26:$U$43)*($V$26:$V$43=C117)*($Y$26:$Y$43))</f>
        <v>1.0000000000000002</v>
      </c>
      <c r="P117" s="28">
        <f t="shared" si="9"/>
        <v>277442.58394582715</v>
      </c>
      <c r="Q117" s="28">
        <f t="array" ref="Q117">SUM((A117=$T$47:$T$64)*(B117=$U$47:$U$64)*($V$47:$V$64=C117)*($Y$47:$Y$64))</f>
        <v>1</v>
      </c>
      <c r="R117" s="1">
        <f t="shared" si="10"/>
        <v>0</v>
      </c>
    </row>
    <row r="118" spans="1:18" x14ac:dyDescent="0.25">
      <c r="A118" t="s">
        <v>28</v>
      </c>
      <c r="B118" t="s">
        <v>22</v>
      </c>
      <c r="C118" t="s">
        <v>19</v>
      </c>
      <c r="D118" t="s">
        <v>17</v>
      </c>
      <c r="E118" s="28" t="s">
        <v>25</v>
      </c>
      <c r="F118">
        <v>2203.0639788923822</v>
      </c>
      <c r="G118">
        <v>0</v>
      </c>
      <c r="H118">
        <v>49342.647144795235</v>
      </c>
      <c r="I118">
        <v>1356.175</v>
      </c>
      <c r="J118">
        <v>0</v>
      </c>
      <c r="K118">
        <v>0</v>
      </c>
      <c r="L118">
        <v>16431.099999999999</v>
      </c>
      <c r="M118" s="28">
        <f t="array" ref="M118">SUM((A118=$T$5:$T$22)*(B118=$U$5:$U$22)*($V$5:$V$22=C118)*($Y$5:$Y$22))</f>
        <v>1</v>
      </c>
      <c r="N118" s="28">
        <f t="shared" si="8"/>
        <v>2203.0639788923822</v>
      </c>
      <c r="O118" s="28">
        <f t="array" ref="O118">SUM((A118=$T$26:$T$43)*(B118=$U$26:$U$43)*($V$26:$V$43=C118)*($Y$26:$Y$43))</f>
        <v>1.0000000000000002</v>
      </c>
      <c r="P118" s="28">
        <f t="shared" si="9"/>
        <v>49342.64714479525</v>
      </c>
      <c r="Q118" s="28">
        <f t="array" ref="Q118">SUM((A118=$T$47:$T$64)*(B118=$U$47:$U$64)*($V$47:$V$64=C118)*($Y$47:$Y$64))</f>
        <v>1</v>
      </c>
      <c r="R118" s="1">
        <f t="shared" si="10"/>
        <v>0</v>
      </c>
    </row>
    <row r="119" spans="1:18" hidden="1" x14ac:dyDescent="0.25">
      <c r="A119" t="s">
        <v>29</v>
      </c>
      <c r="B119" t="s">
        <v>26</v>
      </c>
      <c r="C119" t="s">
        <v>11</v>
      </c>
      <c r="D119" t="s">
        <v>12</v>
      </c>
      <c r="E119" t="s">
        <v>48</v>
      </c>
      <c r="F119">
        <v>13818.834316494364</v>
      </c>
      <c r="G119">
        <v>16382090.58721759</v>
      </c>
      <c r="H119">
        <v>1993399.9996091968</v>
      </c>
      <c r="I119">
        <v>49292.29</v>
      </c>
      <c r="J119">
        <v>1000267</v>
      </c>
      <c r="K119">
        <v>16083799</v>
      </c>
      <c r="L119">
        <v>1153359</v>
      </c>
      <c r="M119" s="28">
        <f t="array" ref="M119">SUM((A119=$T$5:$T$22)*(B119=$U$5:$U$22)*($V$5:$V$22=C119)*($Y$5:$Y$22))</f>
        <v>1.0000000000000002</v>
      </c>
      <c r="N119" s="28">
        <f t="shared" si="8"/>
        <v>13818.834316494367</v>
      </c>
      <c r="O119" s="28">
        <f t="array" ref="O119">SUM((A119=$T$26:$T$43)*(B119=$U$26:$U$43)*($V$26:$V$43=C119)*($Y$26:$Y$43))</f>
        <v>1</v>
      </c>
      <c r="P119" s="28">
        <f t="shared" si="9"/>
        <v>1993399.9996091968</v>
      </c>
      <c r="Q119" s="28">
        <f t="array" ref="Q119">SUM((A119=$T$47:$T$64)*(B119=$U$47:$U$64)*($V$47:$V$64=C119)*($Y$47:$Y$64))</f>
        <v>0.99999999999999989</v>
      </c>
      <c r="R119" s="1">
        <f t="shared" si="10"/>
        <v>16382090.587217588</v>
      </c>
    </row>
    <row r="120" spans="1:18" hidden="1" x14ac:dyDescent="0.25">
      <c r="A120" t="s">
        <v>29</v>
      </c>
      <c r="B120" t="s">
        <v>26</v>
      </c>
      <c r="C120" t="s">
        <v>11</v>
      </c>
      <c r="D120" t="s">
        <v>12</v>
      </c>
      <c r="E120" t="s">
        <v>23</v>
      </c>
      <c r="F120">
        <v>161937.23783044436</v>
      </c>
      <c r="G120" s="1">
        <v>197597941.50127172</v>
      </c>
      <c r="H120">
        <v>17166245.99663458</v>
      </c>
      <c r="I120">
        <v>809388.2</v>
      </c>
      <c r="J120">
        <v>7847697</v>
      </c>
      <c r="K120" s="1">
        <v>194000000</v>
      </c>
      <c r="L120">
        <v>11037073</v>
      </c>
      <c r="M120" s="28">
        <f t="array" ref="M120">SUM((A120=$T$5:$T$22)*(B120=$U$5:$U$22)*($V$5:$V$22=C120)*($Y$5:$Y$22))</f>
        <v>1.0000000000000002</v>
      </c>
      <c r="N120" s="28">
        <f t="shared" si="8"/>
        <v>161937.23783044438</v>
      </c>
      <c r="O120" s="28">
        <f t="array" ref="O120">SUM((A120=$T$26:$T$43)*(B120=$U$26:$U$43)*($V$26:$V$43=C120)*($Y$26:$Y$43))</f>
        <v>1</v>
      </c>
      <c r="P120" s="28">
        <f t="shared" si="9"/>
        <v>17166245.99663458</v>
      </c>
      <c r="Q120" s="28">
        <f t="array" ref="Q120">SUM((A120=$T$47:$T$64)*(B120=$U$47:$U$64)*($V$47:$V$64=C120)*($Y$47:$Y$64))</f>
        <v>0.99999999999999989</v>
      </c>
      <c r="R120" s="1">
        <f t="shared" si="10"/>
        <v>197597941.50127169</v>
      </c>
    </row>
    <row r="121" spans="1:18" hidden="1" x14ac:dyDescent="0.25">
      <c r="A121" t="s">
        <v>29</v>
      </c>
      <c r="B121" t="s">
        <v>26</v>
      </c>
      <c r="C121" t="s">
        <v>11</v>
      </c>
      <c r="D121" t="s">
        <v>12</v>
      </c>
      <c r="E121" t="s">
        <v>31</v>
      </c>
      <c r="F121">
        <v>1069464.1555235235</v>
      </c>
      <c r="G121" s="1">
        <v>1089844316.5276327</v>
      </c>
      <c r="H121">
        <v>86674502.98300758</v>
      </c>
      <c r="I121">
        <v>2818648</v>
      </c>
      <c r="J121">
        <v>28311013</v>
      </c>
      <c r="K121" s="1">
        <v>1070000000</v>
      </c>
      <c r="L121">
        <v>69020908</v>
      </c>
      <c r="M121" s="28">
        <f t="array" ref="M121">SUM((A121=$T$5:$T$22)*(B121=$U$5:$U$22)*($V$5:$V$22=C121)*($Y$5:$Y$22))</f>
        <v>1.0000000000000002</v>
      </c>
      <c r="N121" s="28">
        <f t="shared" si="8"/>
        <v>1069464.1555235237</v>
      </c>
      <c r="O121" s="28">
        <f t="array" ref="O121">SUM((A121=$T$26:$T$43)*(B121=$U$26:$U$43)*($V$26:$V$43=C121)*($Y$26:$Y$43))</f>
        <v>1</v>
      </c>
      <c r="P121" s="28">
        <f t="shared" si="9"/>
        <v>86674502.98300758</v>
      </c>
      <c r="Q121" s="28">
        <f t="array" ref="Q121">SUM((A121=$T$47:$T$64)*(B121=$U$47:$U$64)*($V$47:$V$64=C121)*($Y$47:$Y$64))</f>
        <v>0.99999999999999989</v>
      </c>
      <c r="R121" s="1">
        <f t="shared" si="10"/>
        <v>1089844316.5276325</v>
      </c>
    </row>
    <row r="122" spans="1:18" hidden="1" x14ac:dyDescent="0.25">
      <c r="A122" t="s">
        <v>29</v>
      </c>
      <c r="B122" t="s">
        <v>26</v>
      </c>
      <c r="C122" t="s">
        <v>11</v>
      </c>
      <c r="D122" t="s">
        <v>12</v>
      </c>
      <c r="E122" t="s">
        <v>32</v>
      </c>
      <c r="F122">
        <v>50901.253518077669</v>
      </c>
      <c r="G122">
        <v>60088959.550541848</v>
      </c>
      <c r="H122">
        <v>4891802.9990409687</v>
      </c>
      <c r="I122">
        <v>227581.6</v>
      </c>
      <c r="J122">
        <v>2676386</v>
      </c>
      <c r="K122">
        <v>58994836</v>
      </c>
      <c r="L122">
        <v>2770193</v>
      </c>
      <c r="M122" s="28">
        <f t="array" ref="M122">SUM((A122=$T$5:$T$22)*(B122=$U$5:$U$22)*($V$5:$V$22=C122)*($Y$5:$Y$22))</f>
        <v>1.0000000000000002</v>
      </c>
      <c r="N122" s="28">
        <f t="shared" si="8"/>
        <v>50901.253518077683</v>
      </c>
      <c r="O122" s="28">
        <f t="array" ref="O122">SUM((A122=$T$26:$T$43)*(B122=$U$26:$U$43)*($V$26:$V$43=C122)*($Y$26:$Y$43))</f>
        <v>1</v>
      </c>
      <c r="P122" s="28">
        <f t="shared" si="9"/>
        <v>4891802.9990409687</v>
      </c>
      <c r="Q122" s="28">
        <f t="array" ref="Q122">SUM((A122=$T$47:$T$64)*(B122=$U$47:$U$64)*($V$47:$V$64=C122)*($Y$47:$Y$64))</f>
        <v>0.99999999999999989</v>
      </c>
      <c r="R122" s="1">
        <f t="shared" si="10"/>
        <v>60088959.55054184</v>
      </c>
    </row>
    <row r="123" spans="1:18" hidden="1" x14ac:dyDescent="0.25">
      <c r="A123" t="s">
        <v>29</v>
      </c>
      <c r="B123" t="s">
        <v>26</v>
      </c>
      <c r="C123" t="s">
        <v>11</v>
      </c>
      <c r="D123" t="s">
        <v>13</v>
      </c>
      <c r="E123" t="s">
        <v>48</v>
      </c>
      <c r="F123">
        <v>3620.5265272199867</v>
      </c>
      <c r="G123">
        <v>3052897.3631094601</v>
      </c>
      <c r="H123">
        <v>322584.09993675782</v>
      </c>
      <c r="I123">
        <v>11025.96</v>
      </c>
      <c r="J123">
        <v>310907.8</v>
      </c>
      <c r="K123">
        <v>2997309</v>
      </c>
      <c r="L123">
        <v>3666.3440000000001</v>
      </c>
      <c r="M123" s="28">
        <f t="array" ref="M123">SUM((A123=$T$5:$T$22)*(B123=$U$5:$U$22)*($V$5:$V$22=C123)*($Y$5:$Y$22))</f>
        <v>1.0000000000000002</v>
      </c>
      <c r="N123" s="28">
        <f t="shared" si="8"/>
        <v>3620.5265272199877</v>
      </c>
      <c r="O123" s="28">
        <f t="array" ref="O123">SUM((A123=$T$26:$T$43)*(B123=$U$26:$U$43)*($V$26:$V$43=C123)*($Y$26:$Y$43))</f>
        <v>1</v>
      </c>
      <c r="P123" s="28">
        <f t="shared" si="9"/>
        <v>322584.09993675782</v>
      </c>
      <c r="Q123" s="28">
        <f t="array" ref="Q123">SUM((A123=$T$47:$T$64)*(B123=$U$47:$U$64)*($V$47:$V$64=C123)*($Y$47:$Y$64))</f>
        <v>0.99999999999999989</v>
      </c>
      <c r="R123" s="1">
        <f t="shared" si="10"/>
        <v>3052897.3631094596</v>
      </c>
    </row>
    <row r="124" spans="1:18" hidden="1" x14ac:dyDescent="0.25">
      <c r="A124" t="s">
        <v>29</v>
      </c>
      <c r="B124" t="s">
        <v>26</v>
      </c>
      <c r="C124" t="s">
        <v>11</v>
      </c>
      <c r="D124" t="s">
        <v>13</v>
      </c>
      <c r="E124" t="s">
        <v>23</v>
      </c>
      <c r="F124">
        <v>209234.40485451382</v>
      </c>
      <c r="G124" s="1">
        <v>260747799.09446165</v>
      </c>
      <c r="H124">
        <v>15646188.996932587</v>
      </c>
      <c r="I124">
        <v>1989435</v>
      </c>
      <c r="J124">
        <v>13608346</v>
      </c>
      <c r="K124" s="1">
        <v>256000000</v>
      </c>
      <c r="L124">
        <v>213457</v>
      </c>
      <c r="M124" s="28">
        <f t="array" ref="M124">SUM((A124=$T$5:$T$22)*(B124=$U$5:$U$22)*($V$5:$V$22=C124)*($Y$5:$Y$22))</f>
        <v>1.0000000000000002</v>
      </c>
      <c r="N124" s="28">
        <f t="shared" si="8"/>
        <v>209234.40485451388</v>
      </c>
      <c r="O124" s="28">
        <f t="array" ref="O124">SUM((A124=$T$26:$T$43)*(B124=$U$26:$U$43)*($V$26:$V$43=C124)*($Y$26:$Y$43))</f>
        <v>1</v>
      </c>
      <c r="P124" s="28">
        <f t="shared" si="9"/>
        <v>15646188.996932587</v>
      </c>
      <c r="Q124" s="28">
        <f t="array" ref="Q124">SUM((A124=$T$47:$T$64)*(B124=$U$47:$U$64)*($V$47:$V$64=C124)*($Y$47:$Y$64))</f>
        <v>0.99999999999999989</v>
      </c>
      <c r="R124" s="1">
        <f t="shared" si="10"/>
        <v>260747799.09446162</v>
      </c>
    </row>
    <row r="125" spans="1:18" hidden="1" x14ac:dyDescent="0.25">
      <c r="A125" t="s">
        <v>29</v>
      </c>
      <c r="B125" t="s">
        <v>26</v>
      </c>
      <c r="C125" t="s">
        <v>11</v>
      </c>
      <c r="D125" t="s">
        <v>13</v>
      </c>
      <c r="E125" t="s">
        <v>31</v>
      </c>
      <c r="F125">
        <v>232760.14628232017</v>
      </c>
      <c r="G125" s="1">
        <v>152781913.5319111</v>
      </c>
      <c r="H125">
        <v>6763326.9986740593</v>
      </c>
      <c r="I125">
        <v>405387.3</v>
      </c>
      <c r="J125">
        <v>5950810</v>
      </c>
      <c r="K125" s="1">
        <v>150000000</v>
      </c>
      <c r="L125">
        <v>133809.79999999999</v>
      </c>
      <c r="M125" s="28">
        <f t="array" ref="M125">SUM((A125=$T$5:$T$22)*(B125=$U$5:$U$22)*($V$5:$V$22=C125)*($Y$5:$Y$22))</f>
        <v>1.0000000000000002</v>
      </c>
      <c r="N125" s="28">
        <f t="shared" si="8"/>
        <v>232760.14628232023</v>
      </c>
      <c r="O125" s="28">
        <f t="array" ref="O125">SUM((A125=$T$26:$T$43)*(B125=$U$26:$U$43)*($V$26:$V$43=C125)*($Y$26:$Y$43))</f>
        <v>1</v>
      </c>
      <c r="P125" s="28">
        <f t="shared" si="9"/>
        <v>6763326.9986740593</v>
      </c>
      <c r="Q125" s="28">
        <f t="array" ref="Q125">SUM((A125=$T$47:$T$64)*(B125=$U$47:$U$64)*($V$47:$V$64=C125)*($Y$47:$Y$64))</f>
        <v>0.99999999999999989</v>
      </c>
      <c r="R125" s="1">
        <f t="shared" si="10"/>
        <v>152781913.53191108</v>
      </c>
    </row>
    <row r="126" spans="1:18" hidden="1" x14ac:dyDescent="0.25">
      <c r="A126" t="s">
        <v>29</v>
      </c>
      <c r="B126" t="s">
        <v>26</v>
      </c>
      <c r="C126" t="s">
        <v>11</v>
      </c>
      <c r="D126" t="s">
        <v>13</v>
      </c>
      <c r="E126" t="s">
        <v>32</v>
      </c>
      <c r="F126">
        <v>25883.97525415173</v>
      </c>
      <c r="G126">
        <v>31771584.582962789</v>
      </c>
      <c r="H126">
        <v>2170536.9995744694</v>
      </c>
      <c r="I126">
        <v>212473.2</v>
      </c>
      <c r="J126">
        <v>2070383</v>
      </c>
      <c r="K126">
        <v>31193075</v>
      </c>
      <c r="L126">
        <v>27977.11</v>
      </c>
      <c r="M126" s="28">
        <f t="array" ref="M126">SUM((A126=$T$5:$T$22)*(B126=$U$5:$U$22)*($V$5:$V$22=C126)*($Y$5:$Y$22))</f>
        <v>1.0000000000000002</v>
      </c>
      <c r="N126" s="28">
        <f t="shared" si="8"/>
        <v>25883.975254151737</v>
      </c>
      <c r="O126" s="28">
        <f t="array" ref="O126">SUM((A126=$T$26:$T$43)*(B126=$U$26:$U$43)*($V$26:$V$43=C126)*($Y$26:$Y$43))</f>
        <v>1</v>
      </c>
      <c r="P126" s="28">
        <f t="shared" si="9"/>
        <v>2170536.9995744694</v>
      </c>
      <c r="Q126" s="28">
        <f t="array" ref="Q126">SUM((A126=$T$47:$T$64)*(B126=$U$47:$U$64)*($V$47:$V$64=C126)*($Y$47:$Y$64))</f>
        <v>0.99999999999999989</v>
      </c>
      <c r="R126" s="1">
        <f t="shared" si="10"/>
        <v>31771584.582962785</v>
      </c>
    </row>
    <row r="127" spans="1:18" hidden="1" x14ac:dyDescent="0.25">
      <c r="A127" t="s">
        <v>29</v>
      </c>
      <c r="B127" t="s">
        <v>26</v>
      </c>
      <c r="C127" t="s">
        <v>11</v>
      </c>
      <c r="D127" t="s">
        <v>14</v>
      </c>
      <c r="E127" t="s">
        <v>48</v>
      </c>
      <c r="F127">
        <v>7696.9152317558055</v>
      </c>
      <c r="G127">
        <v>5626480.177263977</v>
      </c>
      <c r="H127">
        <v>642895.69987396116</v>
      </c>
      <c r="I127">
        <v>17604.169999999998</v>
      </c>
      <c r="J127">
        <v>627690.9</v>
      </c>
      <c r="K127">
        <v>5524031</v>
      </c>
      <c r="L127">
        <v>15249.52</v>
      </c>
      <c r="M127" s="28">
        <f t="array" ref="M127">SUM((A127=$T$5:$T$22)*(B127=$U$5:$U$22)*($V$5:$V$22=C127)*($Y$5:$Y$22))</f>
        <v>1.0000000000000002</v>
      </c>
      <c r="N127" s="28">
        <f t="shared" si="8"/>
        <v>7696.9152317558073</v>
      </c>
      <c r="O127" s="28">
        <f t="array" ref="O127">SUM((A127=$T$26:$T$43)*(B127=$U$26:$U$43)*($V$26:$V$43=C127)*($Y$26:$Y$43))</f>
        <v>1</v>
      </c>
      <c r="P127" s="28">
        <f t="shared" si="9"/>
        <v>642895.69987396116</v>
      </c>
      <c r="Q127" s="28">
        <f t="array" ref="Q127">SUM((A127=$T$47:$T$64)*(B127=$U$47:$U$64)*($V$47:$V$64=C127)*($Y$47:$Y$64))</f>
        <v>0.99999999999999989</v>
      </c>
      <c r="R127" s="1">
        <f t="shared" si="10"/>
        <v>5626480.1772639761</v>
      </c>
    </row>
    <row r="128" spans="1:18" hidden="1" x14ac:dyDescent="0.25">
      <c r="A128" t="s">
        <v>29</v>
      </c>
      <c r="B128" t="s">
        <v>26</v>
      </c>
      <c r="C128" t="s">
        <v>11</v>
      </c>
      <c r="D128" t="s">
        <v>14</v>
      </c>
      <c r="E128" t="s">
        <v>23</v>
      </c>
      <c r="F128">
        <v>248806.26551799694</v>
      </c>
      <c r="G128" s="1">
        <v>221024501.57616475</v>
      </c>
      <c r="H128">
        <v>14357723.997185187</v>
      </c>
      <c r="I128">
        <v>1308538</v>
      </c>
      <c r="J128">
        <v>11954699</v>
      </c>
      <c r="K128" s="1">
        <v>217000000</v>
      </c>
      <c r="L128">
        <v>806222</v>
      </c>
      <c r="M128" s="28">
        <f t="array" ref="M128">SUM((A128=$T$5:$T$22)*(B128=$U$5:$U$22)*($V$5:$V$22=C128)*($Y$5:$Y$22))</f>
        <v>1.0000000000000002</v>
      </c>
      <c r="N128" s="28">
        <f t="shared" si="8"/>
        <v>248806.265517997</v>
      </c>
      <c r="O128" s="28">
        <f t="array" ref="O128">SUM((A128=$T$26:$T$43)*(B128=$U$26:$U$43)*($V$26:$V$43=C128)*($Y$26:$Y$43))</f>
        <v>1</v>
      </c>
      <c r="P128" s="28">
        <f t="shared" si="9"/>
        <v>14357723.997185187</v>
      </c>
      <c r="Q128" s="28">
        <f t="array" ref="Q128">SUM((A128=$T$47:$T$64)*(B128=$U$47:$U$64)*($V$47:$V$64=C128)*($Y$47:$Y$64))</f>
        <v>0.99999999999999989</v>
      </c>
      <c r="R128" s="1">
        <f t="shared" si="10"/>
        <v>221024501.57616472</v>
      </c>
    </row>
    <row r="129" spans="1:18" hidden="1" x14ac:dyDescent="0.25">
      <c r="A129" t="s">
        <v>29</v>
      </c>
      <c r="B129" t="s">
        <v>26</v>
      </c>
      <c r="C129" t="s">
        <v>11</v>
      </c>
      <c r="D129" t="s">
        <v>14</v>
      </c>
      <c r="E129" t="s">
        <v>31</v>
      </c>
      <c r="F129">
        <v>238801.5620280343</v>
      </c>
      <c r="G129" s="1">
        <v>151763367.44169837</v>
      </c>
      <c r="H129">
        <v>7410103.9985472597</v>
      </c>
      <c r="I129">
        <v>339895.5</v>
      </c>
      <c r="J129">
        <v>6460236</v>
      </c>
      <c r="K129" s="1">
        <v>149000000</v>
      </c>
      <c r="L129">
        <v>449784.5</v>
      </c>
      <c r="M129" s="28">
        <f t="array" ref="M129">SUM((A129=$T$5:$T$22)*(B129=$U$5:$U$22)*($V$5:$V$22=C129)*($Y$5:$Y$22))</f>
        <v>1.0000000000000002</v>
      </c>
      <c r="N129" s="28">
        <f t="shared" si="8"/>
        <v>238801.56202803436</v>
      </c>
      <c r="O129" s="28">
        <f t="array" ref="O129">SUM((A129=$T$26:$T$43)*(B129=$U$26:$U$43)*($V$26:$V$43=C129)*($Y$26:$Y$43))</f>
        <v>1</v>
      </c>
      <c r="P129" s="28">
        <f t="shared" si="9"/>
        <v>7410103.9985472597</v>
      </c>
      <c r="Q129" s="28">
        <f t="array" ref="Q129">SUM((A129=$T$47:$T$64)*(B129=$U$47:$U$64)*($V$47:$V$64=C129)*($Y$47:$Y$64))</f>
        <v>0.99999999999999989</v>
      </c>
      <c r="R129" s="1">
        <f t="shared" si="10"/>
        <v>151763367.44169834</v>
      </c>
    </row>
    <row r="130" spans="1:18" hidden="1" x14ac:dyDescent="0.25">
      <c r="A130" t="s">
        <v>29</v>
      </c>
      <c r="B130" t="s">
        <v>26</v>
      </c>
      <c r="C130" t="s">
        <v>11</v>
      </c>
      <c r="D130" t="s">
        <v>14</v>
      </c>
      <c r="E130" t="s">
        <v>32</v>
      </c>
      <c r="F130">
        <v>67281.639055261112</v>
      </c>
      <c r="G130">
        <v>48041889.736779533</v>
      </c>
      <c r="H130">
        <v>2751367.999460598</v>
      </c>
      <c r="I130">
        <v>224632.4</v>
      </c>
      <c r="J130">
        <v>2135004</v>
      </c>
      <c r="K130">
        <v>47167124</v>
      </c>
      <c r="L130">
        <v>192823.1</v>
      </c>
      <c r="M130" s="28">
        <f t="array" ref="M130">SUM((A130=$T$5:$T$22)*(B130=$U$5:$U$22)*($V$5:$V$22=C130)*($Y$5:$Y$22))</f>
        <v>1.0000000000000002</v>
      </c>
      <c r="N130" s="28">
        <f t="shared" si="8"/>
        <v>67281.639055261126</v>
      </c>
      <c r="O130" s="28">
        <f t="array" ref="O130">SUM((A130=$T$26:$T$43)*(B130=$U$26:$U$43)*($V$26:$V$43=C130)*($Y$26:$Y$43))</f>
        <v>1</v>
      </c>
      <c r="P130" s="28">
        <f t="shared" si="9"/>
        <v>2751367.999460598</v>
      </c>
      <c r="Q130" s="28">
        <f t="array" ref="Q130">SUM((A130=$T$47:$T$64)*(B130=$U$47:$U$64)*($V$47:$V$64=C130)*($Y$47:$Y$64))</f>
        <v>0.99999999999999989</v>
      </c>
      <c r="R130" s="1">
        <f t="shared" si="10"/>
        <v>48041889.736779526</v>
      </c>
    </row>
    <row r="131" spans="1:18" hidden="1" x14ac:dyDescent="0.25">
      <c r="A131" t="s">
        <v>29</v>
      </c>
      <c r="B131" t="s">
        <v>26</v>
      </c>
      <c r="C131" t="s">
        <v>11</v>
      </c>
      <c r="D131" t="s">
        <v>15</v>
      </c>
      <c r="E131" t="s">
        <v>48</v>
      </c>
      <c r="F131">
        <v>5936.3892673124956</v>
      </c>
      <c r="G131">
        <v>4761579.7276676474</v>
      </c>
      <c r="H131">
        <v>452465.89991129469</v>
      </c>
      <c r="I131">
        <v>14189.93</v>
      </c>
      <c r="J131">
        <v>418258.5</v>
      </c>
      <c r="K131">
        <v>4674879</v>
      </c>
      <c r="L131">
        <v>29801.35</v>
      </c>
      <c r="M131" s="28">
        <f t="array" ref="M131">SUM((A131=$T$5:$T$22)*(B131=$U$5:$U$22)*($V$5:$V$22=C131)*($Y$5:$Y$22))</f>
        <v>1.0000000000000002</v>
      </c>
      <c r="N131" s="28">
        <f t="shared" si="8"/>
        <v>5936.3892673124965</v>
      </c>
      <c r="O131" s="28">
        <f t="array" ref="O131">SUM((A131=$T$26:$T$43)*(B131=$U$26:$U$43)*($V$26:$V$43=C131)*($Y$26:$Y$43))</f>
        <v>1</v>
      </c>
      <c r="P131" s="28">
        <f t="shared" si="9"/>
        <v>452465.89991129469</v>
      </c>
      <c r="Q131" s="28">
        <f t="array" ref="Q131">SUM((A131=$T$47:$T$64)*(B131=$U$47:$U$64)*($V$47:$V$64=C131)*($Y$47:$Y$64))</f>
        <v>0.99999999999999989</v>
      </c>
      <c r="R131" s="1">
        <f t="shared" si="10"/>
        <v>4761579.7276676465</v>
      </c>
    </row>
    <row r="132" spans="1:18" hidden="1" x14ac:dyDescent="0.25">
      <c r="A132" t="s">
        <v>29</v>
      </c>
      <c r="B132" t="s">
        <v>26</v>
      </c>
      <c r="C132" t="s">
        <v>11</v>
      </c>
      <c r="D132" t="s">
        <v>15</v>
      </c>
      <c r="E132" t="s">
        <v>23</v>
      </c>
      <c r="F132">
        <v>429467.67704344296</v>
      </c>
      <c r="G132" s="1">
        <v>343250032.40169364</v>
      </c>
      <c r="H132">
        <v>21697825.995746173</v>
      </c>
      <c r="I132">
        <v>1708051</v>
      </c>
      <c r="J132">
        <v>17134724</v>
      </c>
      <c r="K132" s="1">
        <v>337000000</v>
      </c>
      <c r="L132">
        <v>2831486</v>
      </c>
      <c r="M132" s="28">
        <f t="array" ref="M132">SUM((A132=$T$5:$T$22)*(B132=$U$5:$U$22)*($V$5:$V$22=C132)*($Y$5:$Y$22))</f>
        <v>1.0000000000000002</v>
      </c>
      <c r="N132" s="28">
        <f t="shared" ref="N132:N195" si="11">F132*M132</f>
        <v>429467.67704344308</v>
      </c>
      <c r="O132" s="28">
        <f t="array" ref="O132">SUM((A132=$T$26:$T$43)*(B132=$U$26:$U$43)*($V$26:$V$43=C132)*($Y$26:$Y$43))</f>
        <v>1</v>
      </c>
      <c r="P132" s="28">
        <f t="shared" ref="P132:P195" si="12">H132*O132</f>
        <v>21697825.995746173</v>
      </c>
      <c r="Q132" s="28">
        <f t="array" ref="Q132">SUM((A132=$T$47:$T$64)*(B132=$U$47:$U$64)*($V$47:$V$64=C132)*($Y$47:$Y$64))</f>
        <v>0.99999999999999989</v>
      </c>
      <c r="R132" s="1">
        <f t="shared" ref="R132:R195" si="13">Q132*G132</f>
        <v>343250032.40169358</v>
      </c>
    </row>
    <row r="133" spans="1:18" hidden="1" x14ac:dyDescent="0.25">
      <c r="A133" t="s">
        <v>29</v>
      </c>
      <c r="B133" t="s">
        <v>26</v>
      </c>
      <c r="C133" t="s">
        <v>11</v>
      </c>
      <c r="D133" t="s">
        <v>15</v>
      </c>
      <c r="E133" t="s">
        <v>31</v>
      </c>
      <c r="F133">
        <v>562097.13291287539</v>
      </c>
      <c r="G133" s="1">
        <v>351398401.12339556</v>
      </c>
      <c r="H133">
        <v>16251823.996813852</v>
      </c>
      <c r="I133">
        <v>776062.9</v>
      </c>
      <c r="J133">
        <v>12652326</v>
      </c>
      <c r="K133" s="1">
        <v>345000000</v>
      </c>
      <c r="L133">
        <v>2642804</v>
      </c>
      <c r="M133" s="28">
        <f t="array" ref="M133">SUM((A133=$T$5:$T$22)*(B133=$U$5:$U$22)*($V$5:$V$22=C133)*($Y$5:$Y$22))</f>
        <v>1.0000000000000002</v>
      </c>
      <c r="N133" s="28">
        <f t="shared" si="11"/>
        <v>562097.1329128755</v>
      </c>
      <c r="O133" s="28">
        <f t="array" ref="O133">SUM((A133=$T$26:$T$43)*(B133=$U$26:$U$43)*($V$26:$V$43=C133)*($Y$26:$Y$43))</f>
        <v>1</v>
      </c>
      <c r="P133" s="28">
        <f t="shared" si="12"/>
        <v>16251823.996813852</v>
      </c>
      <c r="Q133" s="28">
        <f t="array" ref="Q133">SUM((A133=$T$47:$T$64)*(B133=$U$47:$U$64)*($V$47:$V$64=C133)*($Y$47:$Y$64))</f>
        <v>0.99999999999999989</v>
      </c>
      <c r="R133" s="1">
        <f t="shared" si="13"/>
        <v>351398401.1233955</v>
      </c>
    </row>
    <row r="134" spans="1:18" hidden="1" x14ac:dyDescent="0.25">
      <c r="A134" t="s">
        <v>29</v>
      </c>
      <c r="B134" t="s">
        <v>26</v>
      </c>
      <c r="C134" t="s">
        <v>11</v>
      </c>
      <c r="D134" t="s">
        <v>15</v>
      </c>
      <c r="E134" t="s">
        <v>32</v>
      </c>
      <c r="F134">
        <v>176156.73462192167</v>
      </c>
      <c r="G134" s="1">
        <v>122225530.82552889</v>
      </c>
      <c r="H134">
        <v>7181145.9985921467</v>
      </c>
      <c r="I134">
        <v>517891.1</v>
      </c>
      <c r="J134">
        <v>5293461</v>
      </c>
      <c r="K134" s="1">
        <v>120000000</v>
      </c>
      <c r="L134">
        <v>1153006</v>
      </c>
      <c r="M134" s="28">
        <f t="array" ref="M134">SUM((A134=$T$5:$T$22)*(B134=$U$5:$U$22)*($V$5:$V$22=C134)*($Y$5:$Y$22))</f>
        <v>1.0000000000000002</v>
      </c>
      <c r="N134" s="28">
        <f t="shared" si="11"/>
        <v>176156.7346219217</v>
      </c>
      <c r="O134" s="28">
        <f t="array" ref="O134">SUM((A134=$T$26:$T$43)*(B134=$U$26:$U$43)*($V$26:$V$43=C134)*($Y$26:$Y$43))</f>
        <v>1</v>
      </c>
      <c r="P134" s="28">
        <f t="shared" si="12"/>
        <v>7181145.9985921467</v>
      </c>
      <c r="Q134" s="28">
        <f t="array" ref="Q134">SUM((A134=$T$47:$T$64)*(B134=$U$47:$U$64)*($V$47:$V$64=C134)*($Y$47:$Y$64))</f>
        <v>0.99999999999999989</v>
      </c>
      <c r="R134" s="1">
        <f t="shared" si="13"/>
        <v>122225530.82552887</v>
      </c>
    </row>
    <row r="135" spans="1:18" hidden="1" x14ac:dyDescent="0.25">
      <c r="A135" t="s">
        <v>29</v>
      </c>
      <c r="B135" t="s">
        <v>26</v>
      </c>
      <c r="C135" t="s">
        <v>11</v>
      </c>
      <c r="D135" t="s">
        <v>16</v>
      </c>
      <c r="E135" t="s">
        <v>48</v>
      </c>
      <c r="F135">
        <v>14270.671111251979</v>
      </c>
      <c r="G135">
        <v>10193569.547551591</v>
      </c>
      <c r="H135">
        <v>955777.49981262116</v>
      </c>
      <c r="I135">
        <v>30182.39</v>
      </c>
      <c r="J135">
        <v>830239.7</v>
      </c>
      <c r="K135">
        <v>10007961</v>
      </c>
      <c r="L135">
        <v>131898.20000000001</v>
      </c>
      <c r="M135" s="28">
        <f t="array" ref="M135">SUM((A135=$T$5:$T$22)*(B135=$U$5:$U$22)*($V$5:$V$22=C135)*($Y$5:$Y$22))</f>
        <v>1.0000000000000002</v>
      </c>
      <c r="N135" s="28">
        <f t="shared" si="11"/>
        <v>14270.671111251982</v>
      </c>
      <c r="O135" s="28">
        <f t="array" ref="O135">SUM((A135=$T$26:$T$43)*(B135=$U$26:$U$43)*($V$26:$V$43=C135)*($Y$26:$Y$43))</f>
        <v>1</v>
      </c>
      <c r="P135" s="28">
        <f t="shared" si="12"/>
        <v>955777.49981262116</v>
      </c>
      <c r="Q135" s="28">
        <f t="array" ref="Q135">SUM((A135=$T$47:$T$64)*(B135=$U$47:$U$64)*($V$47:$V$64=C135)*($Y$47:$Y$64))</f>
        <v>0.99999999999999989</v>
      </c>
      <c r="R135" s="1">
        <f t="shared" si="13"/>
        <v>10193569.547551589</v>
      </c>
    </row>
    <row r="136" spans="1:18" hidden="1" x14ac:dyDescent="0.25">
      <c r="A136" t="s">
        <v>29</v>
      </c>
      <c r="B136" t="s">
        <v>26</v>
      </c>
      <c r="C136" t="s">
        <v>11</v>
      </c>
      <c r="D136" t="s">
        <v>16</v>
      </c>
      <c r="E136" t="s">
        <v>23</v>
      </c>
      <c r="F136">
        <v>591077.94686909171</v>
      </c>
      <c r="G136" s="1">
        <v>483809392.85105187</v>
      </c>
      <c r="H136">
        <v>30360265.99404791</v>
      </c>
      <c r="I136">
        <v>2127784</v>
      </c>
      <c r="J136">
        <v>21421785</v>
      </c>
      <c r="K136" s="1">
        <v>475000000</v>
      </c>
      <c r="L136">
        <v>8566667</v>
      </c>
      <c r="M136" s="28">
        <f t="array" ref="M136">SUM((A136=$T$5:$T$22)*(B136=$U$5:$U$22)*($V$5:$V$22=C136)*($Y$5:$Y$22))</f>
        <v>1.0000000000000002</v>
      </c>
      <c r="N136" s="28">
        <f t="shared" si="11"/>
        <v>591077.94686909183</v>
      </c>
      <c r="O136" s="28">
        <f t="array" ref="O136">SUM((A136=$T$26:$T$43)*(B136=$U$26:$U$43)*($V$26:$V$43=C136)*($Y$26:$Y$43))</f>
        <v>1</v>
      </c>
      <c r="P136" s="28">
        <f t="shared" si="12"/>
        <v>30360265.99404791</v>
      </c>
      <c r="Q136" s="28">
        <f t="array" ref="Q136">SUM((A136=$T$47:$T$64)*(B136=$U$47:$U$64)*($V$47:$V$64=C136)*($Y$47:$Y$64))</f>
        <v>0.99999999999999989</v>
      </c>
      <c r="R136" s="1">
        <f t="shared" si="13"/>
        <v>483809392.85105181</v>
      </c>
    </row>
    <row r="137" spans="1:18" hidden="1" x14ac:dyDescent="0.25">
      <c r="A137" t="s">
        <v>29</v>
      </c>
      <c r="B137" t="s">
        <v>26</v>
      </c>
      <c r="C137" t="s">
        <v>11</v>
      </c>
      <c r="D137" t="s">
        <v>16</v>
      </c>
      <c r="E137" t="s">
        <v>31</v>
      </c>
      <c r="F137">
        <v>1502073.5498646118</v>
      </c>
      <c r="G137" s="1">
        <v>998175168.40848601</v>
      </c>
      <c r="H137">
        <v>46157602.990950868</v>
      </c>
      <c r="I137">
        <v>2224585</v>
      </c>
      <c r="J137">
        <v>30141836</v>
      </c>
      <c r="K137" s="1">
        <v>980000000</v>
      </c>
      <c r="L137">
        <v>17110568</v>
      </c>
      <c r="M137" s="28">
        <f t="array" ref="M137">SUM((A137=$T$5:$T$22)*(B137=$U$5:$U$22)*($V$5:$V$22=C137)*($Y$5:$Y$22))</f>
        <v>1.0000000000000002</v>
      </c>
      <c r="N137" s="28">
        <f t="shared" si="11"/>
        <v>1502073.5498646121</v>
      </c>
      <c r="O137" s="28">
        <f t="array" ref="O137">SUM((A137=$T$26:$T$43)*(B137=$U$26:$U$43)*($V$26:$V$43=C137)*($Y$26:$Y$43))</f>
        <v>1</v>
      </c>
      <c r="P137" s="28">
        <f t="shared" si="12"/>
        <v>46157602.990950868</v>
      </c>
      <c r="Q137" s="28">
        <f t="array" ref="Q137">SUM((A137=$T$47:$T$64)*(B137=$U$47:$U$64)*($V$47:$V$64=C137)*($Y$47:$Y$64))</f>
        <v>0.99999999999999989</v>
      </c>
      <c r="R137" s="1">
        <f t="shared" si="13"/>
        <v>998175168.40848589</v>
      </c>
    </row>
    <row r="138" spans="1:18" hidden="1" x14ac:dyDescent="0.25">
      <c r="A138" t="s">
        <v>29</v>
      </c>
      <c r="B138" t="s">
        <v>26</v>
      </c>
      <c r="C138" t="s">
        <v>11</v>
      </c>
      <c r="D138" t="s">
        <v>16</v>
      </c>
      <c r="E138" t="s">
        <v>32</v>
      </c>
      <c r="F138">
        <v>245259.31487711819</v>
      </c>
      <c r="G138" s="1">
        <v>187412480.59914431</v>
      </c>
      <c r="H138">
        <v>11179664.997808242</v>
      </c>
      <c r="I138">
        <v>737151.8</v>
      </c>
      <c r="J138">
        <v>7705110</v>
      </c>
      <c r="K138" s="1">
        <v>184000000</v>
      </c>
      <c r="L138">
        <v>3464487</v>
      </c>
      <c r="M138" s="28">
        <f t="array" ref="M138">SUM((A138=$T$5:$T$22)*(B138=$U$5:$U$22)*($V$5:$V$22=C138)*($Y$5:$Y$22))</f>
        <v>1.0000000000000002</v>
      </c>
      <c r="N138" s="28">
        <f t="shared" si="11"/>
        <v>245259.31487711825</v>
      </c>
      <c r="O138" s="28">
        <f t="array" ref="O138">SUM((A138=$T$26:$T$43)*(B138=$U$26:$U$43)*($V$26:$V$43=C138)*($Y$26:$Y$43))</f>
        <v>1</v>
      </c>
      <c r="P138" s="28">
        <f t="shared" si="12"/>
        <v>11179664.997808242</v>
      </c>
      <c r="Q138" s="28">
        <f t="array" ref="Q138">SUM((A138=$T$47:$T$64)*(B138=$U$47:$U$64)*($V$47:$V$64=C138)*($Y$47:$Y$64))</f>
        <v>0.99999999999999989</v>
      </c>
      <c r="R138" s="1">
        <f t="shared" si="13"/>
        <v>187412480.59914428</v>
      </c>
    </row>
    <row r="139" spans="1:18" hidden="1" x14ac:dyDescent="0.25">
      <c r="A139" t="s">
        <v>29</v>
      </c>
      <c r="B139" t="s">
        <v>26</v>
      </c>
      <c r="C139" t="s">
        <v>11</v>
      </c>
      <c r="D139" t="s">
        <v>17</v>
      </c>
      <c r="E139" t="s">
        <v>48</v>
      </c>
      <c r="F139">
        <v>7540.6077081180529</v>
      </c>
      <c r="G139">
        <v>7484299.0788972043</v>
      </c>
      <c r="H139">
        <v>702119.79986235045</v>
      </c>
      <c r="I139">
        <v>20991.29</v>
      </c>
      <c r="J139">
        <v>554140.30000000005</v>
      </c>
      <c r="K139">
        <v>7348022</v>
      </c>
      <c r="L139">
        <v>197199.1</v>
      </c>
      <c r="M139" s="28">
        <f t="array" ref="M139">SUM((A139=$T$5:$T$22)*(B139=$U$5:$U$22)*($V$5:$V$22=C139)*($Y$5:$Y$22))</f>
        <v>1.0000000000000002</v>
      </c>
      <c r="N139" s="28">
        <f t="shared" si="11"/>
        <v>7540.6077081180547</v>
      </c>
      <c r="O139" s="28">
        <f t="array" ref="O139">SUM((A139=$T$26:$T$43)*(B139=$U$26:$U$43)*($V$26:$V$43=C139)*($Y$26:$Y$43))</f>
        <v>1</v>
      </c>
      <c r="P139" s="28">
        <f t="shared" si="12"/>
        <v>702119.79986235045</v>
      </c>
      <c r="Q139" s="28">
        <f t="array" ref="Q139">SUM((A139=$T$47:$T$64)*(B139=$U$47:$U$64)*($V$47:$V$64=C139)*($Y$47:$Y$64))</f>
        <v>0.99999999999999989</v>
      </c>
      <c r="R139" s="1">
        <f t="shared" si="13"/>
        <v>7484299.0788972033</v>
      </c>
    </row>
    <row r="140" spans="1:18" hidden="1" x14ac:dyDescent="0.25">
      <c r="A140" t="s">
        <v>29</v>
      </c>
      <c r="B140" t="s">
        <v>26</v>
      </c>
      <c r="C140" t="s">
        <v>11</v>
      </c>
      <c r="D140" t="s">
        <v>17</v>
      </c>
      <c r="E140" t="s">
        <v>23</v>
      </c>
      <c r="F140">
        <v>347696.67670398945</v>
      </c>
      <c r="G140" s="1">
        <v>344268578.4919064</v>
      </c>
      <c r="H140">
        <v>23516511.995389622</v>
      </c>
      <c r="I140">
        <v>1397726</v>
      </c>
      <c r="J140">
        <v>15401651</v>
      </c>
      <c r="K140" s="1">
        <v>338000000</v>
      </c>
      <c r="L140">
        <v>9953049</v>
      </c>
      <c r="M140" s="28">
        <f t="array" ref="M140">SUM((A140=$T$5:$T$22)*(B140=$U$5:$U$22)*($V$5:$V$22=C140)*($Y$5:$Y$22))</f>
        <v>1.0000000000000002</v>
      </c>
      <c r="N140" s="28">
        <f t="shared" si="11"/>
        <v>347696.67670398951</v>
      </c>
      <c r="O140" s="28">
        <f t="array" ref="O140">SUM((A140=$T$26:$T$43)*(B140=$U$26:$U$43)*($V$26:$V$43=C140)*($Y$26:$Y$43))</f>
        <v>1</v>
      </c>
      <c r="P140" s="28">
        <f t="shared" si="12"/>
        <v>23516511.995389622</v>
      </c>
      <c r="Q140" s="28">
        <f t="array" ref="Q140">SUM((A140=$T$47:$T$64)*(B140=$U$47:$U$64)*($V$47:$V$64=C140)*($Y$47:$Y$64))</f>
        <v>0.99999999999999989</v>
      </c>
      <c r="R140" s="1">
        <f t="shared" si="13"/>
        <v>344268578.49190634</v>
      </c>
    </row>
    <row r="141" spans="1:18" hidden="1" x14ac:dyDescent="0.25">
      <c r="A141" t="s">
        <v>29</v>
      </c>
      <c r="B141" t="s">
        <v>26</v>
      </c>
      <c r="C141" t="s">
        <v>11</v>
      </c>
      <c r="D141" t="s">
        <v>17</v>
      </c>
      <c r="E141" t="s">
        <v>25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s="28">
        <f t="array" ref="M141">SUM((A141=$T$5:$T$22)*(B141=$U$5:$U$22)*($V$5:$V$22=C141)*($Y$5:$Y$22))</f>
        <v>1.0000000000000002</v>
      </c>
      <c r="N141" s="28">
        <f t="shared" si="11"/>
        <v>0</v>
      </c>
      <c r="O141" s="28">
        <f t="array" ref="O141">SUM((A141=$T$26:$T$43)*(B141=$U$26:$U$43)*($V$26:$V$43=C141)*($Y$26:$Y$43))</f>
        <v>1</v>
      </c>
      <c r="P141" s="28">
        <f t="shared" si="12"/>
        <v>0</v>
      </c>
      <c r="Q141" s="28">
        <f t="array" ref="Q141">SUM((A141=$T$47:$T$64)*(B141=$U$47:$U$64)*($V$47:$V$64=C141)*($Y$47:$Y$64))</f>
        <v>0.99999999999999989</v>
      </c>
      <c r="R141" s="1">
        <f t="shared" si="13"/>
        <v>0</v>
      </c>
    </row>
    <row r="142" spans="1:18" hidden="1" x14ac:dyDescent="0.25">
      <c r="A142" t="s">
        <v>29</v>
      </c>
      <c r="B142" t="s">
        <v>26</v>
      </c>
      <c r="C142" t="s">
        <v>11</v>
      </c>
      <c r="D142" t="s">
        <v>17</v>
      </c>
      <c r="E142" t="s">
        <v>31</v>
      </c>
      <c r="F142">
        <v>1824884.6518363135</v>
      </c>
      <c r="G142" s="1">
        <v>1425964526.297837</v>
      </c>
      <c r="H142">
        <v>76286878.985044062</v>
      </c>
      <c r="I142">
        <v>3277305</v>
      </c>
      <c r="J142">
        <v>41981123</v>
      </c>
      <c r="K142" s="1">
        <v>1400000000</v>
      </c>
      <c r="L142">
        <v>43533518</v>
      </c>
      <c r="M142" s="28">
        <f t="array" ref="M142">SUM((A142=$T$5:$T$22)*(B142=$U$5:$U$22)*($V$5:$V$22=C142)*($Y$5:$Y$22))</f>
        <v>1.0000000000000002</v>
      </c>
      <c r="N142" s="28">
        <f t="shared" si="11"/>
        <v>1824884.651836314</v>
      </c>
      <c r="O142" s="28">
        <f t="array" ref="O142">SUM((A142=$T$26:$T$43)*(B142=$U$26:$U$43)*($V$26:$V$43=C142)*($Y$26:$Y$43))</f>
        <v>1</v>
      </c>
      <c r="P142" s="28">
        <f t="shared" si="12"/>
        <v>76286878.985044062</v>
      </c>
      <c r="Q142" s="28">
        <f t="array" ref="Q142">SUM((A142=$T$47:$T$64)*(B142=$U$47:$U$64)*($V$47:$V$64=C142)*($Y$47:$Y$64))</f>
        <v>0.99999999999999989</v>
      </c>
      <c r="R142" s="1">
        <f t="shared" si="13"/>
        <v>1425964526.2978368</v>
      </c>
    </row>
    <row r="143" spans="1:18" hidden="1" x14ac:dyDescent="0.25">
      <c r="A143" t="s">
        <v>29</v>
      </c>
      <c r="B143" t="s">
        <v>26</v>
      </c>
      <c r="C143" t="s">
        <v>11</v>
      </c>
      <c r="D143" t="s">
        <v>17</v>
      </c>
      <c r="E143" t="s">
        <v>32</v>
      </c>
      <c r="F143">
        <v>128029.15726453847</v>
      </c>
      <c r="G143" s="1">
        <v>124262623.00595437</v>
      </c>
      <c r="H143">
        <v>8555713.9983226638</v>
      </c>
      <c r="I143">
        <v>467628.2</v>
      </c>
      <c r="J143">
        <v>5750760</v>
      </c>
      <c r="K143" s="1">
        <v>122000000</v>
      </c>
      <c r="L143">
        <v>3606363</v>
      </c>
      <c r="M143" s="28">
        <f t="array" ref="M143">SUM((A143=$T$5:$T$22)*(B143=$U$5:$U$22)*($V$5:$V$22=C143)*($Y$5:$Y$22))</f>
        <v>1.0000000000000002</v>
      </c>
      <c r="N143" s="28">
        <f t="shared" si="11"/>
        <v>128029.1572645385</v>
      </c>
      <c r="O143" s="28">
        <f t="array" ref="O143">SUM((A143=$T$26:$T$43)*(B143=$U$26:$U$43)*($V$26:$V$43=C143)*($Y$26:$Y$43))</f>
        <v>1</v>
      </c>
      <c r="P143" s="28">
        <f t="shared" si="12"/>
        <v>8555713.9983226638</v>
      </c>
      <c r="Q143" s="28">
        <f t="array" ref="Q143">SUM((A143=$T$47:$T$64)*(B143=$U$47:$U$64)*($V$47:$V$64=C143)*($Y$47:$Y$64))</f>
        <v>0.99999999999999989</v>
      </c>
      <c r="R143" s="1">
        <f t="shared" si="13"/>
        <v>124262623.00595436</v>
      </c>
    </row>
    <row r="144" spans="1:18" hidden="1" x14ac:dyDescent="0.25">
      <c r="A144" t="s">
        <v>29</v>
      </c>
      <c r="B144" t="s">
        <v>26</v>
      </c>
      <c r="C144" t="s">
        <v>18</v>
      </c>
      <c r="D144" t="s">
        <v>12</v>
      </c>
      <c r="E144" t="s">
        <v>48</v>
      </c>
      <c r="F144">
        <v>2125.3099101038115</v>
      </c>
      <c r="G144">
        <v>348720.71102231985</v>
      </c>
      <c r="H144">
        <v>36865.809677163154</v>
      </c>
      <c r="I144">
        <v>1473.6469999999999</v>
      </c>
      <c r="J144">
        <v>14823.17</v>
      </c>
      <c r="K144">
        <v>346998.3</v>
      </c>
      <c r="L144">
        <v>24684.720000000001</v>
      </c>
      <c r="M144" s="28">
        <f t="array" ref="M144">SUM((A144=$T$5:$T$22)*(B144=$U$5:$U$22)*($V$5:$V$22=C144)*($Y$5:$Y$22))</f>
        <v>1</v>
      </c>
      <c r="N144" s="28">
        <f t="shared" si="11"/>
        <v>2125.3099101038115</v>
      </c>
      <c r="O144" s="28">
        <f t="array" ref="O144">SUM((A144=$T$26:$T$43)*(B144=$U$26:$U$43)*($V$26:$V$43=C144)*($Y$26:$Y$43))</f>
        <v>1</v>
      </c>
      <c r="P144" s="28">
        <f t="shared" si="12"/>
        <v>36865.809677163154</v>
      </c>
      <c r="Q144" s="28">
        <f t="array" ref="Q144">SUM((A144=$T$47:$T$64)*(B144=$U$47:$U$64)*($V$47:$V$64=C144)*($Y$47:$Y$64))</f>
        <v>1</v>
      </c>
      <c r="R144" s="1">
        <f t="shared" si="13"/>
        <v>348720.71102231985</v>
      </c>
    </row>
    <row r="145" spans="1:18" hidden="1" x14ac:dyDescent="0.25">
      <c r="A145" t="s">
        <v>29</v>
      </c>
      <c r="B145" t="s">
        <v>26</v>
      </c>
      <c r="C145" t="s">
        <v>18</v>
      </c>
      <c r="D145" t="s">
        <v>12</v>
      </c>
      <c r="E145" t="s">
        <v>23</v>
      </c>
      <c r="F145">
        <v>137404.26954997604</v>
      </c>
      <c r="G145">
        <v>20222406.069778975</v>
      </c>
      <c r="H145">
        <v>1621175.9858032323</v>
      </c>
      <c r="I145">
        <v>96139.58</v>
      </c>
      <c r="J145">
        <v>810894.7</v>
      </c>
      <c r="K145">
        <v>20122523</v>
      </c>
      <c r="L145">
        <v>938265.8</v>
      </c>
      <c r="M145" s="28">
        <f t="array" ref="M145">SUM((A145=$T$5:$T$22)*(B145=$U$5:$U$22)*($V$5:$V$22=C145)*($Y$5:$Y$22))</f>
        <v>1</v>
      </c>
      <c r="N145" s="28">
        <f t="shared" si="11"/>
        <v>137404.26954997604</v>
      </c>
      <c r="O145" s="28">
        <f t="array" ref="O145">SUM((A145=$T$26:$T$43)*(B145=$U$26:$U$43)*($V$26:$V$43=C145)*($Y$26:$Y$43))</f>
        <v>1</v>
      </c>
      <c r="P145" s="28">
        <f t="shared" si="12"/>
        <v>1621175.9858032323</v>
      </c>
      <c r="Q145" s="28">
        <f t="array" ref="Q145">SUM((A145=$T$47:$T$64)*(B145=$U$47:$U$64)*($V$47:$V$64=C145)*($Y$47:$Y$64))</f>
        <v>1</v>
      </c>
      <c r="R145" s="1">
        <f t="shared" si="13"/>
        <v>20222406.069778975</v>
      </c>
    </row>
    <row r="146" spans="1:18" hidden="1" x14ac:dyDescent="0.25">
      <c r="A146" t="s">
        <v>29</v>
      </c>
      <c r="B146" t="s">
        <v>26</v>
      </c>
      <c r="C146" t="s">
        <v>18</v>
      </c>
      <c r="D146" t="s">
        <v>12</v>
      </c>
      <c r="E146" t="s">
        <v>31</v>
      </c>
      <c r="F146">
        <v>2115805.3043070566</v>
      </c>
      <c r="G146" s="1">
        <v>281389848.55617321</v>
      </c>
      <c r="H146">
        <v>18659060.836601112</v>
      </c>
      <c r="I146">
        <v>856998.2</v>
      </c>
      <c r="J146">
        <v>6922632</v>
      </c>
      <c r="K146" s="1">
        <v>280000000</v>
      </c>
      <c r="L146">
        <v>13811433</v>
      </c>
      <c r="M146" s="28">
        <f t="array" ref="M146">SUM((A146=$T$5:$T$22)*(B146=$U$5:$U$22)*($V$5:$V$22=C146)*($Y$5:$Y$22))</f>
        <v>1</v>
      </c>
      <c r="N146" s="28">
        <f t="shared" si="11"/>
        <v>2115805.3043070566</v>
      </c>
      <c r="O146" s="28">
        <f t="array" ref="O146">SUM((A146=$T$26:$T$43)*(B146=$U$26:$U$43)*($V$26:$V$43=C146)*($Y$26:$Y$43))</f>
        <v>1</v>
      </c>
      <c r="P146" s="28">
        <f t="shared" si="12"/>
        <v>18659060.836601112</v>
      </c>
      <c r="Q146" s="28">
        <f t="array" ref="Q146">SUM((A146=$T$47:$T$64)*(B146=$U$47:$U$64)*($V$47:$V$64=C146)*($Y$47:$Y$64))</f>
        <v>1</v>
      </c>
      <c r="R146" s="1">
        <f t="shared" si="13"/>
        <v>281389848.55617321</v>
      </c>
    </row>
    <row r="147" spans="1:18" hidden="1" x14ac:dyDescent="0.25">
      <c r="A147" t="s">
        <v>29</v>
      </c>
      <c r="B147" t="s">
        <v>26</v>
      </c>
      <c r="C147" t="s">
        <v>18</v>
      </c>
      <c r="D147" t="s">
        <v>12</v>
      </c>
      <c r="E147" t="s">
        <v>32</v>
      </c>
      <c r="F147">
        <v>74393.023926864145</v>
      </c>
      <c r="G147">
        <v>11354487.399558252</v>
      </c>
      <c r="H147">
        <v>1037244.9909167627</v>
      </c>
      <c r="I147">
        <v>52553.01</v>
      </c>
      <c r="J147">
        <v>651307.80000000005</v>
      </c>
      <c r="K147">
        <v>11298405</v>
      </c>
      <c r="L147">
        <v>472722.1</v>
      </c>
      <c r="M147" s="28">
        <f t="array" ref="M147">SUM((A147=$T$5:$T$22)*(B147=$U$5:$U$22)*($V$5:$V$22=C147)*($Y$5:$Y$22))</f>
        <v>1</v>
      </c>
      <c r="N147" s="28">
        <f t="shared" si="11"/>
        <v>74393.023926864145</v>
      </c>
      <c r="O147" s="28">
        <f t="array" ref="O147">SUM((A147=$T$26:$T$43)*(B147=$U$26:$U$43)*($V$26:$V$43=C147)*($Y$26:$Y$43))</f>
        <v>1</v>
      </c>
      <c r="P147" s="28">
        <f t="shared" si="12"/>
        <v>1037244.9909167627</v>
      </c>
      <c r="Q147" s="28">
        <f t="array" ref="Q147">SUM((A147=$T$47:$T$64)*(B147=$U$47:$U$64)*($V$47:$V$64=C147)*($Y$47:$Y$64))</f>
        <v>1</v>
      </c>
      <c r="R147" s="1">
        <f t="shared" si="13"/>
        <v>11354487.399558252</v>
      </c>
    </row>
    <row r="148" spans="1:18" hidden="1" x14ac:dyDescent="0.25">
      <c r="A148" t="s">
        <v>29</v>
      </c>
      <c r="B148" t="s">
        <v>26</v>
      </c>
      <c r="C148" t="s">
        <v>18</v>
      </c>
      <c r="D148" t="s">
        <v>13</v>
      </c>
      <c r="E148" t="s">
        <v>48</v>
      </c>
      <c r="F148">
        <v>8779.7502116398664</v>
      </c>
      <c r="G148">
        <v>1240073.0030221173</v>
      </c>
      <c r="H148">
        <v>87854.679230649548</v>
      </c>
      <c r="I148">
        <v>4550.7030000000004</v>
      </c>
      <c r="J148">
        <v>66360.98</v>
      </c>
      <c r="K148">
        <v>1233948</v>
      </c>
      <c r="L148">
        <v>2174.4499999999998</v>
      </c>
      <c r="M148" s="28">
        <f t="array" ref="M148">SUM((A148=$T$5:$T$22)*(B148=$U$5:$U$22)*($V$5:$V$22=C148)*($Y$5:$Y$22))</f>
        <v>1</v>
      </c>
      <c r="N148" s="28">
        <f t="shared" si="11"/>
        <v>8779.7502116398664</v>
      </c>
      <c r="O148" s="28">
        <f t="array" ref="O148">SUM((A148=$T$26:$T$43)*(B148=$U$26:$U$43)*($V$26:$V$43=C148)*($Y$26:$Y$43))</f>
        <v>1</v>
      </c>
      <c r="P148" s="28">
        <f t="shared" si="12"/>
        <v>87854.679230649548</v>
      </c>
      <c r="Q148" s="28">
        <f t="array" ref="Q148">SUM((A148=$T$47:$T$64)*(B148=$U$47:$U$64)*($V$47:$V$64=C148)*($Y$47:$Y$64))</f>
        <v>1</v>
      </c>
      <c r="R148" s="1">
        <f t="shared" si="13"/>
        <v>1240073.0030221173</v>
      </c>
    </row>
    <row r="149" spans="1:18" hidden="1" x14ac:dyDescent="0.25">
      <c r="A149" t="s">
        <v>29</v>
      </c>
      <c r="B149" t="s">
        <v>26</v>
      </c>
      <c r="C149" t="s">
        <v>18</v>
      </c>
      <c r="D149" t="s">
        <v>13</v>
      </c>
      <c r="E149" t="s">
        <v>23</v>
      </c>
      <c r="F149">
        <v>78854.84829147259</v>
      </c>
      <c r="G149">
        <v>27460541.871183451</v>
      </c>
      <c r="H149">
        <v>2075813.981821931</v>
      </c>
      <c r="I149">
        <v>272450.40000000002</v>
      </c>
      <c r="J149">
        <v>1789522</v>
      </c>
      <c r="K149">
        <v>27324908</v>
      </c>
      <c r="L149">
        <v>34203.71</v>
      </c>
      <c r="M149" s="28">
        <f t="array" ref="M149">SUM((A149=$T$5:$T$22)*(B149=$U$5:$U$22)*($V$5:$V$22=C149)*($Y$5:$Y$22))</f>
        <v>1</v>
      </c>
      <c r="N149" s="28">
        <f t="shared" si="11"/>
        <v>78854.84829147259</v>
      </c>
      <c r="O149" s="28">
        <f t="array" ref="O149">SUM((A149=$T$26:$T$43)*(B149=$U$26:$U$43)*($V$26:$V$43=C149)*($Y$26:$Y$43))</f>
        <v>1</v>
      </c>
      <c r="P149" s="28">
        <f t="shared" si="12"/>
        <v>2075813.981821931</v>
      </c>
      <c r="Q149" s="28">
        <f t="array" ref="Q149">SUM((A149=$T$47:$T$64)*(B149=$U$47:$U$64)*($V$47:$V$64=C149)*($Y$47:$Y$64))</f>
        <v>1</v>
      </c>
      <c r="R149" s="1">
        <f t="shared" si="13"/>
        <v>27460541.871183451</v>
      </c>
    </row>
    <row r="150" spans="1:18" hidden="1" x14ac:dyDescent="0.25">
      <c r="A150" t="s">
        <v>29</v>
      </c>
      <c r="B150" t="s">
        <v>26</v>
      </c>
      <c r="C150" t="s">
        <v>18</v>
      </c>
      <c r="D150" t="s">
        <v>13</v>
      </c>
      <c r="E150" t="s">
        <v>31</v>
      </c>
      <c r="F150">
        <v>401824.62539321079</v>
      </c>
      <c r="G150">
        <v>47336215.349716529</v>
      </c>
      <c r="H150">
        <v>2053247.9820195434</v>
      </c>
      <c r="I150">
        <v>105539</v>
      </c>
      <c r="J150">
        <v>1615540</v>
      </c>
      <c r="K150">
        <v>47102411</v>
      </c>
      <c r="L150">
        <v>52515.43</v>
      </c>
      <c r="M150" s="28">
        <f t="array" ref="M150">SUM((A150=$T$5:$T$22)*(B150=$U$5:$U$22)*($V$5:$V$22=C150)*($Y$5:$Y$22))</f>
        <v>1</v>
      </c>
      <c r="N150" s="28">
        <f t="shared" si="11"/>
        <v>401824.62539321079</v>
      </c>
      <c r="O150" s="28">
        <f t="array" ref="O150">SUM((A150=$T$26:$T$43)*(B150=$U$26:$U$43)*($V$26:$V$43=C150)*($Y$26:$Y$43))</f>
        <v>1</v>
      </c>
      <c r="P150" s="28">
        <f t="shared" si="12"/>
        <v>2053247.9820195434</v>
      </c>
      <c r="Q150" s="28">
        <f t="array" ref="Q150">SUM((A150=$T$47:$T$64)*(B150=$U$47:$U$64)*($V$47:$V$64=C150)*($Y$47:$Y$64))</f>
        <v>1</v>
      </c>
      <c r="R150" s="1">
        <f t="shared" si="13"/>
        <v>47336215.349716529</v>
      </c>
    </row>
    <row r="151" spans="1:18" hidden="1" x14ac:dyDescent="0.25">
      <c r="A151" t="s">
        <v>29</v>
      </c>
      <c r="B151" t="s">
        <v>26</v>
      </c>
      <c r="C151" t="s">
        <v>18</v>
      </c>
      <c r="D151" t="s">
        <v>13</v>
      </c>
      <c r="E151" t="s">
        <v>32</v>
      </c>
      <c r="F151">
        <v>34871.140236671636</v>
      </c>
      <c r="G151">
        <v>6295348.158490723</v>
      </c>
      <c r="H151">
        <v>518996.19545510883</v>
      </c>
      <c r="I151">
        <v>37645.449999999997</v>
      </c>
      <c r="J151">
        <v>494993</v>
      </c>
      <c r="K151">
        <v>6264254</v>
      </c>
      <c r="L151">
        <v>6031.2079999999996</v>
      </c>
      <c r="M151" s="28">
        <f t="array" ref="M151">SUM((A151=$T$5:$T$22)*(B151=$U$5:$U$22)*($V$5:$V$22=C151)*($Y$5:$Y$22))</f>
        <v>1</v>
      </c>
      <c r="N151" s="28">
        <f t="shared" si="11"/>
        <v>34871.140236671636</v>
      </c>
      <c r="O151" s="28">
        <f t="array" ref="O151">SUM((A151=$T$26:$T$43)*(B151=$U$26:$U$43)*($V$26:$V$43=C151)*($Y$26:$Y$43))</f>
        <v>1</v>
      </c>
      <c r="P151" s="28">
        <f t="shared" si="12"/>
        <v>518996.19545510883</v>
      </c>
      <c r="Q151" s="28">
        <f t="array" ref="Q151">SUM((A151=$T$47:$T$64)*(B151=$U$47:$U$64)*($V$47:$V$64=C151)*($Y$47:$Y$64))</f>
        <v>1</v>
      </c>
      <c r="R151" s="1">
        <f t="shared" si="13"/>
        <v>6295348.158490723</v>
      </c>
    </row>
    <row r="152" spans="1:18" hidden="1" x14ac:dyDescent="0.25">
      <c r="A152" t="s">
        <v>29</v>
      </c>
      <c r="B152" t="s">
        <v>26</v>
      </c>
      <c r="C152" t="s">
        <v>18</v>
      </c>
      <c r="D152" t="s">
        <v>14</v>
      </c>
      <c r="E152" t="s">
        <v>48</v>
      </c>
      <c r="F152">
        <v>2764.7804466509597</v>
      </c>
      <c r="G152">
        <v>429106.45451948122</v>
      </c>
      <c r="H152">
        <v>55185.279516738097</v>
      </c>
      <c r="I152">
        <v>1417.0419999999999</v>
      </c>
      <c r="J152">
        <v>51380.81</v>
      </c>
      <c r="K152">
        <v>426987</v>
      </c>
      <c r="L152">
        <v>1201.0920000000001</v>
      </c>
      <c r="M152" s="28">
        <f t="array" ref="M152">SUM((A152=$T$5:$T$22)*(B152=$U$5:$U$22)*($V$5:$V$22=C152)*($Y$5:$Y$22))</f>
        <v>1</v>
      </c>
      <c r="N152" s="28">
        <f t="shared" si="11"/>
        <v>2764.7804466509597</v>
      </c>
      <c r="O152" s="28">
        <f t="array" ref="O152">SUM((A152=$T$26:$T$43)*(B152=$U$26:$U$43)*($V$26:$V$43=C152)*($Y$26:$Y$43))</f>
        <v>1</v>
      </c>
      <c r="P152" s="28">
        <f t="shared" si="12"/>
        <v>55185.279516738097</v>
      </c>
      <c r="Q152" s="28">
        <f t="array" ref="Q152">SUM((A152=$T$47:$T$64)*(B152=$U$47:$U$64)*($V$47:$V$64=C152)*($Y$47:$Y$64))</f>
        <v>1</v>
      </c>
      <c r="R152" s="1">
        <f t="shared" si="13"/>
        <v>429106.45451948122</v>
      </c>
    </row>
    <row r="153" spans="1:18" hidden="1" x14ac:dyDescent="0.25">
      <c r="A153" t="s">
        <v>29</v>
      </c>
      <c r="B153" t="s">
        <v>26</v>
      </c>
      <c r="C153" t="s">
        <v>18</v>
      </c>
      <c r="D153" t="s">
        <v>14</v>
      </c>
      <c r="E153" t="s">
        <v>23</v>
      </c>
      <c r="F153">
        <v>181387.02066167953</v>
      </c>
      <c r="G153">
        <v>37029124.279200278</v>
      </c>
      <c r="H153">
        <v>2668980.9766275203</v>
      </c>
      <c r="I153">
        <v>272300.5</v>
      </c>
      <c r="J153">
        <v>2101197</v>
      </c>
      <c r="K153">
        <v>36846229</v>
      </c>
      <c r="L153">
        <v>130393.2</v>
      </c>
      <c r="M153" s="28">
        <f t="array" ref="M153">SUM((A153=$T$5:$T$22)*(B153=$U$5:$U$22)*($V$5:$V$22=C153)*($Y$5:$Y$22))</f>
        <v>1</v>
      </c>
      <c r="N153" s="28">
        <f t="shared" si="11"/>
        <v>181387.02066167953</v>
      </c>
      <c r="O153" s="28">
        <f t="array" ref="O153">SUM((A153=$T$26:$T$43)*(B153=$U$26:$U$43)*($V$26:$V$43=C153)*($Y$26:$Y$43))</f>
        <v>1</v>
      </c>
      <c r="P153" s="28">
        <f t="shared" si="12"/>
        <v>2668980.9766275203</v>
      </c>
      <c r="Q153" s="28">
        <f t="array" ref="Q153">SUM((A153=$T$47:$T$64)*(B153=$U$47:$U$64)*($V$47:$V$64=C153)*($Y$47:$Y$64))</f>
        <v>1</v>
      </c>
      <c r="R153" s="1">
        <f t="shared" si="13"/>
        <v>37029124.279200278</v>
      </c>
    </row>
    <row r="154" spans="1:18" hidden="1" x14ac:dyDescent="0.25">
      <c r="A154" t="s">
        <v>29</v>
      </c>
      <c r="B154" t="s">
        <v>26</v>
      </c>
      <c r="C154" t="s">
        <v>18</v>
      </c>
      <c r="D154" t="s">
        <v>14</v>
      </c>
      <c r="E154" t="s">
        <v>31</v>
      </c>
      <c r="F154">
        <v>533023.17040489218</v>
      </c>
      <c r="G154">
        <v>62049859.389057517</v>
      </c>
      <c r="H154">
        <v>2989548.9738202807</v>
      </c>
      <c r="I154">
        <v>124176.9</v>
      </c>
      <c r="J154">
        <v>2416468</v>
      </c>
      <c r="K154">
        <v>61743381</v>
      </c>
      <c r="L154">
        <v>175297</v>
      </c>
      <c r="M154" s="28">
        <f t="array" ref="M154">SUM((A154=$T$5:$T$22)*(B154=$U$5:$U$22)*($V$5:$V$22=C154)*($Y$5:$Y$22))</f>
        <v>1</v>
      </c>
      <c r="N154" s="28">
        <f t="shared" si="11"/>
        <v>533023.17040489218</v>
      </c>
      <c r="O154" s="28">
        <f t="array" ref="O154">SUM((A154=$T$26:$T$43)*(B154=$U$26:$U$43)*($V$26:$V$43=C154)*($Y$26:$Y$43))</f>
        <v>1</v>
      </c>
      <c r="P154" s="28">
        <f t="shared" si="12"/>
        <v>2989548.9738202807</v>
      </c>
      <c r="Q154" s="28">
        <f t="array" ref="Q154">SUM((A154=$T$47:$T$64)*(B154=$U$47:$U$64)*($V$47:$V$64=C154)*($Y$47:$Y$64))</f>
        <v>1</v>
      </c>
      <c r="R154" s="1">
        <f t="shared" si="13"/>
        <v>62049859.389057517</v>
      </c>
    </row>
    <row r="155" spans="1:18" hidden="1" x14ac:dyDescent="0.25">
      <c r="A155" t="s">
        <v>29</v>
      </c>
      <c r="B155" t="s">
        <v>26</v>
      </c>
      <c r="C155" t="s">
        <v>18</v>
      </c>
      <c r="D155" t="s">
        <v>14</v>
      </c>
      <c r="E155" t="s">
        <v>32</v>
      </c>
      <c r="F155">
        <v>76419.314921689453</v>
      </c>
      <c r="G155">
        <v>11329542.189483747</v>
      </c>
      <c r="H155">
        <v>859225.99247568927</v>
      </c>
      <c r="I155">
        <v>52472.65</v>
      </c>
      <c r="J155">
        <v>716653.7</v>
      </c>
      <c r="K155">
        <v>11273583</v>
      </c>
      <c r="L155">
        <v>39892.32</v>
      </c>
      <c r="M155" s="28">
        <f t="array" ref="M155">SUM((A155=$T$5:$T$22)*(B155=$U$5:$U$22)*($V$5:$V$22=C155)*($Y$5:$Y$22))</f>
        <v>1</v>
      </c>
      <c r="N155" s="28">
        <f t="shared" si="11"/>
        <v>76419.314921689453</v>
      </c>
      <c r="O155" s="28">
        <f t="array" ref="O155">SUM((A155=$T$26:$T$43)*(B155=$U$26:$U$43)*($V$26:$V$43=C155)*($Y$26:$Y$43))</f>
        <v>1</v>
      </c>
      <c r="P155" s="28">
        <f t="shared" si="12"/>
        <v>859225.99247568927</v>
      </c>
      <c r="Q155" s="28">
        <f t="array" ref="Q155">SUM((A155=$T$47:$T$64)*(B155=$U$47:$U$64)*($V$47:$V$64=C155)*($Y$47:$Y$64))</f>
        <v>1</v>
      </c>
      <c r="R155" s="1">
        <f t="shared" si="13"/>
        <v>11329542.189483747</v>
      </c>
    </row>
    <row r="156" spans="1:18" hidden="1" x14ac:dyDescent="0.25">
      <c r="A156" t="s">
        <v>29</v>
      </c>
      <c r="B156" t="s">
        <v>26</v>
      </c>
      <c r="C156" t="s">
        <v>18</v>
      </c>
      <c r="D156" t="s">
        <v>15</v>
      </c>
      <c r="E156" t="s">
        <v>48</v>
      </c>
      <c r="F156">
        <v>5466.7607308046217</v>
      </c>
      <c r="G156">
        <v>764991.76859266032</v>
      </c>
      <c r="H156">
        <v>76145.119333191105</v>
      </c>
      <c r="I156">
        <v>2401.922</v>
      </c>
      <c r="J156">
        <v>59911.19</v>
      </c>
      <c r="K156">
        <v>761213.3</v>
      </c>
      <c r="L156">
        <v>7047.7659999999996</v>
      </c>
      <c r="M156" s="28">
        <f t="array" ref="M156">SUM((A156=$T$5:$T$22)*(B156=$U$5:$U$22)*($V$5:$V$22=C156)*($Y$5:$Y$22))</f>
        <v>1</v>
      </c>
      <c r="N156" s="28">
        <f t="shared" si="11"/>
        <v>5466.7607308046217</v>
      </c>
      <c r="O156" s="28">
        <f t="array" ref="O156">SUM((A156=$T$26:$T$43)*(B156=$U$26:$U$43)*($V$26:$V$43=C156)*($Y$26:$Y$43))</f>
        <v>1</v>
      </c>
      <c r="P156" s="28">
        <f t="shared" si="12"/>
        <v>76145.119333191105</v>
      </c>
      <c r="Q156" s="28">
        <f t="array" ref="Q156">SUM((A156=$T$47:$T$64)*(B156=$U$47:$U$64)*($V$47:$V$64=C156)*($Y$47:$Y$64))</f>
        <v>1</v>
      </c>
      <c r="R156" s="1">
        <f t="shared" si="13"/>
        <v>764991.76859266032</v>
      </c>
    </row>
    <row r="157" spans="1:18" hidden="1" x14ac:dyDescent="0.25">
      <c r="A157" t="s">
        <v>29</v>
      </c>
      <c r="B157" t="s">
        <v>26</v>
      </c>
      <c r="C157" t="s">
        <v>18</v>
      </c>
      <c r="D157" t="s">
        <v>15</v>
      </c>
      <c r="E157" t="s">
        <v>23</v>
      </c>
      <c r="F157">
        <v>316562.02438306733</v>
      </c>
      <c r="G157">
        <v>53477903.546656936</v>
      </c>
      <c r="H157">
        <v>3605849.9684232837</v>
      </c>
      <c r="I157">
        <v>325345.7</v>
      </c>
      <c r="J157">
        <v>2615884</v>
      </c>
      <c r="K157">
        <v>53213764</v>
      </c>
      <c r="L157">
        <v>431349.1</v>
      </c>
      <c r="M157" s="28">
        <f t="array" ref="M157">SUM((A157=$T$5:$T$22)*(B157=$U$5:$U$22)*($V$5:$V$22=C157)*($Y$5:$Y$22))</f>
        <v>1</v>
      </c>
      <c r="N157" s="28">
        <f t="shared" si="11"/>
        <v>316562.02438306733</v>
      </c>
      <c r="O157" s="28">
        <f t="array" ref="O157">SUM((A157=$T$26:$T$43)*(B157=$U$26:$U$43)*($V$26:$V$43=C157)*($Y$26:$Y$43))</f>
        <v>1</v>
      </c>
      <c r="P157" s="28">
        <f t="shared" si="12"/>
        <v>3605849.9684232837</v>
      </c>
      <c r="Q157" s="28">
        <f t="array" ref="Q157">SUM((A157=$T$47:$T$64)*(B157=$U$47:$U$64)*($V$47:$V$64=C157)*($Y$47:$Y$64))</f>
        <v>1</v>
      </c>
      <c r="R157" s="1">
        <f t="shared" si="13"/>
        <v>53477903.546656936</v>
      </c>
    </row>
    <row r="158" spans="1:18" hidden="1" x14ac:dyDescent="0.25">
      <c r="A158" t="s">
        <v>29</v>
      </c>
      <c r="B158" t="s">
        <v>26</v>
      </c>
      <c r="C158" t="s">
        <v>18</v>
      </c>
      <c r="D158" t="s">
        <v>15</v>
      </c>
      <c r="E158" t="s">
        <v>31</v>
      </c>
      <c r="F158">
        <v>1465447.224841703</v>
      </c>
      <c r="G158" s="1">
        <v>170843836.62339088</v>
      </c>
      <c r="H158">
        <v>7781856.9318536567</v>
      </c>
      <c r="I158">
        <v>357044.9</v>
      </c>
      <c r="J158">
        <v>5253549</v>
      </c>
      <c r="K158" s="1">
        <v>170000000</v>
      </c>
      <c r="L158">
        <v>1339574</v>
      </c>
      <c r="M158" s="28">
        <f t="array" ref="M158">SUM((A158=$T$5:$T$22)*(B158=$U$5:$U$22)*($V$5:$V$22=C158)*($Y$5:$Y$22))</f>
        <v>1</v>
      </c>
      <c r="N158" s="28">
        <f t="shared" si="11"/>
        <v>1465447.224841703</v>
      </c>
      <c r="O158" s="28">
        <f t="array" ref="O158">SUM((A158=$T$26:$T$43)*(B158=$U$26:$U$43)*($V$26:$V$43=C158)*($Y$26:$Y$43))</f>
        <v>1</v>
      </c>
      <c r="P158" s="28">
        <f t="shared" si="12"/>
        <v>7781856.9318536567</v>
      </c>
      <c r="Q158" s="28">
        <f t="array" ref="Q158">SUM((A158=$T$47:$T$64)*(B158=$U$47:$U$64)*($V$47:$V$64=C158)*($Y$47:$Y$64))</f>
        <v>1</v>
      </c>
      <c r="R158" s="1">
        <f t="shared" si="13"/>
        <v>170843836.62339088</v>
      </c>
    </row>
    <row r="159" spans="1:18" hidden="1" x14ac:dyDescent="0.25">
      <c r="A159" t="s">
        <v>29</v>
      </c>
      <c r="B159" t="s">
        <v>26</v>
      </c>
      <c r="C159" t="s">
        <v>18</v>
      </c>
      <c r="D159" t="s">
        <v>15</v>
      </c>
      <c r="E159" t="s">
        <v>32</v>
      </c>
      <c r="F159">
        <v>214193.70536644655</v>
      </c>
      <c r="G159">
        <v>30128765.837111399</v>
      </c>
      <c r="H159">
        <v>2136886.9812871101</v>
      </c>
      <c r="I159">
        <v>127507.7</v>
      </c>
      <c r="J159">
        <v>1649798</v>
      </c>
      <c r="K159">
        <v>29979953</v>
      </c>
      <c r="L159">
        <v>237256</v>
      </c>
      <c r="M159" s="28">
        <f t="array" ref="M159">SUM((A159=$T$5:$T$22)*(B159=$U$5:$U$22)*($V$5:$V$22=C159)*($Y$5:$Y$22))</f>
        <v>1</v>
      </c>
      <c r="N159" s="28">
        <f t="shared" si="11"/>
        <v>214193.70536644655</v>
      </c>
      <c r="O159" s="28">
        <f t="array" ref="O159">SUM((A159=$T$26:$T$43)*(B159=$U$26:$U$43)*($V$26:$V$43=C159)*($Y$26:$Y$43))</f>
        <v>1</v>
      </c>
      <c r="P159" s="28">
        <f t="shared" si="12"/>
        <v>2136886.9812871101</v>
      </c>
      <c r="Q159" s="28">
        <f t="array" ref="Q159">SUM((A159=$T$47:$T$64)*(B159=$U$47:$U$64)*($V$47:$V$64=C159)*($Y$47:$Y$64))</f>
        <v>1</v>
      </c>
      <c r="R159" s="1">
        <f t="shared" si="13"/>
        <v>30128765.837111399</v>
      </c>
    </row>
    <row r="160" spans="1:18" hidden="1" x14ac:dyDescent="0.25">
      <c r="A160" t="s">
        <v>29</v>
      </c>
      <c r="B160" t="s">
        <v>26</v>
      </c>
      <c r="C160" t="s">
        <v>18</v>
      </c>
      <c r="D160" t="s">
        <v>16</v>
      </c>
      <c r="E160" t="s">
        <v>48</v>
      </c>
      <c r="F160">
        <v>6997.8984978862973</v>
      </c>
      <c r="G160">
        <v>925627.08299955656</v>
      </c>
      <c r="H160">
        <v>66629.779416517689</v>
      </c>
      <c r="I160">
        <v>2778.1889999999999</v>
      </c>
      <c r="J160">
        <v>46077.1</v>
      </c>
      <c r="K160">
        <v>921055.2</v>
      </c>
      <c r="L160">
        <v>15357.58</v>
      </c>
      <c r="M160" s="28">
        <f t="array" ref="M160">SUM((A160=$T$5:$T$22)*(B160=$U$5:$U$22)*($V$5:$V$22=C160)*($Y$5:$Y$22))</f>
        <v>1</v>
      </c>
      <c r="N160" s="28">
        <f t="shared" si="11"/>
        <v>6997.8984978862973</v>
      </c>
      <c r="O160" s="28">
        <f t="array" ref="O160">SUM((A160=$T$26:$T$43)*(B160=$U$26:$U$43)*($V$26:$V$43=C160)*($Y$26:$Y$43))</f>
        <v>1</v>
      </c>
      <c r="P160" s="28">
        <f t="shared" si="12"/>
        <v>66629.779416517689</v>
      </c>
      <c r="Q160" s="28">
        <f t="array" ref="Q160">SUM((A160=$T$47:$T$64)*(B160=$U$47:$U$64)*($V$47:$V$64=C160)*($Y$47:$Y$64))</f>
        <v>1</v>
      </c>
      <c r="R160" s="1">
        <f t="shared" si="13"/>
        <v>925627.08299955656</v>
      </c>
    </row>
    <row r="161" spans="1:18" hidden="1" x14ac:dyDescent="0.25">
      <c r="A161" t="s">
        <v>29</v>
      </c>
      <c r="B161" t="s">
        <v>26</v>
      </c>
      <c r="C161" t="s">
        <v>18</v>
      </c>
      <c r="D161" t="s">
        <v>16</v>
      </c>
      <c r="E161" t="s">
        <v>23</v>
      </c>
      <c r="F161">
        <v>502886.35694196122</v>
      </c>
      <c r="G161">
        <v>77694918.90157561</v>
      </c>
      <c r="H161">
        <v>4880582.9572603451</v>
      </c>
      <c r="I161">
        <v>411817.8</v>
      </c>
      <c r="J161">
        <v>3064672</v>
      </c>
      <c r="K161">
        <v>77311166</v>
      </c>
      <c r="L161">
        <v>1336832</v>
      </c>
      <c r="M161" s="28">
        <f t="array" ref="M161">SUM((A161=$T$5:$T$22)*(B161=$U$5:$U$22)*($V$5:$V$22=C161)*($Y$5:$Y$22))</f>
        <v>1</v>
      </c>
      <c r="N161" s="28">
        <f t="shared" si="11"/>
        <v>502886.35694196122</v>
      </c>
      <c r="O161" s="28">
        <f t="array" ref="O161">SUM((A161=$T$26:$T$43)*(B161=$U$26:$U$43)*($V$26:$V$43=C161)*($Y$26:$Y$43))</f>
        <v>1</v>
      </c>
      <c r="P161" s="28">
        <f t="shared" si="12"/>
        <v>4880582.9572603451</v>
      </c>
      <c r="Q161" s="28">
        <f t="array" ref="Q161">SUM((A161=$T$47:$T$64)*(B161=$U$47:$U$64)*($V$47:$V$64=C161)*($Y$47:$Y$64))</f>
        <v>1</v>
      </c>
      <c r="R161" s="1">
        <f t="shared" si="13"/>
        <v>77694918.90157561</v>
      </c>
    </row>
    <row r="162" spans="1:18" hidden="1" x14ac:dyDescent="0.25">
      <c r="A162" t="s">
        <v>29</v>
      </c>
      <c r="B162" t="s">
        <v>26</v>
      </c>
      <c r="C162" t="s">
        <v>18</v>
      </c>
      <c r="D162" t="s">
        <v>16</v>
      </c>
      <c r="E162" t="s">
        <v>31</v>
      </c>
      <c r="F162">
        <v>4233813.6356803523</v>
      </c>
      <c r="G162" s="1">
        <v>503486836.16658139</v>
      </c>
      <c r="H162">
        <v>22443422.803461153</v>
      </c>
      <c r="I162">
        <v>1154929</v>
      </c>
      <c r="J162">
        <v>12552405</v>
      </c>
      <c r="K162" s="1">
        <v>501000000</v>
      </c>
      <c r="L162">
        <v>8195812</v>
      </c>
      <c r="M162" s="28">
        <f t="array" ref="M162">SUM((A162=$T$5:$T$22)*(B162=$U$5:$U$22)*($V$5:$V$22=C162)*($Y$5:$Y$22))</f>
        <v>1</v>
      </c>
      <c r="N162" s="28">
        <f t="shared" si="11"/>
        <v>4233813.6356803523</v>
      </c>
      <c r="O162" s="28">
        <f t="array" ref="O162">SUM((A162=$T$26:$T$43)*(B162=$U$26:$U$43)*($V$26:$V$43=C162)*($Y$26:$Y$43))</f>
        <v>1</v>
      </c>
      <c r="P162" s="28">
        <f t="shared" si="12"/>
        <v>22443422.803461153</v>
      </c>
      <c r="Q162" s="28">
        <f t="array" ref="Q162">SUM((A162=$T$47:$T$64)*(B162=$U$47:$U$64)*($V$47:$V$64=C162)*($Y$47:$Y$64))</f>
        <v>1</v>
      </c>
      <c r="R162" s="1">
        <f t="shared" si="13"/>
        <v>503486836.16658139</v>
      </c>
    </row>
    <row r="163" spans="1:18" hidden="1" x14ac:dyDescent="0.25">
      <c r="A163" t="s">
        <v>29</v>
      </c>
      <c r="B163" t="s">
        <v>26</v>
      </c>
      <c r="C163" t="s">
        <v>18</v>
      </c>
      <c r="D163" t="s">
        <v>16</v>
      </c>
      <c r="E163" t="s">
        <v>32</v>
      </c>
      <c r="F163">
        <v>342290.21128583857</v>
      </c>
      <c r="G163">
        <v>48256241.568773322</v>
      </c>
      <c r="H163">
        <v>3246991.9715658319</v>
      </c>
      <c r="I163">
        <v>200126.3</v>
      </c>
      <c r="J163">
        <v>2333192</v>
      </c>
      <c r="K163">
        <v>48017893</v>
      </c>
      <c r="L163">
        <v>765882.7</v>
      </c>
      <c r="M163" s="28">
        <f t="array" ref="M163">SUM((A163=$T$5:$T$22)*(B163=$U$5:$U$22)*($V$5:$V$22=C163)*($Y$5:$Y$22))</f>
        <v>1</v>
      </c>
      <c r="N163" s="28">
        <f t="shared" si="11"/>
        <v>342290.21128583857</v>
      </c>
      <c r="O163" s="28">
        <f t="array" ref="O163">SUM((A163=$T$26:$T$43)*(B163=$U$26:$U$43)*($V$26:$V$43=C163)*($Y$26:$Y$43))</f>
        <v>1</v>
      </c>
      <c r="P163" s="28">
        <f t="shared" si="12"/>
        <v>3246991.9715658319</v>
      </c>
      <c r="Q163" s="28">
        <f t="array" ref="Q163">SUM((A163=$T$47:$T$64)*(B163=$U$47:$U$64)*($V$47:$V$64=C163)*($Y$47:$Y$64))</f>
        <v>1</v>
      </c>
      <c r="R163" s="1">
        <f t="shared" si="13"/>
        <v>48256241.568773322</v>
      </c>
    </row>
    <row r="164" spans="1:18" hidden="1" x14ac:dyDescent="0.25">
      <c r="A164" t="s">
        <v>29</v>
      </c>
      <c r="B164" t="s">
        <v>26</v>
      </c>
      <c r="C164" t="s">
        <v>18</v>
      </c>
      <c r="D164" t="s">
        <v>17</v>
      </c>
      <c r="E164" t="s">
        <v>48</v>
      </c>
      <c r="F164">
        <v>27725.584389880467</v>
      </c>
      <c r="G164">
        <v>3663498.8553073863</v>
      </c>
      <c r="H164">
        <v>246909.59783779291</v>
      </c>
      <c r="I164">
        <v>11208.16</v>
      </c>
      <c r="J164">
        <v>152091.29999999999</v>
      </c>
      <c r="K164">
        <v>3645404</v>
      </c>
      <c r="L164">
        <v>99722.05</v>
      </c>
      <c r="M164" s="28">
        <f t="array" ref="M164">SUM((A164=$T$5:$T$22)*(B164=$U$5:$U$22)*($V$5:$V$22=C164)*($Y$5:$Y$22))</f>
        <v>1</v>
      </c>
      <c r="N164" s="28">
        <f t="shared" si="11"/>
        <v>27725.584389880467</v>
      </c>
      <c r="O164" s="28">
        <f t="array" ref="O164">SUM((A164=$T$26:$T$43)*(B164=$U$26:$U$43)*($V$26:$V$43=C164)*($Y$26:$Y$43))</f>
        <v>1</v>
      </c>
      <c r="P164" s="28">
        <f t="shared" si="12"/>
        <v>246909.59783779291</v>
      </c>
      <c r="Q164" s="28">
        <f t="array" ref="Q164">SUM((A164=$T$47:$T$64)*(B164=$U$47:$U$64)*($V$47:$V$64=C164)*($Y$47:$Y$64))</f>
        <v>1</v>
      </c>
      <c r="R164" s="1">
        <f t="shared" si="13"/>
        <v>3663498.8553073863</v>
      </c>
    </row>
    <row r="165" spans="1:18" hidden="1" x14ac:dyDescent="0.25">
      <c r="A165" t="s">
        <v>29</v>
      </c>
      <c r="B165" t="s">
        <v>26</v>
      </c>
      <c r="C165" t="s">
        <v>18</v>
      </c>
      <c r="D165" t="s">
        <v>17</v>
      </c>
      <c r="E165" t="s">
        <v>23</v>
      </c>
      <c r="F165">
        <v>318082.32914269762</v>
      </c>
      <c r="G165">
        <v>46956603.359630592</v>
      </c>
      <c r="H165">
        <v>3273624.9713326045</v>
      </c>
      <c r="I165">
        <v>228449.3</v>
      </c>
      <c r="J165">
        <v>1955374</v>
      </c>
      <c r="K165">
        <v>46724674</v>
      </c>
      <c r="L165">
        <v>1368323</v>
      </c>
      <c r="M165" s="28">
        <f t="array" ref="M165">SUM((A165=$T$5:$T$22)*(B165=$U$5:$U$22)*($V$5:$V$22=C165)*($Y$5:$Y$22))</f>
        <v>1</v>
      </c>
      <c r="N165" s="28">
        <f t="shared" si="11"/>
        <v>318082.32914269762</v>
      </c>
      <c r="O165" s="28">
        <f t="array" ref="O165">SUM((A165=$T$26:$T$43)*(B165=$U$26:$U$43)*($V$26:$V$43=C165)*($Y$26:$Y$43))</f>
        <v>1</v>
      </c>
      <c r="P165" s="28">
        <f t="shared" si="12"/>
        <v>3273624.9713326045</v>
      </c>
      <c r="Q165" s="28">
        <f t="array" ref="Q165">SUM((A165=$T$47:$T$64)*(B165=$U$47:$U$64)*($V$47:$V$64=C165)*($Y$47:$Y$64))</f>
        <v>1</v>
      </c>
      <c r="R165" s="1">
        <f t="shared" si="13"/>
        <v>46956603.359630592</v>
      </c>
    </row>
    <row r="166" spans="1:18" hidden="1" x14ac:dyDescent="0.25">
      <c r="A166" t="s">
        <v>29</v>
      </c>
      <c r="B166" t="s">
        <v>26</v>
      </c>
      <c r="C166" t="s">
        <v>18</v>
      </c>
      <c r="D166" t="s">
        <v>17</v>
      </c>
      <c r="E166" t="s">
        <v>31</v>
      </c>
      <c r="F166">
        <v>5981597.1461942606</v>
      </c>
      <c r="G166" s="1">
        <v>740658279.9496417</v>
      </c>
      <c r="H166">
        <v>37973112.667466417</v>
      </c>
      <c r="I166">
        <v>1946071</v>
      </c>
      <c r="J166">
        <v>17609689</v>
      </c>
      <c r="K166" s="1">
        <v>737000000</v>
      </c>
      <c r="L166">
        <v>22448417</v>
      </c>
      <c r="M166" s="28">
        <f t="array" ref="M166">SUM((A166=$T$5:$T$22)*(B166=$U$5:$U$22)*($V$5:$V$22=C166)*($Y$5:$Y$22))</f>
        <v>1</v>
      </c>
      <c r="N166" s="28">
        <f t="shared" si="11"/>
        <v>5981597.1461942606</v>
      </c>
      <c r="O166" s="28">
        <f t="array" ref="O166">SUM((A166=$T$26:$T$43)*(B166=$U$26:$U$43)*($V$26:$V$43=C166)*($Y$26:$Y$43))</f>
        <v>1</v>
      </c>
      <c r="P166" s="28">
        <f t="shared" si="12"/>
        <v>37973112.667466417</v>
      </c>
      <c r="Q166" s="28">
        <f t="array" ref="Q166">SUM((A166=$T$47:$T$64)*(B166=$U$47:$U$64)*($V$47:$V$64=C166)*($Y$47:$Y$64))</f>
        <v>1</v>
      </c>
      <c r="R166" s="1">
        <f t="shared" si="13"/>
        <v>740658279.9496417</v>
      </c>
    </row>
    <row r="167" spans="1:18" hidden="1" x14ac:dyDescent="0.25">
      <c r="A167" t="s">
        <v>29</v>
      </c>
      <c r="B167" t="s">
        <v>26</v>
      </c>
      <c r="C167" t="s">
        <v>18</v>
      </c>
      <c r="D167" t="s">
        <v>17</v>
      </c>
      <c r="E167" t="s">
        <v>32</v>
      </c>
      <c r="F167">
        <v>278195.29448800429</v>
      </c>
      <c r="G167">
        <v>40073746.361158155</v>
      </c>
      <c r="H167">
        <v>3046721.973319612</v>
      </c>
      <c r="I167">
        <v>170127.5</v>
      </c>
      <c r="J167">
        <v>2163917</v>
      </c>
      <c r="K167">
        <v>39875813</v>
      </c>
      <c r="L167">
        <v>1052823</v>
      </c>
      <c r="M167" s="28">
        <f t="array" ref="M167">SUM((A167=$T$5:$T$22)*(B167=$U$5:$U$22)*($V$5:$V$22=C167)*($Y$5:$Y$22))</f>
        <v>1</v>
      </c>
      <c r="N167" s="28">
        <f t="shared" si="11"/>
        <v>278195.29448800429</v>
      </c>
      <c r="O167" s="28">
        <f t="array" ref="O167">SUM((A167=$T$26:$T$43)*(B167=$U$26:$U$43)*($V$26:$V$43=C167)*($Y$26:$Y$43))</f>
        <v>1</v>
      </c>
      <c r="P167" s="28">
        <f t="shared" si="12"/>
        <v>3046721.973319612</v>
      </c>
      <c r="Q167" s="28">
        <f t="array" ref="Q167">SUM((A167=$T$47:$T$64)*(B167=$U$47:$U$64)*($V$47:$V$64=C167)*($Y$47:$Y$64))</f>
        <v>1</v>
      </c>
      <c r="R167" s="1">
        <f t="shared" si="13"/>
        <v>40073746.361158155</v>
      </c>
    </row>
    <row r="168" spans="1:18" hidden="1" x14ac:dyDescent="0.25">
      <c r="A168" t="s">
        <v>29</v>
      </c>
      <c r="B168" t="s">
        <v>26</v>
      </c>
      <c r="C168" t="s">
        <v>19</v>
      </c>
      <c r="D168" t="s">
        <v>12</v>
      </c>
      <c r="E168" t="s">
        <v>25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s="28">
        <f t="array" ref="M168">SUM((A168=$T$5:$T$22)*(B168=$U$5:$U$22)*($V$5:$V$22=C168)*($Y$5:$Y$22))</f>
        <v>0.99999999999999989</v>
      </c>
      <c r="N168" s="28">
        <f t="shared" si="11"/>
        <v>0</v>
      </c>
      <c r="O168" s="28">
        <f t="array" ref="O168">SUM((A168=$T$26:$T$43)*(B168=$U$26:$U$43)*($V$26:$V$43=C168)*($Y$26:$Y$43))</f>
        <v>1</v>
      </c>
      <c r="P168" s="28">
        <f t="shared" si="12"/>
        <v>0</v>
      </c>
      <c r="Q168" s="28">
        <f t="array" ref="Q168">SUM((A168=$T$47:$T$64)*(B168=$U$47:$U$64)*($V$47:$V$64=C168)*($Y$47:$Y$64))</f>
        <v>1</v>
      </c>
      <c r="R168" s="1">
        <f t="shared" si="13"/>
        <v>0</v>
      </c>
    </row>
    <row r="169" spans="1:18" hidden="1" x14ac:dyDescent="0.25">
      <c r="A169" t="s">
        <v>29</v>
      </c>
      <c r="B169" t="s">
        <v>26</v>
      </c>
      <c r="C169" t="s">
        <v>19</v>
      </c>
      <c r="D169" t="s">
        <v>13</v>
      </c>
      <c r="E169" t="s">
        <v>25</v>
      </c>
      <c r="F169">
        <v>270250.88912618643</v>
      </c>
      <c r="G169">
        <v>0</v>
      </c>
      <c r="H169">
        <v>3764162.0163271725</v>
      </c>
      <c r="I169">
        <v>38936.31</v>
      </c>
      <c r="J169">
        <v>0</v>
      </c>
      <c r="K169">
        <v>0</v>
      </c>
      <c r="L169">
        <v>1030251</v>
      </c>
      <c r="M169" s="28">
        <f t="array" ref="M169">SUM((A169=$T$5:$T$22)*(B169=$U$5:$U$22)*($V$5:$V$22=C169)*($Y$5:$Y$22))</f>
        <v>0.99999999999999989</v>
      </c>
      <c r="N169" s="28">
        <f t="shared" si="11"/>
        <v>270250.88912618638</v>
      </c>
      <c r="O169" s="28">
        <f t="array" ref="O169">SUM((A169=$T$26:$T$43)*(B169=$U$26:$U$43)*($V$26:$V$43=C169)*($Y$26:$Y$43))</f>
        <v>1</v>
      </c>
      <c r="P169" s="28">
        <f t="shared" si="12"/>
        <v>3764162.0163271725</v>
      </c>
      <c r="Q169" s="28">
        <f t="array" ref="Q169">SUM((A169=$T$47:$T$64)*(B169=$U$47:$U$64)*($V$47:$V$64=C169)*($Y$47:$Y$64))</f>
        <v>1</v>
      </c>
      <c r="R169" s="1">
        <f t="shared" si="13"/>
        <v>0</v>
      </c>
    </row>
    <row r="170" spans="1:18" hidden="1" x14ac:dyDescent="0.25">
      <c r="A170" t="s">
        <v>29</v>
      </c>
      <c r="B170" t="s">
        <v>26</v>
      </c>
      <c r="C170" t="s">
        <v>19</v>
      </c>
      <c r="D170" t="s">
        <v>14</v>
      </c>
      <c r="E170" t="s">
        <v>25</v>
      </c>
      <c r="F170">
        <v>392757.38419701566</v>
      </c>
      <c r="G170">
        <v>0</v>
      </c>
      <c r="H170">
        <v>5462517.0236938419</v>
      </c>
      <c r="I170">
        <v>56292.39</v>
      </c>
      <c r="J170">
        <v>0</v>
      </c>
      <c r="K170">
        <v>0</v>
      </c>
      <c r="L170">
        <v>1495091</v>
      </c>
      <c r="M170" s="28">
        <f t="array" ref="M170">SUM((A170=$T$5:$T$22)*(B170=$U$5:$U$22)*($V$5:$V$22=C170)*($Y$5:$Y$22))</f>
        <v>0.99999999999999989</v>
      </c>
      <c r="N170" s="28">
        <f t="shared" si="11"/>
        <v>392757.38419701561</v>
      </c>
      <c r="O170" s="28">
        <f t="array" ref="O170">SUM((A170=$T$26:$T$43)*(B170=$U$26:$U$43)*($V$26:$V$43=C170)*($Y$26:$Y$43))</f>
        <v>1</v>
      </c>
      <c r="P170" s="28">
        <f t="shared" si="12"/>
        <v>5462517.0236938419</v>
      </c>
      <c r="Q170" s="28">
        <f t="array" ref="Q170">SUM((A170=$T$47:$T$64)*(B170=$U$47:$U$64)*($V$47:$V$64=C170)*($Y$47:$Y$64))</f>
        <v>1</v>
      </c>
      <c r="R170" s="1">
        <f t="shared" si="13"/>
        <v>0</v>
      </c>
    </row>
    <row r="171" spans="1:18" hidden="1" x14ac:dyDescent="0.25">
      <c r="A171" t="s">
        <v>29</v>
      </c>
      <c r="B171" t="s">
        <v>26</v>
      </c>
      <c r="C171" t="s">
        <v>19</v>
      </c>
      <c r="D171" t="s">
        <v>15</v>
      </c>
      <c r="E171" t="s">
        <v>25</v>
      </c>
      <c r="F171">
        <v>477589.18078372383</v>
      </c>
      <c r="G171">
        <v>0</v>
      </c>
      <c r="H171">
        <v>6622334.0287245847</v>
      </c>
      <c r="I171">
        <v>67712.820000000007</v>
      </c>
      <c r="J171">
        <v>0</v>
      </c>
      <c r="K171">
        <v>0</v>
      </c>
      <c r="L171">
        <v>1812533</v>
      </c>
      <c r="M171" s="28">
        <f t="array" ref="M171">SUM((A171=$T$5:$T$22)*(B171=$U$5:$U$22)*($V$5:$V$22=C171)*($Y$5:$Y$22))</f>
        <v>0.99999999999999989</v>
      </c>
      <c r="N171" s="28">
        <f t="shared" si="11"/>
        <v>477589.18078372377</v>
      </c>
      <c r="O171" s="28">
        <f t="array" ref="O171">SUM((A171=$T$26:$T$43)*(B171=$U$26:$U$43)*($V$26:$V$43=C171)*($Y$26:$Y$43))</f>
        <v>1</v>
      </c>
      <c r="P171" s="28">
        <f t="shared" si="12"/>
        <v>6622334.0287245847</v>
      </c>
      <c r="Q171" s="28">
        <f t="array" ref="Q171">SUM((A171=$T$47:$T$64)*(B171=$U$47:$U$64)*($V$47:$V$64=C171)*($Y$47:$Y$64))</f>
        <v>1</v>
      </c>
      <c r="R171" s="1">
        <f t="shared" si="13"/>
        <v>0</v>
      </c>
    </row>
    <row r="172" spans="1:18" hidden="1" x14ac:dyDescent="0.25">
      <c r="A172" t="s">
        <v>29</v>
      </c>
      <c r="B172" t="s">
        <v>26</v>
      </c>
      <c r="C172" t="s">
        <v>19</v>
      </c>
      <c r="D172" t="s">
        <v>16</v>
      </c>
      <c r="E172" t="s">
        <v>25</v>
      </c>
      <c r="F172">
        <v>460335.8814779275</v>
      </c>
      <c r="G172">
        <v>0</v>
      </c>
      <c r="H172">
        <v>6342580.0275111431</v>
      </c>
      <c r="I172">
        <v>63763.66</v>
      </c>
      <c r="J172">
        <v>0</v>
      </c>
      <c r="K172">
        <v>0</v>
      </c>
      <c r="L172">
        <v>1735964</v>
      </c>
      <c r="M172" s="28">
        <f t="array" ref="M172">SUM((A172=$T$5:$T$22)*(B172=$U$5:$U$22)*($V$5:$V$22=C172)*($Y$5:$Y$22))</f>
        <v>0.99999999999999989</v>
      </c>
      <c r="N172" s="28">
        <f t="shared" si="11"/>
        <v>460335.88147792744</v>
      </c>
      <c r="O172" s="28">
        <f t="array" ref="O172">SUM((A172=$T$26:$T$43)*(B172=$U$26:$U$43)*($V$26:$V$43=C172)*($Y$26:$Y$43))</f>
        <v>1</v>
      </c>
      <c r="P172" s="28">
        <f t="shared" si="12"/>
        <v>6342580.0275111431</v>
      </c>
      <c r="Q172" s="28">
        <f t="array" ref="Q172">SUM((A172=$T$47:$T$64)*(B172=$U$47:$U$64)*($V$47:$V$64=C172)*($Y$47:$Y$64))</f>
        <v>1</v>
      </c>
      <c r="R172" s="1">
        <f t="shared" si="13"/>
        <v>0</v>
      </c>
    </row>
    <row r="173" spans="1:18" hidden="1" x14ac:dyDescent="0.25">
      <c r="A173" t="s">
        <v>29</v>
      </c>
      <c r="B173" t="s">
        <v>26</v>
      </c>
      <c r="C173" t="s">
        <v>19</v>
      </c>
      <c r="D173" t="s">
        <v>17</v>
      </c>
      <c r="E173" t="s">
        <v>25</v>
      </c>
      <c r="F173">
        <v>1537103.9381530927</v>
      </c>
      <c r="G173">
        <v>0</v>
      </c>
      <c r="H173">
        <v>22970475.099635169</v>
      </c>
      <c r="I173">
        <v>151141.1</v>
      </c>
      <c r="J173">
        <v>0</v>
      </c>
      <c r="K173">
        <v>0</v>
      </c>
      <c r="L173">
        <v>4314371</v>
      </c>
      <c r="M173" s="28">
        <f t="array" ref="M173">SUM((A173=$T$5:$T$22)*(B173=$U$5:$U$22)*($V$5:$V$22=C173)*($Y$5:$Y$22))</f>
        <v>0.99999999999999989</v>
      </c>
      <c r="N173" s="28">
        <f t="shared" si="11"/>
        <v>1537103.9381530925</v>
      </c>
      <c r="O173" s="28">
        <f t="array" ref="O173">SUM((A173=$T$26:$T$43)*(B173=$U$26:$U$43)*($V$26:$V$43=C173)*($Y$26:$Y$43))</f>
        <v>1</v>
      </c>
      <c r="P173" s="28">
        <f t="shared" si="12"/>
        <v>22970475.099635169</v>
      </c>
      <c r="Q173" s="28">
        <f t="array" ref="Q173">SUM((A173=$T$47:$T$64)*(B173=$U$47:$U$64)*($V$47:$V$64=C173)*($Y$47:$Y$64))</f>
        <v>1</v>
      </c>
      <c r="R173" s="1">
        <f t="shared" si="13"/>
        <v>0</v>
      </c>
    </row>
    <row r="174" spans="1:18" hidden="1" x14ac:dyDescent="0.25">
      <c r="A174" t="s">
        <v>33</v>
      </c>
      <c r="B174" s="2" t="s">
        <v>26</v>
      </c>
      <c r="C174" s="2" t="s">
        <v>11</v>
      </c>
      <c r="D174" s="2" t="s">
        <v>12</v>
      </c>
      <c r="E174" s="2" t="s">
        <v>23</v>
      </c>
      <c r="F174" s="2">
        <v>864913.22273958474</v>
      </c>
      <c r="G174" s="2">
        <v>903793348.38766396</v>
      </c>
      <c r="H174" s="2">
        <v>77363501.59363465</v>
      </c>
      <c r="I174" s="2">
        <v>5519127.2131277109</v>
      </c>
      <c r="J174" s="2">
        <v>21519020.929179441</v>
      </c>
      <c r="K174" s="2">
        <v>891546810.80794227</v>
      </c>
      <c r="L174" s="2">
        <v>62256583.559690818</v>
      </c>
      <c r="M174" s="28">
        <f t="array" ref="M174">SUM((A174=$T$5:$T$22)*(B174=$U$5:$U$22)*($V$5:$V$22=C174)*($Y$5:$Y$22))</f>
        <v>1</v>
      </c>
      <c r="N174" s="28">
        <f t="shared" si="11"/>
        <v>864913.22273958474</v>
      </c>
      <c r="O174" s="28">
        <f t="array" ref="O174">SUM((A174=$T$26:$T$43)*(B174=$U$26:$U$43)*($V$26:$V$43=C174)*($Y$26:$Y$43))</f>
        <v>1</v>
      </c>
      <c r="P174" s="28">
        <f t="shared" si="12"/>
        <v>77363501.59363465</v>
      </c>
      <c r="Q174" s="28">
        <f t="array" ref="Q174">SUM((A174=$T$47:$T$64)*(B174=$U$47:$U$64)*($V$47:$V$64=C174)*($Y$47:$Y$64))</f>
        <v>0.99999999999999956</v>
      </c>
      <c r="R174" s="1">
        <f t="shared" si="13"/>
        <v>903793348.3876636</v>
      </c>
    </row>
    <row r="175" spans="1:18" hidden="1" x14ac:dyDescent="0.25">
      <c r="A175" s="2" t="s">
        <v>33</v>
      </c>
      <c r="B175" s="2" t="s">
        <v>26</v>
      </c>
      <c r="C175" s="2" t="s">
        <v>11</v>
      </c>
      <c r="D175" s="2" t="s">
        <v>12</v>
      </c>
      <c r="E175" s="2" t="s">
        <v>31</v>
      </c>
      <c r="F175" s="2">
        <v>2578653.6021186607</v>
      </c>
      <c r="G175" s="2">
        <v>2540348403.0730247</v>
      </c>
      <c r="H175" s="2">
        <v>193404927.22534731</v>
      </c>
      <c r="I175" s="2">
        <v>6667560.1691850387</v>
      </c>
      <c r="J175" s="2">
        <v>37605635.503926367</v>
      </c>
      <c r="K175" s="2">
        <v>2505926295.1439061</v>
      </c>
      <c r="L175" s="2">
        <v>182541745.01123241</v>
      </c>
      <c r="M175" s="28">
        <f t="array" ref="M175">SUM((A175=$T$5:$T$22)*(B175=$U$5:$U$22)*($V$5:$V$22=C175)*($Y$5:$Y$22))</f>
        <v>1</v>
      </c>
      <c r="N175" s="28">
        <f t="shared" si="11"/>
        <v>2578653.6021186607</v>
      </c>
      <c r="O175" s="28">
        <f t="array" ref="O175">SUM((A175=$T$26:$T$43)*(B175=$U$26:$U$43)*($V$26:$V$43=C175)*($Y$26:$Y$43))</f>
        <v>1</v>
      </c>
      <c r="P175" s="28">
        <f t="shared" si="12"/>
        <v>193404927.22534731</v>
      </c>
      <c r="Q175" s="28">
        <f t="array" ref="Q175">SUM((A175=$T$47:$T$64)*(B175=$U$47:$U$64)*($V$47:$V$64=C175)*($Y$47:$Y$64))</f>
        <v>0.99999999999999956</v>
      </c>
      <c r="R175" s="1">
        <f t="shared" si="13"/>
        <v>2540348403.0730238</v>
      </c>
    </row>
    <row r="176" spans="1:18" hidden="1" x14ac:dyDescent="0.25">
      <c r="A176" s="2" t="s">
        <v>33</v>
      </c>
      <c r="B176" s="2" t="s">
        <v>26</v>
      </c>
      <c r="C176" s="2" t="s">
        <v>11</v>
      </c>
      <c r="D176" s="2" t="s">
        <v>12</v>
      </c>
      <c r="E176" s="2" t="s">
        <v>32</v>
      </c>
      <c r="F176" s="2">
        <v>291884.95700650482</v>
      </c>
      <c r="G176" s="2">
        <v>280450875.75436598</v>
      </c>
      <c r="H176" s="2">
        <v>19728317.622954041</v>
      </c>
      <c r="I176" s="2">
        <v>862247.16734830185</v>
      </c>
      <c r="J176" s="2">
        <v>8025821.6395379612</v>
      </c>
      <c r="K176" s="2">
        <v>276650723.65619129</v>
      </c>
      <c r="L176" s="2">
        <v>14395426.58343423</v>
      </c>
      <c r="M176" s="28">
        <f t="array" ref="M176">SUM((A176=$T$5:$T$22)*(B176=$U$5:$U$22)*($V$5:$V$22=C176)*($Y$5:$Y$22))</f>
        <v>1</v>
      </c>
      <c r="N176" s="28">
        <f t="shared" si="11"/>
        <v>291884.95700650482</v>
      </c>
      <c r="O176" s="28">
        <f t="array" ref="O176">SUM((A176=$T$26:$T$43)*(B176=$U$26:$U$43)*($V$26:$V$43=C176)*($Y$26:$Y$43))</f>
        <v>1</v>
      </c>
      <c r="P176" s="28">
        <f t="shared" si="12"/>
        <v>19728317.622954041</v>
      </c>
      <c r="Q176" s="28">
        <f t="array" ref="Q176">SUM((A176=$T$47:$T$64)*(B176=$U$47:$U$64)*($V$47:$V$64=C176)*($Y$47:$Y$64))</f>
        <v>0.99999999999999956</v>
      </c>
      <c r="R176" s="1">
        <f t="shared" si="13"/>
        <v>280450875.75436586</v>
      </c>
    </row>
    <row r="177" spans="1:18" hidden="1" x14ac:dyDescent="0.25">
      <c r="A177" s="2" t="s">
        <v>33</v>
      </c>
      <c r="B177" s="2" t="s">
        <v>26</v>
      </c>
      <c r="C177" s="2" t="s">
        <v>11</v>
      </c>
      <c r="D177" s="2" t="s">
        <v>13</v>
      </c>
      <c r="E177" s="2" t="s">
        <v>23</v>
      </c>
      <c r="F177" s="2">
        <v>677621.83339978685</v>
      </c>
      <c r="G177" s="2">
        <v>498481002.29511058</v>
      </c>
      <c r="H177" s="2">
        <v>28511184.608398952</v>
      </c>
      <c r="I177" s="2">
        <v>1517153.0812516951</v>
      </c>
      <c r="J177" s="2">
        <v>27758754.756049819</v>
      </c>
      <c r="K177" s="2">
        <v>491726508.76152247</v>
      </c>
      <c r="L177" s="2">
        <v>572373.91229190957</v>
      </c>
      <c r="M177" s="28">
        <f t="array" ref="M177">SUM((A177=$T$5:$T$22)*(B177=$U$5:$U$22)*($V$5:$V$22=C177)*($Y$5:$Y$22))</f>
        <v>1</v>
      </c>
      <c r="N177" s="28">
        <f t="shared" si="11"/>
        <v>677621.83339978685</v>
      </c>
      <c r="O177" s="28">
        <f t="array" ref="O177">SUM((A177=$T$26:$T$43)*(B177=$U$26:$U$43)*($V$26:$V$43=C177)*($Y$26:$Y$43))</f>
        <v>1</v>
      </c>
      <c r="P177" s="28">
        <f t="shared" si="12"/>
        <v>28511184.608398952</v>
      </c>
      <c r="Q177" s="28">
        <f t="array" ref="Q177">SUM((A177=$T$47:$T$64)*(B177=$U$47:$U$64)*($V$47:$V$64=C177)*($Y$47:$Y$64))</f>
        <v>0.99999999999999956</v>
      </c>
      <c r="R177" s="1">
        <f t="shared" si="13"/>
        <v>498481002.29511034</v>
      </c>
    </row>
    <row r="178" spans="1:18" hidden="1" x14ac:dyDescent="0.25">
      <c r="A178" s="2" t="s">
        <v>33</v>
      </c>
      <c r="B178" s="2" t="s">
        <v>26</v>
      </c>
      <c r="C178" s="2" t="s">
        <v>11</v>
      </c>
      <c r="D178" s="2" t="s">
        <v>13</v>
      </c>
      <c r="E178" s="2" t="s">
        <v>31</v>
      </c>
      <c r="F178" s="2">
        <v>362551.38163856883</v>
      </c>
      <c r="G178" s="2">
        <v>210542330.27315602</v>
      </c>
      <c r="H178" s="2">
        <v>9146370.2810413521</v>
      </c>
      <c r="I178" s="2">
        <v>274065.59289894107</v>
      </c>
      <c r="J178" s="2">
        <v>7985799.2979130913</v>
      </c>
      <c r="K178" s="2">
        <v>207689449.61806801</v>
      </c>
      <c r="L178" s="2">
        <v>339336.42747305031</v>
      </c>
      <c r="M178" s="28">
        <f t="array" ref="M178">SUM((A178=$T$5:$T$22)*(B178=$U$5:$U$22)*($V$5:$V$22=C178)*($Y$5:$Y$22))</f>
        <v>1</v>
      </c>
      <c r="N178" s="28">
        <f t="shared" si="11"/>
        <v>362551.38163856883</v>
      </c>
      <c r="O178" s="28">
        <f t="array" ref="O178">SUM((A178=$T$26:$T$43)*(B178=$U$26:$U$43)*($V$26:$V$43=C178)*($Y$26:$Y$43))</f>
        <v>1</v>
      </c>
      <c r="P178" s="28">
        <f t="shared" si="12"/>
        <v>9146370.2810413521</v>
      </c>
      <c r="Q178" s="28">
        <f t="array" ref="Q178">SUM((A178=$T$47:$T$64)*(B178=$U$47:$U$64)*($V$47:$V$64=C178)*($Y$47:$Y$64))</f>
        <v>0.99999999999999956</v>
      </c>
      <c r="R178" s="1">
        <f t="shared" si="13"/>
        <v>210542330.27315593</v>
      </c>
    </row>
    <row r="179" spans="1:18" hidden="1" x14ac:dyDescent="0.25">
      <c r="A179" s="2" t="s">
        <v>33</v>
      </c>
      <c r="B179" s="2" t="s">
        <v>26</v>
      </c>
      <c r="C179" s="2" t="s">
        <v>11</v>
      </c>
      <c r="D179" s="2" t="s">
        <v>13</v>
      </c>
      <c r="E179" s="2" t="s">
        <v>32</v>
      </c>
      <c r="F179" s="2">
        <v>17655.220248120455</v>
      </c>
      <c r="G179" s="2">
        <v>13543256.376020527</v>
      </c>
      <c r="H179" s="2">
        <v>895334.58492950373</v>
      </c>
      <c r="I179" s="2">
        <v>34197.388237339437</v>
      </c>
      <c r="J179" s="2">
        <v>934749.16932038579</v>
      </c>
      <c r="K179" s="2">
        <v>13359743.1885683</v>
      </c>
      <c r="L179" s="2">
        <v>11721.99371035199</v>
      </c>
      <c r="M179" s="28">
        <f t="array" ref="M179">SUM((A179=$T$5:$T$22)*(B179=$U$5:$U$22)*($V$5:$V$22=C179)*($Y$5:$Y$22))</f>
        <v>1</v>
      </c>
      <c r="N179" s="28">
        <f t="shared" si="11"/>
        <v>17655.220248120455</v>
      </c>
      <c r="O179" s="28">
        <f t="array" ref="O179">SUM((A179=$T$26:$T$43)*(B179=$U$26:$U$43)*($V$26:$V$43=C179)*($Y$26:$Y$43))</f>
        <v>1</v>
      </c>
      <c r="P179" s="28">
        <f t="shared" si="12"/>
        <v>895334.58492950373</v>
      </c>
      <c r="Q179" s="28">
        <f t="array" ref="Q179">SUM((A179=$T$47:$T$64)*(B179=$U$47:$U$64)*($V$47:$V$64=C179)*($Y$47:$Y$64))</f>
        <v>0.99999999999999956</v>
      </c>
      <c r="R179" s="1">
        <f t="shared" si="13"/>
        <v>13543256.376020521</v>
      </c>
    </row>
    <row r="180" spans="1:18" hidden="1" x14ac:dyDescent="0.25">
      <c r="A180" s="2" t="s">
        <v>33</v>
      </c>
      <c r="B180" s="2" t="s">
        <v>26</v>
      </c>
      <c r="C180" s="2" t="s">
        <v>11</v>
      </c>
      <c r="D180" s="2" t="s">
        <v>14</v>
      </c>
      <c r="E180" s="2" t="s">
        <v>23</v>
      </c>
      <c r="F180" s="2">
        <v>616157.50259836426</v>
      </c>
      <c r="G180" s="2">
        <v>424618194.87983567</v>
      </c>
      <c r="H180" s="2">
        <v>23526626.647620454</v>
      </c>
      <c r="I180" s="2">
        <v>1245923.727187867</v>
      </c>
      <c r="J180" s="2">
        <v>20844034.8093042</v>
      </c>
      <c r="K180" s="2">
        <v>418864553.64104331</v>
      </c>
      <c r="L180" s="2">
        <v>1448175.4615712189</v>
      </c>
      <c r="M180" s="28">
        <f t="array" ref="M180">SUM((A180=$T$5:$T$22)*(B180=$U$5:$U$22)*($V$5:$V$22=C180)*($Y$5:$Y$22))</f>
        <v>1</v>
      </c>
      <c r="N180" s="28">
        <f t="shared" si="11"/>
        <v>616157.50259836426</v>
      </c>
      <c r="O180" s="28">
        <f t="array" ref="O180">SUM((A180=$T$26:$T$43)*(B180=$U$26:$U$43)*($V$26:$V$43=C180)*($Y$26:$Y$43))</f>
        <v>1</v>
      </c>
      <c r="P180" s="28">
        <f t="shared" si="12"/>
        <v>23526626.647620454</v>
      </c>
      <c r="Q180" s="28">
        <f t="array" ref="Q180">SUM((A180=$T$47:$T$64)*(B180=$U$47:$U$64)*($V$47:$V$64=C180)*($Y$47:$Y$64))</f>
        <v>0.99999999999999956</v>
      </c>
      <c r="R180" s="1">
        <f t="shared" si="13"/>
        <v>424618194.87983549</v>
      </c>
    </row>
    <row r="181" spans="1:18" hidden="1" x14ac:dyDescent="0.25">
      <c r="A181" s="2" t="s">
        <v>33</v>
      </c>
      <c r="B181" s="2" t="s">
        <v>26</v>
      </c>
      <c r="C181" s="2" t="s">
        <v>11</v>
      </c>
      <c r="D181" s="2" t="s">
        <v>14</v>
      </c>
      <c r="E181" s="2" t="s">
        <v>31</v>
      </c>
      <c r="F181" s="2">
        <v>601513.46926423372</v>
      </c>
      <c r="G181" s="2">
        <v>345989021.55157357</v>
      </c>
      <c r="H181" s="2">
        <v>14703508.964240441</v>
      </c>
      <c r="I181" s="2">
        <v>467531.31510591309</v>
      </c>
      <c r="J181" s="2">
        <v>11690517.64510978</v>
      </c>
      <c r="K181" s="2">
        <v>341300817.59193897</v>
      </c>
      <c r="L181" s="2">
        <v>1376650.842072021</v>
      </c>
      <c r="M181" s="28">
        <f t="array" ref="M181">SUM((A181=$T$5:$T$22)*(B181=$U$5:$U$22)*($V$5:$V$22=C181)*($Y$5:$Y$22))</f>
        <v>1</v>
      </c>
      <c r="N181" s="28">
        <f t="shared" si="11"/>
        <v>601513.46926423372</v>
      </c>
      <c r="O181" s="28">
        <f t="array" ref="O181">SUM((A181=$T$26:$T$43)*(B181=$U$26:$U$43)*($V$26:$V$43=C181)*($Y$26:$Y$43))</f>
        <v>1</v>
      </c>
      <c r="P181" s="28">
        <f t="shared" si="12"/>
        <v>14703508.964240441</v>
      </c>
      <c r="Q181" s="28">
        <f t="array" ref="Q181">SUM((A181=$T$47:$T$64)*(B181=$U$47:$U$64)*($V$47:$V$64=C181)*($Y$47:$Y$64))</f>
        <v>0.99999999999999956</v>
      </c>
      <c r="R181" s="1">
        <f t="shared" si="13"/>
        <v>345989021.5515734</v>
      </c>
    </row>
    <row r="182" spans="1:18" hidden="1" x14ac:dyDescent="0.25">
      <c r="A182" s="2" t="s">
        <v>33</v>
      </c>
      <c r="B182" s="2" t="s">
        <v>26</v>
      </c>
      <c r="C182" s="2" t="s">
        <v>11</v>
      </c>
      <c r="D182" s="2" t="s">
        <v>14</v>
      </c>
      <c r="E182" s="2" t="s">
        <v>32</v>
      </c>
      <c r="F182" s="2">
        <v>53583.102999860457</v>
      </c>
      <c r="G182" s="2">
        <v>38391605.706129603</v>
      </c>
      <c r="H182" s="2">
        <v>2421798.5223903665</v>
      </c>
      <c r="I182" s="2">
        <v>101977.1591353183</v>
      </c>
      <c r="J182" s="2">
        <v>2301030.4236788568</v>
      </c>
      <c r="K182" s="2">
        <v>37871393.5991643</v>
      </c>
      <c r="L182" s="2">
        <v>123368.6551624054</v>
      </c>
      <c r="M182" s="28">
        <f t="array" ref="M182">SUM((A182=$T$5:$T$22)*(B182=$U$5:$U$22)*($V$5:$V$22=C182)*($Y$5:$Y$22))</f>
        <v>1</v>
      </c>
      <c r="N182" s="28">
        <f t="shared" si="11"/>
        <v>53583.102999860457</v>
      </c>
      <c r="O182" s="28">
        <f t="array" ref="O182">SUM((A182=$T$26:$T$43)*(B182=$U$26:$U$43)*($V$26:$V$43=C182)*($Y$26:$Y$43))</f>
        <v>1</v>
      </c>
      <c r="P182" s="28">
        <f t="shared" si="12"/>
        <v>2421798.5223903665</v>
      </c>
      <c r="Q182" s="28">
        <f t="array" ref="Q182">SUM((A182=$T$47:$T$64)*(B182=$U$47:$U$64)*($V$47:$V$64=C182)*($Y$47:$Y$64))</f>
        <v>0.99999999999999956</v>
      </c>
      <c r="R182" s="1">
        <f t="shared" si="13"/>
        <v>38391605.706129588</v>
      </c>
    </row>
    <row r="183" spans="1:18" hidden="1" x14ac:dyDescent="0.25">
      <c r="A183" s="2" t="s">
        <v>33</v>
      </c>
      <c r="B183" s="2" t="s">
        <v>26</v>
      </c>
      <c r="C183" s="2" t="s">
        <v>11</v>
      </c>
      <c r="D183" s="2" t="s">
        <v>15</v>
      </c>
      <c r="E183" s="2" t="s">
        <v>23</v>
      </c>
      <c r="F183" s="2">
        <v>712166.32903121167</v>
      </c>
      <c r="G183" s="2">
        <v>472658122.22365427</v>
      </c>
      <c r="H183" s="2">
        <v>24053090.91301148</v>
      </c>
      <c r="I183" s="2">
        <v>1360565.1630360631</v>
      </c>
      <c r="J183" s="2">
        <v>18746791.641375929</v>
      </c>
      <c r="K183" s="2">
        <v>466253532.64961171</v>
      </c>
      <c r="L183" s="2">
        <v>3966314.405725277</v>
      </c>
      <c r="M183" s="28">
        <f t="array" ref="M183">SUM((A183=$T$5:$T$22)*(B183=$U$5:$U$22)*($V$5:$V$22=C183)*($Y$5:$Y$22))</f>
        <v>1</v>
      </c>
      <c r="N183" s="28">
        <f t="shared" si="11"/>
        <v>712166.32903121167</v>
      </c>
      <c r="O183" s="28">
        <f t="array" ref="O183">SUM((A183=$T$26:$T$43)*(B183=$U$26:$U$43)*($V$26:$V$43=C183)*($Y$26:$Y$43))</f>
        <v>1</v>
      </c>
      <c r="P183" s="28">
        <f t="shared" si="12"/>
        <v>24053090.91301148</v>
      </c>
      <c r="Q183" s="28">
        <f t="array" ref="Q183">SUM((A183=$T$47:$T$64)*(B183=$U$47:$U$64)*($V$47:$V$64=C183)*($Y$47:$Y$64))</f>
        <v>0.99999999999999956</v>
      </c>
      <c r="R183" s="1">
        <f t="shared" si="13"/>
        <v>472658122.22365403</v>
      </c>
    </row>
    <row r="184" spans="1:18" hidden="1" x14ac:dyDescent="0.25">
      <c r="A184" s="2" t="s">
        <v>33</v>
      </c>
      <c r="B184" s="2" t="s">
        <v>26</v>
      </c>
      <c r="C184" s="2" t="s">
        <v>11</v>
      </c>
      <c r="D184" s="2" t="s">
        <v>15</v>
      </c>
      <c r="E184" s="2" t="s">
        <v>31</v>
      </c>
      <c r="F184" s="2">
        <v>1004081.2391231265</v>
      </c>
      <c r="G184" s="2">
        <v>573823327.97475219</v>
      </c>
      <c r="H184" s="2">
        <v>22819864.468953103</v>
      </c>
      <c r="I184" s="2">
        <v>834186.80745379743</v>
      </c>
      <c r="J184" s="2">
        <v>15297029.260866869</v>
      </c>
      <c r="K184" s="2">
        <v>566047934.4484551</v>
      </c>
      <c r="L184" s="2">
        <v>5273848.078911108</v>
      </c>
      <c r="M184" s="28">
        <f t="array" ref="M184">SUM((A184=$T$5:$T$22)*(B184=$U$5:$U$22)*($V$5:$V$22=C184)*($Y$5:$Y$22))</f>
        <v>1</v>
      </c>
      <c r="N184" s="28">
        <f t="shared" si="11"/>
        <v>1004081.2391231265</v>
      </c>
      <c r="O184" s="28">
        <f t="array" ref="O184">SUM((A184=$T$26:$T$43)*(B184=$U$26:$U$43)*($V$26:$V$43=C184)*($Y$26:$Y$43))</f>
        <v>1</v>
      </c>
      <c r="P184" s="28">
        <f t="shared" si="12"/>
        <v>22819864.468953103</v>
      </c>
      <c r="Q184" s="28">
        <f t="array" ref="Q184">SUM((A184=$T$47:$T$64)*(B184=$U$47:$U$64)*($V$47:$V$64=C184)*($Y$47:$Y$64))</f>
        <v>0.99999999999999956</v>
      </c>
      <c r="R184" s="1">
        <f t="shared" si="13"/>
        <v>573823327.97475195</v>
      </c>
    </row>
    <row r="185" spans="1:18" hidden="1" x14ac:dyDescent="0.25">
      <c r="A185" s="2" t="s">
        <v>33</v>
      </c>
      <c r="B185" s="2" t="s">
        <v>26</v>
      </c>
      <c r="C185" s="2" t="s">
        <v>11</v>
      </c>
      <c r="D185" s="2" t="s">
        <v>15</v>
      </c>
      <c r="E185" s="2" t="s">
        <v>32</v>
      </c>
      <c r="F185" s="2">
        <v>142893.7423949306</v>
      </c>
      <c r="G185" s="2">
        <v>97845515.256329313</v>
      </c>
      <c r="H185" s="2">
        <v>5694679.7069233907</v>
      </c>
      <c r="I185" s="2">
        <v>255672.17188402201</v>
      </c>
      <c r="J185" s="2">
        <v>4810120.3966674786</v>
      </c>
      <c r="K185" s="2">
        <v>96519693.616093144</v>
      </c>
      <c r="L185" s="2">
        <v>806747.1718213961</v>
      </c>
      <c r="M185" s="28">
        <f t="array" ref="M185">SUM((A185=$T$5:$T$22)*(B185=$U$5:$U$22)*($V$5:$V$22=C185)*($Y$5:$Y$22))</f>
        <v>1</v>
      </c>
      <c r="N185" s="28">
        <f t="shared" si="11"/>
        <v>142893.7423949306</v>
      </c>
      <c r="O185" s="28">
        <f t="array" ref="O185">SUM((A185=$T$26:$T$43)*(B185=$U$26:$U$43)*($V$26:$V$43=C185)*($Y$26:$Y$43))</f>
        <v>1</v>
      </c>
      <c r="P185" s="28">
        <f t="shared" si="12"/>
        <v>5694679.7069233907</v>
      </c>
      <c r="Q185" s="28">
        <f t="array" ref="Q185">SUM((A185=$T$47:$T$64)*(B185=$U$47:$U$64)*($V$47:$V$64=C185)*($Y$47:$Y$64))</f>
        <v>0.99999999999999956</v>
      </c>
      <c r="R185" s="1">
        <f t="shared" si="13"/>
        <v>97845515.256329268</v>
      </c>
    </row>
    <row r="186" spans="1:18" hidden="1" x14ac:dyDescent="0.25">
      <c r="A186" s="2" t="s">
        <v>33</v>
      </c>
      <c r="B186" s="2" t="s">
        <v>26</v>
      </c>
      <c r="C186" s="2" t="s">
        <v>11</v>
      </c>
      <c r="D186" s="2" t="s">
        <v>16</v>
      </c>
      <c r="E186" s="2" t="s">
        <v>23</v>
      </c>
      <c r="F186" s="2">
        <v>1196139.5064882501</v>
      </c>
      <c r="G186" s="2">
        <v>853386770.76155651</v>
      </c>
      <c r="H186" s="2">
        <v>46238678.691606916</v>
      </c>
      <c r="I186" s="2">
        <v>5600766.1133727049</v>
      </c>
      <c r="J186" s="2">
        <v>27411149.57512093</v>
      </c>
      <c r="K186" s="2">
        <v>841823249.98901153</v>
      </c>
      <c r="L186" s="2">
        <v>16640219.307776891</v>
      </c>
      <c r="M186" s="28">
        <f t="array" ref="M186">SUM((A186=$T$5:$T$22)*(B186=$U$5:$U$22)*($V$5:$V$22=C186)*($Y$5:$Y$22))</f>
        <v>1</v>
      </c>
      <c r="N186" s="28">
        <f t="shared" si="11"/>
        <v>1196139.5064882501</v>
      </c>
      <c r="O186" s="28">
        <f t="array" ref="O186">SUM((A186=$T$26:$T$43)*(B186=$U$26:$U$43)*($V$26:$V$43=C186)*($Y$26:$Y$43))</f>
        <v>1</v>
      </c>
      <c r="P186" s="28">
        <f t="shared" si="12"/>
        <v>46238678.691606916</v>
      </c>
      <c r="Q186" s="28">
        <f t="array" ref="Q186">SUM((A186=$T$47:$T$64)*(B186=$U$47:$U$64)*($V$47:$V$64=C186)*($Y$47:$Y$64))</f>
        <v>0.99999999999999956</v>
      </c>
      <c r="R186" s="1">
        <f t="shared" si="13"/>
        <v>853386770.76155615</v>
      </c>
    </row>
    <row r="187" spans="1:18" hidden="1" x14ac:dyDescent="0.25">
      <c r="A187" s="2" t="s">
        <v>33</v>
      </c>
      <c r="B187" s="2" t="s">
        <v>26</v>
      </c>
      <c r="C187" s="2" t="s">
        <v>11</v>
      </c>
      <c r="D187" s="2" t="s">
        <v>16</v>
      </c>
      <c r="E187" s="2" t="s">
        <v>31</v>
      </c>
      <c r="F187" s="2">
        <v>2750744.3011395857</v>
      </c>
      <c r="G187" s="2">
        <v>1700798840.182795</v>
      </c>
      <c r="H187" s="2">
        <v>70651468.145388901</v>
      </c>
      <c r="I187" s="2">
        <v>2863544.8875843161</v>
      </c>
      <c r="J187" s="2">
        <v>36788037.148004793</v>
      </c>
      <c r="K187" s="2">
        <v>1677752756.751219</v>
      </c>
      <c r="L187" s="2">
        <v>35832962.37346521</v>
      </c>
      <c r="M187" s="28">
        <f t="array" ref="M187">SUM((A187=$T$5:$T$22)*(B187=$U$5:$U$22)*($V$5:$V$22=C187)*($Y$5:$Y$22))</f>
        <v>1</v>
      </c>
      <c r="N187" s="28">
        <f t="shared" si="11"/>
        <v>2750744.3011395857</v>
      </c>
      <c r="O187" s="28">
        <f t="array" ref="O187">SUM((A187=$T$26:$T$43)*(B187=$U$26:$U$43)*($V$26:$V$43=C187)*($Y$26:$Y$43))</f>
        <v>1</v>
      </c>
      <c r="P187" s="28">
        <f t="shared" si="12"/>
        <v>70651468.145388901</v>
      </c>
      <c r="Q187" s="28">
        <f t="array" ref="Q187">SUM((A187=$T$47:$T$64)*(B187=$U$47:$U$64)*($V$47:$V$64=C187)*($Y$47:$Y$64))</f>
        <v>0.99999999999999956</v>
      </c>
      <c r="R187" s="1">
        <f t="shared" si="13"/>
        <v>1700798840.1827943</v>
      </c>
    </row>
    <row r="188" spans="1:18" hidden="1" x14ac:dyDescent="0.25">
      <c r="A188" s="2" t="s">
        <v>33</v>
      </c>
      <c r="B188" s="2" t="s">
        <v>26</v>
      </c>
      <c r="C188" s="2" t="s">
        <v>11</v>
      </c>
      <c r="D188" s="2" t="s">
        <v>16</v>
      </c>
      <c r="E188" s="2" t="s">
        <v>32</v>
      </c>
      <c r="F188" s="2">
        <v>412519.28874604963</v>
      </c>
      <c r="G188" s="2">
        <v>287912919.59175664</v>
      </c>
      <c r="H188" s="2">
        <v>15234541.859532788</v>
      </c>
      <c r="I188" s="2">
        <v>746590.76816271816</v>
      </c>
      <c r="J188" s="2">
        <v>10277053.67118275</v>
      </c>
      <c r="K188" s="2">
        <v>284011655.66260958</v>
      </c>
      <c r="L188" s="2">
        <v>5582374.6897437191</v>
      </c>
      <c r="M188" s="28">
        <f t="array" ref="M188">SUM((A188=$T$5:$T$22)*(B188=$U$5:$U$22)*($V$5:$V$22=C188)*($Y$5:$Y$22))</f>
        <v>1</v>
      </c>
      <c r="N188" s="28">
        <f t="shared" si="11"/>
        <v>412519.28874604963</v>
      </c>
      <c r="O188" s="28">
        <f t="array" ref="O188">SUM((A188=$T$26:$T$43)*(B188=$U$26:$U$43)*($V$26:$V$43=C188)*($Y$26:$Y$43))</f>
        <v>1</v>
      </c>
      <c r="P188" s="28">
        <f t="shared" si="12"/>
        <v>15234541.859532788</v>
      </c>
      <c r="Q188" s="28">
        <f t="array" ref="Q188">SUM((A188=$T$47:$T$64)*(B188=$U$47:$U$64)*($V$47:$V$64=C188)*($Y$47:$Y$64))</f>
        <v>0.99999999999999956</v>
      </c>
      <c r="R188" s="1">
        <f t="shared" si="13"/>
        <v>287912919.59175652</v>
      </c>
    </row>
    <row r="189" spans="1:18" hidden="1" x14ac:dyDescent="0.25">
      <c r="A189" s="2" t="s">
        <v>33</v>
      </c>
      <c r="B189" s="2" t="s">
        <v>26</v>
      </c>
      <c r="C189" s="2" t="s">
        <v>11</v>
      </c>
      <c r="D189" s="2" t="s">
        <v>17</v>
      </c>
      <c r="E189" s="2" t="s">
        <v>23</v>
      </c>
      <c r="F189" s="2">
        <v>1522874.8960025304</v>
      </c>
      <c r="G189" s="2">
        <v>1214047105.2547979</v>
      </c>
      <c r="H189" s="2">
        <v>76877698.294170022</v>
      </c>
      <c r="I189" s="2">
        <v>9787768.9209727217</v>
      </c>
      <c r="J189" s="2">
        <v>33891844.241028592</v>
      </c>
      <c r="K189" s="2">
        <v>1197596581.9968221</v>
      </c>
      <c r="L189" s="2">
        <v>43824688.794972569</v>
      </c>
      <c r="M189" s="28">
        <f t="array" ref="M189">SUM((A189=$T$5:$T$22)*(B189=$U$5:$U$22)*($V$5:$V$22=C189)*($Y$5:$Y$22))</f>
        <v>1</v>
      </c>
      <c r="N189" s="28">
        <f t="shared" si="11"/>
        <v>1522874.8960025304</v>
      </c>
      <c r="O189" s="28">
        <f t="array" ref="O189">SUM((A189=$T$26:$T$43)*(B189=$U$26:$U$43)*($V$26:$V$43=C189)*($Y$26:$Y$43))</f>
        <v>1</v>
      </c>
      <c r="P189" s="28">
        <f t="shared" si="12"/>
        <v>76877698.294170022</v>
      </c>
      <c r="Q189" s="28">
        <f t="array" ref="Q189">SUM((A189=$T$47:$T$64)*(B189=$U$47:$U$64)*($V$47:$V$64=C189)*($Y$47:$Y$64))</f>
        <v>0.99999999999999956</v>
      </c>
      <c r="R189" s="1">
        <f t="shared" si="13"/>
        <v>1214047105.2547975</v>
      </c>
    </row>
    <row r="190" spans="1:18" hidden="1" x14ac:dyDescent="0.25">
      <c r="A190" s="2" t="s">
        <v>33</v>
      </c>
      <c r="B190" s="2" t="s">
        <v>26</v>
      </c>
      <c r="C190" s="2" t="s">
        <v>11</v>
      </c>
      <c r="D190" s="2" t="s">
        <v>17</v>
      </c>
      <c r="E190" s="2" t="s">
        <v>31</v>
      </c>
      <c r="F190" s="2">
        <v>4663866.089359913</v>
      </c>
      <c r="G190" s="2">
        <v>3364182787.4427309</v>
      </c>
      <c r="H190" s="2">
        <v>162749441.94390541</v>
      </c>
      <c r="I190" s="2">
        <v>6699179.1494767368</v>
      </c>
      <c r="J190" s="2">
        <v>62580120.932596192</v>
      </c>
      <c r="K190" s="2">
        <v>3318597598.0795112</v>
      </c>
      <c r="L190" s="2">
        <v>121294596.5243644</v>
      </c>
      <c r="M190" s="28">
        <f t="array" ref="M190">SUM((A190=$T$5:$T$22)*(B190=$U$5:$U$22)*($V$5:$V$22=C190)*($Y$5:$Y$22))</f>
        <v>1</v>
      </c>
      <c r="N190" s="28">
        <f t="shared" si="11"/>
        <v>4663866.089359913</v>
      </c>
      <c r="O190" s="28">
        <f t="array" ref="O190">SUM((A190=$T$26:$T$43)*(B190=$U$26:$U$43)*($V$26:$V$43=C190)*($Y$26:$Y$43))</f>
        <v>1</v>
      </c>
      <c r="P190" s="28">
        <f t="shared" si="12"/>
        <v>162749441.94390541</v>
      </c>
      <c r="Q190" s="28">
        <f t="array" ref="Q190">SUM((A190=$T$47:$T$64)*(B190=$U$47:$U$64)*($V$47:$V$64=C190)*($Y$47:$Y$64))</f>
        <v>0.99999999999999956</v>
      </c>
      <c r="R190" s="1">
        <f t="shared" si="13"/>
        <v>3364182787.4427295</v>
      </c>
    </row>
    <row r="191" spans="1:18" hidden="1" x14ac:dyDescent="0.25">
      <c r="A191" s="2" t="s">
        <v>33</v>
      </c>
      <c r="B191" s="2" t="s">
        <v>26</v>
      </c>
      <c r="C191" s="2" t="s">
        <v>11</v>
      </c>
      <c r="D191" s="2" t="s">
        <v>17</v>
      </c>
      <c r="E191" s="2" t="s">
        <v>32</v>
      </c>
      <c r="F191" s="2">
        <v>896331.42243168293</v>
      </c>
      <c r="G191" s="2">
        <v>720077717.24510157</v>
      </c>
      <c r="H191" s="2">
        <v>42091132.562894352</v>
      </c>
      <c r="I191" s="2">
        <v>2007730.639767369</v>
      </c>
      <c r="J191" s="2">
        <v>23392361.095615178</v>
      </c>
      <c r="K191" s="2">
        <v>710320554.45972133</v>
      </c>
      <c r="L191" s="2">
        <v>23616194.229095701</v>
      </c>
      <c r="M191" s="28">
        <f t="array" ref="M191">SUM((A191=$T$5:$T$22)*(B191=$U$5:$U$22)*($V$5:$V$22=C191)*($Y$5:$Y$22))</f>
        <v>1</v>
      </c>
      <c r="N191" s="28">
        <f t="shared" si="11"/>
        <v>896331.42243168293</v>
      </c>
      <c r="O191" s="28">
        <f t="array" ref="O191">SUM((A191=$T$26:$T$43)*(B191=$U$26:$U$43)*($V$26:$V$43=C191)*($Y$26:$Y$43))</f>
        <v>1</v>
      </c>
      <c r="P191" s="28">
        <f t="shared" si="12"/>
        <v>42091132.562894352</v>
      </c>
      <c r="Q191" s="28">
        <f t="array" ref="Q191">SUM((A191=$T$47:$T$64)*(B191=$U$47:$U$64)*($V$47:$V$64=C191)*($Y$47:$Y$64))</f>
        <v>0.99999999999999956</v>
      </c>
      <c r="R191" s="1">
        <f t="shared" si="13"/>
        <v>720077717.24510121</v>
      </c>
    </row>
    <row r="192" spans="1:18" hidden="1" x14ac:dyDescent="0.25">
      <c r="A192" s="2" t="s">
        <v>33</v>
      </c>
      <c r="B192" s="2" t="s">
        <v>26</v>
      </c>
      <c r="C192" s="2" t="s">
        <v>18</v>
      </c>
      <c r="D192" s="2" t="s">
        <v>12</v>
      </c>
      <c r="E192" s="2" t="s">
        <v>23</v>
      </c>
      <c r="F192" s="2">
        <v>192304.86449806771</v>
      </c>
      <c r="G192" s="2">
        <v>41450741.327820599</v>
      </c>
      <c r="H192" s="2">
        <v>2901608.0665969425</v>
      </c>
      <c r="I192" s="2">
        <v>290039.29599037953</v>
      </c>
      <c r="J192" s="2">
        <v>1078181.732118756</v>
      </c>
      <c r="K192" s="2">
        <v>41598727.503021456</v>
      </c>
      <c r="L192" s="2">
        <v>2079558.914970061</v>
      </c>
      <c r="M192" s="28">
        <f t="array" ref="M192">SUM((A192=$T$5:$T$22)*(B192=$U$5:$U$22)*($V$5:$V$22=C192)*($Y$5:$Y$22))</f>
        <v>1.0000000000000002</v>
      </c>
      <c r="N192" s="28">
        <f t="shared" si="11"/>
        <v>192304.86449806773</v>
      </c>
      <c r="O192" s="28">
        <f t="array" ref="O192">SUM((A192=$T$26:$T$43)*(B192=$U$26:$U$43)*($V$26:$V$43=C192)*($Y$26:$Y$43))</f>
        <v>1.0000000000000002</v>
      </c>
      <c r="P192" s="28">
        <f t="shared" si="12"/>
        <v>2901608.066596943</v>
      </c>
      <c r="Q192" s="28">
        <f t="array" ref="Q192">SUM((A192=$T$47:$T$64)*(B192=$U$47:$U$64)*($V$47:$V$64=C192)*($Y$47:$Y$64))</f>
        <v>0.99999999999999989</v>
      </c>
      <c r="R192" s="1">
        <f t="shared" si="13"/>
        <v>41450741.327820592</v>
      </c>
    </row>
    <row r="193" spans="1:18" hidden="1" x14ac:dyDescent="0.25">
      <c r="A193" s="2" t="s">
        <v>33</v>
      </c>
      <c r="B193" s="2" t="s">
        <v>26</v>
      </c>
      <c r="C193" s="2" t="s">
        <v>18</v>
      </c>
      <c r="D193" s="2" t="s">
        <v>12</v>
      </c>
      <c r="E193" s="2" t="s">
        <v>31</v>
      </c>
      <c r="F193" s="2">
        <v>1719302.9799670225</v>
      </c>
      <c r="G193" s="2">
        <v>272200763.4601863</v>
      </c>
      <c r="H193" s="2">
        <v>16857517.076495543</v>
      </c>
      <c r="I193" s="2">
        <v>1352640.8003089379</v>
      </c>
      <c r="J193" s="2">
        <v>3985359.948012935</v>
      </c>
      <c r="K193" s="2">
        <v>273172566.3418923</v>
      </c>
      <c r="L193" s="2">
        <v>14297561.044028571</v>
      </c>
      <c r="M193" s="28">
        <f t="array" ref="M193">SUM((A193=$T$5:$T$22)*(B193=$U$5:$U$22)*($V$5:$V$22=C193)*($Y$5:$Y$22))</f>
        <v>1.0000000000000002</v>
      </c>
      <c r="N193" s="28">
        <f t="shared" si="11"/>
        <v>1719302.979967023</v>
      </c>
      <c r="O193" s="28">
        <f t="array" ref="O193">SUM((A193=$T$26:$T$43)*(B193=$U$26:$U$43)*($V$26:$V$43=C193)*($Y$26:$Y$43))</f>
        <v>1.0000000000000002</v>
      </c>
      <c r="P193" s="28">
        <f t="shared" si="12"/>
        <v>16857517.076495547</v>
      </c>
      <c r="Q193" s="28">
        <f t="array" ref="Q193">SUM((A193=$T$47:$T$64)*(B193=$U$47:$U$64)*($V$47:$V$64=C193)*($Y$47:$Y$64))</f>
        <v>0.99999999999999989</v>
      </c>
      <c r="R193" s="1">
        <f t="shared" si="13"/>
        <v>272200763.46018624</v>
      </c>
    </row>
    <row r="194" spans="1:18" hidden="1" x14ac:dyDescent="0.25">
      <c r="A194" s="2" t="s">
        <v>33</v>
      </c>
      <c r="B194" s="2" t="s">
        <v>26</v>
      </c>
      <c r="C194" s="2" t="s">
        <v>18</v>
      </c>
      <c r="D194" s="2" t="s">
        <v>12</v>
      </c>
      <c r="E194" s="2" t="s">
        <v>32</v>
      </c>
      <c r="F194" s="2">
        <v>162885.84371244654</v>
      </c>
      <c r="G194" s="2">
        <v>30972333.694895893</v>
      </c>
      <c r="H194" s="2">
        <v>2085396.5589576093</v>
      </c>
      <c r="I194" s="2">
        <v>193969.31023801491</v>
      </c>
      <c r="J194" s="2">
        <v>856234.24454779946</v>
      </c>
      <c r="K194" s="2">
        <v>31082910.17805944</v>
      </c>
      <c r="L194" s="2">
        <v>1400439.2697090369</v>
      </c>
      <c r="M194" s="28">
        <f t="array" ref="M194">SUM((A194=$T$5:$T$22)*(B194=$U$5:$U$22)*($V$5:$V$22=C194)*($Y$5:$Y$22))</f>
        <v>1.0000000000000002</v>
      </c>
      <c r="N194" s="28">
        <f t="shared" si="11"/>
        <v>162885.84371244657</v>
      </c>
      <c r="O194" s="28">
        <f t="array" ref="O194">SUM((A194=$T$26:$T$43)*(B194=$U$26:$U$43)*($V$26:$V$43=C194)*($Y$26:$Y$43))</f>
        <v>1.0000000000000002</v>
      </c>
      <c r="P194" s="28">
        <f t="shared" si="12"/>
        <v>2085396.5589576098</v>
      </c>
      <c r="Q194" s="28">
        <f t="array" ref="Q194">SUM((A194=$T$47:$T$64)*(B194=$U$47:$U$64)*($V$47:$V$64=C194)*($Y$47:$Y$64))</f>
        <v>0.99999999999999989</v>
      </c>
      <c r="R194" s="1">
        <f t="shared" si="13"/>
        <v>30972333.69489589</v>
      </c>
    </row>
    <row r="195" spans="1:18" hidden="1" x14ac:dyDescent="0.25">
      <c r="A195" s="2" t="s">
        <v>33</v>
      </c>
      <c r="B195" s="2" t="s">
        <v>26</v>
      </c>
      <c r="C195" s="2" t="s">
        <v>18</v>
      </c>
      <c r="D195" s="2" t="s">
        <v>13</v>
      </c>
      <c r="E195" s="2" t="s">
        <v>23</v>
      </c>
      <c r="F195" s="2">
        <v>263373.18946004804</v>
      </c>
      <c r="G195" s="2">
        <v>45692329.2573006</v>
      </c>
      <c r="H195" s="2">
        <v>2422720.9539716071</v>
      </c>
      <c r="I195" s="2">
        <v>273446.10276568332</v>
      </c>
      <c r="J195" s="2">
        <v>2142993.7444666158</v>
      </c>
      <c r="K195" s="2">
        <v>45855458.620641269</v>
      </c>
      <c r="L195" s="2">
        <v>45781.954802143591</v>
      </c>
      <c r="M195" s="28">
        <f t="array" ref="M195">SUM((A195=$T$5:$T$22)*(B195=$U$5:$U$22)*($V$5:$V$22=C195)*($Y$5:$Y$22))</f>
        <v>1.0000000000000002</v>
      </c>
      <c r="N195" s="28">
        <f t="shared" si="11"/>
        <v>263373.1894600481</v>
      </c>
      <c r="O195" s="28">
        <f t="array" ref="O195">SUM((A195=$T$26:$T$43)*(B195=$U$26:$U$43)*($V$26:$V$43=C195)*($Y$26:$Y$43))</f>
        <v>1.0000000000000002</v>
      </c>
      <c r="P195" s="28">
        <f t="shared" si="12"/>
        <v>2422720.9539716076</v>
      </c>
      <c r="Q195" s="28">
        <f t="array" ref="Q195">SUM((A195=$T$47:$T$64)*(B195=$U$47:$U$64)*($V$47:$V$64=C195)*($Y$47:$Y$64))</f>
        <v>0.99999999999999989</v>
      </c>
      <c r="R195" s="1">
        <f t="shared" si="13"/>
        <v>45692329.257300593</v>
      </c>
    </row>
    <row r="196" spans="1:18" hidden="1" x14ac:dyDescent="0.25">
      <c r="A196" s="2" t="s">
        <v>33</v>
      </c>
      <c r="B196" s="2" t="s">
        <v>26</v>
      </c>
      <c r="C196" s="2" t="s">
        <v>18</v>
      </c>
      <c r="D196" s="2" t="s">
        <v>13</v>
      </c>
      <c r="E196" s="2" t="s">
        <v>31</v>
      </c>
      <c r="F196" s="2">
        <v>150922.41571158005</v>
      </c>
      <c r="G196" s="2">
        <v>17369129.250709634</v>
      </c>
      <c r="H196" s="2">
        <v>777506.51184446132</v>
      </c>
      <c r="I196" s="2">
        <v>40279.155750393053</v>
      </c>
      <c r="J196" s="2">
        <v>582245.19108021585</v>
      </c>
      <c r="K196" s="2">
        <v>17431139.987358551</v>
      </c>
      <c r="L196" s="2">
        <v>24581.545500961649</v>
      </c>
      <c r="M196" s="28">
        <f t="array" ref="M196">SUM((A196=$T$5:$T$22)*(B196=$U$5:$U$22)*($V$5:$V$22=C196)*($Y$5:$Y$22))</f>
        <v>1.0000000000000002</v>
      </c>
      <c r="N196" s="28">
        <f t="shared" ref="N196:N215" si="14">F196*M196</f>
        <v>150922.41571158008</v>
      </c>
      <c r="O196" s="28">
        <f t="array" ref="O196">SUM((A196=$T$26:$T$43)*(B196=$U$26:$U$43)*($V$26:$V$43=C196)*($Y$26:$Y$43))</f>
        <v>1.0000000000000002</v>
      </c>
      <c r="P196" s="28">
        <f t="shared" ref="P196:P215" si="15">H196*O196</f>
        <v>777506.51184446143</v>
      </c>
      <c r="Q196" s="28">
        <f t="array" ref="Q196">SUM((A196=$T$47:$T$64)*(B196=$U$47:$U$64)*($V$47:$V$64=C196)*($Y$47:$Y$64))</f>
        <v>0.99999999999999989</v>
      </c>
      <c r="R196" s="1">
        <f t="shared" ref="R196:R215" si="16">Q196*G196</f>
        <v>17369129.250709631</v>
      </c>
    </row>
    <row r="197" spans="1:18" hidden="1" x14ac:dyDescent="0.25">
      <c r="A197" s="2" t="s">
        <v>33</v>
      </c>
      <c r="B197" s="2" t="s">
        <v>26</v>
      </c>
      <c r="C197" s="2" t="s">
        <v>18</v>
      </c>
      <c r="D197" s="2" t="s">
        <v>13</v>
      </c>
      <c r="E197" s="2" t="s">
        <v>32</v>
      </c>
      <c r="F197" s="2">
        <v>23232.783360185516</v>
      </c>
      <c r="G197" s="2">
        <v>3238678.3047150862</v>
      </c>
      <c r="H197" s="2">
        <v>187670.70637004034</v>
      </c>
      <c r="I197" s="2">
        <v>12977.689214073531</v>
      </c>
      <c r="J197" s="2">
        <v>188111.19741104811</v>
      </c>
      <c r="K197" s="2">
        <v>3250240.93543453</v>
      </c>
      <c r="L197" s="2">
        <v>1678.840630105389</v>
      </c>
      <c r="M197" s="28">
        <f t="array" ref="M197">SUM((A197=$T$5:$T$22)*(B197=$U$5:$U$22)*($V$5:$V$22=C197)*($Y$5:$Y$22))</f>
        <v>1.0000000000000002</v>
      </c>
      <c r="N197" s="28">
        <f t="shared" si="14"/>
        <v>23232.78336018552</v>
      </c>
      <c r="O197" s="28">
        <f t="array" ref="O197">SUM((A197=$T$26:$T$43)*(B197=$U$26:$U$43)*($V$26:$V$43=C197)*($Y$26:$Y$43))</f>
        <v>1.0000000000000002</v>
      </c>
      <c r="P197" s="28">
        <f t="shared" si="15"/>
        <v>187670.70637004037</v>
      </c>
      <c r="Q197" s="28">
        <f t="array" ref="Q197">SUM((A197=$T$47:$T$64)*(B197=$U$47:$U$64)*($V$47:$V$64=C197)*($Y$47:$Y$64))</f>
        <v>0.99999999999999989</v>
      </c>
      <c r="R197" s="1">
        <f t="shared" si="16"/>
        <v>3238678.3047150858</v>
      </c>
    </row>
    <row r="198" spans="1:18" hidden="1" x14ac:dyDescent="0.25">
      <c r="A198" s="2" t="s">
        <v>33</v>
      </c>
      <c r="B198" s="2" t="s">
        <v>26</v>
      </c>
      <c r="C198" s="2" t="s">
        <v>18</v>
      </c>
      <c r="D198" s="2" t="s">
        <v>14</v>
      </c>
      <c r="E198" s="2" t="s">
        <v>23</v>
      </c>
      <c r="F198" s="2">
        <v>261844.5000359659</v>
      </c>
      <c r="G198" s="2">
        <v>43728462.59820766</v>
      </c>
      <c r="H198" s="2">
        <v>2216983.0442632125</v>
      </c>
      <c r="I198" s="2">
        <v>252961.6969668135</v>
      </c>
      <c r="J198" s="2">
        <v>1609030.805386072</v>
      </c>
      <c r="K198" s="2">
        <v>43884580.624569207</v>
      </c>
      <c r="L198" s="2">
        <v>149308.46548212721</v>
      </c>
      <c r="M198" s="28">
        <f t="array" ref="M198">SUM((A198=$T$5:$T$22)*(B198=$U$5:$U$22)*($V$5:$V$22=C198)*($Y$5:$Y$22))</f>
        <v>1.0000000000000002</v>
      </c>
      <c r="N198" s="28">
        <f t="shared" si="14"/>
        <v>261844.50003596596</v>
      </c>
      <c r="O198" s="28">
        <f t="array" ref="O198">SUM((A198=$T$26:$T$43)*(B198=$U$26:$U$43)*($V$26:$V$43=C198)*($Y$26:$Y$43))</f>
        <v>1.0000000000000002</v>
      </c>
      <c r="P198" s="28">
        <f t="shared" si="15"/>
        <v>2216983.0442632129</v>
      </c>
      <c r="Q198" s="28">
        <f t="array" ref="Q198">SUM((A198=$T$47:$T$64)*(B198=$U$47:$U$64)*($V$47:$V$64=C198)*($Y$47:$Y$64))</f>
        <v>0.99999999999999989</v>
      </c>
      <c r="R198" s="1">
        <f t="shared" si="16"/>
        <v>43728462.598207653</v>
      </c>
    </row>
    <row r="199" spans="1:18" hidden="1" x14ac:dyDescent="0.25">
      <c r="A199" s="2" t="s">
        <v>33</v>
      </c>
      <c r="B199" s="2" t="s">
        <v>26</v>
      </c>
      <c r="C199" s="2" t="s">
        <v>18</v>
      </c>
      <c r="D199" s="2" t="s">
        <v>14</v>
      </c>
      <c r="E199" s="2" t="s">
        <v>31</v>
      </c>
      <c r="F199" s="2">
        <v>426423.04400420201</v>
      </c>
      <c r="G199" s="2">
        <v>49251353.851127334</v>
      </c>
      <c r="H199" s="2">
        <v>2015612.569762625</v>
      </c>
      <c r="I199" s="2">
        <v>121561.5087709277</v>
      </c>
      <c r="J199" s="2">
        <v>1218630.327838107</v>
      </c>
      <c r="K199" s="2">
        <v>49427189.535759598</v>
      </c>
      <c r="L199" s="2">
        <v>185128.31217139991</v>
      </c>
      <c r="M199" s="28">
        <f t="array" ref="M199">SUM((A199=$T$5:$T$22)*(B199=$U$5:$U$22)*($V$5:$V$22=C199)*($Y$5:$Y$22))</f>
        <v>1.0000000000000002</v>
      </c>
      <c r="N199" s="28">
        <f t="shared" si="14"/>
        <v>426423.04400420212</v>
      </c>
      <c r="O199" s="28">
        <f t="array" ref="O199">SUM((A199=$T$26:$T$43)*(B199=$U$26:$U$43)*($V$26:$V$43=C199)*($Y$26:$Y$43))</f>
        <v>1.0000000000000002</v>
      </c>
      <c r="P199" s="28">
        <f t="shared" si="15"/>
        <v>2015612.5697626255</v>
      </c>
      <c r="Q199" s="28">
        <f t="array" ref="Q199">SUM((A199=$T$47:$T$64)*(B199=$U$47:$U$64)*($V$47:$V$64=C199)*($Y$47:$Y$64))</f>
        <v>0.99999999999999989</v>
      </c>
      <c r="R199" s="1">
        <f t="shared" si="16"/>
        <v>49251353.851127326</v>
      </c>
    </row>
    <row r="200" spans="1:18" hidden="1" x14ac:dyDescent="0.25">
      <c r="A200" s="2" t="s">
        <v>33</v>
      </c>
      <c r="B200" s="2" t="s">
        <v>26</v>
      </c>
      <c r="C200" s="2" t="s">
        <v>18</v>
      </c>
      <c r="D200" s="2" t="s">
        <v>14</v>
      </c>
      <c r="E200" s="2" t="s">
        <v>32</v>
      </c>
      <c r="F200" s="2">
        <v>47637.990681429961</v>
      </c>
      <c r="G200" s="2">
        <v>7167357.4488211256</v>
      </c>
      <c r="H200" s="2">
        <v>388113.06127786194</v>
      </c>
      <c r="I200" s="2">
        <v>34302.866059179352</v>
      </c>
      <c r="J200" s="2">
        <v>306476.5462705692</v>
      </c>
      <c r="K200" s="2">
        <v>7192946.1302577229</v>
      </c>
      <c r="L200" s="2">
        <v>23624.798620821679</v>
      </c>
      <c r="M200" s="28">
        <f t="array" ref="M200">SUM((A200=$T$5:$T$22)*(B200=$U$5:$U$22)*($V$5:$V$22=C200)*($Y$5:$Y$22))</f>
        <v>1.0000000000000002</v>
      </c>
      <c r="N200" s="28">
        <f t="shared" si="14"/>
        <v>47637.990681429968</v>
      </c>
      <c r="O200" s="28">
        <f t="array" ref="O200">SUM((A200=$T$26:$T$43)*(B200=$U$26:$U$43)*($V$26:$V$43=C200)*($Y$26:$Y$43))</f>
        <v>1.0000000000000002</v>
      </c>
      <c r="P200" s="28">
        <f t="shared" si="15"/>
        <v>388113.061277862</v>
      </c>
      <c r="Q200" s="28">
        <f t="array" ref="Q200">SUM((A200=$T$47:$T$64)*(B200=$U$47:$U$64)*($V$47:$V$64=C200)*($Y$47:$Y$64))</f>
        <v>0.99999999999999989</v>
      </c>
      <c r="R200" s="1">
        <f t="shared" si="16"/>
        <v>7167357.4488211246</v>
      </c>
    </row>
    <row r="201" spans="1:18" hidden="1" x14ac:dyDescent="0.25">
      <c r="A201" s="2" t="s">
        <v>33</v>
      </c>
      <c r="B201" s="2" t="s">
        <v>26</v>
      </c>
      <c r="C201" s="2" t="s">
        <v>18</v>
      </c>
      <c r="D201" s="2" t="s">
        <v>15</v>
      </c>
      <c r="E201" s="2" t="s">
        <v>23</v>
      </c>
      <c r="F201" s="2">
        <v>342355.31136720779</v>
      </c>
      <c r="G201" s="2">
        <v>54812909.604804002</v>
      </c>
      <c r="H201" s="2">
        <v>2625624.4072793466</v>
      </c>
      <c r="I201" s="2">
        <v>301076.90285492589</v>
      </c>
      <c r="J201" s="2">
        <v>1677623.8759829651</v>
      </c>
      <c r="K201" s="2">
        <v>55008600.986530893</v>
      </c>
      <c r="L201" s="2">
        <v>421221.01179270068</v>
      </c>
      <c r="M201" s="28">
        <f t="array" ref="M201">SUM((A201=$T$5:$T$22)*(B201=$U$5:$U$22)*($V$5:$V$22=C201)*($Y$5:$Y$22))</f>
        <v>1.0000000000000002</v>
      </c>
      <c r="N201" s="28">
        <f t="shared" si="14"/>
        <v>342355.31136720785</v>
      </c>
      <c r="O201" s="28">
        <f t="array" ref="O201">SUM((A201=$T$26:$T$43)*(B201=$U$26:$U$43)*($V$26:$V$43=C201)*($Y$26:$Y$43))</f>
        <v>1.0000000000000002</v>
      </c>
      <c r="P201" s="28">
        <f t="shared" si="15"/>
        <v>2625624.4072793471</v>
      </c>
      <c r="Q201" s="28">
        <f t="array" ref="Q201">SUM((A201=$T$47:$T$64)*(B201=$U$47:$U$64)*($V$47:$V$64=C201)*($Y$47:$Y$64))</f>
        <v>0.99999999999999989</v>
      </c>
      <c r="R201" s="1">
        <f t="shared" si="16"/>
        <v>54812909.604803994</v>
      </c>
    </row>
    <row r="202" spans="1:18" hidden="1" x14ac:dyDescent="0.25">
      <c r="A202" s="2" t="s">
        <v>33</v>
      </c>
      <c r="B202" s="2" t="s">
        <v>26</v>
      </c>
      <c r="C202" s="2" t="s">
        <v>18</v>
      </c>
      <c r="D202" s="2" t="s">
        <v>15</v>
      </c>
      <c r="E202" s="2" t="s">
        <v>31</v>
      </c>
      <c r="F202" s="2">
        <v>839739.17991456948</v>
      </c>
      <c r="G202" s="2">
        <v>99162746.664183095</v>
      </c>
      <c r="H202" s="2">
        <v>3874818.2880392997</v>
      </c>
      <c r="I202" s="2">
        <v>275838.14623260271</v>
      </c>
      <c r="J202" s="2">
        <v>1933214.0057390039</v>
      </c>
      <c r="K202" s="2">
        <v>99516774.484462261</v>
      </c>
      <c r="L202" s="2">
        <v>817799.90780814365</v>
      </c>
      <c r="M202" s="28">
        <f t="array" ref="M202">SUM((A202=$T$5:$T$22)*(B202=$U$5:$U$22)*($V$5:$V$22=C202)*($Y$5:$Y$22))</f>
        <v>1.0000000000000002</v>
      </c>
      <c r="N202" s="28">
        <f t="shared" si="14"/>
        <v>839739.17991456972</v>
      </c>
      <c r="O202" s="28">
        <f t="array" ref="O202">SUM((A202=$T$26:$T$43)*(B202=$U$26:$U$43)*($V$26:$V$43=C202)*($Y$26:$Y$43))</f>
        <v>1.0000000000000002</v>
      </c>
      <c r="P202" s="28">
        <f t="shared" si="15"/>
        <v>3874818.2880393006</v>
      </c>
      <c r="Q202" s="28">
        <f t="array" ref="Q202">SUM((A202=$T$47:$T$64)*(B202=$U$47:$U$64)*($V$47:$V$64=C202)*($Y$47:$Y$64))</f>
        <v>0.99999999999999989</v>
      </c>
      <c r="R202" s="1">
        <f t="shared" si="16"/>
        <v>99162746.66418308</v>
      </c>
    </row>
    <row r="203" spans="1:18" hidden="1" x14ac:dyDescent="0.25">
      <c r="A203" s="2" t="s">
        <v>33</v>
      </c>
      <c r="B203" s="2" t="s">
        <v>26</v>
      </c>
      <c r="C203" s="2" t="s">
        <v>18</v>
      </c>
      <c r="D203" s="2" t="s">
        <v>15</v>
      </c>
      <c r="E203" s="2" t="s">
        <v>32</v>
      </c>
      <c r="F203" s="2">
        <v>109198.04185176137</v>
      </c>
      <c r="G203" s="2">
        <v>16431172.967745606</v>
      </c>
      <c r="H203" s="2">
        <v>808772.74111773493</v>
      </c>
      <c r="I203" s="2">
        <v>80981.155056346804</v>
      </c>
      <c r="J203" s="2">
        <v>553032.32791995106</v>
      </c>
      <c r="K203" s="2">
        <v>16489835.041418299</v>
      </c>
      <c r="L203" s="2">
        <v>131716.41878433441</v>
      </c>
      <c r="M203" s="28">
        <f t="array" ref="M203">SUM((A203=$T$5:$T$22)*(B203=$U$5:$U$22)*($V$5:$V$22=C203)*($Y$5:$Y$22))</f>
        <v>1.0000000000000002</v>
      </c>
      <c r="N203" s="28">
        <f t="shared" si="14"/>
        <v>109198.0418517614</v>
      </c>
      <c r="O203" s="28">
        <f t="array" ref="O203">SUM((A203=$T$26:$T$43)*(B203=$U$26:$U$43)*($V$26:$V$43=C203)*($Y$26:$Y$43))</f>
        <v>1.0000000000000002</v>
      </c>
      <c r="P203" s="28">
        <f t="shared" si="15"/>
        <v>808772.74111773516</v>
      </c>
      <c r="Q203" s="28">
        <f t="array" ref="Q203">SUM((A203=$T$47:$T$64)*(B203=$U$47:$U$64)*($V$47:$V$64=C203)*($Y$47:$Y$64))</f>
        <v>0.99999999999999989</v>
      </c>
      <c r="R203" s="1">
        <f t="shared" si="16"/>
        <v>16431172.967745604</v>
      </c>
    </row>
    <row r="204" spans="1:18" hidden="1" x14ac:dyDescent="0.25">
      <c r="A204" s="2" t="s">
        <v>33</v>
      </c>
      <c r="B204" s="2" t="s">
        <v>26</v>
      </c>
      <c r="C204" s="2" t="s">
        <v>18</v>
      </c>
      <c r="D204" s="2" t="s">
        <v>16</v>
      </c>
      <c r="E204" s="2" t="s">
        <v>23</v>
      </c>
      <c r="F204" s="2">
        <v>451334.31632976548</v>
      </c>
      <c r="G204" s="2">
        <v>74759482.494606376</v>
      </c>
      <c r="H204" s="2">
        <v>3579862.3100256114</v>
      </c>
      <c r="I204" s="2">
        <v>432820.81569633272</v>
      </c>
      <c r="J204" s="2">
        <v>1906107.955496347</v>
      </c>
      <c r="K204" s="2">
        <v>75026386.523822054</v>
      </c>
      <c r="L204" s="2">
        <v>1308701.8133139301</v>
      </c>
      <c r="M204" s="28">
        <f t="array" ref="M204">SUM((A204=$T$5:$T$22)*(B204=$U$5:$U$22)*($V$5:$V$22=C204)*($Y$5:$Y$22))</f>
        <v>1.0000000000000002</v>
      </c>
      <c r="N204" s="28">
        <f t="shared" si="14"/>
        <v>451334.3163297656</v>
      </c>
      <c r="O204" s="28">
        <f t="array" ref="O204">SUM((A204=$T$26:$T$43)*(B204=$U$26:$U$43)*($V$26:$V$43=C204)*($Y$26:$Y$43))</f>
        <v>1.0000000000000002</v>
      </c>
      <c r="P204" s="28">
        <f t="shared" si="15"/>
        <v>3579862.3100256124</v>
      </c>
      <c r="Q204" s="28">
        <f t="array" ref="Q204">SUM((A204=$T$47:$T$64)*(B204=$U$47:$U$64)*($V$47:$V$64=C204)*($Y$47:$Y$64))</f>
        <v>0.99999999999999989</v>
      </c>
      <c r="R204" s="1">
        <f t="shared" si="16"/>
        <v>74759482.494606361</v>
      </c>
    </row>
    <row r="205" spans="1:18" hidden="1" x14ac:dyDescent="0.25">
      <c r="A205" s="2" t="s">
        <v>33</v>
      </c>
      <c r="B205" s="2" t="s">
        <v>26</v>
      </c>
      <c r="C205" s="2" t="s">
        <v>18</v>
      </c>
      <c r="D205" s="2" t="s">
        <v>16</v>
      </c>
      <c r="E205" s="2" t="s">
        <v>31</v>
      </c>
      <c r="F205" s="2">
        <v>2182552.9459594106</v>
      </c>
      <c r="G205" s="2">
        <v>274363612.08999938</v>
      </c>
      <c r="H205" s="2">
        <v>11240069.224615097</v>
      </c>
      <c r="I205" s="2">
        <v>932968.92222034838</v>
      </c>
      <c r="J205" s="2">
        <v>4370753.5010570511</v>
      </c>
      <c r="K205" s="2">
        <v>275343136.70806062</v>
      </c>
      <c r="L205" s="2">
        <v>5172376.6606263435</v>
      </c>
      <c r="M205" s="28">
        <f t="array" ref="M205">SUM((A205=$T$5:$T$22)*(B205=$U$5:$U$22)*($V$5:$V$22=C205)*($Y$5:$Y$22))</f>
        <v>1.0000000000000002</v>
      </c>
      <c r="N205" s="28">
        <f t="shared" si="14"/>
        <v>2182552.9459594111</v>
      </c>
      <c r="O205" s="28">
        <f t="array" ref="O205">SUM((A205=$T$26:$T$43)*(B205=$U$26:$U$43)*($V$26:$V$43=C205)*($Y$26:$Y$43))</f>
        <v>1.0000000000000002</v>
      </c>
      <c r="P205" s="28">
        <f t="shared" si="15"/>
        <v>11240069.224615099</v>
      </c>
      <c r="Q205" s="28">
        <f t="array" ref="Q205">SUM((A205=$T$47:$T$64)*(B205=$U$47:$U$64)*($V$47:$V$64=C205)*($Y$47:$Y$64))</f>
        <v>0.99999999999999989</v>
      </c>
      <c r="R205" s="1">
        <f t="shared" si="16"/>
        <v>274363612.08999932</v>
      </c>
    </row>
    <row r="206" spans="1:18" hidden="1" x14ac:dyDescent="0.25">
      <c r="A206" s="2" t="s">
        <v>33</v>
      </c>
      <c r="B206" s="2" t="s">
        <v>26</v>
      </c>
      <c r="C206" s="2" t="s">
        <v>18</v>
      </c>
      <c r="D206" s="2" t="s">
        <v>16</v>
      </c>
      <c r="E206" s="2" t="s">
        <v>32</v>
      </c>
      <c r="F206" s="2">
        <v>277381.75503328192</v>
      </c>
      <c r="G206" s="2">
        <v>43586230.629876293</v>
      </c>
      <c r="H206" s="2">
        <v>2168105.9867805704</v>
      </c>
      <c r="I206" s="2">
        <v>231243.43325697241</v>
      </c>
      <c r="J206" s="2">
        <v>1243923.7426088059</v>
      </c>
      <c r="K206" s="2">
        <v>43741840.863993108</v>
      </c>
      <c r="L206" s="2">
        <v>737120.28057583352</v>
      </c>
      <c r="M206" s="28">
        <f t="array" ref="M206">SUM((A206=$T$5:$T$22)*(B206=$U$5:$U$22)*($V$5:$V$22=C206)*($Y$5:$Y$22))</f>
        <v>1.0000000000000002</v>
      </c>
      <c r="N206" s="28">
        <f t="shared" si="14"/>
        <v>277381.75503328198</v>
      </c>
      <c r="O206" s="28">
        <f t="array" ref="O206">SUM((A206=$T$26:$T$43)*(B206=$U$26:$U$43)*($V$26:$V$43=C206)*($Y$26:$Y$43))</f>
        <v>1.0000000000000002</v>
      </c>
      <c r="P206" s="28">
        <f t="shared" si="15"/>
        <v>2168105.9867805708</v>
      </c>
      <c r="Q206" s="28">
        <f t="array" ref="Q206">SUM((A206=$T$47:$T$64)*(B206=$U$47:$U$64)*($V$47:$V$64=C206)*($Y$47:$Y$64))</f>
        <v>0.99999999999999989</v>
      </c>
      <c r="R206" s="1">
        <f t="shared" si="16"/>
        <v>43586230.629876286</v>
      </c>
    </row>
    <row r="207" spans="1:18" hidden="1" x14ac:dyDescent="0.25">
      <c r="A207" s="2" t="s">
        <v>33</v>
      </c>
      <c r="B207" s="2" t="s">
        <v>26</v>
      </c>
      <c r="C207" s="2" t="s">
        <v>18</v>
      </c>
      <c r="D207" s="2" t="s">
        <v>17</v>
      </c>
      <c r="E207" s="2" t="s">
        <v>23</v>
      </c>
      <c r="F207" s="2">
        <v>632415.50530933845</v>
      </c>
      <c r="G207" s="2">
        <v>113698104.89739545</v>
      </c>
      <c r="H207" s="2">
        <v>6241460.3905366156</v>
      </c>
      <c r="I207" s="2">
        <v>705134.75163185748</v>
      </c>
      <c r="J207" s="2">
        <v>2889156.212850994</v>
      </c>
      <c r="K207" s="2">
        <v>114104026.4112782</v>
      </c>
      <c r="L207" s="2">
        <v>3465706.2069635321</v>
      </c>
      <c r="M207" s="28">
        <f t="array" ref="M207">SUM((A207=$T$5:$T$22)*(B207=$U$5:$U$22)*($V$5:$V$22=C207)*($Y$5:$Y$22))</f>
        <v>1.0000000000000002</v>
      </c>
      <c r="N207" s="28">
        <f t="shared" si="14"/>
        <v>632415.50530933856</v>
      </c>
      <c r="O207" s="28">
        <f t="array" ref="O207">SUM((A207=$T$26:$T$43)*(B207=$U$26:$U$43)*($V$26:$V$43=C207)*($Y$26:$Y$43))</f>
        <v>1.0000000000000002</v>
      </c>
      <c r="P207" s="28">
        <f t="shared" si="15"/>
        <v>6241460.3905366166</v>
      </c>
      <c r="Q207" s="28">
        <f t="array" ref="Q207">SUM((A207=$T$47:$T$64)*(B207=$U$47:$U$64)*($V$47:$V$64=C207)*($Y$47:$Y$64))</f>
        <v>0.99999999999999989</v>
      </c>
      <c r="R207" s="1">
        <f t="shared" si="16"/>
        <v>113698104.89739543</v>
      </c>
    </row>
    <row r="208" spans="1:18" hidden="1" x14ac:dyDescent="0.25">
      <c r="A208" s="2" t="s">
        <v>33</v>
      </c>
      <c r="B208" s="2" t="s">
        <v>26</v>
      </c>
      <c r="C208" s="2" t="s">
        <v>18</v>
      </c>
      <c r="D208" s="2" t="s">
        <v>17</v>
      </c>
      <c r="E208" s="2" t="s">
        <v>31</v>
      </c>
      <c r="F208" s="2">
        <v>4549804.4922318794</v>
      </c>
      <c r="G208" s="2">
        <v>629628902.2771734</v>
      </c>
      <c r="H208" s="2">
        <v>30481351.899044793</v>
      </c>
      <c r="I208" s="2">
        <v>2616135.2508847062</v>
      </c>
      <c r="J208" s="2">
        <v>9509176.2268823963</v>
      </c>
      <c r="K208" s="2">
        <v>631876784.22232389</v>
      </c>
      <c r="L208" s="2">
        <v>21201202.574973561</v>
      </c>
      <c r="M208" s="28">
        <f t="array" ref="M208">SUM((A208=$T$5:$T$22)*(B208=$U$5:$U$22)*($V$5:$V$22=C208)*($Y$5:$Y$22))</f>
        <v>1.0000000000000002</v>
      </c>
      <c r="N208" s="28">
        <f t="shared" si="14"/>
        <v>4549804.4922318803</v>
      </c>
      <c r="O208" s="28">
        <f t="array" ref="O208">SUM((A208=$T$26:$T$43)*(B208=$U$26:$U$43)*($V$26:$V$43=C208)*($Y$26:$Y$43))</f>
        <v>1.0000000000000002</v>
      </c>
      <c r="P208" s="28">
        <f t="shared" si="15"/>
        <v>30481351.899044801</v>
      </c>
      <c r="Q208" s="28">
        <f t="array" ref="Q208">SUM((A208=$T$47:$T$64)*(B208=$U$47:$U$64)*($V$47:$V$64=C208)*($Y$47:$Y$64))</f>
        <v>0.99999999999999989</v>
      </c>
      <c r="R208" s="1">
        <f t="shared" si="16"/>
        <v>629628902.27717328</v>
      </c>
    </row>
    <row r="209" spans="1:18" hidden="1" x14ac:dyDescent="0.25">
      <c r="A209" s="2" t="s">
        <v>33</v>
      </c>
      <c r="B209" s="2" t="s">
        <v>26</v>
      </c>
      <c r="C209" s="2" t="s">
        <v>18</v>
      </c>
      <c r="D209" s="2" t="s">
        <v>17</v>
      </c>
      <c r="E209" s="2" t="s">
        <v>32</v>
      </c>
      <c r="F209" s="2">
        <v>627529.86860831082</v>
      </c>
      <c r="G209" s="2">
        <v>105706766.3364457</v>
      </c>
      <c r="H209" s="2">
        <v>5997488.6753672445</v>
      </c>
      <c r="I209" s="2">
        <v>598827.20990986633</v>
      </c>
      <c r="J209" s="2">
        <v>3040948.8215809632</v>
      </c>
      <c r="K209" s="2">
        <v>106084157.4166019</v>
      </c>
      <c r="L209" s="2">
        <v>3146305.7329120198</v>
      </c>
      <c r="M209" s="28">
        <f t="array" ref="M209">SUM((A209=$T$5:$T$22)*(B209=$U$5:$U$22)*($V$5:$V$22=C209)*($Y$5:$Y$22))</f>
        <v>1.0000000000000002</v>
      </c>
      <c r="N209" s="28">
        <f t="shared" si="14"/>
        <v>627529.86860831094</v>
      </c>
      <c r="O209" s="28">
        <f t="array" ref="O209">SUM((A209=$T$26:$T$43)*(B209=$U$26:$U$43)*($V$26:$V$43=C209)*($Y$26:$Y$43))</f>
        <v>1.0000000000000002</v>
      </c>
      <c r="P209" s="28">
        <f t="shared" si="15"/>
        <v>5997488.6753672455</v>
      </c>
      <c r="Q209" s="28">
        <f t="array" ref="Q209">SUM((A209=$T$47:$T$64)*(B209=$U$47:$U$64)*($V$47:$V$64=C209)*($Y$47:$Y$64))</f>
        <v>0.99999999999999989</v>
      </c>
      <c r="R209" s="1">
        <f t="shared" si="16"/>
        <v>105706766.33644569</v>
      </c>
    </row>
    <row r="210" spans="1:18" hidden="1" x14ac:dyDescent="0.25">
      <c r="A210" s="2" t="s">
        <v>33</v>
      </c>
      <c r="B210" s="2" t="s">
        <v>26</v>
      </c>
      <c r="C210" s="2" t="s">
        <v>19</v>
      </c>
      <c r="D210" s="2" t="s">
        <v>12</v>
      </c>
      <c r="E210" s="2" t="s">
        <v>25</v>
      </c>
      <c r="F210" s="2">
        <v>13174.839957989145</v>
      </c>
      <c r="G210" s="2">
        <v>0</v>
      </c>
      <c r="H210" s="2">
        <v>164606.34624078151</v>
      </c>
      <c r="I210" s="2">
        <v>329.23478615237508</v>
      </c>
      <c r="J210" s="2">
        <v>0</v>
      </c>
      <c r="K210" s="2">
        <v>0</v>
      </c>
      <c r="L210" s="2">
        <v>27159.433412697628</v>
      </c>
      <c r="M210" s="28">
        <f t="array" ref="M210">SUM((A210=$T$5:$T$22)*(B210=$U$5:$U$22)*($V$5:$V$22=C210)*($Y$5:$Y$22))</f>
        <v>0.99999999999999989</v>
      </c>
      <c r="N210" s="28">
        <f t="shared" si="14"/>
        <v>13174.839957989143</v>
      </c>
      <c r="O210" s="28">
        <f t="array" ref="O210">SUM((A210=$T$26:$T$43)*(B210=$U$26:$U$43)*($V$26:$V$43=C210)*($Y$26:$Y$43))</f>
        <v>1</v>
      </c>
      <c r="P210" s="28">
        <f t="shared" si="15"/>
        <v>164606.34624078151</v>
      </c>
      <c r="Q210" s="28">
        <f t="array" ref="Q210">SUM((A210=$T$47:$T$64)*(B210=$U$47:$U$64)*($V$47:$V$64=C210)*($Y$47:$Y$64))</f>
        <v>1</v>
      </c>
      <c r="R210" s="1">
        <f t="shared" si="16"/>
        <v>0</v>
      </c>
    </row>
    <row r="211" spans="1:18" hidden="1" x14ac:dyDescent="0.25">
      <c r="A211" s="2" t="s">
        <v>33</v>
      </c>
      <c r="B211" s="2" t="s">
        <v>26</v>
      </c>
      <c r="C211" s="2" t="s">
        <v>19</v>
      </c>
      <c r="D211" s="2" t="s">
        <v>13</v>
      </c>
      <c r="E211" s="2" t="s">
        <v>25</v>
      </c>
      <c r="F211" s="2">
        <v>332222.2514823043</v>
      </c>
      <c r="G211" s="2">
        <v>0</v>
      </c>
      <c r="H211" s="2">
        <v>4943961.8737319475</v>
      </c>
      <c r="I211" s="2">
        <v>13399.53118894412</v>
      </c>
      <c r="J211" s="2">
        <v>0</v>
      </c>
      <c r="K211" s="2">
        <v>0</v>
      </c>
      <c r="L211" s="2">
        <v>1057098.2481387339</v>
      </c>
      <c r="M211" s="28">
        <f t="array" ref="M211">SUM((A211=$T$5:$T$22)*(B211=$U$5:$U$22)*($V$5:$V$22=C211)*($Y$5:$Y$22))</f>
        <v>0.99999999999999989</v>
      </c>
      <c r="N211" s="28">
        <f t="shared" si="14"/>
        <v>332222.25148230424</v>
      </c>
      <c r="O211" s="28">
        <f t="array" ref="O211">SUM((A211=$T$26:$T$43)*(B211=$U$26:$U$43)*($V$26:$V$43=C211)*($Y$26:$Y$43))</f>
        <v>1</v>
      </c>
      <c r="P211" s="28">
        <f t="shared" si="15"/>
        <v>4943961.8737319475</v>
      </c>
      <c r="Q211" s="28">
        <f t="array" ref="Q211">SUM((A211=$T$47:$T$64)*(B211=$U$47:$U$64)*($V$47:$V$64=C211)*($Y$47:$Y$64))</f>
        <v>1</v>
      </c>
      <c r="R211" s="1">
        <f t="shared" si="16"/>
        <v>0</v>
      </c>
    </row>
    <row r="212" spans="1:18" hidden="1" x14ac:dyDescent="0.25">
      <c r="A212" s="2" t="s">
        <v>33</v>
      </c>
      <c r="B212" s="2" t="s">
        <v>26</v>
      </c>
      <c r="C212" s="2" t="s">
        <v>19</v>
      </c>
      <c r="D212" s="2" t="s">
        <v>14</v>
      </c>
      <c r="E212" s="2" t="s">
        <v>25</v>
      </c>
      <c r="F212" s="2">
        <v>483025.38931739388</v>
      </c>
      <c r="G212" s="2">
        <v>0</v>
      </c>
      <c r="H212" s="2">
        <v>8452204.0360611323</v>
      </c>
      <c r="I212" s="2">
        <v>25929.047666667389</v>
      </c>
      <c r="J212" s="2">
        <v>0</v>
      </c>
      <c r="K212" s="2">
        <v>0</v>
      </c>
      <c r="L212" s="2">
        <v>2064763.492411643</v>
      </c>
      <c r="M212" s="28">
        <f t="array" ref="M212">SUM((A212=$T$5:$T$22)*(B212=$U$5:$U$22)*($V$5:$V$22=C212)*($Y$5:$Y$22))</f>
        <v>0.99999999999999989</v>
      </c>
      <c r="N212" s="28">
        <f t="shared" si="14"/>
        <v>483025.38931739383</v>
      </c>
      <c r="O212" s="28">
        <f t="array" ref="O212">SUM((A212=$T$26:$T$43)*(B212=$U$26:$U$43)*($V$26:$V$43=C212)*($Y$26:$Y$43))</f>
        <v>1</v>
      </c>
      <c r="P212" s="28">
        <f t="shared" si="15"/>
        <v>8452204.0360611323</v>
      </c>
      <c r="Q212" s="28">
        <f t="array" ref="Q212">SUM((A212=$T$47:$T$64)*(B212=$U$47:$U$64)*($V$47:$V$64=C212)*($Y$47:$Y$64))</f>
        <v>1</v>
      </c>
      <c r="R212" s="1">
        <f t="shared" si="16"/>
        <v>0</v>
      </c>
    </row>
    <row r="213" spans="1:18" hidden="1" x14ac:dyDescent="0.25">
      <c r="A213" s="2" t="s">
        <v>33</v>
      </c>
      <c r="B213" s="2" t="s">
        <v>26</v>
      </c>
      <c r="C213" s="2" t="s">
        <v>19</v>
      </c>
      <c r="D213" s="2" t="s">
        <v>15</v>
      </c>
      <c r="E213" s="2" t="s">
        <v>25</v>
      </c>
      <c r="F213" s="2">
        <v>505744.56307892507</v>
      </c>
      <c r="G213" s="2">
        <v>0</v>
      </c>
      <c r="H213" s="2">
        <v>8255504.5552209048</v>
      </c>
      <c r="I213" s="2">
        <v>24165.17168805415</v>
      </c>
      <c r="J213" s="2">
        <v>0</v>
      </c>
      <c r="K213" s="2">
        <v>0</v>
      </c>
      <c r="L213" s="2">
        <v>1925208.842361304</v>
      </c>
      <c r="M213" s="28">
        <f t="array" ref="M213">SUM((A213=$T$5:$T$22)*(B213=$U$5:$U$22)*($V$5:$V$22=C213)*($Y$5:$Y$22))</f>
        <v>0.99999999999999989</v>
      </c>
      <c r="N213" s="28">
        <f t="shared" si="14"/>
        <v>505744.56307892501</v>
      </c>
      <c r="O213" s="28">
        <f t="array" ref="O213">SUM((A213=$T$26:$T$43)*(B213=$U$26:$U$43)*($V$26:$V$43=C213)*($Y$26:$Y$43))</f>
        <v>1</v>
      </c>
      <c r="P213" s="28">
        <f t="shared" si="15"/>
        <v>8255504.5552209048</v>
      </c>
      <c r="Q213" s="28">
        <f t="array" ref="Q213">SUM((A213=$T$47:$T$64)*(B213=$U$47:$U$64)*($V$47:$V$64=C213)*($Y$47:$Y$64))</f>
        <v>1</v>
      </c>
      <c r="R213" s="1">
        <f t="shared" si="16"/>
        <v>0</v>
      </c>
    </row>
    <row r="214" spans="1:18" hidden="1" x14ac:dyDescent="0.25">
      <c r="A214" s="2" t="s">
        <v>33</v>
      </c>
      <c r="B214" s="2" t="s">
        <v>26</v>
      </c>
      <c r="C214" s="2" t="s">
        <v>19</v>
      </c>
      <c r="D214" s="2" t="s">
        <v>16</v>
      </c>
      <c r="E214" s="2" t="s">
        <v>25</v>
      </c>
      <c r="F214" s="2">
        <v>352768.49236184586</v>
      </c>
      <c r="G214" s="2">
        <v>0</v>
      </c>
      <c r="H214" s="2">
        <v>5680055.7412944008</v>
      </c>
      <c r="I214" s="2">
        <v>16425.00414607122</v>
      </c>
      <c r="J214" s="2">
        <v>0</v>
      </c>
      <c r="K214" s="2">
        <v>0</v>
      </c>
      <c r="L214" s="2">
        <v>1325244.7937244759</v>
      </c>
      <c r="M214" s="28">
        <f t="array" ref="M214">SUM((A214=$T$5:$T$22)*(B214=$U$5:$U$22)*($V$5:$V$22=C214)*($Y$5:$Y$22))</f>
        <v>0.99999999999999989</v>
      </c>
      <c r="N214" s="28">
        <f t="shared" si="14"/>
        <v>352768.4923618458</v>
      </c>
      <c r="O214" s="28">
        <f t="array" ref="O214">SUM((A214=$T$26:$T$43)*(B214=$U$26:$U$43)*($V$26:$V$43=C214)*($Y$26:$Y$43))</f>
        <v>1</v>
      </c>
      <c r="P214" s="28">
        <f t="shared" si="15"/>
        <v>5680055.7412944008</v>
      </c>
      <c r="Q214" s="28">
        <f t="array" ref="Q214">SUM((A214=$T$47:$T$64)*(B214=$U$47:$U$64)*($V$47:$V$64=C214)*($Y$47:$Y$64))</f>
        <v>1</v>
      </c>
      <c r="R214" s="1">
        <f t="shared" si="16"/>
        <v>0</v>
      </c>
    </row>
    <row r="215" spans="1:18" hidden="1" x14ac:dyDescent="0.25">
      <c r="A215" s="2" t="s">
        <v>33</v>
      </c>
      <c r="B215" s="2" t="s">
        <v>26</v>
      </c>
      <c r="C215" s="2" t="s">
        <v>19</v>
      </c>
      <c r="D215" s="2" t="s">
        <v>17</v>
      </c>
      <c r="E215" s="2" t="s">
        <v>25</v>
      </c>
      <c r="F215" s="2">
        <v>97800.232583923571</v>
      </c>
      <c r="G215" s="2">
        <v>0</v>
      </c>
      <c r="H215" s="2">
        <v>1250115.825681679</v>
      </c>
      <c r="I215" s="2">
        <v>2667.209867669138</v>
      </c>
      <c r="J215" s="2">
        <v>0</v>
      </c>
      <c r="K215" s="2">
        <v>0</v>
      </c>
      <c r="L215" s="2">
        <v>213231.0191145303</v>
      </c>
      <c r="M215" s="28">
        <f t="array" ref="M215">SUM((A215=$T$5:$T$22)*(B215=$U$5:$U$22)*($V$5:$V$22=C215)*($Y$5:$Y$22))</f>
        <v>0.99999999999999989</v>
      </c>
      <c r="N215" s="28">
        <f t="shared" si="14"/>
        <v>97800.232583923556</v>
      </c>
      <c r="O215" s="28">
        <f t="array" ref="O215">SUM((A215=$T$26:$T$43)*(B215=$U$26:$U$43)*($V$26:$V$43=C215)*($Y$26:$Y$43))</f>
        <v>1</v>
      </c>
      <c r="P215" s="28">
        <f t="shared" si="15"/>
        <v>1250115.825681679</v>
      </c>
      <c r="Q215" s="28">
        <f t="array" ref="Q215">SUM((A215=$T$47:$T$64)*(B215=$U$47:$U$64)*($V$47:$V$64=C215)*($Y$47:$Y$64))</f>
        <v>1</v>
      </c>
      <c r="R215" s="1">
        <f t="shared" si="16"/>
        <v>0</v>
      </c>
    </row>
  </sheetData>
  <autoFilter ref="A2:Y215">
    <filterColumn colId="0">
      <filters>
        <filter val="MMA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9"/>
  <sheetViews>
    <sheetView tabSelected="1" topLeftCell="C1" zoomScale="80" zoomScaleNormal="80" workbookViewId="0">
      <selection activeCell="U19" sqref="U19"/>
    </sheetView>
  </sheetViews>
  <sheetFormatPr baseColWidth="10" defaultColWidth="0" defaultRowHeight="15" zeroHeight="1" x14ac:dyDescent="0.25"/>
  <cols>
    <col min="1" max="2" width="0" style="18" hidden="1" customWidth="1"/>
    <col min="3" max="3" width="11.5703125" style="18" customWidth="1"/>
    <col min="4" max="4" width="1.7109375" style="18" customWidth="1"/>
    <col min="5" max="5" width="12.7109375" style="18" bestFit="1" customWidth="1"/>
    <col min="6" max="6" width="12.42578125" style="18" bestFit="1" customWidth="1"/>
    <col min="7" max="7" width="1.28515625" style="18" customWidth="1"/>
    <col min="8" max="8" width="12.7109375" style="18" bestFit="1" customWidth="1"/>
    <col min="9" max="9" width="11.5703125" style="18" customWidth="1"/>
    <col min="10" max="10" width="1.7109375" style="18" customWidth="1"/>
    <col min="11" max="11" width="12.7109375" style="18" bestFit="1" customWidth="1"/>
    <col min="12" max="12" width="11.5703125" style="18" customWidth="1"/>
    <col min="13" max="13" width="1.85546875" style="18" customWidth="1"/>
    <col min="14" max="14" width="12.7109375" style="18" bestFit="1" customWidth="1"/>
    <col min="15" max="16" width="11.5703125" style="18" customWidth="1"/>
    <col min="17" max="17" width="12.7109375" style="18" bestFit="1" customWidth="1"/>
    <col min="18" max="22" width="11.5703125" style="18" customWidth="1"/>
    <col min="23" max="23" width="0" style="18" hidden="1" customWidth="1"/>
    <col min="24" max="16384" width="11.5703125" style="18" hidden="1"/>
  </cols>
  <sheetData>
    <row r="1" spans="1:22" customFormat="1" ht="14.45" x14ac:dyDescent="0.3">
      <c r="A1" s="2"/>
      <c r="B1" s="2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61" t="s">
        <v>34</v>
      </c>
      <c r="O1" s="62"/>
      <c r="P1" s="63"/>
      <c r="Q1" s="11"/>
      <c r="R1" s="11"/>
      <c r="S1" s="11"/>
      <c r="T1" s="11"/>
      <c r="U1" s="11"/>
      <c r="V1" s="11"/>
    </row>
    <row r="2" spans="1:22" customFormat="1" ht="14.45" x14ac:dyDescent="0.3">
      <c r="A2" s="2"/>
      <c r="B2" s="2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6" t="s">
        <v>35</v>
      </c>
      <c r="O2" s="64">
        <f>SUM(BDD!H3:H215)</f>
        <v>2655628410.5655165</v>
      </c>
      <c r="P2" s="64"/>
      <c r="Q2" s="11"/>
      <c r="R2" s="11"/>
      <c r="S2" s="11"/>
      <c r="T2" s="11"/>
      <c r="U2" s="11"/>
      <c r="V2" s="11"/>
    </row>
    <row r="3" spans="1:22" customFormat="1" ht="14.45" x14ac:dyDescent="0.3">
      <c r="A3" s="2"/>
      <c r="B3" s="2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6" t="s">
        <v>36</v>
      </c>
      <c r="O3" s="64">
        <f>SUM(BDD!F3:F215)</f>
        <v>105165748.7497948</v>
      </c>
      <c r="P3" s="64"/>
      <c r="Q3" s="11"/>
      <c r="R3" s="11"/>
      <c r="S3" s="11"/>
      <c r="T3" s="11"/>
      <c r="U3" s="11"/>
      <c r="V3" s="11"/>
    </row>
    <row r="4" spans="1:22" customFormat="1" ht="14.45" x14ac:dyDescent="0.3">
      <c r="A4" s="2"/>
      <c r="B4" s="2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6" t="s">
        <v>37</v>
      </c>
      <c r="O4" s="65">
        <f>O3/O2</f>
        <v>3.9601078347930363E-2</v>
      </c>
      <c r="P4" s="65"/>
      <c r="Q4" s="11"/>
      <c r="R4" s="11"/>
      <c r="S4" s="11"/>
      <c r="T4" s="11"/>
      <c r="U4" s="11"/>
      <c r="V4" s="11"/>
    </row>
    <row r="5" spans="1:22" customFormat="1" ht="14.45" x14ac:dyDescent="0.3">
      <c r="A5" s="2"/>
      <c r="B5" s="2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6" t="s">
        <v>38</v>
      </c>
      <c r="O5" s="55">
        <f>1</f>
        <v>1</v>
      </c>
      <c r="P5" s="55"/>
      <c r="Q5" s="11"/>
      <c r="R5" s="11"/>
      <c r="S5" s="11"/>
      <c r="T5" s="11"/>
      <c r="U5" s="11"/>
      <c r="V5" s="11"/>
    </row>
    <row r="6" spans="1:22" customFormat="1" ht="14.45" hidden="1" x14ac:dyDescent="0.3">
      <c r="A6" s="2"/>
      <c r="B6" s="2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</row>
    <row r="7" spans="1:22" customFormat="1" ht="14.45" hidden="1" x14ac:dyDescent="0.3">
      <c r="A7" s="2"/>
      <c r="B7" s="2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</row>
    <row r="8" spans="1:22" customFormat="1" ht="14.45" x14ac:dyDescent="0.3">
      <c r="A8" s="2"/>
      <c r="B8" s="2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</row>
    <row r="9" spans="1:22" customFormat="1" ht="14.45" x14ac:dyDescent="0.3">
      <c r="A9" s="2"/>
      <c r="B9" s="2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 spans="1:22" customFormat="1" ht="14.45" x14ac:dyDescent="0.3">
      <c r="A10" s="2" t="s">
        <v>44</v>
      </c>
      <c r="B10" s="2"/>
      <c r="C10" s="11"/>
      <c r="D10" s="11"/>
      <c r="E10" s="53" t="s">
        <v>28</v>
      </c>
      <c r="F10" s="54"/>
      <c r="G10" s="25"/>
      <c r="H10" s="53" t="s">
        <v>39</v>
      </c>
      <c r="I10" s="54"/>
      <c r="J10" s="25"/>
      <c r="K10" s="53" t="s">
        <v>40</v>
      </c>
      <c r="L10" s="54"/>
      <c r="M10" s="26"/>
      <c r="N10" s="53" t="s">
        <v>41</v>
      </c>
      <c r="O10" s="54"/>
      <c r="P10" s="25"/>
      <c r="Q10" s="59" t="s">
        <v>29</v>
      </c>
      <c r="R10" s="60"/>
      <c r="S10" s="11"/>
      <c r="T10" s="56" t="s">
        <v>33</v>
      </c>
      <c r="U10" s="57"/>
      <c r="V10" s="11"/>
    </row>
    <row r="11" spans="1:22" customFormat="1" ht="14.45" x14ac:dyDescent="0.3">
      <c r="A11" s="2"/>
      <c r="B11" s="2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r="12" spans="1:22" customFormat="1" x14ac:dyDescent="0.25">
      <c r="A12" s="2"/>
      <c r="B12" s="2"/>
      <c r="C12" s="11"/>
      <c r="D12" s="11"/>
      <c r="E12" s="11"/>
      <c r="F12" s="11"/>
      <c r="G12" s="11"/>
      <c r="H12" s="13"/>
      <c r="I12" s="13"/>
      <c r="J12" s="11"/>
      <c r="K12" s="13"/>
      <c r="L12" s="13"/>
      <c r="M12" s="12"/>
      <c r="N12" s="13"/>
      <c r="O12" s="13"/>
      <c r="P12" s="11"/>
      <c r="Q12" s="11"/>
      <c r="R12" s="11"/>
      <c r="S12" s="11"/>
      <c r="T12" s="11"/>
      <c r="U12" s="11"/>
      <c r="V12" s="11"/>
    </row>
    <row r="13" spans="1:22" customFormat="1" x14ac:dyDescent="0.25">
      <c r="A13" s="55" t="s">
        <v>43</v>
      </c>
      <c r="B13" s="2"/>
      <c r="C13" s="58" t="s">
        <v>30</v>
      </c>
      <c r="D13" s="12"/>
      <c r="E13" s="8" t="s">
        <v>35</v>
      </c>
      <c r="F13" s="5">
        <f>SUMIF(BDD!A$3:A$215,Global!E10,BDD!H3:H215)</f>
        <v>1123206628.5548003</v>
      </c>
      <c r="G13" s="11"/>
      <c r="H13" s="8" t="s">
        <v>35</v>
      </c>
      <c r="I13" s="5">
        <f t="array" ref="I13">SUM((BDD!$A$3:$A$215="MMA")*(BDD!$B$3:$B$215="BS")*(BDD!$H$3:$H$215))</f>
        <v>149798999.54958108</v>
      </c>
      <c r="J13" s="11"/>
      <c r="K13" s="8" t="s">
        <v>35</v>
      </c>
      <c r="L13" s="5">
        <f t="array" ref="L13">SUM((BDD!$A$3:$A$215="MMA")*(BDD!$B$3:$B$215="CO")*(BDD!$H$3:$H$215))</f>
        <v>471114799.55149788</v>
      </c>
      <c r="M13" s="15"/>
      <c r="N13" s="8" t="s">
        <v>35</v>
      </c>
      <c r="O13" s="5">
        <f t="array" ref="O13">SUM((BDD!$A$3:$A$215="MMA")*(BDD!$B$3:$B$215="AG")*(BDD!$H$3:$H$215))</f>
        <v>500878164.90884793</v>
      </c>
      <c r="P13" s="11"/>
      <c r="Q13" s="9" t="s">
        <v>35</v>
      </c>
      <c r="R13" s="5">
        <f>SUMIF(BDD!$A$3:$A$215,Global!Q10,BDD!$H$3:$H$215)</f>
        <v>570692484.52319431</v>
      </c>
      <c r="S13" s="11"/>
      <c r="T13" s="10" t="s">
        <v>35</v>
      </c>
      <c r="U13" s="5">
        <f>SUMIF(BDD!$A$3:$A$215,Global!T10,BDD!$H$3:$H$215)</f>
        <v>961729297.48752069</v>
      </c>
      <c r="V13" s="11"/>
    </row>
    <row r="14" spans="1:22" s="28" customFormat="1" x14ac:dyDescent="0.25">
      <c r="A14" s="55"/>
      <c r="C14" s="58"/>
      <c r="D14" s="12"/>
      <c r="E14" s="8" t="s">
        <v>65</v>
      </c>
      <c r="F14" s="5">
        <f>SUMIF(BDD!A$3:A$215,Global!E10,BDD!G3:G215)</f>
        <v>16932188381.95056</v>
      </c>
      <c r="G14" s="11"/>
      <c r="H14" s="8" t="s">
        <v>65</v>
      </c>
      <c r="I14" s="5">
        <f t="array" ref="I14">SUM((BDD!$A$3:$A$215="MMA")*(BDD!$B$3:$B$215="BS")*(BDD!$G$3:$G$215))</f>
        <v>2445555918.5394521</v>
      </c>
      <c r="J14" s="11"/>
      <c r="K14" s="8" t="s">
        <v>65</v>
      </c>
      <c r="L14" s="5">
        <f t="array" ref="L14">SUM((BDD!$A$3:$A$215="MMA")*(BDD!$B$3:$B$215="CO")*(BDD!$G$3:$G$215))</f>
        <v>6718631601.9399824</v>
      </c>
      <c r="M14" s="15"/>
      <c r="N14" s="8" t="s">
        <v>65</v>
      </c>
      <c r="O14" s="5">
        <f t="array" ref="O14">SUM((BDD!$A$3:$A$215="MMA")*(BDD!$B$3:$B$215="AG")*(BDD!$G$3:$G$215))</f>
        <v>7752935169.4617119</v>
      </c>
      <c r="P14" s="11"/>
      <c r="Q14" s="9" t="s">
        <v>65</v>
      </c>
      <c r="R14" s="5">
        <f>SUMIF(BDD!$A$3:$A$215,Global!Q10,BDD!$G$3:$G$215)</f>
        <v>8865346447.4827576</v>
      </c>
      <c r="S14" s="11"/>
      <c r="T14" s="10" t="s">
        <v>65</v>
      </c>
      <c r="U14" s="5">
        <f>SUMIF(BDD!$A$3:$A$215,Global!T10,BDD!$G$3:$G$215)</f>
        <v>16464112221.386372</v>
      </c>
      <c r="V14" s="11"/>
    </row>
    <row r="15" spans="1:22" customFormat="1" x14ac:dyDescent="0.25">
      <c r="A15" s="55"/>
      <c r="B15" s="2"/>
      <c r="C15" s="58"/>
      <c r="D15" s="12"/>
      <c r="E15" s="8" t="s">
        <v>36</v>
      </c>
      <c r="F15" s="5">
        <f>SUMIF(BDD!A$3:A$215,Global!E10,BDD!F3:F215)</f>
        <v>42110977.416281931</v>
      </c>
      <c r="G15" s="11"/>
      <c r="H15" s="8" t="s">
        <v>36</v>
      </c>
      <c r="I15" s="5">
        <f t="array" ref="I15">SUM((BDD!$A$3:$A$215="MMA")*(BDD!$B$3:$B$215="BS")*(BDD!$F$3:$F$215))</f>
        <v>8283837.7356557064</v>
      </c>
      <c r="J15" s="11"/>
      <c r="K15" s="8" t="s">
        <v>36</v>
      </c>
      <c r="L15" s="5">
        <f t="array" ref="L15">SUM((BDD!$A$3:$A$215="MMA")*(BDD!$B$3:$B$215="CO")*(BDD!$F$3:$F$215))</f>
        <v>14914919.830034178</v>
      </c>
      <c r="M15" s="15"/>
      <c r="N15" s="8" t="s">
        <v>36</v>
      </c>
      <c r="O15" s="5">
        <f t="array" ref="O15">SUM((BDD!$A$3:$A$215="MMA")*(BDD!$B$3:$B$215="AG")*(BDD!$F$3:$F$215))</f>
        <v>18887765.350522727</v>
      </c>
      <c r="P15" s="11"/>
      <c r="Q15" s="9" t="s">
        <v>36</v>
      </c>
      <c r="R15" s="5">
        <f>SUMIF(BDD!$A$3:$A$215,Global!Q10,BDD!$F$3:$F$215)</f>
        <v>28643645.429963131</v>
      </c>
      <c r="S15" s="11"/>
      <c r="T15" s="10" t="s">
        <v>36</v>
      </c>
      <c r="U15" s="5">
        <f>SUMIF(BDD!$A$3:$A$215,Global!T10,BDD!$F$3:$F$215)</f>
        <v>34411125.90354982</v>
      </c>
      <c r="V15" s="11"/>
    </row>
    <row r="16" spans="1:22" customFormat="1" x14ac:dyDescent="0.25">
      <c r="A16" s="55"/>
      <c r="B16" s="2"/>
      <c r="C16" s="58"/>
      <c r="D16" s="12"/>
      <c r="E16" s="8" t="s">
        <v>37</v>
      </c>
      <c r="F16" s="3">
        <f>F15/F13</f>
        <v>3.7491745815696434E-2</v>
      </c>
      <c r="G16" s="11"/>
      <c r="H16" s="8" t="s">
        <v>37</v>
      </c>
      <c r="I16" s="3">
        <f>I15/I13</f>
        <v>5.5299686650536597E-2</v>
      </c>
      <c r="J16" s="11"/>
      <c r="K16" s="8" t="s">
        <v>37</v>
      </c>
      <c r="L16" s="3">
        <f>L15/L13</f>
        <v>3.1658780077028374E-2</v>
      </c>
      <c r="M16" s="16"/>
      <c r="N16" s="8" t="s">
        <v>37</v>
      </c>
      <c r="O16" s="3">
        <f>O15/O13</f>
        <v>3.7709300731765795E-2</v>
      </c>
      <c r="P16" s="11"/>
      <c r="Q16" s="9" t="s">
        <v>37</v>
      </c>
      <c r="R16" s="3">
        <f>R15/R13</f>
        <v>5.01910331864533E-2</v>
      </c>
      <c r="S16" s="11"/>
      <c r="T16" s="10" t="s">
        <v>37</v>
      </c>
      <c r="U16" s="3">
        <f>U15/U13</f>
        <v>3.578046961182061E-2</v>
      </c>
      <c r="V16" s="11"/>
    </row>
    <row r="17" spans="1:22" customFormat="1" x14ac:dyDescent="0.25">
      <c r="A17" s="55"/>
      <c r="B17" s="2"/>
      <c r="C17" s="58"/>
      <c r="D17" s="12"/>
      <c r="E17" s="8" t="s">
        <v>38</v>
      </c>
      <c r="F17" s="7">
        <f>(F15/$O$3)/(F13/$O$2)</f>
        <v>0.94673547741044861</v>
      </c>
      <c r="G17" s="11"/>
      <c r="H17" s="8" t="s">
        <v>38</v>
      </c>
      <c r="I17" s="7">
        <f>(I15/$O$3)/(I13/$O$2)</f>
        <v>1.3964187077099295</v>
      </c>
      <c r="J17" s="11"/>
      <c r="K17" s="8" t="s">
        <v>38</v>
      </c>
      <c r="L17" s="7">
        <f>(L15/$O$3)/(L13/$O$2)</f>
        <v>0.79944237373735372</v>
      </c>
      <c r="M17" s="17"/>
      <c r="N17" s="8" t="s">
        <v>38</v>
      </c>
      <c r="O17" s="7">
        <f>(O15/$O$3)/(O13/$O$2)</f>
        <v>0.95222913882436144</v>
      </c>
      <c r="P17" s="11"/>
      <c r="Q17" s="9" t="s">
        <v>38</v>
      </c>
      <c r="R17" s="7">
        <f>(R15/$O$3)/(R13/$O$2)</f>
        <v>1.2674158199804777</v>
      </c>
      <c r="S17" s="11"/>
      <c r="T17" s="10" t="s">
        <v>38</v>
      </c>
      <c r="U17" s="7">
        <f>(U15/$O$3)/(U13/$O$2)</f>
        <v>0.90352260858802036</v>
      </c>
      <c r="V17" s="11"/>
    </row>
    <row r="18" spans="1:22" customFormat="1" ht="14.45" customHeight="1" x14ac:dyDescent="0.25">
      <c r="A18" s="2"/>
      <c r="B18" s="2"/>
      <c r="C18" s="58"/>
      <c r="D18" s="11"/>
      <c r="E18" s="8" t="s">
        <v>62</v>
      </c>
      <c r="F18" s="78">
        <f>F14/F13</f>
        <v>15.074865079577345</v>
      </c>
      <c r="G18" s="11"/>
      <c r="H18" s="8" t="s">
        <v>62</v>
      </c>
      <c r="I18" s="78">
        <f>I14/I13</f>
        <v>16.325582453105849</v>
      </c>
      <c r="J18" s="11"/>
      <c r="K18" s="8" t="s">
        <v>62</v>
      </c>
      <c r="L18" s="78">
        <f>L14/L13</f>
        <v>14.261134671074082</v>
      </c>
      <c r="M18" s="11"/>
      <c r="N18" s="8" t="s">
        <v>62</v>
      </c>
      <c r="O18" s="78">
        <f>O14/O13</f>
        <v>15.478684663510188</v>
      </c>
      <c r="P18" s="11"/>
      <c r="Q18" s="9" t="s">
        <v>62</v>
      </c>
      <c r="R18" s="78">
        <f>R14/R13</f>
        <v>15.534366910210203</v>
      </c>
      <c r="S18" s="11"/>
      <c r="T18" s="10" t="s">
        <v>62</v>
      </c>
      <c r="U18" s="78">
        <f>U14/U13</f>
        <v>17.11927905742105</v>
      </c>
      <c r="V18" s="11"/>
    </row>
    <row r="19" spans="1:22" customFormat="1" x14ac:dyDescent="0.25">
      <c r="A19" s="2"/>
      <c r="B19" s="2"/>
      <c r="C19" s="58"/>
      <c r="D19" s="11"/>
      <c r="E19" s="8" t="s">
        <v>63</v>
      </c>
      <c r="F19" s="81">
        <f>F30/F13</f>
        <v>0.29682285473757558</v>
      </c>
      <c r="G19" s="11"/>
      <c r="H19" s="8" t="s">
        <v>63</v>
      </c>
      <c r="I19" s="81">
        <f>I30/I13</f>
        <v>0.41058299578990781</v>
      </c>
      <c r="J19" s="11"/>
      <c r="K19" s="8" t="s">
        <v>63</v>
      </c>
      <c r="L19" s="81">
        <f>L30/L13</f>
        <v>0.3750537569286394</v>
      </c>
      <c r="M19" s="11"/>
      <c r="N19" s="8" t="s">
        <v>63</v>
      </c>
      <c r="O19" s="81">
        <f>O30/O13</f>
        <v>0.19005512474676306</v>
      </c>
      <c r="P19" s="11"/>
      <c r="Q19" s="9" t="s">
        <v>63</v>
      </c>
      <c r="R19" s="81">
        <f>R30/R13</f>
        <v>0.21279750601234271</v>
      </c>
      <c r="S19" s="11"/>
      <c r="T19" s="10" t="s">
        <v>63</v>
      </c>
      <c r="U19" s="81">
        <f>U30/U13</f>
        <v>0.10072551883925861</v>
      </c>
      <c r="V19" s="11"/>
    </row>
    <row r="20" spans="1:22" customFormat="1" x14ac:dyDescent="0.25">
      <c r="A20" s="2"/>
      <c r="B20" s="2"/>
      <c r="C20" s="25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</row>
    <row r="21" spans="1:22" customFormat="1" x14ac:dyDescent="0.25">
      <c r="A21" s="2"/>
      <c r="B21" s="2"/>
      <c r="C21" s="25"/>
      <c r="D21" s="11"/>
      <c r="E21" s="13"/>
      <c r="F21" s="13"/>
      <c r="G21" s="11"/>
      <c r="H21" s="13"/>
      <c r="I21" s="13"/>
      <c r="J21" s="11"/>
      <c r="K21" s="13"/>
      <c r="L21" s="13"/>
      <c r="M21" s="12"/>
      <c r="N21" s="13"/>
      <c r="O21" s="13"/>
      <c r="P21" s="11"/>
      <c r="Q21" s="79" t="s">
        <v>11</v>
      </c>
      <c r="R21" s="79"/>
      <c r="S21" s="11"/>
      <c r="T21" s="80" t="s">
        <v>11</v>
      </c>
      <c r="U21" s="80"/>
      <c r="V21" s="11"/>
    </row>
    <row r="22" spans="1:22" customFormat="1" x14ac:dyDescent="0.25">
      <c r="A22" s="2"/>
      <c r="B22" s="2"/>
      <c r="C22" s="58" t="s">
        <v>11</v>
      </c>
      <c r="D22" s="11"/>
      <c r="E22" s="8" t="s">
        <v>35</v>
      </c>
      <c r="F22" s="5">
        <f t="array" ref="F22">SUM((BDD!$A$3:$A$215="MMA")*(BDD!$C$3:$C$215="EURO")*(BDD!$H$3:$H$215))</f>
        <v>773222622.02280998</v>
      </c>
      <c r="G22" s="11"/>
      <c r="H22" s="8" t="s">
        <v>35</v>
      </c>
      <c r="I22" s="5">
        <f t="array" ref="I22">SUM((BDD!$A$3:$A$215="MMA")*(BDD!$B$3:$B$215="BS")*(BDD!$C$3:$C$215="EURO")*(BDD!$H$3:$H$215))</f>
        <v>86345335.77749297</v>
      </c>
      <c r="J22" s="11"/>
      <c r="K22" s="8" t="s">
        <v>35</v>
      </c>
      <c r="L22" s="5">
        <f t="array" ref="L22">SUM((BDD!$A$3:$A$215="MMA")*(BDD!$B$3:$B$215="CO")*(BDD!$C$3:$C$215="EURO")*(BDD!$H$3:$H$215))</f>
        <v>293402413.76399064</v>
      </c>
      <c r="M22" s="15"/>
      <c r="N22" s="8" t="s">
        <v>35</v>
      </c>
      <c r="O22" s="5">
        <f t="array" ref="O22">SUM((BDD!$A$3:$A$215="MMA")*(BDD!$B$3:$B$215="AG")*(BDD!$C$3:$C$215="EURO")*(BDD!$H$3:$H$215))</f>
        <v>392060846.25170523</v>
      </c>
      <c r="P22" s="11"/>
      <c r="Q22" s="9" t="s">
        <v>35</v>
      </c>
      <c r="R22" s="5">
        <f t="array" ref="R22">SUM((BDD!$A$3:$A$215="MAAF")*(BDD!$C$3:$C$215="EURO")*(BDD!$H$3:$H$215))</f>
        <v>404088478.92077899</v>
      </c>
      <c r="S22" s="11"/>
      <c r="T22" s="10" t="s">
        <v>35</v>
      </c>
      <c r="U22" s="5">
        <f t="array" ref="U22">SUM((BDD!$A$3:$A$215="GMF")*(BDD!$C$3:$C$215="EURO")*(BDD!$H$3:$H$215))</f>
        <v>836112166.63694358</v>
      </c>
      <c r="V22" s="11"/>
    </row>
    <row r="23" spans="1:22" s="28" customFormat="1" x14ac:dyDescent="0.25">
      <c r="C23" s="58"/>
      <c r="D23" s="11"/>
      <c r="E23" s="8" t="s">
        <v>65</v>
      </c>
      <c r="F23" s="5">
        <f t="array" ref="F23">SUM((BDD!$A$3:$A$215="MMA")*(BDD!$C$3:$C$215="EURO")*(BDD!$G$3:$G$215))</f>
        <v>11299084011.951523</v>
      </c>
      <c r="G23" s="11"/>
      <c r="H23" s="8" t="s">
        <v>65</v>
      </c>
      <c r="I23" s="5">
        <f t="array" ref="I23">SUM((BDD!$A$3:$A$215="MMA")*(BDD!$B$3:$B$215="BS")*(BDD!$C$3:$C$215="EURO")*(BDD!$G$3:$G$215))</f>
        <v>1255669235.9943967</v>
      </c>
      <c r="J23" s="11"/>
      <c r="K23" s="8" t="s">
        <v>65</v>
      </c>
      <c r="L23" s="5">
        <f t="array" ref="L23">SUM((BDD!$A$3:$A$215="MMA")*(BDD!$B$3:$B$215="CO")*(BDD!$C$3:$C$215="EURO")*(BDD!$G$3:$G$215))</f>
        <v>4109956451.3147917</v>
      </c>
      <c r="M23" s="15"/>
      <c r="N23" s="8" t="s">
        <v>65</v>
      </c>
      <c r="O23" s="5">
        <f t="array" ref="O23">SUM((BDD!$A$3:$A$215="MMA")*(BDD!$B$3:$B$215="AG")*(BDD!$C$3:$C$215="EURO")*(BDD!$G$3:$G$215))</f>
        <v>5918402754.4746399</v>
      </c>
      <c r="P23" s="11"/>
      <c r="Q23" s="9" t="s">
        <v>65</v>
      </c>
      <c r="R23" s="5">
        <f t="array" ref="R23">SUM((BDD!$A$3:$A$215="MAAF")*(BDD!$C$3:$C$215="EURO")*(BDD!$G$3:$G$215))</f>
        <v>6641929924.0301313</v>
      </c>
      <c r="S23" s="11"/>
      <c r="T23" s="10" t="s">
        <v>65</v>
      </c>
      <c r="U23" s="5">
        <f t="array" ref="U23">SUM((BDD!$A$3:$A$215="GMF")*(BDD!$C$3:$C$215="EURO")*(BDD!$G$3:$G$215))</f>
        <v>14540891144.230358</v>
      </c>
      <c r="V23" s="11"/>
    </row>
    <row r="24" spans="1:22" customFormat="1" x14ac:dyDescent="0.25">
      <c r="A24" s="2"/>
      <c r="B24" s="2"/>
      <c r="C24" s="58"/>
      <c r="D24" s="11"/>
      <c r="E24" s="8" t="s">
        <v>36</v>
      </c>
      <c r="F24" s="5">
        <f t="array" ref="F24">SUM((BDD!$A$3:$A$215="MMA")*(BDD!$C$3:$C$215="EURO")*(BDD!$F$3:$F$215))</f>
        <v>16519379.988845129</v>
      </c>
      <c r="G24" s="11"/>
      <c r="H24" s="8" t="s">
        <v>36</v>
      </c>
      <c r="I24" s="5">
        <f t="array" ref="I24">SUM((BDD!$A$3:$A$215="MMA")*(BDD!$B$3:$B$215="BS")*(BDD!$C$3:$C$215="EURO")*(BDD!$F$3:$F$215))</f>
        <v>1139717.098461193</v>
      </c>
      <c r="J24" s="11"/>
      <c r="K24" s="8" t="s">
        <v>36</v>
      </c>
      <c r="L24" s="5">
        <f t="array" ref="L24">SUM((BDD!$A$3:$A$215="MMA")*(BDD!$B$3:$B$215="CO")*(BDD!$C$3:$C$215="EURO")*(BDD!$F$3:$F$215))</f>
        <v>5946659.2463836661</v>
      </c>
      <c r="M24" s="15"/>
      <c r="N24" s="8" t="s">
        <v>36</v>
      </c>
      <c r="O24" s="5">
        <f t="array" ref="O24">SUM((BDD!$A$3:$A$215="MMA")*(BDD!$B$3:$B$215="AG")*(BDD!$C$3:$C$215="EURO")*(BDD!$F$3:$F$215))</f>
        <v>9408600.9237165973</v>
      </c>
      <c r="P24" s="11"/>
      <c r="Q24" s="9" t="s">
        <v>36</v>
      </c>
      <c r="R24" s="5">
        <f t="array" ref="R24">SUM((BDD!$A$3:$A$215="MAAF")*(BDD!$C$3:$C$215="EURO")*(BDD!$F$3:$F$215))</f>
        <v>8164697.4260203782</v>
      </c>
      <c r="S24" s="11"/>
      <c r="T24" s="10" t="s">
        <v>36</v>
      </c>
      <c r="U24" s="5">
        <f t="array" ref="U24">SUM((BDD!$A$3:$A$215="GMF")*(BDD!$C$3:$C$215="EURO")*(BDD!$F$3:$F$215))</f>
        <v>19366151.106730964</v>
      </c>
      <c r="V24" s="11"/>
    </row>
    <row r="25" spans="1:22" customFormat="1" x14ac:dyDescent="0.25">
      <c r="A25" s="2"/>
      <c r="B25" s="2"/>
      <c r="C25" s="58"/>
      <c r="D25" s="11"/>
      <c r="E25" s="8" t="s">
        <v>37</v>
      </c>
      <c r="F25" s="3">
        <f>F24/F22</f>
        <v>2.1364325768986371E-2</v>
      </c>
      <c r="G25" s="11"/>
      <c r="H25" s="8" t="s">
        <v>37</v>
      </c>
      <c r="I25" s="3">
        <f>I24/I22</f>
        <v>1.3199521296647445E-2</v>
      </c>
      <c r="J25" s="11"/>
      <c r="K25" s="8" t="s">
        <v>37</v>
      </c>
      <c r="L25" s="3">
        <f>L24/L22</f>
        <v>2.0267928849307584E-2</v>
      </c>
      <c r="M25" s="16"/>
      <c r="N25" s="8" t="s">
        <v>37</v>
      </c>
      <c r="O25" s="3">
        <f>O24/O22</f>
        <v>2.3997808028186074E-2</v>
      </c>
      <c r="P25" s="11"/>
      <c r="Q25" s="9" t="s">
        <v>37</v>
      </c>
      <c r="R25" s="3">
        <f>R24/R22</f>
        <v>2.0205222004414179E-2</v>
      </c>
      <c r="S25" s="11"/>
      <c r="T25" s="10" t="s">
        <v>37</v>
      </c>
      <c r="U25" s="3">
        <f>U24/U22</f>
        <v>2.3162144840717443E-2</v>
      </c>
      <c r="V25" s="11"/>
    </row>
    <row r="26" spans="1:22" customFormat="1" x14ac:dyDescent="0.25">
      <c r="A26" s="2"/>
      <c r="B26" s="2"/>
      <c r="C26" s="58"/>
      <c r="D26" s="11"/>
      <c r="E26" s="8" t="s">
        <v>38</v>
      </c>
      <c r="F26" s="7">
        <f>(F24/$O$3)/(F22/$O$2)</f>
        <v>0.539488485169064</v>
      </c>
      <c r="G26" s="11"/>
      <c r="H26" s="8" t="s">
        <v>38</v>
      </c>
      <c r="I26" s="7">
        <f>(I24/$O$3)/(I22/$O$2)</f>
        <v>0.33331216843839501</v>
      </c>
      <c r="J26" s="11"/>
      <c r="K26" s="8" t="s">
        <v>38</v>
      </c>
      <c r="L26" s="7">
        <f>(L24/$O$3)/(L22/$O$2)</f>
        <v>0.51180244818678855</v>
      </c>
      <c r="M26" s="17"/>
      <c r="N26" s="8" t="s">
        <v>38</v>
      </c>
      <c r="O26" s="7">
        <f>(O24/$O$3)/(O22/$O$2)</f>
        <v>0.60598875155227305</v>
      </c>
      <c r="P26" s="11"/>
      <c r="Q26" s="9" t="s">
        <v>38</v>
      </c>
      <c r="R26" s="7">
        <f>(R24/$O$3)/(R22/$O$2)</f>
        <v>0.51021898512190755</v>
      </c>
      <c r="S26" s="11"/>
      <c r="T26" s="10" t="s">
        <v>38</v>
      </c>
      <c r="U26" s="7">
        <f>(U24/$O$3)/(U22/$O$2)</f>
        <v>0.58488672043770096</v>
      </c>
      <c r="V26" s="11"/>
    </row>
    <row r="27" spans="1:22" s="28" customFormat="1" x14ac:dyDescent="0.25">
      <c r="C27" s="58"/>
      <c r="D27" s="11"/>
      <c r="E27" s="8" t="s">
        <v>62</v>
      </c>
      <c r="F27" s="78">
        <f>F23/F22</f>
        <v>14.612976509135555</v>
      </c>
      <c r="G27" s="11"/>
      <c r="H27" s="8" t="s">
        <v>62</v>
      </c>
      <c r="I27" s="78">
        <f>I23/I22</f>
        <v>14.542409554468408</v>
      </c>
      <c r="J27" s="11"/>
      <c r="K27" s="8" t="s">
        <v>62</v>
      </c>
      <c r="L27" s="78">
        <f>L23/L22</f>
        <v>14.007916290084754</v>
      </c>
      <c r="M27" s="15"/>
      <c r="N27" s="8" t="s">
        <v>62</v>
      </c>
      <c r="O27" s="78">
        <f>O23/O22</f>
        <v>15.09562306733122</v>
      </c>
      <c r="P27" s="11"/>
      <c r="Q27" s="9" t="s">
        <v>62</v>
      </c>
      <c r="R27" s="78">
        <f>R23/R22</f>
        <v>16.436820821442605</v>
      </c>
      <c r="S27" s="11"/>
      <c r="T27" s="10" t="s">
        <v>62</v>
      </c>
      <c r="U27" s="78">
        <f>U23/U22</f>
        <v>17.391077088038955</v>
      </c>
      <c r="V27" s="11"/>
    </row>
    <row r="28" spans="1:22" s="28" customFormat="1" ht="20.25" customHeight="1" x14ac:dyDescent="0.25">
      <c r="C28" s="25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</row>
    <row r="29" spans="1:22" customFormat="1" ht="18.75" customHeight="1" x14ac:dyDescent="0.25">
      <c r="A29" s="2"/>
      <c r="B29" s="2"/>
      <c r="C29" s="25"/>
      <c r="D29" s="11"/>
      <c r="E29" s="13"/>
      <c r="F29" s="13"/>
      <c r="G29" s="11"/>
      <c r="H29" s="13"/>
      <c r="I29" s="13"/>
      <c r="J29" s="11"/>
      <c r="K29" s="13"/>
      <c r="L29" s="13"/>
      <c r="M29" s="12"/>
      <c r="N29" s="13"/>
      <c r="O29" s="13"/>
      <c r="P29" s="11"/>
      <c r="Q29" s="79" t="s">
        <v>18</v>
      </c>
      <c r="R29" s="79"/>
      <c r="S29" s="11"/>
      <c r="T29" s="80" t="s">
        <v>18</v>
      </c>
      <c r="U29" s="80"/>
      <c r="V29" s="11"/>
    </row>
    <row r="30" spans="1:22" customFormat="1" ht="18" customHeight="1" x14ac:dyDescent="0.25">
      <c r="A30" s="2"/>
      <c r="B30" s="2"/>
      <c r="C30" s="58" t="s">
        <v>18</v>
      </c>
      <c r="D30" s="11"/>
      <c r="E30" s="8" t="s">
        <v>35</v>
      </c>
      <c r="F30" s="5">
        <f t="array" ref="F30">SUM((BDD!$A$3:$A$215="MMA")*(BDD!$C$3:$C$215="UC")*(BDD!$H$3:$H$215))</f>
        <v>333393397.9478035</v>
      </c>
      <c r="G30" s="11"/>
      <c r="H30" s="8" t="s">
        <v>35</v>
      </c>
      <c r="I30" s="5">
        <f t="array" ref="I30">SUM((BDD!$A$3:$A$215="MMA")*(BDD!$B$3:$B$215="BS")*(BDD!$C$3:$C$215="UC")*(BDD!$H$3:$H$215))</f>
        <v>61504922.001398049</v>
      </c>
      <c r="J30" s="11"/>
      <c r="K30" s="8" t="s">
        <v>35</v>
      </c>
      <c r="L30" s="5">
        <f t="array" ref="L30">SUM((BDD!$A$3:$A$215="MMA")*(BDD!$B$3:$B$215="CO")*(BDD!$C$3:$C$215="UC")*(BDD!$H$3:$H$215))</f>
        <v>176693375.51647216</v>
      </c>
      <c r="M30" s="15"/>
      <c r="N30" s="8" t="s">
        <v>35</v>
      </c>
      <c r="O30" s="5">
        <f t="array" ref="O30">SUM((BDD!$A$3:$A$215="MMA")*(BDD!$B$3:$B$215="AG")*(BDD!$C$3:$C$215="UC")*(BDD!$H$3:$H$215))</f>
        <v>95194462.114680856</v>
      </c>
      <c r="P30" s="11"/>
      <c r="Q30" s="9" t="s">
        <v>35</v>
      </c>
      <c r="R30" s="5">
        <f t="array" ref="R30">SUM((BDD!$A$3:$A$215="MAAF")*(BDD!$C$3:$C$215="UC")*(BDD!$H$3:$H$215))</f>
        <v>121441937.40652324</v>
      </c>
      <c r="S30" s="11"/>
      <c r="T30" s="10" t="s">
        <v>35</v>
      </c>
      <c r="U30" s="5">
        <f t="array" ref="U30">SUM((BDD!$A$3:$A$215="GMF")*(BDD!$C$3:$C$215="UC")*(BDD!$H$3:$H$215))</f>
        <v>96870682.472346216</v>
      </c>
      <c r="V30" s="11"/>
    </row>
    <row r="31" spans="1:22" s="28" customFormat="1" ht="18" customHeight="1" x14ac:dyDescent="0.25">
      <c r="C31" s="58"/>
      <c r="D31" s="11"/>
      <c r="E31" s="8" t="s">
        <v>65</v>
      </c>
      <c r="F31" s="5">
        <f t="array" ref="F31">SUM((BDD!$A$3:$A$215="MMA")*(BDD!$C$3:$C$215="UC")*(BDD!$G$3:$G$215))</f>
        <v>5633104369.9990358</v>
      </c>
      <c r="G31" s="11"/>
      <c r="H31" s="8" t="s">
        <v>65</v>
      </c>
      <c r="I31" s="5">
        <f t="array" ref="I31">SUM((BDD!$A$3:$A$215="MMA")*(BDD!$B$3:$B$215="BS")*(BDD!$C$3:$C$215="UC")*(BDD!$G$3:$G$215))</f>
        <v>1189886682.5450559</v>
      </c>
      <c r="J31" s="11"/>
      <c r="K31" s="8" t="s">
        <v>65</v>
      </c>
      <c r="L31" s="5">
        <f t="array" ref="L31">SUM((BDD!$A$3:$A$215="MMA")*(BDD!$B$3:$B$215="CO")*(BDD!$C$3:$C$215="UC")*(BDD!$G$3:$G$215))</f>
        <v>2608675150.6251907</v>
      </c>
      <c r="M31" s="15"/>
      <c r="N31" s="8" t="s">
        <v>65</v>
      </c>
      <c r="O31" s="5">
        <f t="array" ref="O31">SUM((BDD!$A$3:$A$215="MMA")*(BDD!$B$3:$B$215="AG")*(BDD!$C$3:$C$215="UC")*(BDD!$G$3:$G$215))</f>
        <v>1834532414.9870713</v>
      </c>
      <c r="P31" s="11"/>
      <c r="Q31" s="9" t="s">
        <v>65</v>
      </c>
      <c r="R31" s="5">
        <f t="array" ref="R31">SUM((BDD!$A$3:$A$215="MAAF")*(BDD!$C$3:$C$215="UC")*(BDD!$G$3:$G$215))</f>
        <v>2223416523.4526262</v>
      </c>
      <c r="S31" s="11"/>
      <c r="T31" s="10" t="s">
        <v>65</v>
      </c>
      <c r="U31" s="5">
        <f t="array" ref="U31">SUM((BDD!$A$3:$A$215="GMF")*(BDD!$C$3:$C$215="UC")*(BDD!$G$3:$G$215))</f>
        <v>1923221077.156014</v>
      </c>
      <c r="V31" s="11"/>
    </row>
    <row r="32" spans="1:22" customFormat="1" x14ac:dyDescent="0.25">
      <c r="A32" s="2"/>
      <c r="B32" s="2"/>
      <c r="C32" s="58"/>
      <c r="D32" s="11"/>
      <c r="E32" s="8" t="s">
        <v>36</v>
      </c>
      <c r="F32" s="5">
        <f t="array" ref="F32">SUM((BDD!$A$3:$A$215="MMA")*(BDD!$C$3:$C$215="UC")*(BDD!$F$3:$F$215))</f>
        <v>24861582.879239716</v>
      </c>
      <c r="G32" s="11"/>
      <c r="H32" s="8" t="s">
        <v>36</v>
      </c>
      <c r="I32" s="5">
        <f t="array" ref="I32">SUM((BDD!$A$3:$A$215="MMA")*(BDD!$B$3:$B$215="BS")*(BDD!$C$3:$C$215="UC")*(BDD!$F$3:$F$215))</f>
        <v>7012492.3925369829</v>
      </c>
      <c r="J32" s="11"/>
      <c r="K32" s="8" t="s">
        <v>36</v>
      </c>
      <c r="L32" s="5">
        <f t="array" ref="L32">SUM((BDD!$A$3:$A$215="MMA")*(BDD!$B$3:$B$215="CO")*(BDD!$C$3:$C$215="UC")*(BDD!$F$3:$F$215))</f>
        <v>8929899.7867180463</v>
      </c>
      <c r="M32" s="15"/>
      <c r="N32" s="8" t="s">
        <v>36</v>
      </c>
      <c r="O32" s="5">
        <f t="array" ref="O32">SUM((BDD!$A$3:$A$215="MMA")*(BDD!$B$3:$B$215="AG")*(BDD!$C$3:$C$215="UC")*(BDD!$F$3:$F$215))</f>
        <v>8919138.9201990403</v>
      </c>
      <c r="P32" s="11"/>
      <c r="Q32" s="9" t="s">
        <v>36</v>
      </c>
      <c r="R32" s="5">
        <f t="array" ref="R32">SUM((BDD!$A$3:$A$215="MAAF")*(BDD!$C$3:$C$215="UC")*(BDD!$F$3:$F$215))</f>
        <v>17340910.730204813</v>
      </c>
      <c r="S32" s="11"/>
      <c r="T32" s="10" t="s">
        <v>36</v>
      </c>
      <c r="U32" s="5">
        <f t="array" ref="U32">SUM((BDD!$A$3:$A$215="GMF")*(BDD!$C$3:$C$215="UC")*(BDD!$F$3:$F$215))</f>
        <v>13260239.028036471</v>
      </c>
      <c r="V32" s="11"/>
    </row>
    <row r="33" spans="1:22" customFormat="1" x14ac:dyDescent="0.25">
      <c r="A33" s="2"/>
      <c r="B33" s="2"/>
      <c r="C33" s="58"/>
      <c r="D33" s="11"/>
      <c r="E33" s="8" t="s">
        <v>37</v>
      </c>
      <c r="F33" s="3">
        <f>F32/F30</f>
        <v>7.4571311346519453E-2</v>
      </c>
      <c r="G33" s="11"/>
      <c r="H33" s="8" t="s">
        <v>37</v>
      </c>
      <c r="I33" s="3">
        <f>I32/I30</f>
        <v>0.11401514162358557</v>
      </c>
      <c r="J33" s="11"/>
      <c r="K33" s="8" t="s">
        <v>37</v>
      </c>
      <c r="L33" s="3">
        <f>L32/L30</f>
        <v>5.0538961976452593E-2</v>
      </c>
      <c r="M33" s="16"/>
      <c r="N33" s="8" t="s">
        <v>37</v>
      </c>
      <c r="O33" s="3">
        <f>O32/O30</f>
        <v>9.3693884308670664E-2</v>
      </c>
      <c r="P33" s="11"/>
      <c r="Q33" s="9" t="s">
        <v>37</v>
      </c>
      <c r="R33" s="3">
        <f>R32/R30</f>
        <v>0.14279178264553402</v>
      </c>
      <c r="S33" s="11"/>
      <c r="T33" s="10" t="s">
        <v>37</v>
      </c>
      <c r="U33" s="3">
        <f>U32/U30</f>
        <v>0.13688598747946146</v>
      </c>
      <c r="V33" s="11"/>
    </row>
    <row r="34" spans="1:22" customFormat="1" x14ac:dyDescent="0.25">
      <c r="A34" s="2"/>
      <c r="B34" s="2"/>
      <c r="C34" s="58"/>
      <c r="D34" s="11"/>
      <c r="E34" s="8" t="s">
        <v>38</v>
      </c>
      <c r="F34" s="7">
        <f>(F32/$O$3)/(F30/$O$2)</f>
        <v>1.8830626451973049</v>
      </c>
      <c r="G34" s="11"/>
      <c r="H34" s="8" t="s">
        <v>38</v>
      </c>
      <c r="I34" s="7">
        <f>(I32/$O$3)/(I30/$O$2)</f>
        <v>2.8790918424458569</v>
      </c>
      <c r="J34" s="11"/>
      <c r="K34" s="8" t="s">
        <v>38</v>
      </c>
      <c r="L34" s="7">
        <f>(L32/$O$3)/(L30/$O$2)</f>
        <v>1.2762016612886977</v>
      </c>
      <c r="M34" s="17"/>
      <c r="N34" s="8" t="s">
        <v>38</v>
      </c>
      <c r="O34" s="7">
        <f>(O32/$O$3)/(O30/$O$2)</f>
        <v>2.3659427525050543</v>
      </c>
      <c r="P34" s="11"/>
      <c r="Q34" s="9" t="s">
        <v>38</v>
      </c>
      <c r="R34" s="7">
        <f>(R32/$O$3)/(R30/$O$2)</f>
        <v>3.6057549087674432</v>
      </c>
      <c r="S34" s="11"/>
      <c r="T34" s="10" t="s">
        <v>38</v>
      </c>
      <c r="U34" s="7">
        <f>(U32/$O$3)/(U30/$O$2)</f>
        <v>3.4566227282196071</v>
      </c>
      <c r="V34" s="11"/>
    </row>
    <row r="35" spans="1:22" s="28" customFormat="1" x14ac:dyDescent="0.25">
      <c r="C35" s="58"/>
      <c r="D35" s="11"/>
      <c r="E35" s="8" t="s">
        <v>35</v>
      </c>
      <c r="F35" s="78">
        <f>F31/F30</f>
        <v>16.896268506435636</v>
      </c>
      <c r="G35" s="11"/>
      <c r="H35" s="8" t="s">
        <v>35</v>
      </c>
      <c r="I35" s="78">
        <f>I31/I30</f>
        <v>19.346202609898587</v>
      </c>
      <c r="J35" s="11"/>
      <c r="K35" s="8" t="s">
        <v>35</v>
      </c>
      <c r="L35" s="78">
        <f>L31/L30</f>
        <v>14.763853726830853</v>
      </c>
      <c r="M35" s="15"/>
      <c r="N35" s="8" t="s">
        <v>35</v>
      </c>
      <c r="O35" s="78">
        <f>O31/O30</f>
        <v>19.271419515738305</v>
      </c>
      <c r="P35" s="11"/>
      <c r="Q35" s="9" t="s">
        <v>35</v>
      </c>
      <c r="R35" s="78">
        <f>R31/R30</f>
        <v>18.308473752438633</v>
      </c>
      <c r="S35" s="11"/>
      <c r="T35" s="10" t="s">
        <v>35</v>
      </c>
      <c r="U35" s="78">
        <f>U31/U30</f>
        <v>19.853489498280741</v>
      </c>
      <c r="V35" s="11"/>
    </row>
    <row r="36" spans="1:22" s="27" customFormat="1" ht="2.4500000000000002" customHeight="1" x14ac:dyDescent="0.25"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</row>
    <row r="37" spans="1:22" s="27" customFormat="1" ht="14.25" customHeight="1" x14ac:dyDescent="0.25"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</row>
    <row r="38" spans="1:22" customFormat="1" x14ac:dyDescent="0.25">
      <c r="A38" s="2"/>
      <c r="B38" s="2"/>
      <c r="C38" s="58" t="s">
        <v>42</v>
      </c>
      <c r="D38" s="11"/>
      <c r="E38" s="8" t="s">
        <v>35</v>
      </c>
      <c r="F38" s="5">
        <f t="array" ref="F38">SUM((BDD!$A$3:$A$215="MMA")*(BDD!$C$3:$C$215="Prevoyance")*(BDD!$H$3:$H$215))</f>
        <v>16590608.584187176</v>
      </c>
      <c r="G38" s="11"/>
      <c r="H38" s="8" t="s">
        <v>35</v>
      </c>
      <c r="I38" s="5">
        <f t="array" ref="I38">SUM((BDD!$A$3:$A$215="MMA")*(BDD!$B$3:$B$215="BS")*(BDD!$C$3:$C$215="Prevoyance")*(BDD!$H$3:$H$215))</f>
        <v>1948741.7706900514</v>
      </c>
      <c r="J38" s="11"/>
      <c r="K38" s="8" t="s">
        <v>35</v>
      </c>
      <c r="L38" s="5">
        <f t="array" ref="L38">SUM((BDD!$A$3:$A$215="MMA")*(BDD!$B$3:$B$215="CO")*(BDD!$C$3:$C$215="Prevoyance")*(BDD!$H$3:$H$215))</f>
        <v>1019010.2710351258</v>
      </c>
      <c r="M38" s="15"/>
      <c r="N38" s="8" t="s">
        <v>35</v>
      </c>
      <c r="O38" s="5">
        <f t="array" ref="O38">SUM((BDD!$A$3:$A$215="MMA")*(BDD!$B$3:$B$215="AG")*(BDD!$C$3:$C$215="Prevoyance")*(BDD!$H$3:$H$215))</f>
        <v>13622856.542461999</v>
      </c>
      <c r="P38" s="11"/>
      <c r="Q38" s="9" t="s">
        <v>35</v>
      </c>
      <c r="R38" s="5">
        <f t="array" ref="R38">SUM((BDD!$A$3:$A$215="MAAF")*(BDD!$C$3:$C$215="Prevoyance")*(BDD!$H$3:$H$215))</f>
        <v>45162068.195891909</v>
      </c>
      <c r="S38" s="11"/>
      <c r="T38" s="10" t="s">
        <v>35</v>
      </c>
      <c r="U38" s="5">
        <f t="array" ref="U38">SUM((BDD!$A$3:$A$215="GMF")*(BDD!$C$3:$C$215="Prevoyance")*(BDD!$H$3:$H$215))</f>
        <v>28746448.378230847</v>
      </c>
      <c r="V38" s="11"/>
    </row>
    <row r="39" spans="1:22" customFormat="1" x14ac:dyDescent="0.25">
      <c r="A39" s="2"/>
      <c r="B39" s="2"/>
      <c r="C39" s="58"/>
      <c r="D39" s="11"/>
      <c r="E39" s="8" t="s">
        <v>36</v>
      </c>
      <c r="F39" s="5">
        <f t="array" ref="F39">SUM((BDD!$A$3:$A$215="MMA")*(BDD!$C$3:$C$215="Prevoyance")*(BDD!$F$3:$F$215))</f>
        <v>730014.54819708376</v>
      </c>
      <c r="G39" s="11"/>
      <c r="H39" s="8" t="s">
        <v>36</v>
      </c>
      <c r="I39" s="5">
        <f t="array" ref="I39">SUM((BDD!$A$3:$A$215="MMA")*(BDD!$B$3:$B$215="BS")*(BDD!$C$3:$C$215="Prevoyance")*(BDD!$F$3:$F$215))</f>
        <v>131628.24465752902</v>
      </c>
      <c r="J39" s="11"/>
      <c r="K39" s="8" t="s">
        <v>36</v>
      </c>
      <c r="L39" s="5">
        <f t="array" ref="L39">SUM((BDD!$A$3:$A$215="MMA")*(BDD!$B$3:$B$215="CO")*(BDD!$C$3:$C$215="Prevoyance")*(BDD!$F$3:$F$215))</f>
        <v>38360.796932464131</v>
      </c>
      <c r="M39" s="15"/>
      <c r="N39" s="8" t="s">
        <v>36</v>
      </c>
      <c r="O39" s="5">
        <f t="array" ref="O39">SUM((BDD!$A$3:$A$215="MMA")*(BDD!$B$3:$B$215="AG")*(BDD!$C$3:$C$215="Prevoyance")*(BDD!$F$3:$F$215))</f>
        <v>560025.50660709059</v>
      </c>
      <c r="P39" s="11"/>
      <c r="Q39" s="9" t="s">
        <v>36</v>
      </c>
      <c r="R39" s="5">
        <f t="array" ref="R39">SUM((BDD!$A$3:$A$215="MAAF")*(BDD!$C$3:$C$215="Prevoyance")*(BDD!$F$3:$F$215))</f>
        <v>3138037.2737379465</v>
      </c>
      <c r="S39" s="11"/>
      <c r="T39" s="10" t="s">
        <v>36</v>
      </c>
      <c r="U39" s="5">
        <f t="array" ref="U39">SUM((BDD!$A$3:$A$215="GMF")*(BDD!$C$3:$C$215="Prevoyance")*(BDD!$F$3:$F$215))</f>
        <v>1784735.7687823819</v>
      </c>
      <c r="V39" s="11"/>
    </row>
    <row r="40" spans="1:22" customFormat="1" x14ac:dyDescent="0.25">
      <c r="A40" s="2"/>
      <c r="B40" s="2"/>
      <c r="C40" s="58"/>
      <c r="D40" s="11"/>
      <c r="E40" s="8" t="s">
        <v>37</v>
      </c>
      <c r="F40" s="3">
        <f>F39/F38</f>
        <v>4.4001673868243413E-2</v>
      </c>
      <c r="G40" s="11"/>
      <c r="H40" s="8" t="s">
        <v>37</v>
      </c>
      <c r="I40" s="3">
        <f>I39/I38</f>
        <v>6.7545247214010978E-2</v>
      </c>
      <c r="J40" s="11"/>
      <c r="K40" s="8" t="s">
        <v>37</v>
      </c>
      <c r="L40" s="3">
        <f>L39/L38</f>
        <v>3.7645152382513931E-2</v>
      </c>
      <c r="M40" s="16"/>
      <c r="N40" s="8" t="s">
        <v>37</v>
      </c>
      <c r="O40" s="3">
        <f>O39/O38</f>
        <v>4.1109256701155839E-2</v>
      </c>
      <c r="P40" s="11"/>
      <c r="Q40" s="9" t="s">
        <v>37</v>
      </c>
      <c r="R40" s="3">
        <f>R39/R38</f>
        <v>6.9483914246943029E-2</v>
      </c>
      <c r="S40" s="11"/>
      <c r="T40" s="10" t="s">
        <v>37</v>
      </c>
      <c r="U40" s="3">
        <f>U39/U38</f>
        <v>6.2085435574501413E-2</v>
      </c>
      <c r="V40" s="11"/>
    </row>
    <row r="41" spans="1:22" customFormat="1" x14ac:dyDescent="0.25">
      <c r="A41" s="2"/>
      <c r="B41" s="2"/>
      <c r="C41" s="58"/>
      <c r="D41" s="11"/>
      <c r="E41" s="8" t="s">
        <v>38</v>
      </c>
      <c r="F41" s="7">
        <f>(F39/$O$3)/(F38/$O$2)</f>
        <v>1.1111231235081516</v>
      </c>
      <c r="G41" s="11"/>
      <c r="H41" s="8" t="s">
        <v>38</v>
      </c>
      <c r="I41" s="7">
        <f>(I39/$O$3)/(I38/$O$2)</f>
        <v>1.7056416146188365</v>
      </c>
      <c r="J41" s="11"/>
      <c r="K41" s="8" t="s">
        <v>38</v>
      </c>
      <c r="L41" s="7">
        <f>(L39/$O$3)/(L38/$O$2)</f>
        <v>0.95060927512549276</v>
      </c>
      <c r="M41" s="17"/>
      <c r="N41" s="8" t="s">
        <v>38</v>
      </c>
      <c r="O41" s="7">
        <f>(O39/$O$3)/(O38/$O$2)</f>
        <v>1.0380842748769314</v>
      </c>
      <c r="P41" s="11"/>
      <c r="Q41" s="9" t="s">
        <v>38</v>
      </c>
      <c r="R41" s="7">
        <f>(R39/$O$3)/(R38/$O$2)</f>
        <v>1.7545965197327615</v>
      </c>
      <c r="S41" s="11"/>
      <c r="T41" s="10" t="s">
        <v>38</v>
      </c>
      <c r="U41" s="7">
        <f>(U39/$O$3)/(U38/$O$2)</f>
        <v>1.5677713376647513</v>
      </c>
      <c r="V41" s="11"/>
    </row>
    <row r="42" spans="1:22" ht="14.45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</row>
    <row r="43" spans="1:22" x14ac:dyDescent="0.25"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</row>
    <row r="44" spans="1:22" ht="14.45" hidden="1" x14ac:dyDescent="0.3">
      <c r="N44" s="19"/>
      <c r="O44" s="19"/>
      <c r="P44" s="19"/>
    </row>
    <row r="45" spans="1:22" ht="14.45" hidden="1" x14ac:dyDescent="0.3"/>
    <row r="46" spans="1:22" ht="14.45" hidden="1" x14ac:dyDescent="0.3">
      <c r="N46" s="19"/>
      <c r="O46" s="19"/>
      <c r="P46" s="19"/>
    </row>
    <row r="47" spans="1:22" ht="14.45" hidden="1" x14ac:dyDescent="0.3">
      <c r="N47" s="20"/>
      <c r="O47" s="20"/>
      <c r="P47" s="20"/>
    </row>
    <row r="48" spans="1:22" ht="14.45" hidden="1" x14ac:dyDescent="0.3">
      <c r="N48" s="20"/>
      <c r="O48" s="20"/>
      <c r="P48" s="20"/>
    </row>
    <row r="49" spans="14:16" ht="14.45" hidden="1" x14ac:dyDescent="0.3">
      <c r="N49" s="21"/>
      <c r="O49" s="21"/>
      <c r="P49" s="21"/>
    </row>
    <row r="50" spans="14:16" ht="14.45" hidden="1" x14ac:dyDescent="0.3">
      <c r="N50" s="22"/>
      <c r="O50" s="22"/>
      <c r="P50" s="22"/>
    </row>
    <row r="51" spans="14:16" ht="14.45" hidden="1" x14ac:dyDescent="0.3"/>
    <row r="52" spans="14:16" ht="14.45" hidden="1" x14ac:dyDescent="0.3">
      <c r="N52" s="19"/>
      <c r="O52" s="19"/>
      <c r="P52" s="19"/>
    </row>
    <row r="53" spans="14:16" ht="14.45" hidden="1" x14ac:dyDescent="0.3">
      <c r="N53" s="20"/>
      <c r="O53" s="20"/>
      <c r="P53" s="20"/>
    </row>
    <row r="54" spans="14:16" ht="14.45" hidden="1" x14ac:dyDescent="0.3">
      <c r="N54" s="20"/>
      <c r="O54" s="20"/>
      <c r="P54" s="20"/>
    </row>
    <row r="55" spans="14:16" ht="14.45" hidden="1" x14ac:dyDescent="0.3">
      <c r="N55" s="21"/>
      <c r="O55" s="21"/>
      <c r="P55" s="21"/>
    </row>
    <row r="56" spans="14:16" ht="14.45" hidden="1" x14ac:dyDescent="0.3">
      <c r="N56" s="22"/>
      <c r="O56" s="22"/>
      <c r="P56" s="22"/>
    </row>
    <row r="57" spans="14:16" ht="14.45" hidden="1" x14ac:dyDescent="0.3"/>
    <row r="58" spans="14:16" ht="14.45" hidden="1" x14ac:dyDescent="0.3">
      <c r="N58" s="19"/>
      <c r="O58" s="19"/>
      <c r="P58" s="19"/>
    </row>
    <row r="59" spans="14:16" ht="14.45" hidden="1" x14ac:dyDescent="0.3">
      <c r="N59" s="20"/>
      <c r="O59" s="20"/>
      <c r="P59" s="20"/>
    </row>
    <row r="60" spans="14:16" ht="14.45" hidden="1" x14ac:dyDescent="0.3">
      <c r="N60" s="20"/>
      <c r="O60" s="20"/>
      <c r="P60" s="20"/>
    </row>
    <row r="61" spans="14:16" ht="14.45" hidden="1" x14ac:dyDescent="0.3">
      <c r="N61" s="21"/>
      <c r="O61" s="21"/>
      <c r="P61" s="21"/>
    </row>
    <row r="62" spans="14:16" ht="14.45" hidden="1" x14ac:dyDescent="0.3">
      <c r="N62" s="22"/>
      <c r="O62" s="22"/>
      <c r="P62" s="22"/>
    </row>
    <row r="63" spans="14:16" ht="14.45" hidden="1" x14ac:dyDescent="0.3"/>
    <row r="64" spans="14:16" ht="14.45" hidden="1" x14ac:dyDescent="0.3">
      <c r="N64" s="19"/>
      <c r="O64" s="19"/>
      <c r="P64" s="19"/>
    </row>
    <row r="65" spans="14:16" ht="14.45" hidden="1" x14ac:dyDescent="0.3">
      <c r="N65" s="20"/>
      <c r="O65" s="20"/>
      <c r="P65" s="20"/>
    </row>
    <row r="66" spans="14:16" ht="14.45" hidden="1" x14ac:dyDescent="0.3">
      <c r="N66" s="20"/>
      <c r="O66" s="20"/>
      <c r="P66" s="20"/>
    </row>
    <row r="67" spans="14:16" ht="14.45" hidden="1" x14ac:dyDescent="0.3">
      <c r="N67" s="21"/>
      <c r="O67" s="21"/>
      <c r="P67" s="21"/>
    </row>
    <row r="68" spans="14:16" ht="14.45" hidden="1" x14ac:dyDescent="0.3">
      <c r="N68" s="22"/>
      <c r="O68" s="22"/>
      <c r="P68" s="22"/>
    </row>
    <row r="69" spans="14:16" hidden="1" x14ac:dyDescent="0.25"/>
  </sheetData>
  <mergeCells count="20">
    <mergeCell ref="T29:U29"/>
    <mergeCell ref="C30:C35"/>
    <mergeCell ref="C13:C19"/>
    <mergeCell ref="N1:P1"/>
    <mergeCell ref="O2:P2"/>
    <mergeCell ref="O5:P5"/>
    <mergeCell ref="O4:P4"/>
    <mergeCell ref="O3:P3"/>
    <mergeCell ref="N10:O10"/>
    <mergeCell ref="A13:A17"/>
    <mergeCell ref="T10:U10"/>
    <mergeCell ref="C38:C41"/>
    <mergeCell ref="E10:F10"/>
    <mergeCell ref="H10:I10"/>
    <mergeCell ref="K10:L10"/>
    <mergeCell ref="Q10:R10"/>
    <mergeCell ref="C22:C27"/>
    <mergeCell ref="Q21:R21"/>
    <mergeCell ref="T21:U21"/>
    <mergeCell ref="Q29:R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95"/>
  <sheetViews>
    <sheetView topLeftCell="A4" zoomScale="80" zoomScaleNormal="80" workbookViewId="0">
      <selection activeCell="AN42" sqref="AN42:BB42"/>
    </sheetView>
  </sheetViews>
  <sheetFormatPr baseColWidth="10" defaultColWidth="11.5703125" defaultRowHeight="15" zeroHeight="1" x14ac:dyDescent="0.25"/>
  <cols>
    <col min="1" max="1" width="2" customWidth="1"/>
    <col min="2" max="2" width="11.5703125" customWidth="1"/>
    <col min="3" max="3" width="1.7109375" customWidth="1"/>
    <col min="4" max="4" width="11.5703125" style="28" customWidth="1"/>
    <col min="5" max="5" width="1.42578125" style="28" customWidth="1"/>
    <col min="6" max="6" width="11.5703125" style="28" customWidth="1"/>
    <col min="7" max="7" width="1.7109375" customWidth="1"/>
    <col min="8" max="8" width="11.5703125" customWidth="1"/>
    <col min="9" max="9" width="11.5703125" style="28" hidden="1" customWidth="1"/>
    <col min="10" max="11" width="11.5703125" style="28" customWidth="1"/>
    <col min="12" max="12" width="11.5703125" customWidth="1"/>
    <col min="13" max="13" width="17.28515625" style="28" customWidth="1"/>
    <col min="14" max="14" width="13.140625" style="28" customWidth="1"/>
    <col min="15" max="16" width="11.5703125" style="28" customWidth="1"/>
    <col min="17" max="17" width="11.5703125" style="28" hidden="1" customWidth="1"/>
    <col min="18" max="19" width="11.5703125" style="28" customWidth="1"/>
    <col min="20" max="24" width="11.5703125" customWidth="1"/>
    <col min="25" max="25" width="11.5703125" style="28" hidden="1" customWidth="1"/>
    <col min="26" max="27" width="11.5703125" style="28" customWidth="1"/>
    <col min="28" max="32" width="11.5703125" customWidth="1"/>
    <col min="33" max="33" width="11.5703125" style="28" hidden="1" customWidth="1"/>
    <col min="34" max="35" width="11.5703125" style="28" customWidth="1"/>
    <col min="36" max="39" width="11.5703125" customWidth="1"/>
    <col min="40" max="40" width="15.140625" bestFit="1" customWidth="1"/>
    <col min="41" max="41" width="17.85546875" style="28" hidden="1" customWidth="1"/>
    <col min="42" max="43" width="15.140625" style="28" customWidth="1"/>
    <col min="44" max="48" width="11.5703125" customWidth="1"/>
    <col min="49" max="49" width="11.5703125" style="28" hidden="1" customWidth="1"/>
    <col min="50" max="51" width="11.5703125" style="28" customWidth="1"/>
    <col min="52" max="55" width="11.5703125" customWidth="1"/>
  </cols>
  <sheetData>
    <row r="1" spans="1:55" hidden="1" x14ac:dyDescent="0.25"/>
    <row r="2" spans="1:55" s="28" customFormat="1" hidden="1" x14ac:dyDescent="0.25"/>
    <row r="3" spans="1:55" hidden="1" x14ac:dyDescent="0.25">
      <c r="A3" s="11"/>
      <c r="B3" s="11"/>
      <c r="C3" s="36"/>
      <c r="D3" s="36"/>
      <c r="E3" s="36"/>
      <c r="F3" s="36"/>
      <c r="G3" s="36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</row>
    <row r="4" spans="1:55" x14ac:dyDescent="0.25">
      <c r="A4" s="11"/>
      <c r="B4" s="11"/>
      <c r="C4" s="36"/>
      <c r="D4" s="36"/>
      <c r="E4" s="36"/>
      <c r="F4" s="36"/>
      <c r="G4" s="36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</row>
    <row r="5" spans="1:55" x14ac:dyDescent="0.25">
      <c r="A5" s="11"/>
      <c r="B5" s="11"/>
      <c r="C5" s="36"/>
      <c r="D5" s="36"/>
      <c r="E5" s="36"/>
      <c r="F5" s="36"/>
      <c r="G5" s="36"/>
      <c r="H5" s="53" t="s">
        <v>28</v>
      </c>
      <c r="I5" s="77"/>
      <c r="J5" s="77"/>
      <c r="K5" s="77"/>
      <c r="L5" s="77"/>
      <c r="M5" s="77"/>
      <c r="N5" s="54"/>
      <c r="O5" s="11"/>
      <c r="P5" s="53" t="s">
        <v>45</v>
      </c>
      <c r="Q5" s="77"/>
      <c r="R5" s="77"/>
      <c r="S5" s="77"/>
      <c r="T5" s="77"/>
      <c r="U5" s="77"/>
      <c r="V5" s="54"/>
      <c r="W5" s="11"/>
      <c r="X5" s="53" t="s">
        <v>46</v>
      </c>
      <c r="Y5" s="77"/>
      <c r="Z5" s="77"/>
      <c r="AA5" s="77"/>
      <c r="AB5" s="77"/>
      <c r="AC5" s="77"/>
      <c r="AD5" s="54"/>
      <c r="AE5" s="11"/>
      <c r="AF5" s="53" t="s">
        <v>47</v>
      </c>
      <c r="AG5" s="77"/>
      <c r="AH5" s="77"/>
      <c r="AI5" s="77"/>
      <c r="AJ5" s="77"/>
      <c r="AK5" s="77"/>
      <c r="AL5" s="54"/>
      <c r="AM5" s="11"/>
      <c r="AN5" s="59" t="s">
        <v>29</v>
      </c>
      <c r="AO5" s="75"/>
      <c r="AP5" s="75"/>
      <c r="AQ5" s="75"/>
      <c r="AR5" s="75"/>
      <c r="AS5" s="75"/>
      <c r="AT5" s="60"/>
      <c r="AU5" s="11"/>
      <c r="AV5" s="56" t="s">
        <v>33</v>
      </c>
      <c r="AW5" s="76"/>
      <c r="AX5" s="76"/>
      <c r="AY5" s="76"/>
      <c r="AZ5" s="76"/>
      <c r="BA5" s="76"/>
      <c r="BB5" s="57"/>
      <c r="BC5" s="11"/>
    </row>
    <row r="6" spans="1:55" s="2" customFormat="1" ht="3.6" customHeight="1" x14ac:dyDescent="0.25">
      <c r="A6" s="11"/>
      <c r="B6" s="11"/>
      <c r="C6" s="36"/>
      <c r="D6" s="36"/>
      <c r="E6" s="36"/>
      <c r="F6" s="36"/>
      <c r="G6" s="36"/>
      <c r="H6" s="11"/>
      <c r="I6" s="11"/>
      <c r="J6" s="11"/>
      <c r="K6" s="11"/>
      <c r="L6" s="11"/>
      <c r="M6" s="38"/>
      <c r="N6" s="38"/>
      <c r="O6" s="38"/>
      <c r="P6" s="38"/>
      <c r="Q6" s="38"/>
      <c r="R6" s="38"/>
      <c r="S6" s="38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</row>
    <row r="7" spans="1:55" x14ac:dyDescent="0.25">
      <c r="A7" s="11"/>
      <c r="B7" s="11"/>
      <c r="C7" s="36"/>
      <c r="D7" s="36"/>
      <c r="E7" s="36"/>
      <c r="F7" s="36"/>
      <c r="G7" s="36"/>
      <c r="H7" s="29" t="s">
        <v>35</v>
      </c>
      <c r="I7" s="30" t="s">
        <v>64</v>
      </c>
      <c r="J7" s="30" t="s">
        <v>62</v>
      </c>
      <c r="K7" s="30" t="s">
        <v>63</v>
      </c>
      <c r="L7" s="30" t="s">
        <v>36</v>
      </c>
      <c r="M7" s="30" t="s">
        <v>37</v>
      </c>
      <c r="N7" s="31" t="s">
        <v>38</v>
      </c>
      <c r="O7" s="11"/>
      <c r="P7" s="29" t="s">
        <v>35</v>
      </c>
      <c r="Q7" s="30" t="s">
        <v>65</v>
      </c>
      <c r="R7" s="30" t="s">
        <v>62</v>
      </c>
      <c r="S7" s="30" t="s">
        <v>63</v>
      </c>
      <c r="T7" s="30" t="s">
        <v>36</v>
      </c>
      <c r="U7" s="30" t="s">
        <v>37</v>
      </c>
      <c r="V7" s="31" t="s">
        <v>38</v>
      </c>
      <c r="W7" s="11"/>
      <c r="X7" s="29" t="s">
        <v>35</v>
      </c>
      <c r="Y7" s="30" t="s">
        <v>65</v>
      </c>
      <c r="Z7" s="30" t="s">
        <v>62</v>
      </c>
      <c r="AA7" s="30" t="s">
        <v>63</v>
      </c>
      <c r="AB7" s="30" t="s">
        <v>36</v>
      </c>
      <c r="AC7" s="30" t="s">
        <v>37</v>
      </c>
      <c r="AD7" s="31" t="s">
        <v>38</v>
      </c>
      <c r="AE7" s="11"/>
      <c r="AF7" s="29" t="s">
        <v>35</v>
      </c>
      <c r="AG7" s="30" t="s">
        <v>65</v>
      </c>
      <c r="AH7" s="30" t="s">
        <v>62</v>
      </c>
      <c r="AI7" s="30" t="s">
        <v>63</v>
      </c>
      <c r="AJ7" s="30" t="s">
        <v>36</v>
      </c>
      <c r="AK7" s="30" t="s">
        <v>37</v>
      </c>
      <c r="AL7" s="31" t="s">
        <v>38</v>
      </c>
      <c r="AM7" s="11"/>
      <c r="AN7" s="23" t="s">
        <v>35</v>
      </c>
      <c r="AO7" s="32" t="s">
        <v>65</v>
      </c>
      <c r="AP7" s="32" t="s">
        <v>62</v>
      </c>
      <c r="AQ7" s="32" t="s">
        <v>63</v>
      </c>
      <c r="AR7" s="32" t="s">
        <v>36</v>
      </c>
      <c r="AS7" s="32" t="s">
        <v>37</v>
      </c>
      <c r="AT7" s="24" t="s">
        <v>38</v>
      </c>
      <c r="AU7" s="11"/>
      <c r="AV7" s="33" t="s">
        <v>35</v>
      </c>
      <c r="AW7" s="34"/>
      <c r="AX7" s="34"/>
      <c r="AY7" s="34"/>
      <c r="AZ7" s="34" t="s">
        <v>36</v>
      </c>
      <c r="BA7" s="34" t="s">
        <v>37</v>
      </c>
      <c r="BB7" s="35" t="s">
        <v>38</v>
      </c>
      <c r="BC7" s="11"/>
    </row>
    <row r="8" spans="1:55" s="18" customFormat="1" ht="6" customHeight="1" x14ac:dyDescent="0.25">
      <c r="A8" s="11"/>
      <c r="B8" s="11"/>
      <c r="C8" s="36"/>
      <c r="D8" s="36"/>
      <c r="E8" s="36"/>
      <c r="F8" s="39"/>
      <c r="G8" s="36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</row>
    <row r="9" spans="1:55" x14ac:dyDescent="0.25">
      <c r="A9" s="11"/>
      <c r="B9" s="11"/>
      <c r="C9" s="11"/>
      <c r="D9" s="11"/>
      <c r="E9" s="11"/>
      <c r="F9" s="40" t="s">
        <v>13</v>
      </c>
      <c r="G9" s="11"/>
      <c r="H9" s="37">
        <f t="array" ref="H9">SUM(($F9=BDD!$D$3:$D$215)*(BDD!$A$3:$A$215="MMA")*(BDD!$H$3:$H$215))</f>
        <v>108402750.75764675</v>
      </c>
      <c r="I9" s="37">
        <f t="array" ref="I9">SUM(($F9=BDD!$D$3:$D$215)*(BDD!$A$3:$A$215="MMA")*(BDD!$G$3:$G$215))</f>
        <v>1942063458.3157365</v>
      </c>
      <c r="J9" s="82">
        <f>I9/H9</f>
        <v>17.915259942596457</v>
      </c>
      <c r="K9" s="88">
        <f t="array" ref="K9">SUM(($F9=BDD!$D$3:$D$215)*(BDD!$A$3:$A$215="MMA")*(BDD!$H$3:$H$215)*(BDD!$C$3:$C$215="UC"))/H9</f>
        <v>0.25645769768893978</v>
      </c>
      <c r="L9" s="37">
        <f t="array" ref="L9">SUM(($F9=BDD!$D$3:$D$215)*(BDD!$A$3:$A$215="MMA")*(BDD!$F$3:$F$215))</f>
        <v>4064792.9783175541</v>
      </c>
      <c r="M9" s="14">
        <f>L9/H9</f>
        <v>3.7497138678750944E-2</v>
      </c>
      <c r="N9" s="44">
        <f>(L9/Global!$O$3)/(PAT_AGE!H9/Global!$O$2)</f>
        <v>0.94687165711260557</v>
      </c>
      <c r="O9" s="11"/>
      <c r="P9" s="37">
        <f t="array" ref="P9">SUM(($F9=BDD!$D$3:$D$215)*(BDD!$B$3:$B$215="BS")*(BDD!$A$3:$A$215="MMA")*(BDD!$H$3:$H$215))</f>
        <v>7666914.1307992693</v>
      </c>
      <c r="Q9" s="37">
        <f t="array" ref="Q9">SUM(($F9=BDD!$D$3:$D$215)*(BDD!$B$3:$B$215="BS")*(BDD!$A$3:$A$215="MMA")*(BDD!$G$3:$G$215))</f>
        <v>143343523.61121696</v>
      </c>
      <c r="R9" s="82">
        <f>Q9/P9</f>
        <v>18.696377860211346</v>
      </c>
      <c r="S9" s="86">
        <f t="array" ref="S9">SUM(($F9=BDD!$D$3:$D$215)*(BDD!$B$3:$B$215="BS")*(BDD!$A$3:$A$215="MMA")*(BDD!$C$3:$C$215="UC")*(BDD!$H$3:$H$215))/P9</f>
        <v>0.40805426103072984</v>
      </c>
      <c r="T9" s="37">
        <f t="array" ref="T9">SUM(($F9=BDD!$D$3:$D$215)*(BDD!$B$3:$B$215="BS")*(BDD!$A$3:$A$215="MMA")*(BDD!$F$3:$F$215))</f>
        <v>514961.91159992723</v>
      </c>
      <c r="U9" s="14">
        <f>T9/P9</f>
        <v>6.7166776986746154E-2</v>
      </c>
      <c r="V9" s="44">
        <f>(T9/Global!$O$3)/(PAT_AGE!P9/Global!$O$2)</f>
        <v>1.6960845458961202</v>
      </c>
      <c r="W9" s="11"/>
      <c r="X9" s="37">
        <f t="array" ref="X9">SUM(($F9=BDD!$D$3:$D$215)*(BDD!$B$3:$B$215="CO")*(BDD!$A$3:$A$215="MMA")*(BDD!$H$3:$H$215))</f>
        <v>74526685.454164803</v>
      </c>
      <c r="Y9" s="37">
        <f t="array" ref="Y9">SUM(($F9=BDD!$D$3:$D$215)*(BDD!$B$3:$B$215="CO")*(BDD!$A$3:$A$215="MMA")*(BDD!$G$3:$G$215))</f>
        <v>1340730903.3327732</v>
      </c>
      <c r="Z9" s="82">
        <f>Y9/X9</f>
        <v>17.989944073889422</v>
      </c>
      <c r="AA9" s="86">
        <f t="array" ref="AA9">SUM(($F9=BDD!$D$3:$D$215)*(BDD!$B$3:$B$215="CO")*(BDD!$A$3:$A$215="MMA")*(BDD!$C$3:$C$215="UC")*(BDD!$H$3:$H$215))/X9</f>
        <v>0.25371767236198328</v>
      </c>
      <c r="AB9" s="37">
        <f t="array" ref="AB9">SUM(($F9=BDD!$D$3:$D$215)*(BDD!$B$3:$B$215="CO")*(BDD!$A$3:$A$215="MMA")*(BDD!$F$3:$F$215))</f>
        <v>2358005.7714505312</v>
      </c>
      <c r="AC9" s="14">
        <f>AB9/X9</f>
        <v>3.1639751011075697E-2</v>
      </c>
      <c r="AD9" s="44">
        <f>(AB9/Global!$O$3)/(PAT_AGE!X9/Global!$O$2)</f>
        <v>0.79896185485386551</v>
      </c>
      <c r="AE9" s="11"/>
      <c r="AF9" s="37">
        <f t="array" ref="AF9">SUM(($F9=BDD!$D$3:$D$215)*(BDD!$B$3:$B$215="AG")*(BDD!$A$3:$A$215="MMA")*(BDD!$H$3:$H$215))</f>
        <v>26209151.17268268</v>
      </c>
      <c r="AG9" s="37">
        <f t="array" ref="AG9">SUM(($F9=BDD!$D$3:$D$215)*(BDD!$B$3:$B$215="AG")*(BDD!$A$3:$A$215="MMA")*(BDD!$G$3:$G$215))</f>
        <v>457989031.3717463</v>
      </c>
      <c r="AH9" s="82">
        <f>AG9/AF9</f>
        <v>17.474393899833732</v>
      </c>
      <c r="AI9" s="86">
        <f t="array" ref="AI9">SUM(($F9=BDD!$D$3:$D$215)*(BDD!$B$3:$B$215="AG")*(BDD!$A$3:$A$215="MMA")*(BDD!$C$3:$C$215="UC")*(BDD!$H$3:$H$215))/AF9</f>
        <v>0.21990280044427729</v>
      </c>
      <c r="AJ9" s="37">
        <f t="array" ref="AJ9">SUM(($F9=BDD!$D$3:$D$215)*(BDD!$B$3:$B$215="AG")*(BDD!$A$3:$A$215="MMA")*(BDD!$F$3:$F$215))</f>
        <v>1191825.295267096</v>
      </c>
      <c r="AK9" s="14">
        <f>AJ9/AF9</f>
        <v>4.5473631992680244E-2</v>
      </c>
      <c r="AL9" s="44">
        <f>(AJ9/Global!$O$3)/(PAT_AGE!AF9/Global!$O$2)</f>
        <v>1.1482927710491699</v>
      </c>
      <c r="AM9" s="11"/>
      <c r="AN9" s="37">
        <f t="array" ref="AN9">SUM(($F9=BDD!$D$3:$D$215)*(BDD!$A$3:$A$215="MAAF")*(BDD!$H$3:$H$215))</f>
        <v>33402711.949972279</v>
      </c>
      <c r="AO9" s="37">
        <f t="array" ref="AO9">SUM(($F9=BDD!$D$3:$D$215)*(BDD!$B$3:$B$215="TOTAL")*(BDD!$A$3:$A$215="MAAF")*(BDD!$G$3:$G$215))</f>
        <v>530686372.95485789</v>
      </c>
      <c r="AP9" s="82">
        <f>AO9/AN9</f>
        <v>15.88752355646076</v>
      </c>
      <c r="AQ9" s="86">
        <f t="array" ref="AQ9">SUM(($F9=BDD!$D$3:$D$215)*(BDD!$B$3:$B$215="TOTAL")*(BDD!$A$3:$A$215="MAAF")*(BDD!$C$3:$C$215="UC")*(BDD!$H$3:$H$215))/AN9</f>
        <v>0.14178228539108673</v>
      </c>
      <c r="AR9" s="37">
        <f t="array" ref="AR9">SUM(($F9=BDD!$D$3:$D$215)*(BDD!$A$3:$A$215="MAAF")*(BDD!$F$3:$F$215))</f>
        <v>1266080.306177387</v>
      </c>
      <c r="AS9" s="14">
        <f>AR9/AN9</f>
        <v>3.7903518375202998E-2</v>
      </c>
      <c r="AT9" s="44">
        <f>(AR9/Global!$O$3)/(PAT_AGE!AN9/Global!$O$2)</f>
        <v>0.95713349121928426</v>
      </c>
      <c r="AU9" s="11"/>
      <c r="AV9" s="37">
        <f t="array" ref="AV9">SUM(($F9=BDD!$D$3:$D$215)*(BDD!$A$3:$A$215="GMF")*(BDD!$H$3:$H$215))</f>
        <v>46884749.520287871</v>
      </c>
      <c r="AW9" s="37">
        <f t="array" ref="AW9">SUM(($F9=BDD!$D$3:$D$215)*(BDD!$B$3:$B$215="TOTAL")*(BDD!$A$3:$A$215="GMF")*(BDD!$G$3:$G$215))</f>
        <v>788866725.75701249</v>
      </c>
      <c r="AX9" s="82">
        <f>AW9/AV9</f>
        <v>16.825657251632659</v>
      </c>
      <c r="AY9" s="86">
        <f t="array" ref="AY9">SUM(($F9=BDD!$D$3:$D$215)*(BDD!$B$3:$B$215="TOTAL")*(BDD!$A$3:$A$215="GMF")*(BDD!$C$3:$C$215="UC")*(BDD!$H$3:$H$215))/AV9</f>
        <v>7.2260131638756109E-2</v>
      </c>
      <c r="AZ9" s="37">
        <f t="array" ref="AZ9">SUM(($F9=BDD!$D$3:$D$215)*(BDD!$A$3:$A$215="GMF")*(BDD!$F$3:$F$215))</f>
        <v>1827579.0753005939</v>
      </c>
      <c r="BA9" s="14">
        <f>AZ9/AV9</f>
        <v>3.8980246114139264E-2</v>
      </c>
      <c r="BB9" s="44">
        <f>(AZ9/Global!$O$3)/(PAT_AGE!AV9/Global!$O$2)</f>
        <v>0.98432284524334057</v>
      </c>
      <c r="BC9" s="11"/>
    </row>
    <row r="10" spans="1:55" x14ac:dyDescent="0.25">
      <c r="A10" s="11"/>
      <c r="B10" s="11"/>
      <c r="C10" s="11"/>
      <c r="D10" s="11"/>
      <c r="E10" s="11"/>
      <c r="F10" s="41" t="s">
        <v>14</v>
      </c>
      <c r="G10" s="11"/>
      <c r="H10" s="37">
        <f t="array" ref="H10">SUM(($F10=BDD!$D$3:$D$215)*(BDD!$A$3:$A$215="MMA")*(BDD!$H$3:$H$215))</f>
        <v>59898096.882664323</v>
      </c>
      <c r="I10" s="37">
        <f t="array" ref="I10">SUM(($F10=BDD!$D$3:$D$215)*(BDD!$A$3:$A$215="MMA")*(BDD!$G$3:$G$215))</f>
        <v>927796174.54157543</v>
      </c>
      <c r="J10" s="82">
        <f t="shared" ref="J10:J15" si="0">I10/H10</f>
        <v>15.489576845138426</v>
      </c>
      <c r="K10" s="88">
        <f t="array" ref="K10">SUM(($F10=BDD!$D$3:$D$215)*(BDD!$A$3:$A$215="MMA")*(BDD!$H$3:$H$215)*(BDD!$C$3:$C$215="UC"))/H10</f>
        <v>0.35937929766249527</v>
      </c>
      <c r="L10" s="37">
        <f t="array" ref="L10">SUM(($F10=BDD!$D$3:$D$215)*(BDD!$A$3:$A$215="MMA")*(BDD!$F$3:$F$215))</f>
        <v>2758182.7041093679</v>
      </c>
      <c r="M10" s="14">
        <f t="shared" ref="M10:M15" si="1">L10/H10</f>
        <v>4.604791884310501E-2</v>
      </c>
      <c r="N10" s="44">
        <f>(L10/Global!$O$3)/(PAT_AGE!H10/Global!$O$2)</f>
        <v>1.1627945693431243</v>
      </c>
      <c r="O10" s="11"/>
      <c r="P10" s="37">
        <f t="array" ref="P10">SUM(($F10=BDD!$D$3:$D$215)*(BDD!$B$3:$B$215="BS")*(BDD!$A$3:$A$215="MMA")*(BDD!$H$3:$H$215))</f>
        <v>6704628.9549509715</v>
      </c>
      <c r="Q10" s="37">
        <f t="array" ref="Q10">SUM(($F10=BDD!$D$3:$D$215)*(BDD!$B$3:$B$215="BS")*(BDD!$A$3:$A$215="MMA")*(BDD!$G$3:$G$215))</f>
        <v>125933290.53639869</v>
      </c>
      <c r="R10" s="82">
        <f t="shared" ref="R10:R15" si="2">Q10/P10</f>
        <v>18.78303652335666</v>
      </c>
      <c r="S10" s="86">
        <f t="array" ref="S10">SUM(($F10=BDD!$D$3:$D$215)*(BDD!$B$3:$B$215="BS")*(BDD!$A$3:$A$215="MMA")*(BDD!$C$3:$C$215="UC")*(BDD!$H$3:$H$215))/P10</f>
        <v>0.43356690348260662</v>
      </c>
      <c r="T10" s="37">
        <f t="array" ref="T10">SUM(($F10=BDD!$D$3:$D$215)*(BDD!$B$3:$B$215="BS")*(BDD!$A$3:$A$215="MMA")*(BDD!$F$3:$F$215))</f>
        <v>514138.55811370286</v>
      </c>
      <c r="U10" s="14">
        <f t="shared" ref="U10:U15" si="3">T10/P10</f>
        <v>7.6684118027745884E-2</v>
      </c>
      <c r="V10" s="44">
        <f>(T10/Global!$O$3)/(PAT_AGE!P10/Global!$O$2)</f>
        <v>1.9364148964330805</v>
      </c>
      <c r="W10" s="11"/>
      <c r="X10" s="37">
        <f t="array" ref="X10">SUM(($F10=BDD!$D$3:$D$215)*(BDD!$B$3:$B$215="CO")*(BDD!$A$3:$A$215="MMA")*(BDD!$H$3:$H$215))</f>
        <v>25535399.107159238</v>
      </c>
      <c r="Y10" s="37">
        <f t="array" ref="Y10">SUM(($F10=BDD!$D$3:$D$215)*(BDD!$B$3:$B$215="CO")*(BDD!$A$3:$A$215="MMA")*(BDD!$G$3:$G$215))</f>
        <v>345014075.80614781</v>
      </c>
      <c r="Z10" s="82">
        <f t="shared" ref="Z10:Z15" si="4">Y10/X10</f>
        <v>13.511207495065854</v>
      </c>
      <c r="AA10" s="86">
        <f t="array" ref="AA10">SUM(($F10=BDD!$D$3:$D$215)*(BDD!$B$3:$B$215="CO")*(BDD!$A$3:$A$215="MMA")*(BDD!$C$3:$C$215="UC")*(BDD!$H$3:$H$215))/X10</f>
        <v>0.4448564148076658</v>
      </c>
      <c r="AB10" s="37">
        <f t="array" ref="AB10">SUM(($F10=BDD!$D$3:$D$215)*(BDD!$B$3:$B$215="CO")*(BDD!$A$3:$A$215="MMA")*(BDD!$F$3:$F$215))</f>
        <v>865447.9615221275</v>
      </c>
      <c r="AC10" s="14">
        <f t="shared" ref="AC10:AC15" si="5">AB10/X10</f>
        <v>3.3892086741635692E-2</v>
      </c>
      <c r="AD10" s="44">
        <f>(AB10/Global!$O$3)/(PAT_AGE!X10/Global!$O$2)</f>
        <v>0.85583747098661944</v>
      </c>
      <c r="AE10" s="11"/>
      <c r="AF10" s="37">
        <f t="array" ref="AF10">SUM(($F10=BDD!$D$3:$D$215)*(BDD!$B$3:$B$215="AG")*(BDD!$A$3:$A$215="MMA")*(BDD!$H$3:$H$215))</f>
        <v>27658068.820554104</v>
      </c>
      <c r="AG10" s="37">
        <f t="array" ref="AG10">SUM(($F10=BDD!$D$3:$D$215)*(BDD!$B$3:$B$215="AG")*(BDD!$A$3:$A$215="MMA")*(BDD!$G$3:$G$215))</f>
        <v>456848808.19902879</v>
      </c>
      <c r="AH10" s="82">
        <f t="shared" ref="AH10:AH15" si="6">AG10/AF10</f>
        <v>16.517740669569868</v>
      </c>
      <c r="AI10" s="86">
        <f t="array" ref="AI10">SUM(($F10=BDD!$D$3:$D$215)*(BDD!$B$3:$B$215="AG")*(BDD!$A$3:$A$215="MMA")*(BDD!$C$3:$C$215="UC")*(BDD!$H$3:$H$215))/AF10</f>
        <v>0.26247836476295666</v>
      </c>
      <c r="AJ10" s="37">
        <f t="array" ref="AJ10">SUM(($F10=BDD!$D$3:$D$215)*(BDD!$B$3:$B$215="AG")*(BDD!$A$3:$A$215="MMA")*(BDD!$F$3:$F$215))</f>
        <v>1378596.1844735371</v>
      </c>
      <c r="AK10" s="14">
        <f t="shared" ref="AK10:AK15" si="7">AJ10/AF10</f>
        <v>4.9844267631911916E-2</v>
      </c>
      <c r="AL10" s="44">
        <f>(AJ10/Global!$O$3)/(PAT_AGE!AF10/Global!$O$2)</f>
        <v>1.2586593525051544</v>
      </c>
      <c r="AM10" s="11"/>
      <c r="AN10" s="37">
        <f t="array" ref="AN10">SUM(($F10=BDD!$D$3:$D$215)*(BDD!$A$3:$A$215="MAAF")*(BDD!$H$3:$H$215))</f>
        <v>37197549.941201076</v>
      </c>
      <c r="AO10" s="37">
        <f t="array" ref="AO10">SUM(($F10=BDD!$D$3:$D$215)*(BDD!$B$3:$B$215="TOTAL")*(BDD!$A$3:$A$215="MAAF")*(BDD!$G$3:$G$215))</f>
        <v>537293871.24416769</v>
      </c>
      <c r="AP10" s="82">
        <f t="shared" ref="AP10:AP15" si="8">AO10/AN10</f>
        <v>14.444334965433988</v>
      </c>
      <c r="AQ10" s="86">
        <f t="array" ref="AQ10">SUM(($F10=BDD!$D$3:$D$215)*(BDD!$B$3:$B$215="TOTAL")*(BDD!$A$3:$A$215="MAAF")*(BDD!$C$3:$C$215="UC")*(BDD!$H$3:$H$215))/AN10</f>
        <v>0.17670360636198382</v>
      </c>
      <c r="AR10" s="37">
        <f t="array" ref="AR10">SUM(($F10=BDD!$D$3:$D$215)*(BDD!$A$3:$A$215="MAAF")*(BDD!$F$3:$F$215))</f>
        <v>1748938.052464976</v>
      </c>
      <c r="AS10" s="14">
        <f t="shared" ref="AS10:AS15" si="9">AR10/AN10</f>
        <v>4.7017560436898614E-2</v>
      </c>
      <c r="AT10" s="44">
        <f>(AR10/Global!$O$3)/(PAT_AGE!AN10/Global!$O$2)</f>
        <v>1.1872798014187371</v>
      </c>
      <c r="AU10" s="11"/>
      <c r="AV10" s="37">
        <f t="array" ref="AV10">SUM(($F10=BDD!$D$3:$D$215)*(BDD!$A$3:$A$215="GMF")*(BDD!$H$3:$H$215))</f>
        <v>53724846.845616087</v>
      </c>
      <c r="AW10" s="37">
        <f t="array" ref="AW10">SUM(($F10=BDD!$D$3:$D$215)*(BDD!$B$3:$B$215="TOTAL")*(BDD!$A$3:$A$215="GMF")*(BDD!$G$3:$G$215))</f>
        <v>909145996.03569496</v>
      </c>
      <c r="AX10" s="82">
        <f t="shared" ref="AX10:AX15" si="10">AW10/AV10</f>
        <v>16.922263150385895</v>
      </c>
      <c r="AY10" s="86">
        <f t="array" ref="AY10">SUM(($F10=BDD!$D$3:$D$215)*(BDD!$B$3:$B$215="TOTAL")*(BDD!$A$3:$A$215="GMF")*(BDD!$C$3:$C$215="UC")*(BDD!$H$3:$H$215))/AV10</f>
        <v>8.6006921314857987E-2</v>
      </c>
      <c r="AZ10" s="37">
        <f t="array" ref="AZ10">SUM(($F10=BDD!$D$3:$D$215)*(BDD!$A$3:$A$215="GMF")*(BDD!$F$3:$F$215))</f>
        <v>2490184.9989014496</v>
      </c>
      <c r="BA10" s="14">
        <f t="shared" ref="BA10:BA15" si="11">AZ10/AV10</f>
        <v>4.6350713777877375E-2</v>
      </c>
      <c r="BB10" s="44">
        <f>(AZ10/Global!$O$3)/(PAT_AGE!AV10/Global!$O$2)</f>
        <v>1.1704406978680106</v>
      </c>
      <c r="BC10" s="11"/>
    </row>
    <row r="11" spans="1:55" x14ac:dyDescent="0.25">
      <c r="A11" s="11"/>
      <c r="B11" s="11"/>
      <c r="C11" s="11"/>
      <c r="D11" s="11"/>
      <c r="E11" s="11"/>
      <c r="F11" s="41" t="s">
        <v>15</v>
      </c>
      <c r="G11" s="11"/>
      <c r="H11" s="37">
        <f t="array" ref="H11">SUM(($F11=BDD!$D$3:$D$215)*(BDD!$A$3:$A$215="MMA")*(BDD!$H$3:$H$215))</f>
        <v>113654989.39630012</v>
      </c>
      <c r="I11" s="37">
        <f t="array" ref="I11">SUM(($F11=BDD!$D$3:$D$215)*(BDD!$A$3:$A$215="MMA")*(BDD!$G$3:$G$215))</f>
        <v>1971780033.5121381</v>
      </c>
      <c r="J11" s="82">
        <f t="shared" si="0"/>
        <v>17.348820707173694</v>
      </c>
      <c r="K11" s="88">
        <f t="array" ref="K11">SUM(($F11=BDD!$D$3:$D$215)*(BDD!$A$3:$A$215="MMA")*(BDD!$H$3:$H$215)*(BDD!$C$3:$C$215="UC"))/H11</f>
        <v>0.38285524173515689</v>
      </c>
      <c r="L11" s="37">
        <f t="array" ref="L11">SUM(($F11=BDD!$D$3:$D$215)*(BDD!$A$3:$A$215="MMA")*(BDD!$F$3:$F$215))</f>
        <v>5972945.150737647</v>
      </c>
      <c r="M11" s="14">
        <f t="shared" si="1"/>
        <v>5.255330348860239E-2</v>
      </c>
      <c r="N11" s="44">
        <f>(L11/Global!$O$3)/(PAT_AGE!H11/Global!$O$2)</f>
        <v>1.3270674860637712</v>
      </c>
      <c r="O11" s="11"/>
      <c r="P11" s="37">
        <f t="array" ref="P11">SUM(($F11=BDD!$D$3:$D$215)*(BDD!$B$3:$B$215="BS")*(BDD!$A$3:$A$215="MMA")*(BDD!$H$3:$H$215))</f>
        <v>13506514.023896348</v>
      </c>
      <c r="Q11" s="37">
        <f t="array" ref="Q11">SUM(($F11=BDD!$D$3:$D$215)*(BDD!$B$3:$B$215="BS")*(BDD!$A$3:$A$215="MMA")*(BDD!$G$3:$G$215))</f>
        <v>275371851.29810494</v>
      </c>
      <c r="R11" s="82">
        <f t="shared" si="2"/>
        <v>20.388077250051669</v>
      </c>
      <c r="S11" s="86">
        <f t="array" ref="S11">SUM(($F11=BDD!$D$3:$D$215)*(BDD!$B$3:$B$215="BS")*(BDD!$A$3:$A$215="MMA")*(BDD!$C$3:$C$215="UC")*(BDD!$H$3:$H$215))/P11</f>
        <v>0.47859061970565703</v>
      </c>
      <c r="T11" s="37">
        <f t="array" ref="T11">SUM(($F11=BDD!$D$3:$D$215)*(BDD!$B$3:$B$215="BS")*(BDD!$A$3:$A$215="MMA")*(BDD!$F$3:$F$215))</f>
        <v>1152699.4618937026</v>
      </c>
      <c r="U11" s="14">
        <f t="shared" si="3"/>
        <v>8.534396513077272E-2</v>
      </c>
      <c r="V11" s="44">
        <f>(T11/Global!$O$3)/(PAT_AGE!P11/Global!$O$2)</f>
        <v>2.1550919492886229</v>
      </c>
      <c r="W11" s="11"/>
      <c r="X11" s="37">
        <f t="array" ref="X11">SUM(($F11=BDD!$D$3:$D$215)*(BDD!$B$3:$B$215="CO")*(BDD!$A$3:$A$215="MMA")*(BDD!$H$3:$H$215))</f>
        <v>48613665.095157206</v>
      </c>
      <c r="Y11" s="37">
        <f t="array" ref="Y11">SUM(($F11=BDD!$D$3:$D$215)*(BDD!$B$3:$B$215="CO")*(BDD!$A$3:$A$215="MMA")*(BDD!$G$3:$G$215))</f>
        <v>723058042.21973896</v>
      </c>
      <c r="Z11" s="82">
        <f t="shared" si="4"/>
        <v>14.873555425298894</v>
      </c>
      <c r="AA11" s="86">
        <f t="array" ref="AA11">SUM(($F11=BDD!$D$3:$D$215)*(BDD!$B$3:$B$215="CO")*(BDD!$A$3:$A$215="MMA")*(BDD!$C$3:$C$215="UC")*(BDD!$H$3:$H$215))/X11</f>
        <v>0.49409447239028298</v>
      </c>
      <c r="AB11" s="37">
        <f t="array" ref="AB11">SUM(($F11=BDD!$D$3:$D$215)*(BDD!$B$3:$B$215="CO")*(BDD!$A$3:$A$215="MMA")*(BDD!$F$3:$F$215))</f>
        <v>1949933.8754550896</v>
      </c>
      <c r="AC11" s="14">
        <f t="shared" si="5"/>
        <v>4.0110818051637458E-2</v>
      </c>
      <c r="AD11" s="44">
        <f>(AB11/Global!$O$3)/(PAT_AGE!X11/Global!$O$2)</f>
        <v>1.012871864226236</v>
      </c>
      <c r="AE11" s="11"/>
      <c r="AF11" s="37">
        <f t="array" ref="AF11">SUM(($F11=BDD!$D$3:$D$215)*(BDD!$B$3:$B$215="AG")*(BDD!$A$3:$A$215="MMA")*(BDD!$H$3:$H$215))</f>
        <v>51534810.277246572</v>
      </c>
      <c r="AG11" s="37">
        <f t="array" ref="AG11">SUM(($F11=BDD!$D$3:$D$215)*(BDD!$B$3:$B$215="AG")*(BDD!$A$3:$A$215="MMA")*(BDD!$G$3:$G$215))</f>
        <v>973350139.99429452</v>
      </c>
      <c r="AH11" s="82">
        <f t="shared" si="6"/>
        <v>18.887236311880706</v>
      </c>
      <c r="AI11" s="86">
        <f t="array" ref="AI11">SUM(($F11=BDD!$D$3:$D$215)*(BDD!$B$3:$B$215="AG")*(BDD!$A$3:$A$215="MMA")*(BDD!$C$3:$C$215="UC")*(BDD!$H$3:$H$215))/AF11</f>
        <v>0.25283054787087528</v>
      </c>
      <c r="AJ11" s="37">
        <f t="array" ref="AJ11">SUM(($F11=BDD!$D$3:$D$215)*(BDD!$B$3:$B$215="AG")*(BDD!$A$3:$A$215="MMA")*(BDD!$F$3:$F$215))</f>
        <v>2870311.8133888543</v>
      </c>
      <c r="AK11" s="14">
        <f t="shared" si="7"/>
        <v>5.569656311815592E-2</v>
      </c>
      <c r="AL11" s="44">
        <f>(AJ11/Global!$O$3)/(PAT_AGE!AF11/Global!$O$2)</f>
        <v>1.4064405678252634</v>
      </c>
      <c r="AM11" s="11"/>
      <c r="AN11" s="37">
        <f t="array" ref="AN11">SUM(($F11=BDD!$D$3:$D$215)*(BDD!$A$3:$A$215="MAAF")*(BDD!$H$3:$H$215))</f>
        <v>65806334.920685291</v>
      </c>
      <c r="AO11" s="37">
        <f t="array" ref="AO11">SUM(($F11=BDD!$D$3:$D$215)*(BDD!$B$3:$B$215="TOTAL")*(BDD!$A$3:$A$215="MAAF")*(BDD!$G$3:$G$215))</f>
        <v>1076851041.8540378</v>
      </c>
      <c r="AP11" s="82">
        <f t="shared" si="8"/>
        <v>16.363941908509858</v>
      </c>
      <c r="AQ11" s="86">
        <f t="array" ref="AQ11">SUM(($F11=BDD!$D$3:$D$215)*(BDD!$B$3:$B$215="TOTAL")*(BDD!$A$3:$A$215="MAAF")*(BDD!$C$3:$C$215="UC")*(BDD!$H$3:$H$215))/AN11</f>
        <v>0.20667826307740536</v>
      </c>
      <c r="AR11" s="37">
        <f t="array" ref="AR11">SUM(($F11=BDD!$D$3:$D$215)*(BDD!$A$3:$A$215="MAAF")*(BDD!$F$3:$F$215))</f>
        <v>3652916.829951298</v>
      </c>
      <c r="AS11" s="14">
        <f t="shared" si="9"/>
        <v>5.5510109085304113E-2</v>
      </c>
      <c r="AT11" s="44">
        <f>(AR11/Global!$O$3)/(PAT_AGE!AN11/Global!$O$2)</f>
        <v>1.401732260864184</v>
      </c>
      <c r="AU11" s="11"/>
      <c r="AV11" s="37">
        <f t="array" ref="AV11">SUM(($F11=BDD!$D$3:$D$215)*(BDD!$A$3:$A$215="GMF")*(BDD!$H$3:$H$215))</f>
        <v>68132355.080545262</v>
      </c>
      <c r="AW11" s="37">
        <f t="array" ref="AW11">SUM(($F11=BDD!$D$3:$D$215)*(BDD!$B$3:$B$215="TOTAL")*(BDD!$A$3:$A$215="GMF")*(BDD!$G$3:$G$215))</f>
        <v>1314733794.6914685</v>
      </c>
      <c r="AX11" s="82">
        <f t="shared" si="10"/>
        <v>19.296761327818565</v>
      </c>
      <c r="AY11" s="86">
        <f t="array" ref="AY11">SUM(($F11=BDD!$D$3:$D$215)*(BDD!$B$3:$B$215="TOTAL")*(BDD!$A$3:$A$215="GMF")*(BDD!$C$3:$C$215="UC")*(BDD!$H$3:$H$215))/AV11</f>
        <v>0.10727965337166921</v>
      </c>
      <c r="AZ11" s="37">
        <f t="array" ref="AZ11">SUM(($F11=BDD!$D$3:$D$215)*(BDD!$A$3:$A$215="GMF")*(BDD!$F$3:$F$215))</f>
        <v>3656178.4067617324</v>
      </c>
      <c r="BA11" s="14">
        <f t="shared" si="11"/>
        <v>5.3662880175497259E-2</v>
      </c>
      <c r="BB11" s="44">
        <f>(AZ11/Global!$O$3)/(PAT_AGE!AV11/Global!$O$2)</f>
        <v>1.3550863363876504</v>
      </c>
      <c r="BC11" s="11"/>
    </row>
    <row r="12" spans="1:55" x14ac:dyDescent="0.25">
      <c r="A12" s="11"/>
      <c r="B12" s="11"/>
      <c r="C12" s="11"/>
      <c r="D12" s="11"/>
      <c r="E12" s="11"/>
      <c r="F12" s="41" t="s">
        <v>16</v>
      </c>
      <c r="G12" s="11"/>
      <c r="H12" s="37">
        <f t="array" ref="H12">SUM(($F12=BDD!$D$3:$D$215)*(BDD!$A$3:$A$215="MMA")*(BDD!$H$3:$H$215))</f>
        <v>235009706.36921731</v>
      </c>
      <c r="I12" s="37">
        <f t="array" ref="I12">SUM(($F12=BDD!$D$3:$D$215)*(BDD!$A$3:$A$215="MMA")*(BDD!$G$3:$G$215))</f>
        <v>4169531110.1611857</v>
      </c>
      <c r="J12" s="82">
        <f t="shared" si="0"/>
        <v>17.741952766880829</v>
      </c>
      <c r="K12" s="88">
        <f t="array" ref="K12">SUM(($F12=BDD!$D$3:$D$215)*(BDD!$A$3:$A$215="MMA")*(BDD!$H$3:$H$215)*(BDD!$C$3:$C$215="UC"))/H12</f>
        <v>0.35511710157295712</v>
      </c>
      <c r="L12" s="37">
        <f t="array" ref="L12">SUM(($F12=BDD!$D$3:$D$215)*(BDD!$A$3:$A$215="MMA")*(BDD!$F$3:$F$215))</f>
        <v>11649159.986805052</v>
      </c>
      <c r="M12" s="14">
        <f t="shared" si="1"/>
        <v>4.9568846184180053E-2</v>
      </c>
      <c r="N12" s="44">
        <f>(L12/Global!$O$3)/(PAT_AGE!H12/Global!$O$2)</f>
        <v>1.2517044548300951</v>
      </c>
      <c r="O12" s="11"/>
      <c r="P12" s="37">
        <f t="array" ref="P12">SUM(($F12=BDD!$D$3:$D$215)*(BDD!$B$3:$B$215="BS")*(BDD!$A$3:$A$215="MMA")*(BDD!$H$3:$H$215))</f>
        <v>37652794.062241577</v>
      </c>
      <c r="Q12" s="37">
        <f t="array" ref="Q12">SUM(($F12=BDD!$D$3:$D$215)*(BDD!$B$3:$B$215="BS")*(BDD!$A$3:$A$215="MMA")*(BDD!$G$3:$G$215))</f>
        <v>738763835.97761703</v>
      </c>
      <c r="R12" s="82">
        <f t="shared" si="2"/>
        <v>19.620425372853095</v>
      </c>
      <c r="S12" s="86">
        <f t="array" ref="S12">SUM(($F12=BDD!$D$3:$D$215)*(BDD!$B$3:$B$215="BS")*(BDD!$A$3:$A$215="MMA")*(BDD!$C$3:$C$215="UC")*(BDD!$H$3:$H$215))/P12</f>
        <v>0.44842466419440319</v>
      </c>
      <c r="T12" s="37">
        <f t="array" ref="T12">SUM(($F12=BDD!$D$3:$D$215)*(BDD!$B$3:$B$215="BS")*(BDD!$A$3:$A$215="MMA")*(BDD!$F$3:$F$215))</f>
        <v>2741642.2932984233</v>
      </c>
      <c r="U12" s="14">
        <f t="shared" si="3"/>
        <v>7.2813780798481484E-2</v>
      </c>
      <c r="V12" s="44">
        <f>(T12/Global!$O$3)/(PAT_AGE!P12/Global!$O$2)</f>
        <v>1.838681769186896</v>
      </c>
      <c r="W12" s="11"/>
      <c r="X12" s="37">
        <f t="array" ref="X12">SUM(($F12=BDD!$D$3:$D$215)*(BDD!$B$3:$B$215="CO")*(BDD!$A$3:$A$215="MMA")*(BDD!$H$3:$H$215))</f>
        <v>93877982.020755574</v>
      </c>
      <c r="Y12" s="37">
        <f t="array" ref="Y12">SUM(($F12=BDD!$D$3:$D$215)*(BDD!$B$3:$B$215="CO")*(BDD!$A$3:$A$215="MMA")*(BDD!$G$3:$G$215))</f>
        <v>1433416544.5261717</v>
      </c>
      <c r="Z12" s="82">
        <f t="shared" si="4"/>
        <v>15.268932221074547</v>
      </c>
      <c r="AA12" s="86">
        <f t="array" ref="AA12">SUM(($F12=BDD!$D$3:$D$215)*(BDD!$B$3:$B$215="CO")*(BDD!$A$3:$A$215="MMA")*(BDD!$C$3:$C$215="UC")*(BDD!$H$3:$H$215))/X12</f>
        <v>0.46358637495950283</v>
      </c>
      <c r="AB12" s="37">
        <f t="array" ref="AB12">SUM(($F12=BDD!$D$3:$D$215)*(BDD!$B$3:$B$215="CO")*(BDD!$A$3:$A$215="MMA")*(BDD!$F$3:$F$215))</f>
        <v>3666259.1588391522</v>
      </c>
      <c r="AC12" s="14">
        <f t="shared" si="5"/>
        <v>3.9053450872309714E-2</v>
      </c>
      <c r="AD12" s="44">
        <f>(AB12/Global!$O$3)/(PAT_AGE!X12/Global!$O$2)</f>
        <v>0.98617139990963731</v>
      </c>
      <c r="AE12" s="11"/>
      <c r="AF12" s="37">
        <f t="array" ref="AF12">SUM(($F12=BDD!$D$3:$D$215)*(BDD!$B$3:$B$215="AG")*(BDD!$A$3:$A$215="MMA")*(BDD!$H$3:$H$215))</f>
        <v>103374989.48257266</v>
      </c>
      <c r="AG12" s="37">
        <f t="array" ref="AG12">SUM(($F12=BDD!$D$3:$D$215)*(BDD!$B$3:$B$215="AG")*(BDD!$A$3:$A$215="MMA")*(BDD!$G$3:$G$215))</f>
        <v>1994700159.5926635</v>
      </c>
      <c r="AH12" s="82">
        <f t="shared" si="6"/>
        <v>19.295771342534817</v>
      </c>
      <c r="AI12" s="86">
        <f t="array" ref="AI12">SUM(($F12=BDD!$D$3:$D$215)*(BDD!$B$3:$B$215="AG")*(BDD!$A$3:$A$215="MMA")*(BDD!$C$3:$C$215="UC")*(BDD!$H$3:$H$215))/AF12</f>
        <v>0.22298402133696987</v>
      </c>
      <c r="AJ12" s="37">
        <f t="array" ref="AJ12">SUM(($F12=BDD!$D$3:$D$215)*(BDD!$B$3:$B$215="AG")*(BDD!$A$3:$A$215="MMA")*(BDD!$F$3:$F$215))</f>
        <v>5236536.9719346091</v>
      </c>
      <c r="AK12" s="14">
        <f t="shared" si="7"/>
        <v>5.0655743697245105E-2</v>
      </c>
      <c r="AL12" s="44">
        <f>(AJ12/Global!$O$3)/(PAT_AGE!AF12/Global!$O$2)</f>
        <v>1.2791506143390785</v>
      </c>
      <c r="AM12" s="11"/>
      <c r="AN12" s="37">
        <f t="array" ref="AN12">SUM(($F12=BDD!$D$3:$D$215)*(BDD!$A$3:$A$215="MAAF")*(BDD!$H$3:$H$215))</f>
        <v>125633519.02183463</v>
      </c>
      <c r="AO12" s="37">
        <f t="array" ref="AO12">SUM(($F12=BDD!$D$3:$D$215)*(BDD!$B$3:$B$215="TOTAL")*(BDD!$A$3:$A$215="MAAF")*(BDD!$G$3:$G$215))</f>
        <v>2309954235.1261635</v>
      </c>
      <c r="AP12" s="82">
        <f t="shared" si="8"/>
        <v>18.386448561746505</v>
      </c>
      <c r="AQ12" s="86">
        <f t="array" ref="AQ12">SUM(($F12=BDD!$D$3:$D$215)*(BDD!$B$3:$B$215="TOTAL")*(BDD!$A$3:$A$215="MAAF")*(BDD!$C$3:$C$215="UC")*(BDD!$H$3:$H$215))/AN12</f>
        <v>0.24386507478453376</v>
      </c>
      <c r="AR12" s="37">
        <f t="array" ref="AR12">SUM(($F12=BDD!$D$3:$D$215)*(BDD!$A$3:$A$215="MAAF")*(BDD!$F$3:$F$215))</f>
        <v>7899005.4666060396</v>
      </c>
      <c r="AS12" s="14">
        <f t="shared" si="9"/>
        <v>6.2873391815389826E-2</v>
      </c>
      <c r="AT12" s="44">
        <f>(AR12/Global!$O$3)/(PAT_AGE!AN12/Global!$O$2)</f>
        <v>1.5876686807109566</v>
      </c>
      <c r="AU12" s="11"/>
      <c r="AV12" s="37">
        <f t="array" ref="AV12">SUM(($F12=BDD!$D$3:$D$215)*(BDD!$A$3:$A$215="GMF")*(BDD!$H$3:$H$215))</f>
        <v>154792781.95924431</v>
      </c>
      <c r="AW12" s="37">
        <f t="array" ref="AW12">SUM(($F12=BDD!$D$3:$D$215)*(BDD!$B$3:$B$215="TOTAL")*(BDD!$A$3:$A$215="GMF")*(BDD!$G$3:$G$215))</f>
        <v>3234807855.7505903</v>
      </c>
      <c r="AX12" s="82">
        <f t="shared" si="10"/>
        <v>20.89766599454417</v>
      </c>
      <c r="AY12" s="86">
        <f t="array" ref="AY12">SUM(($F12=BDD!$D$3:$D$215)*(BDD!$B$3:$B$215="TOTAL")*(BDD!$A$3:$A$215="GMF")*(BDD!$C$3:$C$215="UC")*(BDD!$H$3:$H$215))/AV12</f>
        <v>0.10974696175364361</v>
      </c>
      <c r="AZ12" s="37">
        <f t="array" ref="AZ12">SUM(($F12=BDD!$D$3:$D$215)*(BDD!$A$3:$A$215="GMF")*(BDD!$F$3:$F$215))</f>
        <v>7623440.6060581887</v>
      </c>
      <c r="BA12" s="14">
        <f t="shared" si="11"/>
        <v>4.924932874496292E-2</v>
      </c>
      <c r="BB12" s="44">
        <f>(AZ12/Global!$O$3)/(PAT_AGE!AV12/Global!$O$2)</f>
        <v>1.2436360523383778</v>
      </c>
      <c r="BC12" s="11"/>
    </row>
    <row r="13" spans="1:55" x14ac:dyDescent="0.25">
      <c r="A13" s="11"/>
      <c r="B13" s="11"/>
      <c r="C13" s="11"/>
      <c r="D13" s="11"/>
      <c r="E13" s="11"/>
      <c r="F13" s="41" t="s">
        <v>17</v>
      </c>
      <c r="G13" s="11"/>
      <c r="H13" s="37">
        <f t="array" ref="H13">SUM(($F13=BDD!$D$3:$D$215)*(BDD!$A$3:$A$215="MMA")*(BDD!$H$3:$H$215))</f>
        <v>340876942.15814149</v>
      </c>
      <c r="I13" s="37">
        <f t="array" ref="I13">SUM(($F13=BDD!$D$3:$D$215)*(BDD!$A$3:$A$215="MMA")*(BDD!$G$3:$G$215))</f>
        <v>5287410330.8995171</v>
      </c>
      <c r="J13" s="82">
        <f t="shared" si="0"/>
        <v>15.511199723349293</v>
      </c>
      <c r="K13" s="88">
        <f t="array" ref="K13">SUM(($F13=BDD!$D$3:$D$215)*(BDD!$A$3:$A$215="MMA")*(BDD!$H$3:$H$215)*(BDD!$C$3:$C$215="UC"))/H13</f>
        <v>0.29704382283872766</v>
      </c>
      <c r="L13" s="37">
        <f t="array" ref="L13">SUM(($F13=BDD!$D$3:$D$215)*(BDD!$A$3:$A$215="MMA")*(BDD!$F$3:$F$215))</f>
        <v>13044183.260126179</v>
      </c>
      <c r="M13" s="14">
        <f t="shared" si="1"/>
        <v>3.8266546213250908E-2</v>
      </c>
      <c r="N13" s="44">
        <f>(L13/Global!$O$3)/(PAT_AGE!H13/Global!$O$2)</f>
        <v>0.96630061123703725</v>
      </c>
      <c r="O13" s="11"/>
      <c r="P13" s="37">
        <f t="array" ref="P13">SUM(($F13=BDD!$D$3:$D$215)*(BDD!$B$3:$B$215="BS")*(BDD!$A$3:$A$215="MMA")*(BDD!$H$3:$H$215))</f>
        <v>47590494.28915292</v>
      </c>
      <c r="Q13" s="37">
        <f t="array" ref="Q13">SUM(($F13=BDD!$D$3:$D$215)*(BDD!$B$3:$B$215="BS")*(BDD!$A$3:$A$215="MMA")*(BDD!$G$3:$G$215))</f>
        <v>783167448.29673457</v>
      </c>
      <c r="R13" s="82">
        <f t="shared" si="2"/>
        <v>16.456383990011179</v>
      </c>
      <c r="S13" s="86">
        <f t="array" ref="S13">SUM(($F13=BDD!$D$3:$D$215)*(BDD!$B$3:$B$215="BS")*(BDD!$A$3:$A$215="MMA")*(BDD!$C$3:$C$215="UC")*(BDD!$H$3:$H$215))/P13</f>
        <v>0.44815415872001024</v>
      </c>
      <c r="T13" s="37">
        <f t="array" ref="T13">SUM(($F13=BDD!$D$3:$D$215)*(BDD!$B$3:$B$215="BS")*(BDD!$A$3:$A$215="MMA")*(BDD!$F$3:$F$215))</f>
        <v>2703399.6615438433</v>
      </c>
      <c r="U13" s="14">
        <f t="shared" si="3"/>
        <v>5.680545457499097E-2</v>
      </c>
      <c r="V13" s="44">
        <f>(T13/Global!$O$3)/(PAT_AGE!P13/Global!$O$2)</f>
        <v>1.4344421148309399</v>
      </c>
      <c r="W13" s="11"/>
      <c r="X13" s="37">
        <f t="array" ref="X13">SUM(($F13=BDD!$D$3:$D$215)*(BDD!$B$3:$B$215="CO")*(BDD!$A$3:$A$215="MMA")*(BDD!$H$3:$H$215))</f>
        <v>136867940.63997182</v>
      </c>
      <c r="Y13" s="37">
        <f t="array" ref="Y13">SUM(($F13=BDD!$D$3:$D$215)*(BDD!$B$3:$B$215="CO")*(BDD!$A$3:$A$215="MMA")*(BDD!$G$3:$G$215))</f>
        <v>1979116376.2763667</v>
      </c>
      <c r="Z13" s="82">
        <f t="shared" si="4"/>
        <v>14.460043506334253</v>
      </c>
      <c r="AA13" s="86">
        <f t="array" ref="AA13">SUM(($F13=BDD!$D$3:$D$215)*(BDD!$B$3:$B$215="CO")*(BDD!$A$3:$A$215="MMA")*(BDD!$C$3:$C$215="UC")*(BDD!$H$3:$H$215))/X13</f>
        <v>0.3593030492905695</v>
      </c>
      <c r="AB13" s="37">
        <f t="array" ref="AB13">SUM(($F13=BDD!$D$3:$D$215)*(BDD!$B$3:$B$215="CO")*(BDD!$A$3:$A$215="MMA")*(BDD!$F$3:$F$215))</f>
        <v>4447218.8109146636</v>
      </c>
      <c r="AC13" s="14">
        <f t="shared" si="5"/>
        <v>3.2492772157747131E-2</v>
      </c>
      <c r="AD13" s="44">
        <f>(AB13/Global!$O$3)/(PAT_AGE!X13/Global!$O$2)</f>
        <v>0.82050220633563309</v>
      </c>
      <c r="AE13" s="11"/>
      <c r="AF13" s="37">
        <f t="array" ref="AF13">SUM(($F13=BDD!$D$3:$D$215)*(BDD!$B$3:$B$215="AG")*(BDD!$A$3:$A$215="MMA")*(BDD!$H$3:$H$215))</f>
        <v>156371545.53213874</v>
      </c>
      <c r="AG13" s="37">
        <f t="array" ref="AG13">SUM(($F13=BDD!$D$3:$D$215)*(BDD!$B$3:$B$215="AG")*(BDD!$A$3:$A$215="MMA")*(BDD!$G$3:$G$215))</f>
        <v>2524362168.6662784</v>
      </c>
      <c r="AH13" s="82">
        <f t="shared" si="6"/>
        <v>16.143360098384722</v>
      </c>
      <c r="AI13" s="86">
        <f t="array" ref="AI13">SUM(($F13=BDD!$D$3:$D$215)*(BDD!$B$3:$B$215="AG")*(BDD!$A$3:$A$215="MMA")*(BDD!$C$3:$C$215="UC")*(BDD!$H$3:$H$215))/AF13</f>
        <v>0.19664578515897863</v>
      </c>
      <c r="AJ13" s="37">
        <f t="array" ref="AJ13">SUM(($F13=BDD!$D$3:$D$215)*(BDD!$B$3:$B$215="AG")*(BDD!$A$3:$A$215="MMA")*(BDD!$F$3:$F$215))</f>
        <v>5892475.4085561587</v>
      </c>
      <c r="AK13" s="14">
        <f t="shared" si="7"/>
        <v>3.7682529698762172E-2</v>
      </c>
      <c r="AL13" s="44">
        <f>(AJ13/Global!$O$3)/(PAT_AGE!AF13/Global!$O$2)</f>
        <v>0.95155312104604695</v>
      </c>
      <c r="AM13" s="11"/>
      <c r="AN13" s="37">
        <f t="array" ref="AN13">SUM(($F13=BDD!$D$3:$D$215)*(BDD!$A$3:$A$215="MAAF")*(BDD!$H$3:$H$215))</f>
        <v>176572069.08821028</v>
      </c>
      <c r="AO13" s="37">
        <f t="array" ref="AO13">SUM(($F13=BDD!$D$3:$D$215)*(BDD!$B$3:$B$215="TOTAL")*(BDD!$A$3:$A$215="MAAF")*(BDD!$G$3:$G$215))</f>
        <v>2733332155.4003329</v>
      </c>
      <c r="AP13" s="82">
        <f t="shared" si="8"/>
        <v>15.47998032483178</v>
      </c>
      <c r="AQ13" s="86">
        <f t="array" ref="AQ13">SUM(($F13=BDD!$D$3:$D$215)*(BDD!$B$3:$B$215="TOTAL")*(BDD!$A$3:$A$215="MAAF")*(BDD!$C$3:$C$215="UC")*(BDD!$H$3:$H$215))/AN13</f>
        <v>0.25225036688959768</v>
      </c>
      <c r="AR13" s="37">
        <f t="array" ref="AR13">SUM(($F13=BDD!$D$3:$D$215)*(BDD!$A$3:$A$215="MAAF")*(BDD!$F$3:$F$215))</f>
        <v>10450855.385880895</v>
      </c>
      <c r="AS13" s="14">
        <f t="shared" si="9"/>
        <v>5.9187477610968868E-2</v>
      </c>
      <c r="AT13" s="44">
        <f>(AR13/Global!$O$3)/(PAT_AGE!AN13/Global!$O$2)</f>
        <v>1.4945925737414201</v>
      </c>
      <c r="AU13" s="11"/>
      <c r="AV13" s="37">
        <f t="array" ref="AV13">SUM(($F13=BDD!$D$3:$D$215)*(BDD!$A$3:$A$215="GMF")*(BDD!$H$3:$H$215))</f>
        <v>325688689.59160012</v>
      </c>
      <c r="AW13" s="37">
        <f t="array" ref="AW13">SUM(($F13=BDD!$D$3:$D$215)*(BDD!$B$3:$B$215="TOTAL")*(BDD!$A$3:$A$215="GMF")*(BDD!$G$3:$G$215))</f>
        <v>6147341383.4536448</v>
      </c>
      <c r="AX13" s="82">
        <f t="shared" si="10"/>
        <v>18.874899804356581</v>
      </c>
      <c r="AY13" s="86">
        <f t="array" ref="AY13">SUM(($F13=BDD!$D$3:$D$215)*(BDD!$B$3:$B$215="TOTAL")*(BDD!$A$3:$A$215="GMF")*(BDD!$C$3:$C$215="UC")*(BDD!$H$3:$H$215))/AV13</f>
        <v>0.13116912662370347</v>
      </c>
      <c r="AZ13" s="37">
        <f t="array" ref="AZ13">SUM(($F13=BDD!$D$3:$D$215)*(BDD!$A$3:$A$215="GMF")*(BDD!$F$3:$F$215))</f>
        <v>12990622.506527578</v>
      </c>
      <c r="BA13" s="14">
        <f t="shared" si="11"/>
        <v>3.9886624625550461E-2</v>
      </c>
      <c r="BB13" s="44">
        <f>(AZ13/Global!$O$3)/(PAT_AGE!AV13/Global!$O$2)</f>
        <v>1.0072105682353225</v>
      </c>
      <c r="BC13" s="11"/>
    </row>
    <row r="14" spans="1:55" x14ac:dyDescent="0.25">
      <c r="A14" s="11"/>
      <c r="B14" s="11"/>
      <c r="C14" s="11"/>
      <c r="D14" s="11"/>
      <c r="E14" s="11"/>
      <c r="F14" s="41" t="s">
        <v>12</v>
      </c>
      <c r="G14" s="11"/>
      <c r="H14" s="37">
        <f t="array" ref="H14">SUM(($F14=BDD!$D$3:$D$215)*(BDD!$A$3:$A$215="MMA")*(BDD!$H$3:$H$215))</f>
        <v>265364142.9908303</v>
      </c>
      <c r="I14" s="37">
        <f t="array" ref="I14">SUM(($F14=BDD!$D$3:$D$215)*(BDD!$A$3:$A$215="MMA")*(BDD!$G$3:$G$215))</f>
        <v>2633607274.5204048</v>
      </c>
      <c r="J14" s="82">
        <f t="shared" si="0"/>
        <v>9.9245031556935306</v>
      </c>
      <c r="K14" s="88">
        <f t="array" ref="K14">SUM(($F14=BDD!$D$3:$D$215)*(BDD!$A$3:$A$215="MMA")*(BDD!$H$3:$H$215)*(BDD!$C$3:$C$215="UC"))/H14</f>
        <v>0.21043452677388119</v>
      </c>
      <c r="L14" s="37">
        <f t="array" ref="L14">SUM(($F14=BDD!$D$3:$D$215)*(BDD!$A$3:$A$215="MMA")*(BDD!$F$3:$F$215))</f>
        <v>4621713.3361861268</v>
      </c>
      <c r="M14" s="14">
        <f t="shared" si="1"/>
        <v>1.7416495251002435E-2</v>
      </c>
      <c r="N14" s="44">
        <f>(L14/Global!$O$3)/(PAT_AGE!H14/Global!$O$2)</f>
        <v>0.43979850997953085</v>
      </c>
      <c r="O14" s="11"/>
      <c r="P14" s="37">
        <f t="array" ref="P14">SUM(($F14=BDD!$D$3:$D$215)*(BDD!$B$3:$B$215="BS")*(BDD!$A$3:$A$215="MMA")*(BDD!$H$3:$H$215))</f>
        <v>36677654.088539958</v>
      </c>
      <c r="Q14" s="37">
        <f t="array" ref="Q14">SUM(($F14=BDD!$D$3:$D$215)*(BDD!$B$3:$B$215="BS")*(BDD!$A$3:$A$215="MMA")*(BDD!$G$3:$G$215))</f>
        <v>378975968.81938028</v>
      </c>
      <c r="R14" s="82">
        <f t="shared" si="2"/>
        <v>10.332612001425479</v>
      </c>
      <c r="S14" s="86">
        <f t="array" ref="S14">SUM(($F14=BDD!$D$3:$D$215)*(BDD!$B$3:$B$215="BS")*(BDD!$A$3:$A$215="MMA")*(BDD!$C$3:$C$215="UC")*(BDD!$H$3:$H$215))/P14</f>
        <v>0.29426880462392857</v>
      </c>
      <c r="T14" s="37">
        <f t="array" ref="T14">SUM(($F14=BDD!$D$3:$D$215)*(BDD!$B$3:$B$215="BS")*(BDD!$A$3:$A$215="MMA")*(BDD!$F$3:$F$215))</f>
        <v>656995.84920610581</v>
      </c>
      <c r="U14" s="14">
        <f t="shared" si="3"/>
        <v>1.7912700949196916E-2</v>
      </c>
      <c r="V14" s="44">
        <f>(T14/Global!$O$3)/(PAT_AGE!P14/Global!$O$2)</f>
        <v>0.45232861569622063</v>
      </c>
      <c r="W14" s="11"/>
      <c r="X14" s="37">
        <f t="array" ref="X14">SUM(($F14=BDD!$D$3:$D$215)*(BDD!$B$3:$B$215="CO")*(BDD!$A$3:$A$215="MMA")*(BDD!$H$3:$H$215))</f>
        <v>91693127.234289303</v>
      </c>
      <c r="Y14" s="37">
        <f t="array" ref="Y14">SUM(($F14=BDD!$D$3:$D$215)*(BDD!$B$3:$B$215="CO")*(BDD!$A$3:$A$215="MMA")*(BDD!$G$3:$G$215))</f>
        <v>897295659.77878475</v>
      </c>
      <c r="Z14" s="82">
        <f t="shared" si="4"/>
        <v>9.7858551326978258</v>
      </c>
      <c r="AA14" s="86">
        <f t="array" ref="AA14">SUM(($F14=BDD!$D$3:$D$215)*(BDD!$B$3:$B$215="CO")*(BDD!$A$3:$A$215="MMA")*(BDD!$C$3:$C$215="UC")*(BDD!$H$3:$H$215))/X14</f>
        <v>0.32399033767338925</v>
      </c>
      <c r="AB14" s="37">
        <f t="array" ref="AB14">SUM(($F14=BDD!$D$3:$D$215)*(BDD!$B$3:$B$215="CO")*(BDD!$A$3:$A$215="MMA")*(BDD!$F$3:$F$215))</f>
        <v>1628054.251852612</v>
      </c>
      <c r="AC14" s="14">
        <f t="shared" si="5"/>
        <v>1.7755466532324675E-2</v>
      </c>
      <c r="AD14" s="44">
        <f>(AB14/Global!$O$3)/(PAT_AGE!X14/Global!$O$2)</f>
        <v>0.44835815773316218</v>
      </c>
      <c r="AE14" s="11"/>
      <c r="AF14" s="37">
        <f t="array" ref="AF14">SUM(($F14=BDD!$D$3:$D$215)*(BDD!$B$3:$B$215="AG")*(BDD!$A$3:$A$215="MMA")*(BDD!$H$3:$H$215))</f>
        <v>135729599.62365326</v>
      </c>
      <c r="AG14" s="37">
        <f t="array" ref="AG14">SUM(($F14=BDD!$D$3:$D$215)*(BDD!$B$3:$B$215="AG")*(BDD!$A$3:$A$215="MMA")*(BDD!$G$3:$G$215))</f>
        <v>1345684861.6377003</v>
      </c>
      <c r="AH14" s="82">
        <f t="shared" si="6"/>
        <v>9.9144539243390728</v>
      </c>
      <c r="AI14" s="86">
        <f t="array" ref="AI14">SUM(($F14=BDD!$D$3:$D$215)*(BDD!$B$3:$B$215="AG")*(BDD!$A$3:$A$215="MMA")*(BDD!$C$3:$C$215="UC")*(BDD!$H$3:$H$215))/AF14</f>
        <v>0.11302620221055627</v>
      </c>
      <c r="AJ14" s="37">
        <f t="array" ref="AJ14">SUM(($F14=BDD!$D$3:$D$215)*(BDD!$B$3:$B$215="AG")*(BDD!$A$3:$A$215="MMA")*(BDD!$F$3:$F$215))</f>
        <v>2318019.6769024744</v>
      </c>
      <c r="AK14" s="14">
        <f t="shared" si="7"/>
        <v>1.7078217893000538E-2</v>
      </c>
      <c r="AL14" s="44">
        <f>(AJ14/Global!$O$3)/(PAT_AGE!AF14/Global!$O$2)</f>
        <v>0.43125638506490527</v>
      </c>
      <c r="AM14" s="11"/>
      <c r="AN14" s="37">
        <f t="array" ref="AN14">SUM(($F14=BDD!$D$3:$D$215)*(BDD!$A$3:$A$215="MAAF")*(BDD!$H$3:$H$215))</f>
        <v>132080299.60129058</v>
      </c>
      <c r="AO14" s="37">
        <f t="array" ref="AO14">SUM(($F14=BDD!$D$3:$D$215)*(BDD!$B$3:$B$215="TOTAL")*(BDD!$A$3:$A$215="MAAF")*(BDD!$G$3:$G$215))</f>
        <v>1677228770.9031966</v>
      </c>
      <c r="AP14" s="82">
        <f t="shared" si="8"/>
        <v>12.698553652332933</v>
      </c>
      <c r="AQ14" s="86">
        <f t="array" ref="AQ14">SUM(($F14=BDD!$D$3:$D$215)*(BDD!$B$3:$B$215="TOTAL")*(BDD!$A$3:$A$215="MAAF")*(BDD!$C$3:$C$215="UC")*(BDD!$H$3:$H$215))/AN14</f>
        <v>0.16167700775558821</v>
      </c>
      <c r="AR14" s="37">
        <f t="array" ref="AR14">SUM(($F14=BDD!$D$3:$D$215)*(BDD!$A$3:$A$215="MAAF")*(BDD!$F$3:$F$215))</f>
        <v>3625849.3888825411</v>
      </c>
      <c r="AS14" s="14">
        <f t="shared" si="9"/>
        <v>2.7451856180125685E-2</v>
      </c>
      <c r="AT14" s="44">
        <f>(AR14/Global!$O$3)/(PAT_AGE!AN14/Global!$O$2)</f>
        <v>0.69320981461507036</v>
      </c>
      <c r="AU14" s="11"/>
      <c r="AV14" s="37">
        <f t="array" ref="AV14">SUM(($F14=BDD!$D$3:$D$215)*(BDD!$A$3:$A$215="GMF")*(BDD!$H$3:$H$215))</f>
        <v>312505874.49022686</v>
      </c>
      <c r="AW14" s="37">
        <f t="array" ref="AW14">SUM(($F14=BDD!$D$3:$D$215)*(BDD!$B$3:$B$215="TOTAL")*(BDD!$A$3:$A$215="GMF")*(BDD!$G$3:$G$215))</f>
        <v>4069216465.6979575</v>
      </c>
      <c r="AX14" s="82">
        <f t="shared" si="10"/>
        <v>13.021247912013942</v>
      </c>
      <c r="AY14" s="86">
        <f t="array" ref="AY14">SUM(($F14=BDD!$D$3:$D$215)*(BDD!$B$3:$B$215="TOTAL")*(BDD!$A$3:$A$215="GMF")*(BDD!$C$3:$C$215="UC")*(BDD!$H$3:$H$215))/AV14</f>
        <v>6.9901155418866379E-2</v>
      </c>
      <c r="AZ14" s="37">
        <f t="array" ref="AZ14">SUM(($F14=BDD!$D$3:$D$215)*(BDD!$A$3:$A$215="GMF")*(BDD!$F$3:$F$215))</f>
        <v>5823120.3100002753</v>
      </c>
      <c r="BA14" s="14">
        <f t="shared" si="11"/>
        <v>1.8633634710064895E-2</v>
      </c>
      <c r="BB14" s="44">
        <f>(AZ14/Global!$O$3)/(PAT_AGE!AV14/Global!$O$2)</f>
        <v>0.47053351796009191</v>
      </c>
      <c r="BC14" s="11"/>
    </row>
    <row r="15" spans="1:55" s="28" customFormat="1" x14ac:dyDescent="0.25">
      <c r="A15" s="11"/>
      <c r="B15" s="11"/>
      <c r="C15" s="11"/>
      <c r="D15" s="11"/>
      <c r="E15" s="11"/>
      <c r="F15" s="48" t="s">
        <v>30</v>
      </c>
      <c r="G15" s="11"/>
      <c r="H15" s="47">
        <f>SUM(H9:H14)</f>
        <v>1123206628.5548003</v>
      </c>
      <c r="I15" s="47">
        <f>SUM(I9:I14)</f>
        <v>16932188381.950558</v>
      </c>
      <c r="J15" s="83">
        <f t="shared" si="0"/>
        <v>15.074865079577343</v>
      </c>
      <c r="K15" s="42">
        <f t="array" ref="K15">SUM((BDD!$A$3:$A$215="MMA")*(BDD!$H$3:$H$215)*(BDD!$C$3:$C$215="UC"))/H15</f>
        <v>0.29682285473757558</v>
      </c>
      <c r="L15" s="47">
        <f>SUM(L9:L14)</f>
        <v>42110977.416281924</v>
      </c>
      <c r="M15" s="42">
        <f t="shared" si="1"/>
        <v>3.7491745815696427E-2</v>
      </c>
      <c r="N15" s="43">
        <f>(L15/Global!$O$3)/(PAT_AGE!H15/Global!$O$2)</f>
        <v>0.9467354774104485</v>
      </c>
      <c r="O15" s="11"/>
      <c r="P15" s="47">
        <f>SUM(P9:P14)</f>
        <v>149798999.54958105</v>
      </c>
      <c r="Q15" s="47">
        <f>SUM(Q9:Q14)</f>
        <v>2445555918.5394526</v>
      </c>
      <c r="R15" s="83">
        <f t="shared" si="2"/>
        <v>16.325582453105856</v>
      </c>
      <c r="S15" s="87">
        <f t="array" ref="S15">SUM((BDD!$B$3:$B$215="BS")*(BDD!$A$3:$A$215="MMA")*(BDD!$C$3:$C$215="UC")*(BDD!$H$3:$H$215))/P15</f>
        <v>0.41058299578990787</v>
      </c>
      <c r="T15" s="47">
        <f>SUM(T9:T14)</f>
        <v>8283837.7356557054</v>
      </c>
      <c r="U15" s="42">
        <f t="shared" si="3"/>
        <v>5.5299686650536597E-2</v>
      </c>
      <c r="V15" s="43">
        <f>(T15/Global!$O$3)/(PAT_AGE!P15/Global!$O$2)</f>
        <v>1.3964187077099299</v>
      </c>
      <c r="W15" s="11"/>
      <c r="X15" s="47">
        <f>SUM(X9:X14)</f>
        <v>471114799.55149794</v>
      </c>
      <c r="Y15" s="47">
        <f>SUM(Y9:Y14)</f>
        <v>6718631601.9399824</v>
      </c>
      <c r="Z15" s="83">
        <f t="shared" si="4"/>
        <v>14.26113467107408</v>
      </c>
      <c r="AA15" s="87">
        <f t="array" ref="AA15">SUM((BDD!$B$3:$B$215="CO")*(BDD!$A$3:$A$215="MMA")*(BDD!$C$3:$C$215="UC")*(BDD!$H$3:$H$215))/X15</f>
        <v>0.37505375692863935</v>
      </c>
      <c r="AB15" s="47">
        <f>SUM(AB9:AB14)</f>
        <v>14914919.830034174</v>
      </c>
      <c r="AC15" s="42">
        <f t="shared" si="5"/>
        <v>3.1658780077028367E-2</v>
      </c>
      <c r="AD15" s="43">
        <f>(AB15/Global!$O$3)/(PAT_AGE!X15/Global!$O$2)</f>
        <v>0.79944237373735361</v>
      </c>
      <c r="AE15" s="11"/>
      <c r="AF15" s="47">
        <f>SUM(AF9:AF14)</f>
        <v>500878164.90884805</v>
      </c>
      <c r="AG15" s="47">
        <f>SUM(AG9:AG14)</f>
        <v>7752935169.4617109</v>
      </c>
      <c r="AH15" s="83">
        <f t="shared" si="6"/>
        <v>15.478684663510183</v>
      </c>
      <c r="AI15" s="87">
        <f t="array" ref="AI15">SUM((BDD!$B$3:$B$215="AG")*(BDD!$A$3:$A$215="MMA")*(BDD!$C$3:$C$215="UC")*(BDD!$H$3:$H$215))/AF15</f>
        <v>0.19005512474676303</v>
      </c>
      <c r="AJ15" s="47">
        <f>SUM(AJ9:AJ14)</f>
        <v>18887765.350522727</v>
      </c>
      <c r="AK15" s="42">
        <f t="shared" si="7"/>
        <v>3.7709300731765781E-2</v>
      </c>
      <c r="AL15" s="43">
        <f>(AJ15/Global!$O$3)/(PAT_AGE!AF15/Global!$O$2)</f>
        <v>0.95222913882436111</v>
      </c>
      <c r="AM15" s="11"/>
      <c r="AN15" s="47">
        <f>SUM(AN9:AN14)</f>
        <v>570692484.52319407</v>
      </c>
      <c r="AO15" s="47">
        <f>SUM(AO9:AO14)</f>
        <v>8865346447.4827557</v>
      </c>
      <c r="AP15" s="83">
        <f t="shared" si="8"/>
        <v>15.534366910210204</v>
      </c>
      <c r="AQ15" s="87">
        <f t="array" ref="AQ15">SUM((BDD!$B$3:$B$215="TOTAL")*(BDD!$A$3:$A$215="MAAF")*(BDD!$C$3:$C$215="UC")*(BDD!$H$3:$H$215))/AN15</f>
        <v>0.21279750601234279</v>
      </c>
      <c r="AR15" s="47">
        <f>SUM(AR9:AR14)</f>
        <v>28643645.429963134</v>
      </c>
      <c r="AS15" s="42">
        <f t="shared" si="9"/>
        <v>5.0191033186453328E-2</v>
      </c>
      <c r="AT15" s="43">
        <f>(AR15/Global!$O$3)/(PAT_AGE!AN15/Global!$O$2)</f>
        <v>1.2674158199804781</v>
      </c>
      <c r="AU15" s="11"/>
      <c r="AV15" s="47">
        <f>SUM(AV9:AV14)</f>
        <v>961729297.48752058</v>
      </c>
      <c r="AW15" s="47">
        <f>SUM(AW9:AW14)</f>
        <v>16464112221.38637</v>
      </c>
      <c r="AX15" s="83">
        <f t="shared" si="10"/>
        <v>17.11927905742105</v>
      </c>
      <c r="AY15" s="87">
        <f t="array" ref="AY15">SUM((BDD!$B$3:$B$215="TOTAL")*(BDD!$A$3:$A$215="GMF")*(BDD!$C$3:$C$215="UC")*(BDD!$H$3:$H$215))/AV15</f>
        <v>0.10072551883925862</v>
      </c>
      <c r="AZ15" s="47">
        <f>SUM(AZ9:AZ14)</f>
        <v>34411125.90354982</v>
      </c>
      <c r="BA15" s="42">
        <f t="shared" si="11"/>
        <v>3.5780469611820617E-2</v>
      </c>
      <c r="BB15" s="43">
        <f>(AZ15/Global!$O$3)/(PAT_AGE!AV15/Global!$O$2)</f>
        <v>0.90352260858802036</v>
      </c>
      <c r="BC15" s="11"/>
    </row>
    <row r="16" spans="1:55" s="52" customFormat="1" x14ac:dyDescent="0.25">
      <c r="F16" s="52" t="s">
        <v>49</v>
      </c>
      <c r="H16" s="52">
        <f>H15-Global!F13</f>
        <v>0</v>
      </c>
      <c r="I16" s="52">
        <f>I15-Global!F14</f>
        <v>0</v>
      </c>
      <c r="J16" s="84"/>
      <c r="K16" s="52">
        <f>K15-Global!F19</f>
        <v>0</v>
      </c>
      <c r="L16" s="52">
        <f>L15-Global!F15</f>
        <v>0</v>
      </c>
      <c r="P16" s="52">
        <f>P15-Global!I13</f>
        <v>0</v>
      </c>
      <c r="Q16" s="52">
        <f>Q15-Global!I14</f>
        <v>0</v>
      </c>
      <c r="S16" s="52">
        <f>S15-Global!I19</f>
        <v>0</v>
      </c>
      <c r="T16" s="52">
        <f>T15-Global!I15</f>
        <v>0</v>
      </c>
      <c r="X16" s="52">
        <f>X15-Global!L13</f>
        <v>0</v>
      </c>
      <c r="Y16" s="52">
        <f>Y15-Global!L14</f>
        <v>0</v>
      </c>
      <c r="AA16" s="52">
        <f>AA15-Global!L19</f>
        <v>0</v>
      </c>
      <c r="AB16" s="52">
        <f>AB15-Global!L15</f>
        <v>0</v>
      </c>
      <c r="AF16" s="52">
        <f>AF15-Global!O13</f>
        <v>0</v>
      </c>
      <c r="AG16" s="52">
        <f>AG15-Global!O14</f>
        <v>0</v>
      </c>
      <c r="AH16" s="84"/>
      <c r="AI16" s="52">
        <f>AI15-Global!O19</f>
        <v>0</v>
      </c>
      <c r="AJ16" s="52">
        <f>AJ15-Global!O15</f>
        <v>0</v>
      </c>
      <c r="AN16" s="52">
        <f>AN15-Global!R13</f>
        <v>0</v>
      </c>
      <c r="AO16" s="52">
        <f>AO15-Global!R14</f>
        <v>0</v>
      </c>
      <c r="AQ16" s="52">
        <f>AQ15-Global!R19</f>
        <v>0</v>
      </c>
      <c r="AR16" s="52">
        <f>AR15-Global!R15</f>
        <v>0</v>
      </c>
      <c r="AV16" s="52">
        <f>AV15-Global!U13</f>
        <v>0</v>
      </c>
      <c r="AW16" s="52">
        <f>AW15-Global!U14</f>
        <v>0</v>
      </c>
      <c r="AY16" s="52">
        <f>AY15-Global!U19</f>
        <v>0</v>
      </c>
      <c r="AZ16" s="52">
        <f>AZ15-Global!U15</f>
        <v>0</v>
      </c>
    </row>
    <row r="17" spans="1:55" x14ac:dyDescent="0.25">
      <c r="A17" s="11"/>
      <c r="B17" s="11"/>
      <c r="C17" s="11"/>
      <c r="D17" s="11"/>
      <c r="E17" s="11"/>
      <c r="F17" s="39"/>
      <c r="G17" s="11"/>
      <c r="H17" s="11"/>
      <c r="I17" s="11"/>
      <c r="J17" s="85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85"/>
      <c r="AA17" s="11"/>
      <c r="AB17" s="11"/>
      <c r="AC17" s="11"/>
      <c r="AD17" s="11"/>
      <c r="AE17" s="11"/>
      <c r="AF17" s="11"/>
      <c r="AG17" s="11"/>
      <c r="AH17" s="85"/>
      <c r="AI17" s="91"/>
      <c r="AJ17" s="11"/>
      <c r="AK17" s="11"/>
      <c r="AL17" s="11"/>
      <c r="AM17" s="11"/>
      <c r="AN17" s="11"/>
      <c r="AO17" s="11"/>
      <c r="AP17" s="11"/>
      <c r="AQ17" s="91"/>
      <c r="AR17" s="11"/>
      <c r="AS17" s="11"/>
      <c r="AT17" s="11"/>
      <c r="AU17" s="11"/>
      <c r="AV17" s="11"/>
      <c r="AW17" s="11"/>
      <c r="AX17" s="11"/>
      <c r="AY17" s="91"/>
      <c r="AZ17" s="11"/>
      <c r="BA17" s="11"/>
      <c r="BB17" s="11"/>
      <c r="BC17" s="11"/>
    </row>
    <row r="18" spans="1:55" s="28" customFormat="1" x14ac:dyDescent="0.25">
      <c r="A18" s="11"/>
      <c r="B18" s="11"/>
      <c r="C18" s="11"/>
      <c r="D18" s="72" t="s">
        <v>24</v>
      </c>
      <c r="E18" s="11"/>
      <c r="F18" s="40" t="s">
        <v>13</v>
      </c>
      <c r="G18" s="11"/>
      <c r="H18" s="37">
        <f t="array" ref="H18">SUM(($F18=BDD!$D$3:$D$215)*(BDD!$E$3:$E$215="PC")*(BDD!$A$3:$A$215="MMA")*(BDD!$H$3:$H$215))</f>
        <v>96635923.180214465</v>
      </c>
      <c r="I18" s="37">
        <f t="array" ref="I18">SUM(($F18=BDD!$D$3:$D$215)*(BDD!$E$3:$E$215="PC")*(BDD!$A$3:$A$215="MMA")*(BDD!$G$3:$G$215))</f>
        <v>1777021011.753125</v>
      </c>
      <c r="J18" s="82">
        <f>I18/H18</f>
        <v>18.388824293003264</v>
      </c>
      <c r="K18" s="89">
        <f>H35/H18</f>
        <v>0.26557772179248412</v>
      </c>
      <c r="L18" s="37">
        <f t="array" ref="L18">SUM(($F18=BDD!$D$3:$D$215)*(BDD!$A$3:$A$215="MMA")*(BDD!$E$3:$E$215="PC")*(BDD!$F$3:$F$215))</f>
        <v>3786728.4506560653</v>
      </c>
      <c r="M18" s="14">
        <f>L18/H18</f>
        <v>3.9185515344995141E-2</v>
      </c>
      <c r="N18" s="44">
        <f>(L18/Global!$O$3)/(PAT_AGE!H18/Global!$O$2)</f>
        <v>0.98950627052919782</v>
      </c>
      <c r="O18" s="11"/>
      <c r="P18" s="37">
        <f t="array" ref="P18">SUM(($F18=BDD!$D$3:$D$215)*(BDD!$B$3:$B$215="BS")*(BDD!$E$3:$E$215="PC")*(BDD!$A$3:$A$215="MMA")*(BDD!$H$3:$H$215))</f>
        <v>7498381.0140586346</v>
      </c>
      <c r="Q18" s="37">
        <f t="array" ref="Q18">SUM(($F18=BDD!$D$3:$D$215)*(BDD!$B$3:$B$215="BS")*(BDD!$E$3:$E$215="PC")*(BDD!$A$3:$A$215="MMA")*(BDD!$G$3:$G$215))</f>
        <v>142443510.37739319</v>
      </c>
      <c r="R18" s="82">
        <f t="shared" ref="R18:R24" si="12">Q18/P18</f>
        <v>18.99656874068247</v>
      </c>
      <c r="S18" s="89">
        <f>P35/P18</f>
        <v>0.41662207682824642</v>
      </c>
      <c r="T18" s="37">
        <f t="array" ref="T18">SUM(($F18=BDD!$D$3:$D$215)*(BDD!$B$3:$B$215="BS")*(BDD!$A$3:$A$215="MMA")*(BDD!$E$3:$E$215="PC")*(BDD!$F$3:$F$215))</f>
        <v>507705.01771958009</v>
      </c>
      <c r="U18" s="14">
        <f>T18/P18</f>
        <v>6.7708618269422344E-2</v>
      </c>
      <c r="V18" s="44">
        <f>(T18/Global!$O$3)/(PAT_AGE!P18/Global!$O$2)</f>
        <v>1.7097670339818143</v>
      </c>
      <c r="W18" s="11"/>
      <c r="X18" s="37">
        <f t="array" ref="X18">SUM(($F18=BDD!$D$3:$D$215)*(BDD!$B$3:$B$215="CO")*(BDD!$E$3:$E$215="PC")*(BDD!$A$3:$A$215="MMA")*(BDD!$H$3:$H$215))</f>
        <v>74505835.14373827</v>
      </c>
      <c r="Y18" s="37">
        <f t="array" ref="Y18">SUM(($F18=BDD!$D$3:$D$215)*(BDD!$B$3:$B$215="CO")*(BDD!$E$3:$E$215="PC")*(BDD!$A$3:$A$215="MMA")*(BDD!$G$3:$G$215))</f>
        <v>1340730894.2413387</v>
      </c>
      <c r="Z18" s="82">
        <f t="shared" ref="Z18:Z24" si="13">Y18/X18</f>
        <v>17.994978402091213</v>
      </c>
      <c r="AA18" s="89">
        <f>X35/X18</f>
        <v>0.2537886747501753</v>
      </c>
      <c r="AB18" s="37">
        <f t="array" ref="AB18">SUM(($F18=BDD!$D$3:$D$215)*(BDD!$B$3:$B$215="CO")*(BDD!$A$3:$A$215="MMA")*(BDD!$E$3:$E$215="PC")*(BDD!$F$3:$F$215))</f>
        <v>2357331.2541207015</v>
      </c>
      <c r="AC18" s="14">
        <f>AB18/X18</f>
        <v>3.1639552117936627E-2</v>
      </c>
      <c r="AD18" s="44">
        <f>(AB18/Global!$O$3)/(PAT_AGE!X18/Global!$O$2)</f>
        <v>0.79895683243661419</v>
      </c>
      <c r="AE18" s="11"/>
      <c r="AF18" s="37">
        <f t="array" ref="AF18">SUM(($F18=BDD!$D$3:$D$215)*(BDD!$B$3:$B$215="AG")*(BDD!$E$3:$E$215="PC")*(BDD!$A$3:$A$215="MMA")*(BDD!$H$3:$H$215))</f>
        <v>14631707.02241757</v>
      </c>
      <c r="AG18" s="37">
        <f t="array" ref="AG18">SUM(($F18=BDD!$D$3:$D$215)*(BDD!$B$3:$B$215="AG")*(BDD!$E$3:$E$215="PC")*(BDD!$A$3:$A$215="MMA")*(BDD!$G$3:$G$215))</f>
        <v>293846607.1343931</v>
      </c>
      <c r="AH18" s="82">
        <f>AG18/AF18</f>
        <v>20.082865702831807</v>
      </c>
      <c r="AI18" s="89">
        <f>AF35/AF18</f>
        <v>0.24820207804460578</v>
      </c>
      <c r="AJ18" s="37">
        <f t="array" ref="AJ18">SUM(($F18=BDD!$D$3:$D$215)*(BDD!$B$3:$B$215="AG")*(BDD!$A$3:$A$215="MMA")*(BDD!$E$3:$E$215="PC")*(BDD!$F$3:$F$215))</f>
        <v>921692.17881578417</v>
      </c>
      <c r="AK18" s="14">
        <f>AJ18/AF18</f>
        <v>6.299279895391828E-2</v>
      </c>
      <c r="AL18" s="44">
        <f>(AJ18/Global!$O$3)/(PAT_AGE!AF18/Global!$O$2)</f>
        <v>1.5906839303836888</v>
      </c>
      <c r="AM18" s="11"/>
      <c r="AN18" s="37">
        <f t="array" ref="AN18">SUM(($F18=BDD!$D$3:$D$215)*(BDD!$A$3:$A$215="MAAF")*(BDD!$E$3:$E$215="PC")*(BDD!$H$3:$H$215))</f>
        <v>8816574.9806936029</v>
      </c>
      <c r="AO18" s="37">
        <f t="array" ref="AO18">SUM(($F18=BDD!$D$3:$D$215)*(BDD!$B$3:$B$215="TOTAL")*(BDD!$E$3:$E$215="PC")*(BDD!$A$3:$A$215="MAAF")*(BDD!$G$3:$G$215))</f>
        <v>200118128.88162762</v>
      </c>
      <c r="AP18" s="82">
        <f t="shared" ref="AP18:AP24" si="14">AO18/AN18</f>
        <v>22.697944419442148</v>
      </c>
      <c r="AQ18" s="89">
        <f>AN35/AN18</f>
        <v>0.23288499065858495</v>
      </c>
      <c r="AR18" s="37">
        <f t="array" ref="AR18">SUM(($F18=BDD!$D$3:$D$215)*(BDD!$A$3:$A$215="MAAF")*(BDD!$E$3:$E$215="PC")*(BDD!$F$3:$F$215))</f>
        <v>634584.77167553094</v>
      </c>
      <c r="AS18" s="14">
        <f>AR18/AN18</f>
        <v>7.1976336963632093E-2</v>
      </c>
      <c r="AT18" s="44">
        <f>(AR18/Global!$O$3)/(PAT_AGE!AN18/Global!$O$2)</f>
        <v>1.8175347734538077</v>
      </c>
      <c r="AU18" s="11"/>
      <c r="AV18" s="37">
        <f t="array" ref="AV18">SUM(($F18=BDD!$D$3:$D$215)*(BDD!$A$3:$A$215="GMF")*(BDD!$E$3:$E$215="PC")*(BDD!$H$3:$H$215))</f>
        <v>9923876.7928858139</v>
      </c>
      <c r="AW18" s="37">
        <f t="array" ref="AW18">SUM(($F18=BDD!$D$3:$D$215)*(BDD!$B$3:$B$215="TOTAL")*(BDD!$E$3:$E$215="PC")*(BDD!$A$3:$A$215="GMF")*(BDD!$G$3:$G$215))</f>
        <v>227911459.52386564</v>
      </c>
      <c r="AX18" s="82">
        <f t="shared" ref="AX18:AX24" si="15">AW18/AV18</f>
        <v>22.965970283634498</v>
      </c>
      <c r="AY18" s="89">
        <f>AV35/AV18</f>
        <v>7.8347054086950862E-2</v>
      </c>
      <c r="AZ18" s="37">
        <f t="array" ref="AZ18">SUM(($F18=BDD!$D$3:$D$215)*(BDD!$A$3:$A$215="GMF")*(BDD!$E$3:$E$215="PC")*(BDD!$F$3:$F$215))</f>
        <v>513473.7973501489</v>
      </c>
      <c r="BA18" s="14">
        <f>AZ18/AV18</f>
        <v>5.1741250729578366E-2</v>
      </c>
      <c r="BB18" s="44">
        <f>(AZ18/Global!$O$3)/(PAT_AGE!AV18/Global!$O$2)</f>
        <v>1.3065616616544098</v>
      </c>
      <c r="BC18" s="11"/>
    </row>
    <row r="19" spans="1:55" s="28" customFormat="1" x14ac:dyDescent="0.25">
      <c r="A19" s="11"/>
      <c r="B19" s="11"/>
      <c r="C19" s="11"/>
      <c r="D19" s="73"/>
      <c r="E19" s="11"/>
      <c r="F19" s="41" t="s">
        <v>14</v>
      </c>
      <c r="G19" s="11"/>
      <c r="H19" s="37">
        <f t="array" ref="H19">SUM(($F19=BDD!$D$3:$D$215)*(BDD!$E$3:$E$215="PC")*(BDD!$A$3:$A$215="MMA")*(BDD!$H$3:$H$215))</f>
        <v>44015130.16505684</v>
      </c>
      <c r="I19" s="37">
        <f t="array" ref="I19">SUM(($F19=BDD!$D$3:$D$215)*(BDD!$E$3:$E$215="PC")*(BDD!$A$3:$A$215="MMA")*(BDD!$G$3:$G$215))</f>
        <v>720261435.05544877</v>
      </c>
      <c r="J19" s="82">
        <f t="shared" ref="J19:J24" si="16">I19/H19</f>
        <v>16.363951040346052</v>
      </c>
      <c r="K19" s="89">
        <f t="shared" ref="K19:K24" si="17">H36/H19</f>
        <v>0.41804779845048179</v>
      </c>
      <c r="L19" s="37">
        <f t="array" ref="L19">SUM(($F19=BDD!$D$3:$D$215)*(BDD!$A$3:$A$215="MMA")*(BDD!$E$3:$E$215="PC")*(BDD!$F$3:$F$215))</f>
        <v>2206152.1861976921</v>
      </c>
      <c r="M19" s="14">
        <f t="shared" ref="M19:M24" si="18">L19/H19</f>
        <v>5.0122586890567318E-2</v>
      </c>
      <c r="N19" s="44">
        <f>(L19/Global!$O$3)/(PAT_AGE!H19/Global!$O$2)</f>
        <v>1.265687425231107</v>
      </c>
      <c r="O19" s="11"/>
      <c r="P19" s="37">
        <f t="array" ref="P19">SUM(($F19=BDD!$D$3:$D$215)*(BDD!$B$3:$B$215="BS")*(BDD!$E$3:$E$215="PC")*(BDD!$A$3:$A$215="MMA")*(BDD!$H$3:$H$215))</f>
        <v>6343166.0212397706</v>
      </c>
      <c r="Q19" s="37">
        <f t="array" ref="Q19">SUM(($F19=BDD!$D$3:$D$215)*(BDD!$B$3:$B$215="BS")*(BDD!$E$3:$E$215="PC")*(BDD!$A$3:$A$215="MMA")*(BDD!$G$3:$G$215))</f>
        <v>125378216.07500613</v>
      </c>
      <c r="R19" s="82">
        <f t="shared" si="12"/>
        <v>19.765873328111468</v>
      </c>
      <c r="S19" s="89">
        <f t="shared" ref="S19:S24" si="19">P36/P19</f>
        <v>0.45789359071126989</v>
      </c>
      <c r="T19" s="37">
        <f t="array" ref="T19">SUM(($F19=BDD!$D$3:$D$215)*(BDD!$B$3:$B$215="BS")*(BDD!$A$3:$A$215="MMA")*(BDD!$E$3:$E$215="PC")*(BDD!$F$3:$F$215))</f>
        <v>492859.97747642151</v>
      </c>
      <c r="U19" s="14">
        <f t="shared" ref="U19:U24" si="20">T19/P19</f>
        <v>7.7699365872831452E-2</v>
      </c>
      <c r="V19" s="44">
        <f>(T19/Global!$O$3)/(PAT_AGE!P19/Global!$O$2)</f>
        <v>1.9620517701607536</v>
      </c>
      <c r="W19" s="11"/>
      <c r="X19" s="37">
        <f t="array" ref="X19">SUM(($F19=BDD!$D$3:$D$215)*(BDD!$B$3:$B$215="CO")*(BDD!$E$3:$E$215="PC")*(BDD!$A$3:$A$215="MMA")*(BDD!$H$3:$H$215))</f>
        <v>25251436.092859678</v>
      </c>
      <c r="Y19" s="37">
        <f t="array" ref="Y19">SUM(($F19=BDD!$D$3:$D$215)*(BDD!$B$3:$B$215="CO")*(BDD!$E$3:$E$215="PC")*(BDD!$A$3:$A$215="MMA")*(BDD!$G$3:$G$215))</f>
        <v>345014066.79569829</v>
      </c>
      <c r="Z19" s="82">
        <f t="shared" si="13"/>
        <v>13.663146346486707</v>
      </c>
      <c r="AA19" s="89">
        <f t="shared" ref="AA19:AA24" si="21">X36/X19</f>
        <v>0.44985901220508667</v>
      </c>
      <c r="AB19" s="37">
        <f t="array" ref="AB19">SUM(($F19=BDD!$D$3:$D$215)*(BDD!$B$3:$B$215="CO")*(BDD!$A$3:$A$215="MMA")*(BDD!$E$3:$E$215="PC")*(BDD!$F$3:$F$215))</f>
        <v>854562.08583503868</v>
      </c>
      <c r="AC19" s="14">
        <f t="shared" ref="AC19:AC24" si="22">AB19/X19</f>
        <v>3.3842118234086588E-2</v>
      </c>
      <c r="AD19" s="44">
        <f>(AB19/Global!$O$3)/(PAT_AGE!X19/Global!$O$2)</f>
        <v>0.85457567434789949</v>
      </c>
      <c r="AE19" s="11"/>
      <c r="AF19" s="37">
        <f t="array" ref="AF19">SUM(($F19=BDD!$D$3:$D$215)*(BDD!$B$3:$B$215="AG")*(BDD!$E$3:$E$215="PC")*(BDD!$A$3:$A$215="MMA")*(BDD!$H$3:$H$215))</f>
        <v>12420528.050957393</v>
      </c>
      <c r="AG19" s="37">
        <f t="array" ref="AG19">SUM(($F19=BDD!$D$3:$D$215)*(BDD!$B$3:$B$215="AG")*(BDD!$E$3:$E$215="PC")*(BDD!$A$3:$A$215="MMA")*(BDD!$G$3:$G$215))</f>
        <v>249869152.18474433</v>
      </c>
      <c r="AH19" s="82">
        <f t="shared" ref="AH19:AH24" si="23">AG19/AF19</f>
        <v>20.11743390938069</v>
      </c>
      <c r="AI19" s="89">
        <f t="shared" ref="AI19:AI24" si="24">AF36/AF19</f>
        <v>0.33302506009457777</v>
      </c>
      <c r="AJ19" s="37">
        <f t="array" ref="AJ19">SUM(($F19=BDD!$D$3:$D$215)*(BDD!$B$3:$B$215="AG")*(BDD!$A$3:$A$215="MMA")*(BDD!$E$3:$E$215="PC")*(BDD!$F$3:$F$215))</f>
        <v>858730.12288623187</v>
      </c>
      <c r="AK19" s="14">
        <f t="shared" ref="AK19:AK24" si="25">AJ19/AF19</f>
        <v>6.9137972183077975E-2</v>
      </c>
      <c r="AL19" s="44">
        <f>(AJ19/Global!$O$3)/(PAT_AGE!AF19/Global!$O$2)</f>
        <v>1.7458608469102779</v>
      </c>
      <c r="AM19" s="11"/>
      <c r="AN19" s="37">
        <f t="array" ref="AN19">SUM(($F19=BDD!$D$3:$D$215)*(BDD!$A$3:$A$215="MAAF")*(BDD!$E$3:$E$215="PC")*(BDD!$H$3:$H$215))</f>
        <v>10399652.97236754</v>
      </c>
      <c r="AO19" s="37">
        <f t="array" ref="AO19">SUM(($F19=BDD!$D$3:$D$215)*(BDD!$B$3:$B$215="TOTAL")*(BDD!$E$3:$E$215="PC")*(BDD!$A$3:$A$215="MAAF")*(BDD!$G$3:$G$215))</f>
        <v>213813226.83075589</v>
      </c>
      <c r="AP19" s="82">
        <f t="shared" si="14"/>
        <v>20.559650153603162</v>
      </c>
      <c r="AQ19" s="89">
        <f t="shared" ref="AQ19:AQ24" si="26">AN36/AN19</f>
        <v>0.28746622428302943</v>
      </c>
      <c r="AR19" s="37">
        <f t="array" ref="AR19">SUM(($F19=BDD!$D$3:$D$215)*(BDD!$A$3:$A$215="MAAF")*(BDD!$E$3:$E$215="PC")*(BDD!$F$3:$F$215))</f>
        <v>771824.73243292654</v>
      </c>
      <c r="AS19" s="14">
        <f t="shared" ref="AS19:AS24" si="27">AR19/AN19</f>
        <v>7.4216393035778025E-2</v>
      </c>
      <c r="AT19" s="44">
        <f>(AR19/Global!$O$3)/(PAT_AGE!AN19/Global!$O$2)</f>
        <v>1.874100305646266</v>
      </c>
      <c r="AU19" s="11"/>
      <c r="AV19" s="37">
        <f t="array" ref="AV19">SUM(($F19=BDD!$D$3:$D$215)*(BDD!$A$3:$A$215="GMF")*(BDD!$E$3:$E$215="PC")*(BDD!$H$3:$H$215))</f>
        <v>16719121.534003066</v>
      </c>
      <c r="AW19" s="37">
        <f t="array" ref="AW19">SUM(($F19=BDD!$D$3:$D$215)*(BDD!$B$3:$B$215="TOTAL")*(BDD!$E$3:$E$215="PC")*(BDD!$A$3:$A$215="GMF")*(BDD!$G$3:$G$215))</f>
        <v>395240375.4027009</v>
      </c>
      <c r="AX19" s="82">
        <f t="shared" si="15"/>
        <v>23.640020475888505</v>
      </c>
      <c r="AY19" s="89">
        <f t="shared" ref="AY19:AY24" si="28">AV36/AV19</f>
        <v>0.12055732507615943</v>
      </c>
      <c r="AZ19" s="37">
        <f t="array" ref="AZ19">SUM(($F19=BDD!$D$3:$D$215)*(BDD!$A$3:$A$215="GMF")*(BDD!$E$3:$E$215="PC")*(BDD!$F$3:$F$215))</f>
        <v>1027936.5132684357</v>
      </c>
      <c r="BA19" s="14">
        <f t="shared" ref="BA19:BA24" si="29">AZ19/AV19</f>
        <v>6.1482686825251903E-2</v>
      </c>
      <c r="BB19" s="44">
        <f>(AZ19/Global!$O$3)/(PAT_AGE!AV19/Global!$O$2)</f>
        <v>1.5525508241233315</v>
      </c>
      <c r="BC19" s="11"/>
    </row>
    <row r="20" spans="1:55" s="28" customFormat="1" x14ac:dyDescent="0.25">
      <c r="A20" s="11"/>
      <c r="B20" s="11"/>
      <c r="C20" s="11"/>
      <c r="D20" s="73"/>
      <c r="E20" s="11"/>
      <c r="F20" s="41" t="s">
        <v>15</v>
      </c>
      <c r="G20" s="11"/>
      <c r="H20" s="37">
        <f t="array" ref="H20">SUM(($F20=BDD!$D$3:$D$215)*(BDD!$E$3:$E$215="PC")*(BDD!$A$3:$A$215="MMA")*(BDD!$H$3:$H$215))</f>
        <v>87877134.353251129</v>
      </c>
      <c r="I20" s="37">
        <f t="array" ref="I20">SUM(($F20=BDD!$D$3:$D$215)*(BDD!$E$3:$E$215="PC")*(BDD!$A$3:$A$215="MMA")*(BDD!$G$3:$G$215))</f>
        <v>1575479292.6621525</v>
      </c>
      <c r="J20" s="82">
        <f t="shared" si="16"/>
        <v>17.928205149806022</v>
      </c>
      <c r="K20" s="89">
        <f t="shared" si="17"/>
        <v>0.44044092741162727</v>
      </c>
      <c r="L20" s="37">
        <f t="array" ref="L20">SUM(($F20=BDD!$D$3:$D$215)*(BDD!$A$3:$A$215="MMA")*(BDD!$E$3:$E$215="PC")*(BDD!$F$3:$F$215))</f>
        <v>4894195.0399233196</v>
      </c>
      <c r="M20" s="14">
        <f t="shared" si="18"/>
        <v>5.5693612177309837E-2</v>
      </c>
      <c r="N20" s="44">
        <f>(L20/Global!$O$3)/(PAT_AGE!H20/Global!$O$2)</f>
        <v>1.4063660511461933</v>
      </c>
      <c r="O20" s="11"/>
      <c r="P20" s="37">
        <f t="array" ref="P20">SUM(($F20=BDD!$D$3:$D$215)*(BDD!$B$3:$B$215="BS")*(BDD!$E$3:$E$215="PC")*(BDD!$A$3:$A$215="MMA")*(BDD!$H$3:$H$215))</f>
        <v>12436058.068671256</v>
      </c>
      <c r="Q20" s="37">
        <f t="array" ref="Q20">SUM(($F20=BDD!$D$3:$D$215)*(BDD!$B$3:$B$215="BS")*(BDD!$E$3:$E$215="PC")*(BDD!$A$3:$A$215="MMA")*(BDD!$G$3:$G$215))</f>
        <v>268067174.62584376</v>
      </c>
      <c r="R20" s="82">
        <f t="shared" si="12"/>
        <v>21.555638703646363</v>
      </c>
      <c r="S20" s="89">
        <f t="shared" si="19"/>
        <v>0.5187689789520108</v>
      </c>
      <c r="T20" s="37">
        <f t="array" ref="T20">SUM(($F20=BDD!$D$3:$D$215)*(BDD!$B$3:$B$215="BS")*(BDD!$A$3:$A$215="MMA")*(BDD!$E$3:$E$215="PC")*(BDD!$F$3:$F$215))</f>
        <v>1104078.9413820961</v>
      </c>
      <c r="U20" s="14">
        <f t="shared" si="20"/>
        <v>8.878045883071875E-2</v>
      </c>
      <c r="V20" s="44">
        <f>(T20/Global!$O$3)/(PAT_AGE!P20/Global!$O$2)</f>
        <v>2.2418697301801784</v>
      </c>
      <c r="W20" s="11"/>
      <c r="X20" s="37">
        <f t="array" ref="X20">SUM(($F20=BDD!$D$3:$D$215)*(BDD!$B$3:$B$215="CO")*(BDD!$E$3:$E$215="PC")*(BDD!$A$3:$A$215="MMA")*(BDD!$H$3:$H$215))</f>
        <v>48225540.198075034</v>
      </c>
      <c r="Y20" s="37">
        <f t="array" ref="Y20">SUM(($F20=BDD!$D$3:$D$215)*(BDD!$B$3:$B$215="CO")*(BDD!$E$3:$E$215="PC")*(BDD!$A$3:$A$215="MMA")*(BDD!$G$3:$G$215))</f>
        <v>723044894.87532747</v>
      </c>
      <c r="Z20" s="82">
        <f t="shared" si="13"/>
        <v>14.99298695059902</v>
      </c>
      <c r="AA20" s="89">
        <f t="shared" si="21"/>
        <v>0.49807100361124385</v>
      </c>
      <c r="AB20" s="37">
        <f t="array" ref="AB20">SUM(($F20=BDD!$D$3:$D$215)*(BDD!$B$3:$B$215="CO")*(BDD!$A$3:$A$215="MMA")*(BDD!$E$3:$E$215="PC")*(BDD!$F$3:$F$215))</f>
        <v>1934043.4982103212</v>
      </c>
      <c r="AC20" s="14">
        <f t="shared" si="22"/>
        <v>4.010413341699634E-2</v>
      </c>
      <c r="AD20" s="44">
        <f>(AB20/Global!$O$3)/(PAT_AGE!X20/Global!$O$2)</f>
        <v>1.0127030649177327</v>
      </c>
      <c r="AE20" s="11"/>
      <c r="AF20" s="37">
        <f t="array" ref="AF20">SUM(($F20=BDD!$D$3:$D$215)*(BDD!$B$3:$B$215="AG")*(BDD!$E$3:$E$215="PC")*(BDD!$A$3:$A$215="MMA")*(BDD!$H$3:$H$215))</f>
        <v>27215536.086504847</v>
      </c>
      <c r="AG20" s="37">
        <f t="array" ref="AG20">SUM(($F20=BDD!$D$3:$D$215)*(BDD!$B$3:$B$215="AG")*(BDD!$E$3:$E$215="PC")*(BDD!$A$3:$A$215="MMA")*(BDD!$G$3:$G$215))</f>
        <v>584367223.1609813</v>
      </c>
      <c r="AH20" s="82">
        <f t="shared" si="23"/>
        <v>21.471824817397106</v>
      </c>
      <c r="AI20" s="89">
        <f t="shared" si="24"/>
        <v>0.30252948808466301</v>
      </c>
      <c r="AJ20" s="37">
        <f t="array" ref="AJ20">SUM(($F20=BDD!$D$3:$D$215)*(BDD!$B$3:$B$215="AG")*(BDD!$A$3:$A$215="MMA")*(BDD!$E$3:$E$215="PC")*(BDD!$F$3:$F$215))</f>
        <v>1856072.6003309023</v>
      </c>
      <c r="AK20" s="14">
        <f t="shared" si="25"/>
        <v>6.8199009361100127E-2</v>
      </c>
      <c r="AL20" s="44">
        <f>(AJ20/Global!$O$3)/(PAT_AGE!AF20/Global!$O$2)</f>
        <v>1.7221503101989231</v>
      </c>
      <c r="AM20" s="11"/>
      <c r="AN20" s="37">
        <f t="array" ref="AN20">SUM(($F20=BDD!$D$3:$D$215)*(BDD!$A$3:$A$215="MAAF")*(BDD!$E$3:$E$215="PC")*(BDD!$H$3:$H$215))</f>
        <v>24033680.928667508</v>
      </c>
      <c r="AO20" s="37">
        <f t="array" ref="AO20">SUM(($F20=BDD!$D$3:$D$215)*(BDD!$B$3:$B$215="TOTAL")*(BDD!$E$3:$E$215="PC")*(BDD!$A$3:$A$215="MAAF")*(BDD!$G$3:$G$215))</f>
        <v>522242237.74678648</v>
      </c>
      <c r="AP20" s="82">
        <f t="shared" si="14"/>
        <v>21.729598528698659</v>
      </c>
      <c r="AQ20" s="89">
        <f t="shared" si="26"/>
        <v>0.323789641501457</v>
      </c>
      <c r="AR20" s="37">
        <f t="array" ref="AR20">SUM(($F20=BDD!$D$3:$D$215)*(BDD!$A$3:$A$215="MAAF")*(BDD!$E$3:$E$215="PC")*(BDD!$F$3:$F$215))</f>
        <v>2027544.3577545783</v>
      </c>
      <c r="AS20" s="14">
        <f t="shared" si="27"/>
        <v>8.4362622761464404E-2</v>
      </c>
      <c r="AT20" s="44">
        <f>(AR20/Global!$O$3)/(PAT_AGE!AN20/Global!$O$2)</f>
        <v>2.1303112511296902</v>
      </c>
      <c r="AU20" s="11"/>
      <c r="AV20" s="37">
        <f t="array" ref="AV20">SUM(($F20=BDD!$D$3:$D$215)*(BDD!$A$3:$A$215="GMF")*(BDD!$E$3:$E$215="PC")*(BDD!$H$3:$H$215))</f>
        <v>26694682.756992403</v>
      </c>
      <c r="AW20" s="37">
        <f t="array" ref="AW20">SUM(($F20=BDD!$D$3:$D$215)*(BDD!$B$3:$B$215="TOTAL")*(BDD!$E$3:$E$215="PC")*(BDD!$A$3:$A$215="GMF")*(BDD!$G$3:$G$215))</f>
        <v>672986074.63893533</v>
      </c>
      <c r="AX20" s="82">
        <f t="shared" si="15"/>
        <v>25.210491571122095</v>
      </c>
      <c r="AY20" s="89">
        <f t="shared" si="28"/>
        <v>0.14515318737115654</v>
      </c>
      <c r="AZ20" s="37">
        <f t="array" ref="AZ20">SUM(($F20=BDD!$D$3:$D$215)*(BDD!$A$3:$A$215="GMF")*(BDD!$E$3:$E$215="PC")*(BDD!$F$3:$F$215))</f>
        <v>1843820.419037696</v>
      </c>
      <c r="BA20" s="14">
        <f t="shared" si="29"/>
        <v>6.9070699802743524E-2</v>
      </c>
      <c r="BB20" s="44">
        <f>(AZ20/Global!$O$3)/(PAT_AGE!AV20/Global!$O$2)</f>
        <v>1.7441620956857933</v>
      </c>
      <c r="BC20" s="11"/>
    </row>
    <row r="21" spans="1:55" s="28" customFormat="1" x14ac:dyDescent="0.25">
      <c r="A21" s="11"/>
      <c r="B21" s="11"/>
      <c r="C21" s="11"/>
      <c r="D21" s="73"/>
      <c r="E21" s="11"/>
      <c r="F21" s="41" t="s">
        <v>16</v>
      </c>
      <c r="G21" s="11"/>
      <c r="H21" s="37">
        <f t="array" ref="H21">SUM(($F21=BDD!$D$3:$D$215)*(BDD!$E$3:$E$215="PC")*(BDD!$A$3:$A$215="MMA")*(BDD!$H$3:$H$215))</f>
        <v>194725280.42287171</v>
      </c>
      <c r="I21" s="37">
        <f t="array" ref="I21">SUM(($F21=BDD!$D$3:$D$215)*(BDD!$E$3:$E$215="PC")*(BDD!$A$3:$A$215="MMA")*(BDD!$G$3:$G$215))</f>
        <v>3522819090.7976756</v>
      </c>
      <c r="J21" s="82">
        <f t="shared" si="16"/>
        <v>18.09122617847774</v>
      </c>
      <c r="K21" s="89">
        <f t="shared" si="17"/>
        <v>0.39598801447664622</v>
      </c>
      <c r="L21" s="37">
        <f t="array" ref="L21">SUM(($F21=BDD!$D$3:$D$215)*(BDD!$A$3:$A$215="MMA")*(BDD!$E$3:$E$215="PC")*(BDD!$F$3:$F$215))</f>
        <v>10235827.986999873</v>
      </c>
      <c r="M21" s="14">
        <f t="shared" si="18"/>
        <v>5.2565480787966606E-2</v>
      </c>
      <c r="N21" s="44">
        <f>(L21/Global!$O$3)/(PAT_AGE!H21/Global!$O$2)</f>
        <v>1.327374985249961</v>
      </c>
      <c r="O21" s="11"/>
      <c r="P21" s="37">
        <f t="array" ref="P21">SUM(($F21=BDD!$D$3:$D$215)*(BDD!$B$3:$B$215="BS")*(BDD!$E$3:$E$215="PC")*(BDD!$A$3:$A$215="MMA")*(BDD!$H$3:$H$215))</f>
        <v>34415380.154455826</v>
      </c>
      <c r="Q21" s="37">
        <f t="array" ref="Q21">SUM(($F21=BDD!$D$3:$D$215)*(BDD!$B$3:$B$215="BS")*(BDD!$E$3:$E$215="PC")*(BDD!$A$3:$A$215="MMA")*(BDD!$G$3:$G$215))</f>
        <v>702185364.96475792</v>
      </c>
      <c r="R21" s="82">
        <f t="shared" si="12"/>
        <v>20.403243021386317</v>
      </c>
      <c r="S21" s="89">
        <f t="shared" si="19"/>
        <v>0.48980982650967364</v>
      </c>
      <c r="T21" s="37">
        <f t="array" ref="T21">SUM(($F21=BDD!$D$3:$D$215)*(BDD!$B$3:$B$215="BS")*(BDD!$A$3:$A$215="MMA")*(BDD!$E$3:$E$215="PC")*(BDD!$F$3:$F$215))</f>
        <v>2665675.5195985893</v>
      </c>
      <c r="U21" s="14">
        <f t="shared" si="20"/>
        <v>7.7455937073339559E-2</v>
      </c>
      <c r="V21" s="44">
        <f>(T21/Global!$O$3)/(PAT_AGE!P21/Global!$O$2)</f>
        <v>1.9559047456440681</v>
      </c>
      <c r="W21" s="11"/>
      <c r="X21" s="37">
        <f t="array" ref="X21">SUM(($F21=BDD!$D$3:$D$215)*(BDD!$B$3:$B$215="CO")*(BDD!$E$3:$E$215="PC")*(BDD!$A$3:$A$215="MMA")*(BDD!$H$3:$H$215))</f>
        <v>93575474.35681811</v>
      </c>
      <c r="Y21" s="37">
        <f t="array" ref="Y21">SUM(($F21=BDD!$D$3:$D$215)*(BDD!$B$3:$B$215="CO")*(BDD!$E$3:$E$215="PC")*(BDD!$A$3:$A$215="MMA")*(BDD!$G$3:$G$215))</f>
        <v>1433014382.3066978</v>
      </c>
      <c r="Z21" s="82">
        <f t="shared" si="13"/>
        <v>15.313995383473953</v>
      </c>
      <c r="AA21" s="89">
        <f t="shared" si="21"/>
        <v>0.46508504148816487</v>
      </c>
      <c r="AB21" s="37">
        <f t="array" ref="AB21">SUM(($F21=BDD!$D$3:$D$215)*(BDD!$B$3:$B$215="CO")*(BDD!$A$3:$A$215="MMA")*(BDD!$E$3:$E$215="PC")*(BDD!$F$3:$F$215))</f>
        <v>3656852.0727906246</v>
      </c>
      <c r="AC21" s="14">
        <f t="shared" si="22"/>
        <v>3.9079172164775446E-2</v>
      </c>
      <c r="AD21" s="44">
        <f>(AB21/Global!$O$3)/(PAT_AGE!X21/Global!$O$2)</f>
        <v>0.9868209098103462</v>
      </c>
      <c r="AE21" s="11"/>
      <c r="AF21" s="37">
        <f t="array" ref="AF21">SUM(($F21=BDD!$D$3:$D$215)*(BDD!$B$3:$B$215="AG")*(BDD!$E$3:$E$215="PC")*(BDD!$A$3:$A$215="MMA")*(BDD!$H$3:$H$215))</f>
        <v>66630485.107950307</v>
      </c>
      <c r="AG21" s="37">
        <f t="array" ref="AG21">SUM(($F21=BDD!$D$3:$D$215)*(BDD!$B$3:$B$215="AG")*(BDD!$E$3:$E$215="PC")*(BDD!$A$3:$A$215="MMA")*(BDD!$G$3:$G$215))</f>
        <v>1384968773.4614868</v>
      </c>
      <c r="AH21" s="82">
        <f t="shared" si="23"/>
        <v>20.7858125483801</v>
      </c>
      <c r="AI21" s="89">
        <f t="shared" si="24"/>
        <v>0.25110626734474745</v>
      </c>
      <c r="AJ21" s="37">
        <f t="array" ref="AJ21">SUM(($F21=BDD!$D$3:$D$215)*(BDD!$B$3:$B$215="AG")*(BDD!$A$3:$A$215="MMA")*(BDD!$E$3:$E$215="PC")*(BDD!$F$3:$F$215))</f>
        <v>3908578.8318777913</v>
      </c>
      <c r="AK21" s="14">
        <f t="shared" si="25"/>
        <v>5.8660518913307778E-2</v>
      </c>
      <c r="AL21" s="44">
        <f>(AJ21/Global!$O$3)/(PAT_AGE!AF21/Global!$O$2)</f>
        <v>1.4812858982758865</v>
      </c>
      <c r="AM21" s="11"/>
      <c r="AN21" s="37">
        <f t="array" ref="AN21">SUM(($F21=BDD!$D$3:$D$215)*(BDD!$A$3:$A$215="MAAF")*(BDD!$E$3:$E$215="PC")*(BDD!$H$3:$H$215))</f>
        <v>68601025.794412017</v>
      </c>
      <c r="AO21" s="37">
        <f t="array" ref="AO21">SUM(($F21=BDD!$D$3:$D$215)*(BDD!$B$3:$B$215="TOTAL")*(BDD!$E$3:$E$215="PC")*(BDD!$A$3:$A$215="MAAF")*(BDD!$G$3:$G$215))</f>
        <v>1501662004.5750675</v>
      </c>
      <c r="AP21" s="82">
        <f t="shared" si="14"/>
        <v>21.889789360808468</v>
      </c>
      <c r="AQ21" s="89">
        <f t="shared" si="26"/>
        <v>0.32715870562520527</v>
      </c>
      <c r="AR21" s="37">
        <f t="array" ref="AR21">SUM(($F21=BDD!$D$3:$D$215)*(BDD!$A$3:$A$215="MAAF")*(BDD!$E$3:$E$215="PC")*(BDD!$F$3:$F$215))</f>
        <v>5735887.1855449639</v>
      </c>
      <c r="AS21" s="14">
        <f t="shared" si="27"/>
        <v>8.3612265547378856E-2</v>
      </c>
      <c r="AT21" s="44">
        <f>(AR21/Global!$O$3)/(PAT_AGE!AN21/Global!$O$2)</f>
        <v>2.1113633526029632</v>
      </c>
      <c r="AU21" s="11"/>
      <c r="AV21" s="37">
        <f t="array" ref="AV21">SUM(($F21=BDD!$D$3:$D$215)*(BDD!$A$3:$A$215="GMF")*(BDD!$E$3:$E$215="PC")*(BDD!$H$3:$H$215))</f>
        <v>81891537.370003998</v>
      </c>
      <c r="AW21" s="37">
        <f t="array" ref="AW21">SUM(($F21=BDD!$D$3:$D$215)*(BDD!$B$3:$B$215="TOTAL")*(BDD!$E$3:$E$215="PC")*(BDD!$A$3:$A$215="GMF")*(BDD!$G$3:$G$215))</f>
        <v>1975162452.2727945</v>
      </c>
      <c r="AX21" s="82">
        <f t="shared" si="15"/>
        <v>24.119249872530485</v>
      </c>
      <c r="AY21" s="89">
        <f t="shared" si="28"/>
        <v>0.13725556492888868</v>
      </c>
      <c r="AZ21" s="37">
        <f t="array" ref="AZ21">SUM(($F21=BDD!$D$3:$D$215)*(BDD!$A$3:$A$215="GMF")*(BDD!$E$3:$E$215="PC")*(BDD!$F$3:$F$215))</f>
        <v>4933297.2470989963</v>
      </c>
      <c r="BA21" s="14">
        <f t="shared" si="29"/>
        <v>6.0241844341122487E-2</v>
      </c>
      <c r="BB21" s="44">
        <f>(AZ21/Global!$O$3)/(PAT_AGE!AV21/Global!$O$2)</f>
        <v>1.5212172712026883</v>
      </c>
      <c r="BC21" s="11"/>
    </row>
    <row r="22" spans="1:55" s="28" customFormat="1" x14ac:dyDescent="0.25">
      <c r="A22" s="11"/>
      <c r="B22" s="11"/>
      <c r="C22" s="11"/>
      <c r="D22" s="73"/>
      <c r="E22" s="11"/>
      <c r="F22" s="41" t="s">
        <v>17</v>
      </c>
      <c r="G22" s="11"/>
      <c r="H22" s="37">
        <f t="array" ref="H22">SUM(($F22=BDD!$D$3:$D$215)*(BDD!$E$3:$E$215="PC")*(BDD!$A$3:$A$215="MMA")*(BDD!$H$3:$H$215))</f>
        <v>290206627.37374771</v>
      </c>
      <c r="I22" s="37">
        <f t="array" ref="I22">SUM(($F22=BDD!$D$3:$D$215)*(BDD!$E$3:$E$215="PC")*(BDD!$A$3:$A$215="MMA")*(BDD!$G$3:$G$215))</f>
        <v>4575100818.7907524</v>
      </c>
      <c r="J22" s="82">
        <f t="shared" si="16"/>
        <v>15.764977044782055</v>
      </c>
      <c r="K22" s="89">
        <f t="shared" si="17"/>
        <v>0.32906452100598571</v>
      </c>
      <c r="L22" s="37">
        <f t="array" ref="L22">SUM(($F22=BDD!$D$3:$D$215)*(BDD!$A$3:$A$215="MMA")*(BDD!$E$3:$E$215="PC")*(BDD!$F$3:$F$215))</f>
        <v>11770153.783863965</v>
      </c>
      <c r="M22" s="14">
        <f t="shared" si="18"/>
        <v>4.0557839393190583E-2</v>
      </c>
      <c r="N22" s="44">
        <f>(L22/Global!$O$3)/(PAT_AGE!H22/Global!$O$2)</f>
        <v>1.0241599745555974</v>
      </c>
      <c r="O22" s="11"/>
      <c r="P22" s="37">
        <f t="array" ref="P22">SUM(($F22=BDD!$D$3:$D$215)*(BDD!$B$3:$B$215="BS")*(BDD!$E$3:$E$215="PC")*(BDD!$A$3:$A$215="MMA")*(BDD!$H$3:$H$215))</f>
        <v>44943683.177130587</v>
      </c>
      <c r="Q22" s="37">
        <f t="array" ref="Q22">SUM(($F22=BDD!$D$3:$D$215)*(BDD!$B$3:$B$215="BS")*(BDD!$E$3:$E$215="PC")*(BDD!$A$3:$A$215="MMA")*(BDD!$G$3:$G$215))</f>
        <v>762203509.46471977</v>
      </c>
      <c r="R22" s="82">
        <f t="shared" si="12"/>
        <v>16.959079799062039</v>
      </c>
      <c r="S22" s="89">
        <f t="shared" si="19"/>
        <v>0.47449445565295467</v>
      </c>
      <c r="T22" s="37">
        <f t="array" ref="T22">SUM(($F22=BDD!$D$3:$D$215)*(BDD!$B$3:$B$215="BS")*(BDD!$A$3:$A$215="MMA")*(BDD!$E$3:$E$215="PC")*(BDD!$F$3:$F$215))</f>
        <v>2647491.5259876717</v>
      </c>
      <c r="U22" s="14">
        <f t="shared" si="20"/>
        <v>5.8906866078453426E-2</v>
      </c>
      <c r="V22" s="44">
        <f>(T22/Global!$O$3)/(PAT_AGE!P22/Global!$O$2)</f>
        <v>1.4875066168881745</v>
      </c>
      <c r="W22" s="11"/>
      <c r="X22" s="37">
        <f t="array" ref="X22">SUM(($F22=BDD!$D$3:$D$215)*(BDD!$B$3:$B$215="CO")*(BDD!$E$3:$E$215="PC")*(BDD!$A$3:$A$215="MMA")*(BDD!$H$3:$H$215))</f>
        <v>136526027.39275745</v>
      </c>
      <c r="Y22" s="37">
        <f t="array" ref="Y22">SUM(($F22=BDD!$D$3:$D$215)*(BDD!$B$3:$B$215="CO")*(BDD!$E$3:$E$215="PC")*(BDD!$A$3:$A$215="MMA")*(BDD!$G$3:$G$215))</f>
        <v>1974813179.9041696</v>
      </c>
      <c r="Z22" s="82">
        <f t="shared" si="13"/>
        <v>14.464737732557296</v>
      </c>
      <c r="AA22" s="89">
        <f t="shared" si="21"/>
        <v>0.36006554472198321</v>
      </c>
      <c r="AB22" s="37">
        <f t="array" ref="AB22">SUM(($F22=BDD!$D$3:$D$215)*(BDD!$B$3:$B$215="CO")*(BDD!$A$3:$A$215="MMA")*(BDD!$E$3:$E$215="PC")*(BDD!$F$3:$F$215))</f>
        <v>4434601.8584092902</v>
      </c>
      <c r="AC22" s="14">
        <f t="shared" si="22"/>
        <v>3.2481732187605868E-2</v>
      </c>
      <c r="AD22" s="44">
        <f>(AB22/Global!$O$3)/(PAT_AGE!X22/Global!$O$2)</f>
        <v>0.82022342680230154</v>
      </c>
      <c r="AE22" s="11"/>
      <c r="AF22" s="37">
        <f t="array" ref="AF22">SUM(($F22=BDD!$D$3:$D$215)*(BDD!$B$3:$B$215="AG")*(BDD!$E$3:$E$215="PC")*(BDD!$A$3:$A$215="MMA")*(BDD!$H$3:$H$215))</f>
        <v>108689955.10698165</v>
      </c>
      <c r="AG22" s="37">
        <f t="array" ref="AG22">SUM(($F22=BDD!$D$3:$D$215)*(BDD!$B$3:$B$215="AG")*(BDD!$E$3:$E$215="PC")*(BDD!$A$3:$A$215="MMA")*(BDD!$G$3:$G$215))</f>
        <v>1837319791.7617252</v>
      </c>
      <c r="AH22" s="82">
        <f t="shared" si="23"/>
        <v>16.904228085781092</v>
      </c>
      <c r="AI22" s="89">
        <f t="shared" si="24"/>
        <v>0.2301244819133493</v>
      </c>
      <c r="AJ22" s="37">
        <f t="array" ref="AJ22">SUM(($F22=BDD!$D$3:$D$215)*(BDD!$B$3:$B$215="AG")*(BDD!$A$3:$A$215="MMA")*(BDD!$E$3:$E$215="PC")*(BDD!$F$3:$F$215))</f>
        <v>4686971.0203554891</v>
      </c>
      <c r="AK22" s="14">
        <f t="shared" si="25"/>
        <v>4.3122393561964255E-2</v>
      </c>
      <c r="AL22" s="44">
        <f>(AJ22/Global!$O$3)/(PAT_AGE!AF22/Global!$O$2)</f>
        <v>1.0889196799919445</v>
      </c>
      <c r="AM22" s="11"/>
      <c r="AN22" s="37">
        <f t="array" ref="AN22">SUM(($F22=BDD!$D$3:$D$215)*(BDD!$A$3:$A$215="MAAF")*(BDD!$E$3:$E$215="PC")*(BDD!$H$3:$H$215))</f>
        <v>114259991.65251048</v>
      </c>
      <c r="AO22" s="37">
        <f t="array" ref="AO22">SUM(($F22=BDD!$D$3:$D$215)*(BDD!$B$3:$B$215="TOTAL")*(BDD!$E$3:$E$215="PC")*(BDD!$A$3:$A$215="MAAF")*(BDD!$G$3:$G$215))</f>
        <v>2166622806.2474785</v>
      </c>
      <c r="AP22" s="82">
        <f t="shared" si="14"/>
        <v>18.962217438599595</v>
      </c>
      <c r="AQ22" s="89">
        <f t="shared" si="26"/>
        <v>0.33233953651030296</v>
      </c>
      <c r="AR22" s="37">
        <f t="array" ref="AR22">SUM(($F22=BDD!$D$3:$D$215)*(BDD!$A$3:$A$215="MAAF")*(BDD!$E$3:$E$215="PC")*(BDD!$F$3:$F$215))</f>
        <v>7806481.7980305739</v>
      </c>
      <c r="AS22" s="14">
        <f t="shared" si="27"/>
        <v>6.8322093194018302E-2</v>
      </c>
      <c r="AT22" s="44">
        <f>(AR22/Global!$O$3)/(PAT_AGE!AN22/Global!$O$2)</f>
        <v>1.7252584031613614</v>
      </c>
      <c r="AU22" s="11"/>
      <c r="AV22" s="37">
        <f t="array" ref="AV22">SUM(($F22=BDD!$D$3:$D$215)*(BDD!$A$3:$A$215="GMF")*(BDD!$E$3:$E$215="PC")*(BDD!$H$3:$H$215))</f>
        <v>193230793.8429502</v>
      </c>
      <c r="AW22" s="37">
        <f t="array" ref="AW22">SUM(($F22=BDD!$D$3:$D$215)*(BDD!$B$3:$B$215="TOTAL")*(BDD!$E$3:$E$215="PC")*(BDD!$A$3:$A$215="GMF")*(BDD!$G$3:$G$215))</f>
        <v>3993811689.7199044</v>
      </c>
      <c r="AX22" s="82">
        <f t="shared" si="15"/>
        <v>20.668608818974814</v>
      </c>
      <c r="AY22" s="89">
        <f t="shared" si="28"/>
        <v>0.15774582970361725</v>
      </c>
      <c r="AZ22" s="37">
        <f t="array" ref="AZ22">SUM(($F22=BDD!$D$3:$D$215)*(BDD!$A$3:$A$215="GMF")*(BDD!$E$3:$E$215="PC")*(BDD!$F$3:$F$215))</f>
        <v>9213670.5815917924</v>
      </c>
      <c r="BA22" s="14">
        <f t="shared" si="29"/>
        <v>4.7682206331358723E-2</v>
      </c>
      <c r="BB22" s="44">
        <f>(AZ22/Global!$O$3)/(PAT_AGE!AV22/Global!$O$2)</f>
        <v>1.2040633316201277</v>
      </c>
      <c r="BC22" s="11"/>
    </row>
    <row r="23" spans="1:55" s="28" customFormat="1" x14ac:dyDescent="0.25">
      <c r="A23" s="11"/>
      <c r="B23" s="11"/>
      <c r="C23" s="11"/>
      <c r="D23" s="73"/>
      <c r="E23" s="11"/>
      <c r="F23" s="41" t="s">
        <v>12</v>
      </c>
      <c r="G23" s="11"/>
      <c r="H23" s="37">
        <f t="array" ref="H23">SUM(($F23=BDD!$D$3:$D$215)*(BDD!$E$3:$E$215="PC")*(BDD!$A$3:$A$215="MMA")*(BDD!$H$3:$H$215))</f>
        <v>227345946.99612558</v>
      </c>
      <c r="I23" s="37">
        <f t="array" ref="I23">SUM(($F23=BDD!$D$3:$D$215)*(BDD!$E$3:$E$215="PC")*(BDD!$A$3:$A$215="MMA")*(BDD!$G$3:$G$215))</f>
        <v>2289532932.7955961</v>
      </c>
      <c r="J23" s="82">
        <f t="shared" si="16"/>
        <v>10.070700459131626</v>
      </c>
      <c r="K23" s="89">
        <f t="shared" si="17"/>
        <v>0.23342761332162412</v>
      </c>
      <c r="L23" s="37">
        <f t="array" ref="L23">SUM(($F23=BDD!$D$3:$D$215)*(BDD!$A$3:$A$215="MMA")*(BDD!$E$3:$E$215="PC")*(BDD!$F$3:$F$215))</f>
        <v>4149920.6126222359</v>
      </c>
      <c r="M23" s="14">
        <f t="shared" si="18"/>
        <v>1.8253769937200414E-2</v>
      </c>
      <c r="N23" s="44">
        <f>(L23/Global!$O$3)/(PAT_AGE!H23/Global!$O$2)</f>
        <v>0.4609412343983405</v>
      </c>
      <c r="O23" s="11"/>
      <c r="P23" s="37">
        <f t="array" ref="P23">SUM(($F23=BDD!$D$3:$D$215)*(BDD!$B$3:$B$215="BS")*(BDD!$E$3:$E$215="PC")*(BDD!$A$3:$A$215="MMA")*(BDD!$H$3:$H$215))</f>
        <v>34159683.94031325</v>
      </c>
      <c r="Q23" s="37">
        <f t="array" ref="Q23">SUM(($F23=BDD!$D$3:$D$215)*(BDD!$B$3:$B$215="BS")*(BDD!$E$3:$E$215="PC")*(BDD!$A$3:$A$215="MMA")*(BDD!$G$3:$G$215))</f>
        <v>364115450.5158571</v>
      </c>
      <c r="R23" s="82">
        <f t="shared" si="12"/>
        <v>10.659216026473519</v>
      </c>
      <c r="S23" s="89">
        <f t="shared" si="19"/>
        <v>0.31517206843146472</v>
      </c>
      <c r="T23" s="37">
        <f t="array" ref="T23">SUM(($F23=BDD!$D$3:$D$215)*(BDD!$B$3:$B$215="BS")*(BDD!$A$3:$A$215="MMA")*(BDD!$E$3:$E$215="PC")*(BDD!$F$3:$F$215))</f>
        <v>613174.56205862865</v>
      </c>
      <c r="U23" s="14">
        <f t="shared" si="20"/>
        <v>1.7950241083319746E-2</v>
      </c>
      <c r="V23" s="44">
        <f>(T23/Global!$O$3)/(PAT_AGE!P23/Global!$O$2)</f>
        <v>0.45327657306730551</v>
      </c>
      <c r="W23" s="11"/>
      <c r="X23" s="37">
        <f t="array" ref="X23">SUM(($F23=BDD!$D$3:$D$215)*(BDD!$B$3:$B$215="CO")*(BDD!$E$3:$E$215="PC")*(BDD!$A$3:$A$215="MMA")*(BDD!$H$3:$H$215))</f>
        <v>90954438.234535724</v>
      </c>
      <c r="Y23" s="37">
        <f t="array" ref="Y23">SUM(($F23=BDD!$D$3:$D$215)*(BDD!$B$3:$B$215="CO")*(BDD!$E$3:$E$215="PC")*(BDD!$A$3:$A$215="MMA")*(BDD!$G$3:$G$215))</f>
        <v>891924619.88038325</v>
      </c>
      <c r="Z23" s="82">
        <f t="shared" si="13"/>
        <v>9.80627924478474</v>
      </c>
      <c r="AA23" s="89">
        <f t="shared" si="21"/>
        <v>0.32662163421164775</v>
      </c>
      <c r="AB23" s="37">
        <f t="array" ref="AB23">SUM(($F23=BDD!$D$3:$D$215)*(BDD!$B$3:$B$215="CO")*(BDD!$A$3:$A$215="MMA")*(BDD!$E$3:$E$215="PC")*(BDD!$F$3:$F$215))</f>
        <v>1615829.6328861597</v>
      </c>
      <c r="AC23" s="14">
        <f t="shared" si="22"/>
        <v>1.7765264282316499E-2</v>
      </c>
      <c r="AD23" s="44">
        <f>(AB23/Global!$O$3)/(PAT_AGE!X23/Global!$O$2)</f>
        <v>0.44860556892499243</v>
      </c>
      <c r="AE23" s="11"/>
      <c r="AF23" s="37">
        <f t="array" ref="AF23">SUM(($F23=BDD!$D$3:$D$215)*(BDD!$B$3:$B$215="AG")*(BDD!$E$3:$E$215="PC")*(BDD!$A$3:$A$215="MMA")*(BDD!$H$3:$H$215))</f>
        <v>100968062.77692883</v>
      </c>
      <c r="AG23" s="37">
        <f t="array" ref="AG23">SUM(($F23=BDD!$D$3:$D$215)*(BDD!$B$3:$B$215="AG")*(BDD!$E$3:$E$215="PC")*(BDD!$A$3:$A$215="MMA")*(BDD!$G$3:$G$215))</f>
        <v>1021842078.1148162</v>
      </c>
      <c r="AH23" s="82">
        <f t="shared" si="23"/>
        <v>10.120448486492174</v>
      </c>
      <c r="AI23" s="89">
        <f t="shared" si="24"/>
        <v>0.12474198236403072</v>
      </c>
      <c r="AJ23" s="37">
        <f t="array" ref="AJ23">SUM(($F23=BDD!$D$3:$D$215)*(BDD!$B$3:$B$215="AG")*(BDD!$A$3:$A$215="MMA")*(BDD!$E$3:$E$215="PC")*(BDD!$F$3:$F$215))</f>
        <v>1902272.8594525128</v>
      </c>
      <c r="AK23" s="14">
        <f t="shared" si="25"/>
        <v>1.8840342254117029E-2</v>
      </c>
      <c r="AL23" s="44">
        <f>(AJ23/Global!$O$3)/(PAT_AGE!AF23/Global!$O$2)</f>
        <v>0.475753263297227</v>
      </c>
      <c r="AM23" s="11"/>
      <c r="AN23" s="37">
        <f t="array" ref="AN23">SUM(($F23=BDD!$D$3:$D$215)*(BDD!$A$3:$A$215="MAAF")*(BDD!$E$3:$E$215="PC")*(BDD!$H$3:$H$215))</f>
        <v>105333563.81960869</v>
      </c>
      <c r="AO23" s="37">
        <f t="array" ref="AO23">SUM(($F23=BDD!$D$3:$D$215)*(BDD!$B$3:$B$215="TOTAL")*(BDD!$E$3:$E$215="PC")*(BDD!$A$3:$A$215="MAAF")*(BDD!$G$3:$G$215))</f>
        <v>1371234165.083806</v>
      </c>
      <c r="AP23" s="82">
        <f t="shared" si="14"/>
        <v>13.018017385532909</v>
      </c>
      <c r="AQ23" s="89">
        <f t="shared" si="26"/>
        <v>0.17714259500947008</v>
      </c>
      <c r="AR23" s="37">
        <f t="array" ref="AR23">SUM(($F23=BDD!$D$3:$D$215)*(BDD!$A$3:$A$215="MAAF")*(BDD!$E$3:$E$215="PC")*(BDD!$F$3:$F$215))</f>
        <v>3185269.4598305803</v>
      </c>
      <c r="AS23" s="14">
        <f t="shared" si="27"/>
        <v>3.0239833765480333E-2</v>
      </c>
      <c r="AT23" s="44">
        <f>(AR23/Global!$O$3)/(PAT_AGE!AN23/Global!$O$2)</f>
        <v>0.76361137188731965</v>
      </c>
      <c r="AU23" s="11"/>
      <c r="AV23" s="37">
        <f t="array" ref="AV23">SUM(($F23=BDD!$D$3:$D$215)*(BDD!$A$3:$A$215="GMF")*(BDD!$E$3:$E$215="PC")*(BDD!$H$3:$H$215))</f>
        <v>210262444.30184287</v>
      </c>
      <c r="AW23" s="37">
        <f t="array" ref="AW23">SUM(($F23=BDD!$D$3:$D$215)*(BDD!$B$3:$B$215="TOTAL")*(BDD!$E$3:$E$215="PC")*(BDD!$A$3:$A$215="GMF")*(BDD!$G$3:$G$215))</f>
        <v>2812549166.5332112</v>
      </c>
      <c r="AX23" s="82">
        <f t="shared" si="15"/>
        <v>13.376374349076091</v>
      </c>
      <c r="AY23" s="89">
        <f t="shared" si="28"/>
        <v>8.017369498613687E-2</v>
      </c>
      <c r="AZ23" s="37">
        <f t="array" ref="AZ23">SUM(($F23=BDD!$D$3:$D$215)*(BDD!$A$3:$A$215="GMF")*(BDD!$E$3:$E$215="PC")*(BDD!$F$3:$F$215))</f>
        <v>4297956.582085683</v>
      </c>
      <c r="BA23" s="14">
        <f t="shared" si="29"/>
        <v>2.0440914193481641E-2</v>
      </c>
      <c r="BB23" s="44">
        <f>(AZ23/Global!$O$3)/(PAT_AGE!AV23/Global!$O$2)</f>
        <v>0.51617064600842943</v>
      </c>
      <c r="BC23" s="11"/>
    </row>
    <row r="24" spans="1:55" s="28" customFormat="1" x14ac:dyDescent="0.25">
      <c r="A24" s="11"/>
      <c r="B24" s="11"/>
      <c r="C24" s="11"/>
      <c r="D24" s="73"/>
      <c r="E24" s="11"/>
      <c r="F24" s="48" t="s">
        <v>30</v>
      </c>
      <c r="G24" s="11"/>
      <c r="H24" s="47">
        <f>SUM(H18:H23)</f>
        <v>940806042.49126744</v>
      </c>
      <c r="I24" s="47">
        <f>SUM(I18:I23)</f>
        <v>14460214581.854752</v>
      </c>
      <c r="J24" s="83">
        <f t="shared" si="16"/>
        <v>15.370027326316807</v>
      </c>
      <c r="K24" s="90">
        <f t="shared" si="17"/>
        <v>0.32785064402839376</v>
      </c>
      <c r="L24" s="47">
        <f>SUM(L18:L23)</f>
        <v>37042978.060263149</v>
      </c>
      <c r="M24" s="42">
        <f t="shared" si="18"/>
        <v>3.9373660868687481E-2</v>
      </c>
      <c r="N24" s="43">
        <f>(L24/Global!$O$3)/(PAT_AGE!H24/Global!$O$2)</f>
        <v>0.99425729074231717</v>
      </c>
      <c r="O24" s="11"/>
      <c r="P24" s="47">
        <f>SUM(P18:P23)</f>
        <v>139796352.37586933</v>
      </c>
      <c r="Q24" s="47">
        <f>SUM(Q18:Q23)</f>
        <v>2364393226.0235777</v>
      </c>
      <c r="R24" s="83">
        <f t="shared" si="12"/>
        <v>16.913125312929857</v>
      </c>
      <c r="S24" s="90">
        <f t="shared" si="19"/>
        <v>0.43941508022686576</v>
      </c>
      <c r="T24" s="47">
        <f>SUM(T18:T23)</f>
        <v>8030985.5442229873</v>
      </c>
      <c r="U24" s="42">
        <f t="shared" si="20"/>
        <v>5.744774743929041E-2</v>
      </c>
      <c r="V24" s="43">
        <f>(T24/Global!$O$3)/(PAT_AGE!P24/Global!$O$2)</f>
        <v>1.4506611899444086</v>
      </c>
      <c r="W24" s="11"/>
      <c r="X24" s="47">
        <f>SUM(X18:X23)</f>
        <v>469038751.41878426</v>
      </c>
      <c r="Y24" s="47">
        <f>SUM(Y18:Y23)</f>
        <v>6708542038.0036154</v>
      </c>
      <c r="Z24" s="83">
        <f t="shared" si="13"/>
        <v>14.30274581302953</v>
      </c>
      <c r="AA24" s="90">
        <f t="shared" si="21"/>
        <v>0.37667383554534101</v>
      </c>
      <c r="AB24" s="47">
        <f>SUM(AB18:AB23)</f>
        <v>14853220.402252138</v>
      </c>
      <c r="AC24" s="42">
        <f t="shared" si="22"/>
        <v>3.1667363000014354E-2</v>
      </c>
      <c r="AD24" s="43">
        <f>(AB24/Global!$O$3)/(PAT_AGE!X24/Global!$O$2)</f>
        <v>0.79965910831489662</v>
      </c>
      <c r="AE24" s="11"/>
      <c r="AF24" s="47">
        <f>SUM(AF18:AF23)</f>
        <v>330556274.15174061</v>
      </c>
      <c r="AG24" s="47">
        <f>SUM(AG18:AG23)</f>
        <v>5372213625.8181477</v>
      </c>
      <c r="AH24" s="83">
        <f t="shared" si="23"/>
        <v>16.252039504027241</v>
      </c>
      <c r="AI24" s="90">
        <f t="shared" si="24"/>
        <v>0.2127927472889157</v>
      </c>
      <c r="AJ24" s="47">
        <f>SUM(AJ18:AJ23)</f>
        <v>14134317.613718711</v>
      </c>
      <c r="AK24" s="42">
        <f t="shared" si="25"/>
        <v>4.275918722156944E-2</v>
      </c>
      <c r="AL24" s="43">
        <f>(AJ24/Global!$O$3)/(PAT_AGE!AF24/Global!$O$2)</f>
        <v>1.079748052461913</v>
      </c>
      <c r="AM24" s="11"/>
      <c r="AN24" s="47">
        <f>SUM(AN18:AN23)</f>
        <v>331444490.14825982</v>
      </c>
      <c r="AO24" s="47">
        <f>SUM(AO18:AO23)</f>
        <v>5975692569.3655214</v>
      </c>
      <c r="AP24" s="83">
        <f t="shared" si="14"/>
        <v>18.029240934711297</v>
      </c>
      <c r="AQ24" s="90">
        <f t="shared" si="26"/>
        <v>0.27727192011583557</v>
      </c>
      <c r="AR24" s="47">
        <f>SUM(AR18:AR23)</f>
        <v>20161592.305269152</v>
      </c>
      <c r="AS24" s="42">
        <f t="shared" si="27"/>
        <v>6.0829468899152875E-2</v>
      </c>
      <c r="AT24" s="43">
        <f>(AR24/Global!$O$3)/(PAT_AGE!AN24/Global!$O$2)</f>
        <v>1.5360558711233163</v>
      </c>
      <c r="AU24" s="11"/>
      <c r="AV24" s="47">
        <f>SUM(AV18:AV23)</f>
        <v>538722456.59867835</v>
      </c>
      <c r="AW24" s="47">
        <f>SUM(AW18:AW23)</f>
        <v>10077661218.091412</v>
      </c>
      <c r="AX24" s="83">
        <f t="shared" si="15"/>
        <v>18.706592039467871</v>
      </c>
      <c r="AY24" s="90">
        <f t="shared" si="28"/>
        <v>0.12111408160289024</v>
      </c>
      <c r="AZ24" s="47">
        <f>SUM(AZ18:AZ23)</f>
        <v>21830155.140432753</v>
      </c>
      <c r="BA24" s="42">
        <f t="shared" si="29"/>
        <v>4.0522081218335289E-2</v>
      </c>
      <c r="BB24" s="43">
        <f>(AZ24/Global!$O$3)/(PAT_AGE!AV24/Global!$O$2)</f>
        <v>1.0232570149305811</v>
      </c>
      <c r="BC24" s="11"/>
    </row>
    <row r="25" spans="1:55" x14ac:dyDescent="0.25">
      <c r="A25" s="11"/>
      <c r="B25" s="11"/>
      <c r="C25" s="11"/>
      <c r="D25" s="73"/>
      <c r="E25" s="11"/>
      <c r="F25" s="39"/>
      <c r="G25" s="11"/>
      <c r="H25" s="11"/>
      <c r="I25" s="11"/>
      <c r="J25" s="85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85"/>
      <c r="AA25" s="11"/>
      <c r="AB25" s="11"/>
      <c r="AC25" s="11"/>
      <c r="AD25" s="11"/>
      <c r="AE25" s="11"/>
      <c r="AF25" s="11"/>
      <c r="AG25" s="11"/>
      <c r="AH25" s="85"/>
      <c r="AI25" s="91"/>
      <c r="AJ25" s="11"/>
      <c r="AK25" s="11"/>
      <c r="AL25" s="11"/>
      <c r="AM25" s="11"/>
      <c r="AN25" s="11"/>
      <c r="AO25" s="11"/>
      <c r="AP25" s="11"/>
      <c r="AQ25" s="91"/>
      <c r="AR25" s="11"/>
      <c r="AS25" s="11"/>
      <c r="AT25" s="11"/>
      <c r="AU25" s="11"/>
      <c r="AV25" s="11"/>
      <c r="AW25" s="11"/>
      <c r="AX25" s="11"/>
      <c r="AY25" s="91"/>
      <c r="AZ25" s="11"/>
      <c r="BA25" s="11"/>
      <c r="BB25" s="11"/>
      <c r="BC25" s="11"/>
    </row>
    <row r="26" spans="1:55" s="28" customFormat="1" x14ac:dyDescent="0.25">
      <c r="A26" s="11"/>
      <c r="B26" s="72" t="s">
        <v>11</v>
      </c>
      <c r="C26" s="11"/>
      <c r="D26" s="73"/>
      <c r="E26" s="11"/>
      <c r="F26" s="40" t="s">
        <v>13</v>
      </c>
      <c r="G26" s="11"/>
      <c r="H26" s="37">
        <f t="array" ref="H26">SUM(($F26=BDD!$D$3:$D$215)*(BDD!$E$3:$E$215="PC")*(BDD!$C$3:$C$215="EURO")*(BDD!$A$3:$A$215="MMA")*(BDD!$H$3:$H$215))</f>
        <v>70971574.858699605</v>
      </c>
      <c r="I26" s="37">
        <f t="array" ref="I26">SUM(($F26=BDD!$D$3:$D$215)*(BDD!$E$3:$E$215="PC")*(BDD!$C$3:$C$215="EURO")*(BDD!$A$3:$A$215="MMA")*(BDD!$G$3:$G$215))</f>
        <v>1287037486.6954725</v>
      </c>
      <c r="J26" s="82">
        <f>I26/H26</f>
        <v>18.134548786015969</v>
      </c>
      <c r="K26" s="45"/>
      <c r="L26" s="37">
        <f t="array" ref="L26">SUM(($F26=BDD!$D$3:$D$215)*(BDD!$E$3:$E$215="PC")*(BDD!$C$3:$C$215="EURO")*(BDD!$A$3:$A$215="MMA")*(BDD!$F$3:$F$215))</f>
        <v>2074808.184122599</v>
      </c>
      <c r="M26" s="14">
        <f>L26/H26</f>
        <v>2.9234354574397211E-2</v>
      </c>
      <c r="N26" s="44">
        <f>(L26/Global!$O$3)/(PAT_AGE!H26/Global!$O$2)</f>
        <v>0.73822117462427794</v>
      </c>
      <c r="O26" s="11"/>
      <c r="P26" s="37">
        <f t="array" ref="P26">SUM(($F26=BDD!$D$3:$D$215)*(BDD!$B$3:$B$215="BS")*(BDD!$E$3:$E$215="PC")*(BDD!$C$3:$C$215="EURO")*(BDD!$A$3:$A$215="MMA")*(BDD!$H$3:$H$215))</f>
        <v>4374389.9431320345</v>
      </c>
      <c r="Q26" s="37">
        <f t="array" ref="Q26">SUM(($F26=BDD!$D$3:$D$215)*(BDD!$B$3:$B$215="BS")*(BDD!$E$3:$E$215="PC")*(BDD!$C$3:$C$215="EURO")*(BDD!$A$3:$A$215="MMA")*(BDD!$G$3:$G$215))</f>
        <v>76276372.141723767</v>
      </c>
      <c r="R26" s="82">
        <f t="shared" ref="R26:R32" si="30">Q26/P26</f>
        <v>17.437030793626594</v>
      </c>
      <c r="S26" s="45"/>
      <c r="T26" s="37">
        <f t="array" ref="T26">SUM(($F26=BDD!$D$3:$D$215)*(BDD!$B$3:$B$215="BS")*(BDD!$E$3:$E$215="PC")*(BDD!$C$3:$C$215="EURO")*(BDD!$A$3:$A$215="MMA")*(BDD!$F$3:$F$215))</f>
        <v>91426.914772239514</v>
      </c>
      <c r="U26" s="14">
        <f>T26/P26</f>
        <v>2.0900494917190315E-2</v>
      </c>
      <c r="V26" s="44">
        <f>(T26/Global!$O$3)/(PAT_AGE!P26/Global!$O$2)</f>
        <v>0.52777590381658424</v>
      </c>
      <c r="W26" s="11"/>
      <c r="X26" s="37">
        <f t="array" ref="X26">SUM(($F26=BDD!$D$3:$D$215)*(BDD!$B$3:$B$215="CO")*(BDD!$E$3:$E$215="PC")*(BDD!$C$3:$C$215="EURO")*(BDD!$A$3:$A$215="MMA")*(BDD!$H$3:$H$215))</f>
        <v>55597097.981453896</v>
      </c>
      <c r="Y26" s="37">
        <f t="array" ref="Y26">SUM(($F26=BDD!$D$3:$D$215)*(BDD!$B$3:$B$215="CO")*(BDD!$E$3:$E$215="PC")*(BDD!$C$3:$C$215="EURO")*(BDD!$A$3:$A$215="MMA")*(BDD!$G$3:$G$215))</f>
        <v>998546910.78106225</v>
      </c>
      <c r="Z26" s="82">
        <f t="shared" ref="Z26:Z32" si="31">Y26/X26</f>
        <v>17.960414248854462</v>
      </c>
      <c r="AA26" s="45"/>
      <c r="AB26" s="37">
        <f t="array" ref="AB26">SUM(($F26=BDD!$D$3:$D$215)*(BDD!$B$3:$B$215="CO")*(BDD!$E$3:$E$215="PC")*(BDD!$C$3:$C$215="EURO")*(BDD!$A$3:$A$215="MMA")*(BDD!$F$3:$F$215))</f>
        <v>1584859.8166438031</v>
      </c>
      <c r="AC26" s="14">
        <f>AB26/X26</f>
        <v>2.8506160828259082E-2</v>
      </c>
      <c r="AD26" s="44">
        <f>(AB26/Global!$O$3)/(PAT_AGE!X26/Global!$O$2)</f>
        <v>0.71983294439124479</v>
      </c>
      <c r="AE26" s="11"/>
      <c r="AF26" s="37">
        <f t="array" ref="AF26">SUM(($F26=BDD!$D$3:$D$215)*(BDD!$B$3:$B$215="AG")*(BDD!$E$3:$E$215="PC")*(BDD!$C$3:$C$215="EURO")*(BDD!$A$3:$A$215="MMA")*(BDD!$H$3:$H$215))</f>
        <v>11000086.934113678</v>
      </c>
      <c r="AG26" s="37">
        <f t="array" ref="AG26">SUM(($F26=BDD!$D$3:$D$215)*(BDD!$B$3:$B$215="AG")*(BDD!$E$3:$E$215="PC")*(BDD!$C$3:$C$215="EURO")*(BDD!$A$3:$A$215="MMA")*(BDD!$G$3:$G$215))</f>
        <v>212214203.77268654</v>
      </c>
      <c r="AH26" s="82">
        <f>AG26/AF26</f>
        <v>19.292047875963949</v>
      </c>
      <c r="AI26" s="91"/>
      <c r="AJ26" s="37">
        <f t="array" ref="AJ26">SUM(($F26=BDD!$D$3:$D$215)*(BDD!$B$3:$B$215="AG")*(BDD!$E$3:$E$215="PC")*(BDD!$C$3:$C$215="EURO")*(BDD!$A$3:$A$215="MMA")*(BDD!$F$3:$F$215))</f>
        <v>398521.45270655624</v>
      </c>
      <c r="AK26" s="14">
        <f>AJ26/AF26</f>
        <v>3.6228936652368988E-2</v>
      </c>
      <c r="AL26" s="44">
        <f>(AJ26/Global!$O$3)/(PAT_AGE!AF26/Global!$O$2)</f>
        <v>0.9148472254736566</v>
      </c>
      <c r="AM26" s="11"/>
      <c r="AN26" s="37">
        <f t="array" ref="AN26">SUM(($F26=BDD!$D$3:$D$215)*(BDD!$E$3:$E$215="PC")*(BDD!$C$3:$C$215="EURO")*(BDD!$A$3:$A$215="MAAF")*(BDD!$H$3:$H$215))</f>
        <v>6763326.9986740593</v>
      </c>
      <c r="AO26" s="37">
        <f t="array" ref="AO26">SUM(($F26=BDD!$D$3:$D$215)*(BDD!$B$3:$B$215="TOTAL")*(BDD!$E$3:$E$215="PC")*(BDD!$C$3:$C$215="EURO")*(BDD!$A$3:$A$215="MAAF")*(BDD!$G$3:$G$215))</f>
        <v>152781913.5319111</v>
      </c>
      <c r="AP26" s="82">
        <f t="shared" ref="AP26:AP32" si="32">AO26/AN26</f>
        <v>22.589757017790767</v>
      </c>
      <c r="AQ26" s="91"/>
      <c r="AR26" s="37">
        <f t="array" ref="AR26">SUM(($F26=BDD!$D$3:$D$215)*(BDD!$A$3:$A$215="MAAF")*(BDD!$E$3:$E$215="PC")*(BDD!$C$3:$C$215="EURO")*(BDD!$F$3:$F$215))</f>
        <v>232760.14628232017</v>
      </c>
      <c r="AS26" s="14">
        <f>AR26/AN26</f>
        <v>3.4415036612595026E-2</v>
      </c>
      <c r="AT26" s="44">
        <f>(AR26/Global!$O$3)/(PAT_AGE!AN26/Global!$O$2)</f>
        <v>0.86904291621123564</v>
      </c>
      <c r="AU26" s="11"/>
      <c r="AV26" s="37">
        <f t="array" ref="AV26">SUM(($F26=BDD!$D$3:$D$215)*(BDD!$A$3:$A$215="GMF")*(BDD!$E$3:$E$215="PC")*(BDD!$C$3:$C$215="EURO")*(BDD!$H$3:$H$215))</f>
        <v>9146370.2810413521</v>
      </c>
      <c r="AW26" s="37">
        <f t="array" ref="AW26">SUM(($F26=BDD!$D$3:$D$215)*(BDD!$B$3:$B$215="TOTAL")*(BDD!$E$3:$E$215="PC")*(BDD!$C$3:$C$215="EURO")*(BDD!$A$3:$A$215="GMF")*(BDD!$G$3:$G$215))</f>
        <v>210542330.27315602</v>
      </c>
      <c r="AX26" s="82">
        <f t="shared" ref="AX26:AX32" si="33">AW26/AV26</f>
        <v>23.01922224924234</v>
      </c>
      <c r="AY26" s="91"/>
      <c r="AZ26" s="37">
        <f t="array" ref="AZ26">SUM(($F26=BDD!$D$3:$D$215)*(BDD!$A$3:$A$215="GMF")*(BDD!$E$3:$E$215="PC")*(BDD!$C$3:$C$215="EURO")*(BDD!$F$3:$F$215))</f>
        <v>362551.38163856883</v>
      </c>
      <c r="BA26" s="14">
        <f>AZ26/AV26</f>
        <v>3.9638826168022889E-2</v>
      </c>
      <c r="BB26" s="44">
        <f>(AZ26/Global!$O$3)/(PAT_AGE!AV26/Global!$O$2)</f>
        <v>1.0009532018234677</v>
      </c>
      <c r="BC26" s="11"/>
    </row>
    <row r="27" spans="1:55" s="28" customFormat="1" x14ac:dyDescent="0.25">
      <c r="A27" s="11"/>
      <c r="B27" s="73"/>
      <c r="C27" s="11"/>
      <c r="D27" s="73"/>
      <c r="E27" s="11"/>
      <c r="F27" s="41" t="s">
        <v>14</v>
      </c>
      <c r="G27" s="11"/>
      <c r="H27" s="37">
        <f t="array" ref="H27">SUM(($F27=BDD!$D$3:$D$215)*(BDD!$E$3:$E$215="PC")*(BDD!$C$3:$C$215="EURO")*(BDD!$A$3:$A$215="MMA")*(BDD!$H$3:$H$215))</f>
        <v>25614701.901043441</v>
      </c>
      <c r="I27" s="37">
        <f t="array" ref="I27">SUM(($F27=BDD!$D$3:$D$215)*(BDD!$E$3:$E$215="PC")*(BDD!$C$3:$C$215="EURO")*(BDD!$A$3:$A$215="MMA")*(BDD!$G$3:$G$215))</f>
        <v>388120210.83106422</v>
      </c>
      <c r="J27" s="82">
        <f t="shared" ref="J27:J32" si="34">I27/H27</f>
        <v>15.152243907833796</v>
      </c>
      <c r="K27" s="45"/>
      <c r="L27" s="37">
        <f t="array" ref="L27">SUM(($F27=BDD!$D$3:$D$215)*(BDD!$E$3:$E$215="PC")*(BDD!$C$3:$C$215="EURO")*(BDD!$A$3:$A$215="MMA")*(BDD!$F$3:$F$215))</f>
        <v>627504.43747792253</v>
      </c>
      <c r="M27" s="14">
        <f t="shared" ref="M27:M32" si="35">L27/H27</f>
        <v>2.4497823160392139E-2</v>
      </c>
      <c r="N27" s="44">
        <f>(L27/Global!$O$3)/(PAT_AGE!H27/Global!$O$2)</f>
        <v>0.6186150524780456</v>
      </c>
      <c r="O27" s="11"/>
      <c r="P27" s="37">
        <f t="array" ref="P27">SUM(($F27=BDD!$D$3:$D$215)*(BDD!$B$3:$B$215="BS")*(BDD!$E$3:$E$215="PC")*(BDD!$C$3:$C$215="EURO")*(BDD!$A$3:$A$215="MMA")*(BDD!$H$3:$H$215))</f>
        <v>3438670.9552965732</v>
      </c>
      <c r="Q27" s="37">
        <f t="array" ref="Q27">SUM(($F27=BDD!$D$3:$D$215)*(BDD!$B$3:$B$215="BS")*(BDD!$E$3:$E$215="PC")*(BDD!$C$3:$C$215="EURO")*(BDD!$A$3:$A$215="MMA")*(BDD!$G$3:$G$215))</f>
        <v>59041052.084785864</v>
      </c>
      <c r="R27" s="82">
        <f t="shared" si="30"/>
        <v>17.169730064996514</v>
      </c>
      <c r="S27" s="45"/>
      <c r="T27" s="37">
        <f t="array" ref="T27">SUM(($F27=BDD!$D$3:$D$215)*(BDD!$B$3:$B$215="BS")*(BDD!$E$3:$E$215="PC")*(BDD!$C$3:$C$215="EURO")*(BDD!$A$3:$A$215="MMA")*(BDD!$F$3:$F$215))</f>
        <v>66105.852511615187</v>
      </c>
      <c r="U27" s="14">
        <f t="shared" ref="U27:U32" si="36">T27/P27</f>
        <v>1.9224244881526849E-2</v>
      </c>
      <c r="V27" s="44">
        <f>(T27/Global!$O$3)/(PAT_AGE!P27/Global!$O$2)</f>
        <v>0.48544751010628856</v>
      </c>
      <c r="W27" s="11"/>
      <c r="X27" s="37">
        <f t="array" ref="X27">SUM(($F27=BDD!$D$3:$D$215)*(BDD!$B$3:$B$215="CO")*(BDD!$E$3:$E$215="PC")*(BDD!$C$3:$C$215="EURO")*(BDD!$A$3:$A$215="MMA")*(BDD!$H$3:$H$215))</f>
        <v>13891849.995365949</v>
      </c>
      <c r="Y27" s="37">
        <f t="array" ref="Y27">SUM(($F27=BDD!$D$3:$D$215)*(BDD!$B$3:$B$215="CO")*(BDD!$E$3:$E$215="PC")*(BDD!$C$3:$C$215="EURO")*(BDD!$A$3:$A$215="MMA")*(BDD!$G$3:$G$215))</f>
        <v>172921537.10222599</v>
      </c>
      <c r="Z27" s="82">
        <f t="shared" si="31"/>
        <v>12.447696826550045</v>
      </c>
      <c r="AA27" s="45"/>
      <c r="AB27" s="37">
        <f t="array" ref="AB27">SUM(($F27=BDD!$D$3:$D$215)*(BDD!$B$3:$B$215="CO")*(BDD!$E$3:$E$215="PC")*(BDD!$C$3:$C$215="EURO")*(BDD!$A$3:$A$215="MMA")*(BDD!$F$3:$F$215))</f>
        <v>260667.88619863454</v>
      </c>
      <c r="AC27" s="14">
        <f t="shared" ref="AC27:AC32" si="37">AB27/X27</f>
        <v>1.8764087309148046E-2</v>
      </c>
      <c r="AD27" s="44">
        <f>(AB27/Global!$O$3)/(PAT_AGE!X27/Global!$O$2)</f>
        <v>0.47382768580918438</v>
      </c>
      <c r="AE27" s="11"/>
      <c r="AF27" s="37">
        <f t="array" ref="AF27">SUM(($F27=BDD!$D$3:$D$215)*(BDD!$B$3:$B$215="AG")*(BDD!$E$3:$E$215="PC")*(BDD!$C$3:$C$215="EURO")*(BDD!$A$3:$A$215="MMA")*(BDD!$H$3:$H$215))</f>
        <v>8284180.9503809186</v>
      </c>
      <c r="AG27" s="37">
        <f t="array" ref="AG27">SUM(($F27=BDD!$D$3:$D$215)*(BDD!$B$3:$B$215="AG")*(BDD!$E$3:$E$215="PC")*(BDD!$C$3:$C$215="EURO")*(BDD!$A$3:$A$215="MMA")*(BDD!$G$3:$G$215))</f>
        <v>156157621.64405236</v>
      </c>
      <c r="AH27" s="82">
        <f t="shared" ref="AH27:AH32" si="38">AG27/AF27</f>
        <v>18.850097864758979</v>
      </c>
      <c r="AI27" s="91"/>
      <c r="AJ27" s="37">
        <f t="array" ref="AJ27">SUM(($F27=BDD!$D$3:$D$215)*(BDD!$B$3:$B$215="AG")*(BDD!$E$3:$E$215="PC")*(BDD!$C$3:$C$215="EURO")*(BDD!$A$3:$A$215="MMA")*(BDD!$F$3:$F$215))</f>
        <v>300730.69876767276</v>
      </c>
      <c r="AK27" s="14">
        <f t="shared" ref="AK27:AK32" si="39">AJ27/AF27</f>
        <v>3.6301802262521166E-2</v>
      </c>
      <c r="AL27" s="44">
        <f>(AJ27/Global!$O$3)/(PAT_AGE!AF27/Global!$O$2)</f>
        <v>0.91668721602926684</v>
      </c>
      <c r="AM27" s="11"/>
      <c r="AN27" s="37">
        <f t="array" ref="AN27">SUM(($F27=BDD!$D$3:$D$215)*(BDD!$E$3:$E$215="PC")*(BDD!$C$3:$C$215="EURO")*(BDD!$A$3:$A$215="MAAF")*(BDD!$H$3:$H$215))</f>
        <v>7410103.9985472597</v>
      </c>
      <c r="AO27" s="37">
        <f t="array" ref="AO27">SUM(($F27=BDD!$D$3:$D$215)*(BDD!$B$3:$B$215="TOTAL")*(BDD!$E$3:$E$215="PC")*(BDD!$C$3:$C$215="EURO")*(BDD!$A$3:$A$215="MAAF")*(BDD!$G$3:$G$215))</f>
        <v>151763367.44169837</v>
      </c>
      <c r="AP27" s="82">
        <f t="shared" si="32"/>
        <v>20.480598851440057</v>
      </c>
      <c r="AQ27" s="91"/>
      <c r="AR27" s="37">
        <f t="array" ref="AR27">SUM(($F27=BDD!$D$3:$D$215)*(BDD!$A$3:$A$215="MAAF")*(BDD!$E$3:$E$215="PC")*(BDD!$C$3:$C$215="EURO")*(BDD!$F$3:$F$215))</f>
        <v>238801.5620280343</v>
      </c>
      <c r="AS27" s="14">
        <f t="shared" ref="AS27:AS32" si="40">AR27/AN27</f>
        <v>3.2226479152634158E-2</v>
      </c>
      <c r="AT27" s="44">
        <f>(AR27/Global!$O$3)/(PAT_AGE!AN27/Global!$O$2)</f>
        <v>0.81377781861130516</v>
      </c>
      <c r="AU27" s="11"/>
      <c r="AV27" s="37">
        <f t="array" ref="AV27">SUM(($F27=BDD!$D$3:$D$215)*(BDD!$A$3:$A$215="GMF")*(BDD!$E$3:$E$215="PC")*(BDD!$C$3:$C$215="EURO")*(BDD!$H$3:$H$215))</f>
        <v>14703508.964240441</v>
      </c>
      <c r="AW27" s="37">
        <f t="array" ref="AW27">SUM(($F27=BDD!$D$3:$D$215)*(BDD!$B$3:$B$215="TOTAL")*(BDD!$E$3:$E$215="PC")*(BDD!$C$3:$C$215="EURO")*(BDD!$A$3:$A$215="GMF")*(BDD!$G$3:$G$215))</f>
        <v>345989021.55157357</v>
      </c>
      <c r="AX27" s="82">
        <f t="shared" si="33"/>
        <v>23.531051152009603</v>
      </c>
      <c r="AY27" s="91"/>
      <c r="AZ27" s="37">
        <f t="array" ref="AZ27">SUM(($F27=BDD!$D$3:$D$215)*(BDD!$A$3:$A$215="GMF")*(BDD!$E$3:$E$215="PC")*(BDD!$C$3:$C$215="EURO")*(BDD!$F$3:$F$215))</f>
        <v>601513.46926423372</v>
      </c>
      <c r="BA27" s="14">
        <f t="shared" ref="BA27:BA32" si="41">AZ27/AV27</f>
        <v>4.0909518314787313E-2</v>
      </c>
      <c r="BB27" s="44">
        <f>(AZ27/Global!$O$3)/(PAT_AGE!AV27/Global!$O$2)</f>
        <v>1.0330405135779677</v>
      </c>
      <c r="BC27" s="11"/>
    </row>
    <row r="28" spans="1:55" s="28" customFormat="1" x14ac:dyDescent="0.25">
      <c r="A28" s="11"/>
      <c r="B28" s="73"/>
      <c r="C28" s="11"/>
      <c r="D28" s="73"/>
      <c r="E28" s="11"/>
      <c r="F28" s="41" t="s">
        <v>15</v>
      </c>
      <c r="G28" s="11"/>
      <c r="H28" s="37">
        <f t="array" ref="H28">SUM(($F28=BDD!$D$3:$D$215)*(BDD!$E$3:$E$215="PC")*(BDD!$C$3:$C$215="EURO")*(BDD!$A$3:$A$215="MMA")*(BDD!$H$3:$H$215))</f>
        <v>49172447.800429031</v>
      </c>
      <c r="I28" s="37">
        <f t="array" ref="I28">SUM(($F28=BDD!$D$3:$D$215)*(BDD!$E$3:$E$215="PC")*(BDD!$C$3:$C$215="EURO")*(BDD!$A$3:$A$215="MMA")*(BDD!$G$3:$G$215))</f>
        <v>856294424.18179309</v>
      </c>
      <c r="J28" s="82">
        <f t="shared" si="34"/>
        <v>17.414110187419261</v>
      </c>
      <c r="K28" s="45"/>
      <c r="L28" s="37">
        <f t="array" ref="L28">SUM(($F28=BDD!$D$3:$D$215)*(BDD!$E$3:$E$215="PC")*(BDD!$C$3:$C$215="EURO")*(BDD!$A$3:$A$215="MMA")*(BDD!$F$3:$F$215))</f>
        <v>1464521.5528464976</v>
      </c>
      <c r="M28" s="14">
        <f t="shared" si="35"/>
        <v>2.9783377040540977E-2</v>
      </c>
      <c r="N28" s="44">
        <f>(L28/Global!$O$3)/(PAT_AGE!H28/Global!$O$2)</f>
        <v>0.75208500078881113</v>
      </c>
      <c r="O28" s="11"/>
      <c r="P28" s="37">
        <f t="array" ref="P28">SUM(($F28=BDD!$D$3:$D$215)*(BDD!$B$3:$B$215="BS")*(BDD!$E$3:$E$215="PC")*(BDD!$C$3:$C$215="EURO")*(BDD!$A$3:$A$215="MMA")*(BDD!$H$3:$H$215))</f>
        <v>5984616.9221987538</v>
      </c>
      <c r="Q28" s="37">
        <f t="array" ref="Q28">SUM(($F28=BDD!$D$3:$D$215)*(BDD!$B$3:$B$215="BS")*(BDD!$E$3:$E$215="PC")*(BDD!$C$3:$C$215="EURO")*(BDD!$A$3:$A$215="MMA")*(BDD!$G$3:$G$215))</f>
        <v>119057749.40997191</v>
      </c>
      <c r="R28" s="82">
        <f t="shared" si="30"/>
        <v>19.893963299196429</v>
      </c>
      <c r="S28" s="45"/>
      <c r="T28" s="37">
        <f t="array" ref="T28">SUM(($F28=BDD!$D$3:$D$215)*(BDD!$B$3:$B$215="BS")*(BDD!$E$3:$E$215="PC")*(BDD!$C$3:$C$215="EURO")*(BDD!$A$3:$A$215="MMA")*(BDD!$F$3:$F$215))</f>
        <v>157151.65976214883</v>
      </c>
      <c r="U28" s="14">
        <f t="shared" si="36"/>
        <v>2.6259268020852898E-2</v>
      </c>
      <c r="V28" s="44">
        <f>(T28/Global!$O$3)/(PAT_AGE!P28/Global!$O$2)</f>
        <v>0.66309477207014655</v>
      </c>
      <c r="W28" s="11"/>
      <c r="X28" s="37">
        <f t="array" ref="X28">SUM(($F28=BDD!$D$3:$D$215)*(BDD!$B$3:$B$215="CO")*(BDD!$E$3:$E$215="PC")*(BDD!$C$3:$C$215="EURO")*(BDD!$A$3:$A$215="MMA")*(BDD!$H$3:$H$215))</f>
        <v>24205796.991925418</v>
      </c>
      <c r="Y28" s="37">
        <f t="array" ref="Y28">SUM(($F28=BDD!$D$3:$D$215)*(BDD!$B$3:$B$215="CO")*(BDD!$E$3:$E$215="PC")*(BDD!$C$3:$C$215="EURO")*(BDD!$A$3:$A$215="MMA")*(BDD!$G$3:$G$215))</f>
        <v>346842620.66169029</v>
      </c>
      <c r="Z28" s="82">
        <f t="shared" si="31"/>
        <v>14.328907276938256</v>
      </c>
      <c r="AA28" s="45"/>
      <c r="AB28" s="37">
        <f t="array" ref="AB28">SUM(($F28=BDD!$D$3:$D$215)*(BDD!$B$3:$B$215="CO")*(BDD!$E$3:$E$215="PC")*(BDD!$C$3:$C$215="EURO")*(BDD!$A$3:$A$215="MMA")*(BDD!$F$3:$F$215))</f>
        <v>548173.20035761443</v>
      </c>
      <c r="AC28" s="14">
        <f t="shared" si="37"/>
        <v>2.2646360313625463E-2</v>
      </c>
      <c r="AD28" s="44">
        <f>(AB28/Global!$O$3)/(PAT_AGE!X28/Global!$O$2)</f>
        <v>0.57186221331291121</v>
      </c>
      <c r="AE28" s="11"/>
      <c r="AF28" s="37">
        <f t="array" ref="AF28">SUM(($F28=BDD!$D$3:$D$215)*(BDD!$B$3:$B$215="AG")*(BDD!$E$3:$E$215="PC")*(BDD!$C$3:$C$215="EURO")*(BDD!$A$3:$A$215="MMA")*(BDD!$H$3:$H$215))</f>
        <v>18982033.886304863</v>
      </c>
      <c r="AG28" s="37">
        <f t="array" ref="AG28">SUM(($F28=BDD!$D$3:$D$215)*(BDD!$B$3:$B$215="AG")*(BDD!$E$3:$E$215="PC")*(BDD!$C$3:$C$215="EURO")*(BDD!$A$3:$A$215="MMA")*(BDD!$G$3:$G$215))</f>
        <v>390394054.11013091</v>
      </c>
      <c r="AH28" s="82">
        <f t="shared" si="38"/>
        <v>20.566502854669963</v>
      </c>
      <c r="AI28" s="91"/>
      <c r="AJ28" s="37">
        <f t="array" ref="AJ28">SUM(($F28=BDD!$D$3:$D$215)*(BDD!$B$3:$B$215="AG")*(BDD!$E$3:$E$215="PC")*(BDD!$C$3:$C$215="EURO")*(BDD!$A$3:$A$215="MMA")*(BDD!$F$3:$F$215))</f>
        <v>759196.69272673433</v>
      </c>
      <c r="AK28" s="14">
        <f t="shared" si="39"/>
        <v>3.9995539849630064E-2</v>
      </c>
      <c r="AL28" s="44">
        <f>(AJ28/Global!$O$3)/(PAT_AGE!AF28/Global!$O$2)</f>
        <v>1.0099608777880746</v>
      </c>
      <c r="AM28" s="11"/>
      <c r="AN28" s="37">
        <f t="array" ref="AN28">SUM(($F28=BDD!$D$3:$D$215)*(BDD!$E$3:$E$215="PC")*(BDD!$C$3:$C$215="EURO")*(BDD!$A$3:$A$215="MAAF")*(BDD!$H$3:$H$215))</f>
        <v>16251823.996813852</v>
      </c>
      <c r="AO28" s="37">
        <f t="array" ref="AO28">SUM(($F28=BDD!$D$3:$D$215)*(BDD!$B$3:$B$215="TOTAL")*(BDD!$E$3:$E$215="PC")*(BDD!$C$3:$C$215="EURO")*(BDD!$A$3:$A$215="MAAF")*(BDD!$G$3:$G$215))</f>
        <v>351398401.12339556</v>
      </c>
      <c r="AP28" s="82">
        <f t="shared" si="32"/>
        <v>21.622090000007798</v>
      </c>
      <c r="AQ28" s="91"/>
      <c r="AR28" s="37">
        <f t="array" ref="AR28">SUM(($F28=BDD!$D$3:$D$215)*(BDD!$A$3:$A$215="MAAF")*(BDD!$E$3:$E$215="PC")*(BDD!$C$3:$C$215="EURO")*(BDD!$F$3:$F$215))</f>
        <v>562097.13291287539</v>
      </c>
      <c r="AS28" s="14">
        <f t="shared" si="40"/>
        <v>3.4586710576183559E-2</v>
      </c>
      <c r="AT28" s="44">
        <f>(AR28/Global!$O$3)/(PAT_AGE!AN28/Global!$O$2)</f>
        <v>0.87337799926327342</v>
      </c>
      <c r="AU28" s="11"/>
      <c r="AV28" s="37">
        <f t="array" ref="AV28">SUM(($F28=BDD!$D$3:$D$215)*(BDD!$A$3:$A$215="GMF")*(BDD!$E$3:$E$215="PC")*(BDD!$C$3:$C$215="EURO")*(BDD!$H$3:$H$215))</f>
        <v>22819864.468953103</v>
      </c>
      <c r="AW28" s="37">
        <f t="array" ref="AW28">SUM(($F28=BDD!$D$3:$D$215)*(BDD!$B$3:$B$215="TOTAL")*(BDD!$E$3:$E$215="PC")*(BDD!$C$3:$C$215="EURO")*(BDD!$A$3:$A$215="GMF")*(BDD!$G$3:$G$215))</f>
        <v>573823327.97475219</v>
      </c>
      <c r="AX28" s="82">
        <f t="shared" si="33"/>
        <v>25.145781595480145</v>
      </c>
      <c r="AY28" s="91"/>
      <c r="AZ28" s="37">
        <f t="array" ref="AZ28">SUM(($F28=BDD!$D$3:$D$215)*(BDD!$A$3:$A$215="GMF")*(BDD!$E$3:$E$215="PC")*(BDD!$C$3:$C$215="EURO")*(BDD!$F$3:$F$215))</f>
        <v>1004081.2391231265</v>
      </c>
      <c r="BA28" s="14">
        <f t="shared" si="41"/>
        <v>4.4000315623661995E-2</v>
      </c>
      <c r="BB28" s="44">
        <f>(AZ28/Global!$O$3)/(PAT_AGE!AV28/Global!$O$2)</f>
        <v>1.1110888253365341</v>
      </c>
      <c r="BC28" s="11"/>
    </row>
    <row r="29" spans="1:55" s="28" customFormat="1" x14ac:dyDescent="0.25">
      <c r="A29" s="11"/>
      <c r="B29" s="73"/>
      <c r="C29" s="11"/>
      <c r="D29" s="73"/>
      <c r="E29" s="11"/>
      <c r="F29" s="41" t="s">
        <v>16</v>
      </c>
      <c r="G29" s="11"/>
      <c r="H29" s="37">
        <f t="array" ref="H29">SUM(($F29=BDD!$D$3:$D$215)*(BDD!$E$3:$E$215="PC")*(BDD!$C$3:$C$215="EURO")*(BDD!$A$3:$A$215="MMA")*(BDD!$H$3:$H$215))</f>
        <v>117616403.2598106</v>
      </c>
      <c r="I29" s="37">
        <f t="array" ref="I29">SUM(($F29=BDD!$D$3:$D$215)*(BDD!$E$3:$E$215="PC")*(BDD!$C$3:$C$215="EURO")*(BDD!$A$3:$A$215="MMA")*(BDD!$G$3:$G$215))</f>
        <v>2110487102.622529</v>
      </c>
      <c r="J29" s="82">
        <f t="shared" si="34"/>
        <v>17.943816033555589</v>
      </c>
      <c r="K29" s="45"/>
      <c r="L29" s="37">
        <f t="array" ref="L29">SUM(($F29=BDD!$D$3:$D$215)*(BDD!$E$3:$E$215="PC")*(BDD!$C$3:$C$215="EURO")*(BDD!$A$3:$A$215="MMA")*(BDD!$F$3:$F$215))</f>
        <v>3454091.4225614658</v>
      </c>
      <c r="M29" s="14">
        <f t="shared" si="35"/>
        <v>2.9367429430157767E-2</v>
      </c>
      <c r="N29" s="44">
        <f>(L29/Global!$O$3)/(PAT_AGE!H29/Global!$O$2)</f>
        <v>0.74158155927318514</v>
      </c>
      <c r="O29" s="11"/>
      <c r="P29" s="37">
        <f t="array" ref="P29">SUM(($F29=BDD!$D$3:$D$215)*(BDD!$B$3:$B$215="BS")*(BDD!$E$3:$E$215="PC")*(BDD!$C$3:$C$215="EURO")*(BDD!$A$3:$A$215="MMA")*(BDD!$H$3:$H$215))</f>
        <v>17558388.771737348</v>
      </c>
      <c r="Q29" s="37">
        <f t="array" ref="Q29">SUM(($F29=BDD!$D$3:$D$215)*(BDD!$B$3:$B$215="BS")*(BDD!$E$3:$E$215="PC")*(BDD!$C$3:$C$215="EURO")*(BDD!$A$3:$A$215="MMA")*(BDD!$G$3:$G$215))</f>
        <v>334162086.57924891</v>
      </c>
      <c r="R29" s="82">
        <f t="shared" si="30"/>
        <v>19.03147782654915</v>
      </c>
      <c r="S29" s="45"/>
      <c r="T29" s="37">
        <f t="array" ref="T29">SUM(($F29=BDD!$D$3:$D$215)*(BDD!$B$3:$B$215="BS")*(BDD!$E$3:$E$215="PC")*(BDD!$C$3:$C$215="EURO")*(BDD!$A$3:$A$215="MMA")*(BDD!$F$3:$F$215))</f>
        <v>393380.99344105204</v>
      </c>
      <c r="U29" s="14">
        <f t="shared" si="36"/>
        <v>2.240416239525651E-2</v>
      </c>
      <c r="V29" s="44">
        <f>(T29/Global!$O$3)/(PAT_AGE!P29/Global!$O$2)</f>
        <v>0.56574627080647166</v>
      </c>
      <c r="W29" s="11"/>
      <c r="X29" s="37">
        <f t="array" ref="X29">SUM(($F29=BDD!$D$3:$D$215)*(BDD!$B$3:$B$215="CO")*(BDD!$E$3:$E$215="PC")*(BDD!$C$3:$C$215="EURO")*(BDD!$A$3:$A$215="MMA")*(BDD!$H$3:$H$215))</f>
        <v>50054920.983302653</v>
      </c>
      <c r="Y29" s="37">
        <f t="array" ref="Y29">SUM(($F29=BDD!$D$3:$D$215)*(BDD!$B$3:$B$215="CO")*(BDD!$E$3:$E$215="PC")*(BDD!$C$3:$C$215="EURO")*(BDD!$A$3:$A$215="MMA")*(BDD!$G$3:$G$215))</f>
        <v>762653946.87282324</v>
      </c>
      <c r="Z29" s="82">
        <f t="shared" si="31"/>
        <v>15.23634303862411</v>
      </c>
      <c r="AA29" s="45"/>
      <c r="AB29" s="37">
        <f t="array" ref="AB29">SUM(($F29=BDD!$D$3:$D$215)*(BDD!$B$3:$B$215="CO")*(BDD!$E$3:$E$215="PC")*(BDD!$C$3:$C$215="EURO")*(BDD!$A$3:$A$215="MMA")*(BDD!$F$3:$F$215))</f>
        <v>1175257.3639176877</v>
      </c>
      <c r="AC29" s="14">
        <f t="shared" si="37"/>
        <v>2.347935709077896E-2</v>
      </c>
      <c r="AD29" s="44">
        <f>(AB29/Global!$O$3)/(PAT_AGE!X29/Global!$O$2)</f>
        <v>0.59289691266717837</v>
      </c>
      <c r="AE29" s="11"/>
      <c r="AF29" s="37">
        <f t="array" ref="AF29">SUM(($F29=BDD!$D$3:$D$215)*(BDD!$B$3:$B$215="AG")*(BDD!$E$3:$E$215="PC")*(BDD!$C$3:$C$215="EURO")*(BDD!$A$3:$A$215="MMA")*(BDD!$H$3:$H$215))</f>
        <v>49899152.701123126</v>
      </c>
      <c r="AG29" s="37">
        <f t="array" ref="AG29">SUM(($F29=BDD!$D$3:$D$215)*(BDD!$B$3:$B$215="AG")*(BDD!$E$3:$E$215="PC")*(BDD!$C$3:$C$215="EURO")*(BDD!$A$3:$A$215="MMA")*(BDD!$G$3:$G$215))</f>
        <v>1011020499.1057236</v>
      </c>
      <c r="AH29" s="82">
        <f t="shared" si="38"/>
        <v>20.261275881002437</v>
      </c>
      <c r="AI29" s="91"/>
      <c r="AJ29" s="37">
        <f t="array" ref="AJ29">SUM(($F29=BDD!$D$3:$D$215)*(BDD!$B$3:$B$215="AG")*(BDD!$E$3:$E$215="PC")*(BDD!$C$3:$C$215="EURO")*(BDD!$A$3:$A$215="MMA")*(BDD!$F$3:$F$215))</f>
        <v>1880731.5024698593</v>
      </c>
      <c r="AK29" s="14">
        <f t="shared" si="39"/>
        <v>3.7690650054415215E-2</v>
      </c>
      <c r="AL29" s="44">
        <f>(AJ29/Global!$O$3)/(PAT_AGE!AF29/Global!$O$2)</f>
        <v>0.95175817494841042</v>
      </c>
      <c r="AM29" s="11"/>
      <c r="AN29" s="37">
        <f t="array" ref="AN29">SUM(($F29=BDD!$D$3:$D$215)*(BDD!$E$3:$E$215="PC")*(BDD!$C$3:$C$215="EURO")*(BDD!$A$3:$A$215="MAAF")*(BDD!$H$3:$H$215))</f>
        <v>46157602.990950868</v>
      </c>
      <c r="AO29" s="37">
        <f t="array" ref="AO29">SUM(($F29=BDD!$D$3:$D$215)*(BDD!$B$3:$B$215="TOTAL")*(BDD!$E$3:$E$215="PC")*(BDD!$C$3:$C$215="EURO")*(BDD!$A$3:$A$215="MAAF")*(BDD!$G$3:$G$215))</f>
        <v>998175168.40848601</v>
      </c>
      <c r="AP29" s="82">
        <f t="shared" si="32"/>
        <v>21.625368384146309</v>
      </c>
      <c r="AQ29" s="91"/>
      <c r="AR29" s="37">
        <f t="array" ref="AR29">SUM(($F29=BDD!$D$3:$D$215)*(BDD!$A$3:$A$215="MAAF")*(BDD!$E$3:$E$215="PC")*(BDD!$C$3:$C$215="EURO")*(BDD!$F$3:$F$215))</f>
        <v>1502073.5498646118</v>
      </c>
      <c r="AS29" s="14">
        <f t="shared" si="40"/>
        <v>3.2542278032918891E-2</v>
      </c>
      <c r="AT29" s="44">
        <f>(AR29/Global!$O$3)/(PAT_AGE!AN29/Global!$O$2)</f>
        <v>0.82175232065668291</v>
      </c>
      <c r="AU29" s="11"/>
      <c r="AV29" s="37">
        <f t="array" ref="AV29">SUM(($F29=BDD!$D$3:$D$215)*(BDD!$A$3:$A$215="GMF")*(BDD!$E$3:$E$215="PC")*(BDD!$C$3:$C$215="EURO")*(BDD!$H$3:$H$215))</f>
        <v>70651468.145388901</v>
      </c>
      <c r="AW29" s="37">
        <f t="array" ref="AW29">SUM(($F29=BDD!$D$3:$D$215)*(BDD!$B$3:$B$215="TOTAL")*(BDD!$E$3:$E$215="PC")*(BDD!$C$3:$C$215="EURO")*(BDD!$A$3:$A$215="GMF")*(BDD!$G$3:$G$215))</f>
        <v>1700798840.182795</v>
      </c>
      <c r="AX29" s="82">
        <f t="shared" si="33"/>
        <v>24.073085596506438</v>
      </c>
      <c r="AY29" s="91"/>
      <c r="AZ29" s="37">
        <f t="array" ref="AZ29">SUM(($F29=BDD!$D$3:$D$215)*(BDD!$A$3:$A$215="GMF")*(BDD!$E$3:$E$215="PC")*(BDD!$C$3:$C$215="EURO")*(BDD!$F$3:$F$215))</f>
        <v>2750744.3011395857</v>
      </c>
      <c r="BA29" s="14">
        <f t="shared" si="41"/>
        <v>3.8934000571354217E-2</v>
      </c>
      <c r="BB29" s="44">
        <f>(AZ29/Global!$O$3)/(PAT_AGE!AV29/Global!$O$2)</f>
        <v>0.98315506030630584</v>
      </c>
      <c r="BC29" s="11"/>
    </row>
    <row r="30" spans="1:55" s="28" customFormat="1" x14ac:dyDescent="0.25">
      <c r="A30" s="11"/>
      <c r="B30" s="73"/>
      <c r="C30" s="11"/>
      <c r="D30" s="73"/>
      <c r="E30" s="11"/>
      <c r="F30" s="41" t="s">
        <v>17</v>
      </c>
      <c r="G30" s="11"/>
      <c r="H30" s="37">
        <f t="array" ref="H30">SUM(($F30=BDD!$D$3:$D$215)*(BDD!$E$3:$E$215="PC")*(BDD!$C$3:$C$215="EURO")*(BDD!$A$3:$A$215="MMA")*(BDD!$H$3:$H$215))</f>
        <v>194709922.54424286</v>
      </c>
      <c r="I30" s="37">
        <f t="array" ref="I30">SUM(($F30=BDD!$D$3:$D$215)*(BDD!$E$3:$E$215="PC")*(BDD!$C$3:$C$215="EURO")*(BDD!$A$3:$A$215="MMA")*(BDD!$G$3:$G$215))</f>
        <v>2999745579.710577</v>
      </c>
      <c r="J30" s="82">
        <f t="shared" si="34"/>
        <v>15.406228611841605</v>
      </c>
      <c r="K30" s="45"/>
      <c r="L30" s="37">
        <f t="array" ref="L30">SUM(($F30=BDD!$D$3:$D$215)*(BDD!$E$3:$E$215="PC")*(BDD!$C$3:$C$215="EURO")*(BDD!$A$3:$A$215="MMA")*(BDD!$F$3:$F$215))</f>
        <v>4333559.6531113572</v>
      </c>
      <c r="M30" s="14">
        <f t="shared" si="35"/>
        <v>2.2256491073929047E-2</v>
      </c>
      <c r="N30" s="44">
        <f>(L30/Global!$O$3)/(PAT_AGE!H30/Global!$O$2)</f>
        <v>0.56201729857924987</v>
      </c>
      <c r="O30" s="11"/>
      <c r="P30" s="37">
        <f t="array" ref="P30">SUM(($F30=BDD!$D$3:$D$215)*(BDD!$B$3:$B$215="BS")*(BDD!$E$3:$E$215="PC")*(BDD!$C$3:$C$215="EURO")*(BDD!$A$3:$A$215="MMA")*(BDD!$H$3:$H$215))</f>
        <v>23618154.692959152</v>
      </c>
      <c r="Q30" s="37">
        <f t="array" ref="Q30">SUM(($F30=BDD!$D$3:$D$215)*(BDD!$B$3:$B$215="BS")*(BDD!$E$3:$E$215="PC")*(BDD!$C$3:$C$215="EURO")*(BDD!$A$3:$A$215="MMA")*(BDD!$G$3:$G$215))</f>
        <v>368178586.41066945</v>
      </c>
      <c r="R30" s="82">
        <f t="shared" si="30"/>
        <v>15.588795619177979</v>
      </c>
      <c r="S30" s="45"/>
      <c r="T30" s="37">
        <f t="array" ref="T30">SUM(($F30=BDD!$D$3:$D$215)*(BDD!$B$3:$B$215="BS")*(BDD!$E$3:$E$215="PC")*(BDD!$C$3:$C$215="EURO")*(BDD!$A$3:$A$215="MMA")*(BDD!$F$3:$F$215))</f>
        <v>320452.09464543592</v>
      </c>
      <c r="U30" s="14">
        <f t="shared" si="36"/>
        <v>1.3568041145101248E-2</v>
      </c>
      <c r="V30" s="44">
        <f>(T30/Global!$O$3)/(PAT_AGE!P30/Global!$O$2)</f>
        <v>0.34261797181112219</v>
      </c>
      <c r="W30" s="11"/>
      <c r="X30" s="37">
        <f t="array" ref="X30">SUM(($F30=BDD!$D$3:$D$215)*(BDD!$B$3:$B$215="CO")*(BDD!$E$3:$E$215="PC")*(BDD!$C$3:$C$215="EURO")*(BDD!$A$3:$A$215="MMA")*(BDD!$H$3:$H$215))</f>
        <v>87367708.970855832</v>
      </c>
      <c r="Y30" s="37">
        <f t="array" ref="Y30">SUM(($F30=BDD!$D$3:$D$215)*(BDD!$B$3:$B$215="CO")*(BDD!$E$3:$E$215="PC")*(BDD!$C$3:$C$215="EURO")*(BDD!$A$3:$A$215="MMA")*(BDD!$G$3:$G$215))</f>
        <v>1259428536.1202586</v>
      </c>
      <c r="Z30" s="82">
        <f t="shared" si="31"/>
        <v>14.415263384557553</v>
      </c>
      <c r="AA30" s="45"/>
      <c r="AB30" s="37">
        <f t="array" ref="AB30">SUM(($F30=BDD!$D$3:$D$215)*(BDD!$B$3:$B$215="CO")*(BDD!$E$3:$E$215="PC")*(BDD!$C$3:$C$215="EURO")*(BDD!$A$3:$A$215="MMA")*(BDD!$F$3:$F$215))</f>
        <v>1752925.2169845917</v>
      </c>
      <c r="AC30" s="14">
        <f t="shared" si="37"/>
        <v>2.0063765407529841E-2</v>
      </c>
      <c r="AD30" s="44">
        <f>(AB30/Global!$O$3)/(PAT_AGE!X30/Global!$O$2)</f>
        <v>0.50664694610717365</v>
      </c>
      <c r="AE30" s="11"/>
      <c r="AF30" s="37">
        <f t="array" ref="AF30">SUM(($F30=BDD!$D$3:$D$215)*(BDD!$B$3:$B$215="AG")*(BDD!$E$3:$E$215="PC")*(BDD!$C$3:$C$215="EURO")*(BDD!$A$3:$A$215="MMA")*(BDD!$H$3:$H$215))</f>
        <v>83677735.498802304</v>
      </c>
      <c r="AG30" s="37">
        <f t="array" ref="AG30">SUM(($F30=BDD!$D$3:$D$215)*(BDD!$B$3:$B$215="AG")*(BDD!$E$3:$E$215="PC")*(BDD!$C$3:$C$215="EURO")*(BDD!$A$3:$A$215="MMA")*(BDD!$G$3:$G$215))</f>
        <v>1371384241.3612289</v>
      </c>
      <c r="AH30" s="82">
        <f t="shared" si="38"/>
        <v>16.388878513339524</v>
      </c>
      <c r="AI30" s="91"/>
      <c r="AJ30" s="37">
        <f t="array" ref="AJ30">SUM(($F30=BDD!$D$3:$D$215)*(BDD!$B$3:$B$215="AG")*(BDD!$E$3:$E$215="PC")*(BDD!$C$3:$C$215="EURO")*(BDD!$A$3:$A$215="MMA")*(BDD!$F$3:$F$215))</f>
        <v>2259144.7421554578</v>
      </c>
      <c r="AK30" s="14">
        <f t="shared" si="39"/>
        <v>2.6998158216026216E-2</v>
      </c>
      <c r="AL30" s="44">
        <f>(AJ30/Global!$O$3)/(PAT_AGE!AF30/Global!$O$2)</f>
        <v>0.68175310729732186</v>
      </c>
      <c r="AM30" s="11"/>
      <c r="AN30" s="37">
        <f t="array" ref="AN30">SUM(($F30=BDD!$D$3:$D$215)*(BDD!$E$3:$E$215="PC")*(BDD!$C$3:$C$215="EURO")*(BDD!$A$3:$A$215="MAAF")*(BDD!$H$3:$H$215))</f>
        <v>76286878.985044062</v>
      </c>
      <c r="AO30" s="37">
        <f t="array" ref="AO30">SUM(($F30=BDD!$D$3:$D$215)*(BDD!$B$3:$B$215="TOTAL")*(BDD!$E$3:$E$215="PC")*(BDD!$C$3:$C$215="EURO")*(BDD!$A$3:$A$215="MAAF")*(BDD!$G$3:$G$215))</f>
        <v>1425964526.297837</v>
      </c>
      <c r="AP30" s="82">
        <f t="shared" si="32"/>
        <v>18.692133500144834</v>
      </c>
      <c r="AQ30" s="91"/>
      <c r="AR30" s="37">
        <f t="array" ref="AR30">SUM(($F30=BDD!$D$3:$D$215)*(BDD!$A$3:$A$215="MAAF")*(BDD!$E$3:$E$215="PC")*(BDD!$C$3:$C$215="EURO")*(BDD!$F$3:$F$215))</f>
        <v>1824884.6518363135</v>
      </c>
      <c r="AS30" s="14">
        <f t="shared" si="40"/>
        <v>2.3921343697834063E-2</v>
      </c>
      <c r="AT30" s="44">
        <f>(AR30/Global!$O$3)/(PAT_AGE!AN30/Global!$O$2)</f>
        <v>0.60405788669853844</v>
      </c>
      <c r="AU30" s="11"/>
      <c r="AV30" s="37">
        <f t="array" ref="AV30">SUM(($F30=BDD!$D$3:$D$215)*(BDD!$A$3:$A$215="GMF")*(BDD!$E$3:$E$215="PC")*(BDD!$C$3:$C$215="EURO")*(BDD!$H$3:$H$215))</f>
        <v>162749441.94390541</v>
      </c>
      <c r="AW30" s="37">
        <f t="array" ref="AW30">SUM(($F30=BDD!$D$3:$D$215)*(BDD!$B$3:$B$215="TOTAL")*(BDD!$E$3:$E$215="PC")*(BDD!$C$3:$C$215="EURO")*(BDD!$A$3:$A$215="GMF")*(BDD!$G$3:$G$215))</f>
        <v>3364182787.4427309</v>
      </c>
      <c r="AX30" s="82">
        <f t="shared" si="33"/>
        <v>20.670932860109335</v>
      </c>
      <c r="AY30" s="91"/>
      <c r="AZ30" s="37">
        <f t="array" ref="AZ30">SUM(($F30=BDD!$D$3:$D$215)*(BDD!$A$3:$A$215="GMF")*(BDD!$E$3:$E$215="PC")*(BDD!$C$3:$C$215="EURO")*(BDD!$F$3:$F$215))</f>
        <v>4663866.089359913</v>
      </c>
      <c r="BA30" s="14">
        <f t="shared" si="41"/>
        <v>2.8656725538680497E-2</v>
      </c>
      <c r="BB30" s="44">
        <f>(AZ30/Global!$O$3)/(PAT_AGE!AV30/Global!$O$2)</f>
        <v>0.72363498001003712</v>
      </c>
      <c r="BC30" s="11"/>
    </row>
    <row r="31" spans="1:55" s="28" customFormat="1" x14ac:dyDescent="0.25">
      <c r="A31" s="11"/>
      <c r="B31" s="73"/>
      <c r="C31" s="11"/>
      <c r="D31" s="73"/>
      <c r="E31" s="11"/>
      <c r="F31" s="41" t="s">
        <v>12</v>
      </c>
      <c r="G31" s="11"/>
      <c r="H31" s="37">
        <f t="array" ref="H31">SUM(($F31=BDD!$D$3:$D$215)*(BDD!$E$3:$E$215="PC")*(BDD!$C$3:$C$215="EURO")*(BDD!$A$3:$A$215="MMA")*(BDD!$H$3:$H$215))</f>
        <v>174277125.19047549</v>
      </c>
      <c r="I31" s="37">
        <f t="array" ref="I31">SUM(($F31=BDD!$D$3:$D$215)*(BDD!$E$3:$E$215="PC")*(BDD!$C$3:$C$215="EURO")*(BDD!$A$3:$A$215="MMA")*(BDD!$G$3:$G$215))</f>
        <v>1647367976.9158826</v>
      </c>
      <c r="J31" s="82">
        <f t="shared" si="34"/>
        <v>9.4525771819761104</v>
      </c>
      <c r="K31" s="45"/>
      <c r="L31" s="37">
        <f t="array" ref="L31">SUM(($F31=BDD!$D$3:$D$215)*(BDD!$E$3:$E$215="PC")*(BDD!$C$3:$C$215="EURO")*(BDD!$A$3:$A$215="MMA")*(BDD!$F$3:$F$215))</f>
        <v>1795132.5052585257</v>
      </c>
      <c r="M31" s="14">
        <f t="shared" si="35"/>
        <v>1.0300448227479898E-2</v>
      </c>
      <c r="N31" s="44">
        <f>(L31/Global!$O$3)/(PAT_AGE!H31/Global!$O$2)</f>
        <v>0.26010524604864005</v>
      </c>
      <c r="O31" s="11"/>
      <c r="P31" s="37">
        <f t="array" ref="P31">SUM(($F31=BDD!$D$3:$D$215)*(BDD!$B$3:$B$215="BS")*(BDD!$E$3:$E$215="PC")*(BDD!$C$3:$C$215="EURO")*(BDD!$A$3:$A$215="MMA")*(BDD!$H$3:$H$215))</f>
        <v>23393505.695879634</v>
      </c>
      <c r="Q31" s="37">
        <f t="array" ref="Q31">SUM(($F31=BDD!$D$3:$D$215)*(BDD!$B$3:$B$215="BS")*(BDD!$E$3:$E$215="PC")*(BDD!$C$3:$C$215="EURO")*(BDD!$A$3:$A$215="MMA")*(BDD!$G$3:$G$215))</f>
        <v>219106278.32591468</v>
      </c>
      <c r="R31" s="82">
        <f t="shared" si="30"/>
        <v>9.3661155867077461</v>
      </c>
      <c r="S31" s="45"/>
      <c r="T31" s="37">
        <f t="array" ref="T31">SUM(($F31=BDD!$D$3:$D$215)*(BDD!$B$3:$B$215="BS")*(BDD!$E$3:$E$215="PC")*(BDD!$C$3:$C$215="EURO")*(BDD!$A$3:$A$215="MMA")*(BDD!$F$3:$F$215))</f>
        <v>-9226.1334066043855</v>
      </c>
      <c r="U31" s="14">
        <f t="shared" si="36"/>
        <v>-3.9438866181691661E-4</v>
      </c>
      <c r="V31" s="44">
        <f>(T31/Global!$O$3)/(PAT_AGE!P31/Global!$O$2)</f>
        <v>-9.9590384471822911E-3</v>
      </c>
      <c r="W31" s="11"/>
      <c r="X31" s="37">
        <f t="array" ref="X31">SUM(($F31=BDD!$D$3:$D$215)*(BDD!$B$3:$B$215="CO")*(BDD!$E$3:$E$215="PC")*(BDD!$C$3:$C$215="EURO")*(BDD!$A$3:$A$215="MMA")*(BDD!$H$3:$H$215))</f>
        <v>61246750.979569279</v>
      </c>
      <c r="Y31" s="37">
        <f t="array" ref="Y31">SUM(($F31=BDD!$D$3:$D$215)*(BDD!$B$3:$B$215="CO")*(BDD!$E$3:$E$215="PC")*(BDD!$C$3:$C$215="EURO")*(BDD!$A$3:$A$215="MMA")*(BDD!$G$3:$G$215))</f>
        <v>559746016.05344832</v>
      </c>
      <c r="Z31" s="82">
        <f t="shared" si="31"/>
        <v>9.139195256907076</v>
      </c>
      <c r="AA31" s="45"/>
      <c r="AB31" s="37">
        <f t="array" ref="AB31">SUM(($F31=BDD!$D$3:$D$215)*(BDD!$B$3:$B$215="CO")*(BDD!$E$3:$E$215="PC")*(BDD!$C$3:$C$215="EURO")*(BDD!$A$3:$A$215="MMA")*(BDD!$F$3:$F$215))</f>
        <v>602426.3946103825</v>
      </c>
      <c r="AC31" s="14">
        <f t="shared" si="37"/>
        <v>9.8360547290310997E-3</v>
      </c>
      <c r="AD31" s="44">
        <f>(AB31/Global!$O$3)/(PAT_AGE!X31/Global!$O$2)</f>
        <v>0.24837845683424814</v>
      </c>
      <c r="AE31" s="11"/>
      <c r="AF31" s="37">
        <f t="array" ref="AF31">SUM(($F31=BDD!$D$3:$D$215)*(BDD!$B$3:$B$215="AG")*(BDD!$E$3:$E$215="PC")*(BDD!$C$3:$C$215="EURO")*(BDD!$A$3:$A$215="MMA")*(BDD!$H$3:$H$215))</f>
        <v>88373106.470678821</v>
      </c>
      <c r="AG31" s="37">
        <f t="array" ref="AG31">SUM(($F31=BDD!$D$3:$D$215)*(BDD!$B$3:$B$215="AG")*(BDD!$E$3:$E$215="PC")*(BDD!$C$3:$C$215="EURO")*(BDD!$A$3:$A$215="MMA")*(BDD!$G$3:$G$215))</f>
        <v>856864898.25197959</v>
      </c>
      <c r="AH31" s="82">
        <f t="shared" si="38"/>
        <v>9.6959916027878634</v>
      </c>
      <c r="AI31" s="91"/>
      <c r="AJ31" s="37">
        <f t="array" ref="AJ31">SUM(($F31=BDD!$D$3:$D$215)*(BDD!$B$3:$B$215="AG")*(BDD!$E$3:$E$215="PC")*(BDD!$C$3:$C$215="EURO")*(BDD!$A$3:$A$215="MMA")*(BDD!$F$3:$F$215))</f>
        <v>1183288.6858298136</v>
      </c>
      <c r="AK31" s="14">
        <f t="shared" si="39"/>
        <v>1.3389692103020222E-2</v>
      </c>
      <c r="AL31" s="44">
        <f>(AJ31/Global!$O$3)/(PAT_AGE!AF31/Global!$O$2)</f>
        <v>0.33811433076089448</v>
      </c>
      <c r="AM31" s="11"/>
      <c r="AN31" s="37">
        <f t="array" ref="AN31">SUM(($F31=BDD!$D$3:$D$215)*(BDD!$E$3:$E$215="PC")*(BDD!$C$3:$C$215="EURO")*(BDD!$A$3:$A$215="MAAF")*(BDD!$H$3:$H$215))</f>
        <v>86674502.98300758</v>
      </c>
      <c r="AO31" s="37">
        <f t="array" ref="AO31">SUM(($F31=BDD!$D$3:$D$215)*(BDD!$B$3:$B$215="TOTAL")*(BDD!$E$3:$E$215="PC")*(BDD!$C$3:$C$215="EURO")*(BDD!$A$3:$A$215="MAAF")*(BDD!$G$3:$G$215))</f>
        <v>1089844316.5276327</v>
      </c>
      <c r="AP31" s="82">
        <f t="shared" si="32"/>
        <v>12.57398980114481</v>
      </c>
      <c r="AQ31" s="91"/>
      <c r="AR31" s="37">
        <f t="array" ref="AR31">SUM(($F31=BDD!$D$3:$D$215)*(BDD!$A$3:$A$215="MAAF")*(BDD!$E$3:$E$215="PC")*(BDD!$C$3:$C$215="EURO")*(BDD!$F$3:$F$215))</f>
        <v>1069464.1555235235</v>
      </c>
      <c r="AS31" s="14">
        <f t="shared" si="40"/>
        <v>1.2338855357880627E-2</v>
      </c>
      <c r="AT31" s="44">
        <f>(AR31/Global!$O$3)/(PAT_AGE!AN31/Global!$O$2)</f>
        <v>0.31157877190799987</v>
      </c>
      <c r="AU31" s="11"/>
      <c r="AV31" s="37">
        <f t="array" ref="AV31">SUM(($F31=BDD!$D$3:$D$215)*(BDD!$A$3:$A$215="GMF")*(BDD!$E$3:$E$215="PC")*(BDD!$C$3:$C$215="EURO")*(BDD!$H$3:$H$215))</f>
        <v>193404927.22534731</v>
      </c>
      <c r="AW31" s="37">
        <f t="array" ref="AW31">SUM(($F31=BDD!$D$3:$D$215)*(BDD!$B$3:$B$215="TOTAL")*(BDD!$E$3:$E$215="PC")*(BDD!$C$3:$C$215="EURO")*(BDD!$A$3:$A$215="GMF")*(BDD!$G$3:$G$215))</f>
        <v>2540348403.0730247</v>
      </c>
      <c r="AX31" s="82">
        <f t="shared" si="33"/>
        <v>13.134869103480064</v>
      </c>
      <c r="AY31" s="91"/>
      <c r="AZ31" s="37">
        <f t="array" ref="AZ31">SUM(($F31=BDD!$D$3:$D$215)*(BDD!$A$3:$A$215="GMF")*(BDD!$E$3:$E$215="PC")*(BDD!$C$3:$C$215="EURO")*(BDD!$F$3:$F$215))</f>
        <v>2578653.6021186607</v>
      </c>
      <c r="BA31" s="14">
        <f t="shared" si="41"/>
        <v>1.3332926100244186E-2</v>
      </c>
      <c r="BB31" s="44">
        <f>(AZ31/Global!$O$3)/(PAT_AGE!AV31/Global!$O$2)</f>
        <v>0.33668088487648457</v>
      </c>
      <c r="BC31" s="11"/>
    </row>
    <row r="32" spans="1:55" s="28" customFormat="1" x14ac:dyDescent="0.25">
      <c r="A32" s="11"/>
      <c r="B32" s="74"/>
      <c r="C32" s="11"/>
      <c r="D32" s="73"/>
      <c r="E32" s="11"/>
      <c r="F32" s="48" t="s">
        <v>30</v>
      </c>
      <c r="G32" s="11"/>
      <c r="H32" s="47">
        <f>SUM(H26:H31)</f>
        <v>632362175.55470097</v>
      </c>
      <c r="I32" s="47">
        <f>SUM(I26:I31)</f>
        <v>9289052780.9573174</v>
      </c>
      <c r="J32" s="83">
        <f t="shared" si="34"/>
        <v>14.689450349887016</v>
      </c>
      <c r="K32" s="45"/>
      <c r="L32" s="47">
        <f>SUM(L26:L31)</f>
        <v>13749617.755378369</v>
      </c>
      <c r="M32" s="42">
        <f t="shared" si="35"/>
        <v>2.1743264045350846E-2</v>
      </c>
      <c r="N32" s="43">
        <f>(L32/Global!$O$3)/(PAT_AGE!H32/Global!$O$2)</f>
        <v>0.54905737299164215</v>
      </c>
      <c r="O32" s="11"/>
      <c r="P32" s="47">
        <f>SUM(P26:P31)</f>
        <v>78367726.981203496</v>
      </c>
      <c r="Q32" s="47">
        <f>SUM(Q26:Q31)</f>
        <v>1175822124.9523146</v>
      </c>
      <c r="R32" s="83">
        <f t="shared" si="30"/>
        <v>15.003907478831632</v>
      </c>
      <c r="S32" s="45"/>
      <c r="T32" s="47">
        <f>SUM(T26:T31)</f>
        <v>1019291.3817258871</v>
      </c>
      <c r="U32" s="42">
        <f t="shared" si="36"/>
        <v>1.3006519660451096E-2</v>
      </c>
      <c r="V32" s="43">
        <f>(T32/Global!$O$3)/(PAT_AGE!P32/Global!$O$2)</f>
        <v>0.32843852246086236</v>
      </c>
      <c r="W32" s="11"/>
      <c r="X32" s="47">
        <f>SUM(X26:X31)</f>
        <v>292364125.90247303</v>
      </c>
      <c r="Y32" s="47">
        <f>SUM(Y26:Y31)</f>
        <v>4100139567.5915084</v>
      </c>
      <c r="Z32" s="83">
        <f t="shared" si="31"/>
        <v>14.024085735331409</v>
      </c>
      <c r="AA32" s="45"/>
      <c r="AB32" s="47">
        <f>SUM(AB26:AB31)</f>
        <v>5924309.8787127137</v>
      </c>
      <c r="AC32" s="42">
        <f t="shared" si="37"/>
        <v>2.0263463789975886E-2</v>
      </c>
      <c r="AD32" s="43">
        <f>(AB32/Global!$O$3)/(PAT_AGE!X32/Global!$O$2)</f>
        <v>0.51168969723358293</v>
      </c>
      <c r="AE32" s="11"/>
      <c r="AF32" s="47">
        <f>SUM(AF26:AF31)</f>
        <v>260216296.44140369</v>
      </c>
      <c r="AG32" s="47">
        <f>SUM(AG26:AG31)</f>
        <v>3998035518.2458019</v>
      </c>
      <c r="AH32" s="83">
        <f t="shared" si="38"/>
        <v>15.3642779984231</v>
      </c>
      <c r="AI32" s="91"/>
      <c r="AJ32" s="47">
        <f>SUM(AJ26:AJ31)</f>
        <v>6781613.7746560937</v>
      </c>
      <c r="AK32" s="42">
        <f t="shared" si="39"/>
        <v>2.6061449138267936E-2</v>
      </c>
      <c r="AL32" s="43">
        <f>(AJ32/Global!$O$3)/(PAT_AGE!AF32/Global!$O$2)</f>
        <v>0.65809948176903532</v>
      </c>
      <c r="AM32" s="11"/>
      <c r="AN32" s="47">
        <f>SUM(AN26:AN31)</f>
        <v>239544239.95303768</v>
      </c>
      <c r="AO32" s="47">
        <f>SUM(AO26:AO31)</f>
        <v>4169927693.3309608</v>
      </c>
      <c r="AP32" s="83">
        <f t="shared" si="32"/>
        <v>17.407756054365862</v>
      </c>
      <c r="AQ32" s="91"/>
      <c r="AR32" s="47">
        <f>SUM(AR26:AR31)</f>
        <v>5430081.1984476792</v>
      </c>
      <c r="AS32" s="42">
        <f t="shared" si="40"/>
        <v>2.2668385595546941E-2</v>
      </c>
      <c r="AT32" s="43">
        <f>(AR32/Global!$O$3)/(PAT_AGE!AN32/Global!$O$2)</f>
        <v>0.5724183921555166</v>
      </c>
      <c r="AU32" s="11"/>
      <c r="AV32" s="47">
        <f>SUM(AV26:AV31)</f>
        <v>473475581.02887654</v>
      </c>
      <c r="AW32" s="47">
        <f>SUM(AW26:AW31)</f>
        <v>8735684710.4980316</v>
      </c>
      <c r="AX32" s="83">
        <f t="shared" si="33"/>
        <v>18.450127230458492</v>
      </c>
      <c r="AY32" s="91"/>
      <c r="AZ32" s="47">
        <f>SUM(AZ26:AZ31)</f>
        <v>11961410.082644086</v>
      </c>
      <c r="BA32" s="42">
        <f t="shared" si="41"/>
        <v>2.5262992563738103E-2</v>
      </c>
      <c r="BB32" s="43">
        <f>(AZ32/Global!$O$3)/(PAT_AGE!AV32/Global!$O$2)</f>
        <v>0.63793698600276627</v>
      </c>
      <c r="BC32" s="11"/>
    </row>
    <row r="33" spans="1:55" s="4" customFormat="1" x14ac:dyDescent="0.25">
      <c r="A33" s="49"/>
      <c r="B33" s="50"/>
      <c r="C33" s="49"/>
      <c r="D33" s="73"/>
      <c r="E33" s="49"/>
      <c r="F33" s="51" t="s">
        <v>50</v>
      </c>
      <c r="G33" s="49"/>
      <c r="H33" s="49">
        <f>H32+H58+H83-Global!F22</f>
        <v>0</v>
      </c>
      <c r="I33" s="49">
        <f>I32+I58+I83-Global!F23</f>
        <v>0</v>
      </c>
      <c r="J33" s="85"/>
      <c r="K33" s="49"/>
      <c r="L33" s="49">
        <f>L32+L58+L83-Global!F24</f>
        <v>0</v>
      </c>
      <c r="M33" s="49"/>
      <c r="N33" s="49"/>
      <c r="O33" s="49"/>
      <c r="P33" s="49">
        <f>P32+P58+P83-Global!I22</f>
        <v>0</v>
      </c>
      <c r="Q33" s="49">
        <f>Q32+Q58+Q83-Global!I23</f>
        <v>0</v>
      </c>
      <c r="R33" s="49"/>
      <c r="S33" s="49"/>
      <c r="T33" s="49">
        <f>T32+T58+T83-Global!I24</f>
        <v>0</v>
      </c>
      <c r="U33" s="49"/>
      <c r="V33" s="49"/>
      <c r="W33" s="49"/>
      <c r="X33" s="49">
        <f>X32+X58+X83-Global!L22</f>
        <v>0</v>
      </c>
      <c r="Y33" s="49">
        <f>Y32+Y58+Y83-Global!L23</f>
        <v>0</v>
      </c>
      <c r="Z33" s="85"/>
      <c r="AA33" s="49"/>
      <c r="AB33" s="49">
        <f>AB32+AB58+AB83-Global!L24</f>
        <v>0</v>
      </c>
      <c r="AC33" s="49"/>
      <c r="AD33" s="49"/>
      <c r="AE33" s="49"/>
      <c r="AF33" s="49">
        <f>AF32+AF58+AF83-Global!O22</f>
        <v>0</v>
      </c>
      <c r="AG33" s="49">
        <f>AG32+AG58+AG83-Global!O23</f>
        <v>0</v>
      </c>
      <c r="AH33" s="85"/>
      <c r="AI33" s="91"/>
      <c r="AJ33" s="49">
        <f>AJ32+AJ58+AJ83-Global!O24</f>
        <v>0</v>
      </c>
      <c r="AK33" s="49"/>
      <c r="AL33" s="49"/>
      <c r="AM33" s="49"/>
      <c r="AN33" s="49">
        <f t="array" ref="AN33">AN32+AN58+AN83-Global!R22+SUM((BDD!$E$3:$E$215="Ex PC")*(BDD!$C$3:$C$215="EURO")*(BDD!H3:H215))</f>
        <v>2.9802322387695313E-8</v>
      </c>
      <c r="AO33" s="49">
        <f t="array" ref="AO33">AO32+AO58+AO83-Global!R23+SUM((BDD!$E$3:$E$215="Ex PC")*(BDD!$C$3:$C$215="EURO")*(BDD!G3:G215))</f>
        <v>-1.0579824447631836E-6</v>
      </c>
      <c r="AP33" s="49"/>
      <c r="AQ33" s="91"/>
      <c r="AR33" s="49">
        <f t="array" ref="AR33">AR32+AR58+AR83-Global!R24+SUM((BDD!$E$3:$E$215="Ex PC")*(BDD!$C$3:$C$215="EURO")*(BDD!$F$3:$F$215))</f>
        <v>1.8335413187742233E-9</v>
      </c>
      <c r="AS33" s="49"/>
      <c r="AT33" s="49"/>
      <c r="AU33" s="49"/>
      <c r="AV33" s="49">
        <f>AV32+AV58+AV83-Global!U22</f>
        <v>0</v>
      </c>
      <c r="AW33" s="49">
        <f>AW32+AW58+AW83-Global!U23</f>
        <v>0</v>
      </c>
      <c r="AX33" s="49"/>
      <c r="AY33" s="91"/>
      <c r="AZ33" s="49">
        <f>AZ32+AZ58+AZ83-Global!U24</f>
        <v>0</v>
      </c>
      <c r="BA33" s="49"/>
      <c r="BB33" s="49"/>
      <c r="BC33" s="49"/>
    </row>
    <row r="34" spans="1:55" x14ac:dyDescent="0.25">
      <c r="A34" s="11"/>
      <c r="B34" s="11"/>
      <c r="C34" s="11"/>
      <c r="D34" s="73"/>
      <c r="E34" s="11"/>
      <c r="F34" s="11"/>
      <c r="G34" s="11"/>
      <c r="H34" s="11"/>
      <c r="I34" s="11"/>
      <c r="J34" s="85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85"/>
      <c r="AA34" s="11"/>
      <c r="AB34" s="11"/>
      <c r="AC34" s="11"/>
      <c r="AD34" s="11"/>
      <c r="AE34" s="11"/>
      <c r="AF34" s="11"/>
      <c r="AG34" s="11"/>
      <c r="AH34" s="85"/>
      <c r="AI34" s="91"/>
      <c r="AJ34" s="11"/>
      <c r="AK34" s="11"/>
      <c r="AL34" s="11"/>
      <c r="AM34" s="11"/>
      <c r="AN34" s="11"/>
      <c r="AO34" s="11"/>
      <c r="AP34" s="11"/>
      <c r="AQ34" s="91"/>
      <c r="AR34" s="11"/>
      <c r="AS34" s="11"/>
      <c r="AT34" s="11"/>
      <c r="AU34" s="11"/>
      <c r="AV34" s="11"/>
      <c r="AW34" s="11"/>
      <c r="AX34" s="11"/>
      <c r="AY34" s="91"/>
      <c r="AZ34" s="11"/>
      <c r="BA34" s="11"/>
      <c r="BB34" s="11"/>
      <c r="BC34" s="11"/>
    </row>
    <row r="35" spans="1:55" s="28" customFormat="1" x14ac:dyDescent="0.25">
      <c r="A35" s="11"/>
      <c r="B35" s="72" t="s">
        <v>18</v>
      </c>
      <c r="C35" s="11"/>
      <c r="D35" s="73"/>
      <c r="E35" s="11"/>
      <c r="F35" s="40" t="s">
        <v>13</v>
      </c>
      <c r="G35" s="11"/>
      <c r="H35" s="37">
        <f t="array" ref="H35">SUM(($F35=BDD!$D$3:$D$215)*(BDD!$E$3:$E$215="PC")*(BDD!$C$3:$C$215="UC")*(BDD!$A$3:$A$215="MMA")*(BDD!$H$3:$H$215))</f>
        <v>25664348.321514864</v>
      </c>
      <c r="I35" s="37">
        <f t="array" ref="I35">SUM(($F35=BDD!$D$3:$D$215)*(BDD!$E$3:$E$215="PC")*(BDD!$C$3:$C$215="UC")*(BDD!$A$3:$A$215="MMA")*(BDD!$G$3:$G$215))</f>
        <v>489983525.05765235</v>
      </c>
      <c r="J35" s="82">
        <f>I35/H35</f>
        <v>19.091991696780813</v>
      </c>
      <c r="K35" s="45"/>
      <c r="L35" s="37">
        <f t="array" ref="L35">SUM(($F35=BDD!$D$3:$D$215)*(BDD!$E$3:$E$215="PC")*(BDD!$C$3:$C$215="UC")*(BDD!$A$3:$A$215="MMA")*(BDD!$F$3:$F$215))</f>
        <v>1711920.2665334668</v>
      </c>
      <c r="M35" s="14">
        <f>L35/H35</f>
        <v>6.6704217270084923E-2</v>
      </c>
      <c r="N35" s="44">
        <f>(L35/Global!$O$3)/(PAT_AGE!H35/Global!$O$2)</f>
        <v>1.6844040630416579</v>
      </c>
      <c r="O35" s="11"/>
      <c r="P35" s="37">
        <f t="array" ref="P35">SUM(($F35=BDD!$D$3:$D$215)*(BDD!$B$3:$B$215="BS")*(BDD!$E$3:$E$215="PC")*(BDD!$C$3:$C$215="UC")*(BDD!$A$3:$A$215="MMA")*(BDD!$H$3:$H$215))</f>
        <v>3123991.0709266006</v>
      </c>
      <c r="Q35" s="37">
        <f t="array" ref="Q35">SUM(($F35=BDD!$D$3:$D$215)*(BDD!$B$3:$B$215="BS")*(BDD!$E$3:$E$215="PC")*(BDD!$C$3:$C$215="UC")*(BDD!$A$3:$A$215="MMA")*(BDD!$G$3:$G$215))</f>
        <v>66167138.235669412</v>
      </c>
      <c r="R35" s="82">
        <f t="shared" ref="R35:R41" si="42">Q35/P35</f>
        <v>21.180322457209748</v>
      </c>
      <c r="S35" s="45"/>
      <c r="T35" s="37">
        <f t="array" ref="T35">SUM(($F35=BDD!$D$3:$D$215)*(BDD!$B$3:$B$215="BS")*(BDD!$E$3:$E$215="PC")*(BDD!$C$3:$C$215="UC")*(BDD!$A$3:$A$215="MMA")*(BDD!$F$3:$F$215))</f>
        <v>416278.10294734058</v>
      </c>
      <c r="U35" s="14">
        <f>T35/P35</f>
        <v>0.13325201432917963</v>
      </c>
      <c r="V35" s="44">
        <f>(T35/Global!$O$3)/(PAT_AGE!P35/Global!$O$2)</f>
        <v>3.3648582283149784</v>
      </c>
      <c r="W35" s="11"/>
      <c r="X35" s="37">
        <f t="array" ref="X35">SUM(($F35=BDD!$D$3:$D$215)*(BDD!$B$3:$B$215="CO")*(BDD!$E$3:$E$215="PC")*(BDD!$C$3:$C$215="UC")*(BDD!$A$3:$A$215="MMA")*(BDD!$H$3:$H$215))</f>
        <v>18908737.162284371</v>
      </c>
      <c r="Y35" s="37">
        <f t="array" ref="Y35">SUM(($F35=BDD!$D$3:$D$215)*(BDD!$B$3:$B$215="CO")*(BDD!$E$3:$E$215="PC")*(BDD!$C$3:$C$215="UC")*(BDD!$A$3:$A$215="MMA")*(BDD!$G$3:$G$215))</f>
        <v>342183983.46027637</v>
      </c>
      <c r="Z35" s="82">
        <f t="shared" ref="Z35:Z41" si="43">Y35/X35</f>
        <v>18.096606903119966</v>
      </c>
      <c r="AA35" s="45"/>
      <c r="AB35" s="37">
        <f t="array" ref="AB35">SUM(($F35=BDD!$D$3:$D$215)*(BDD!$B$3:$B$215="CO")*(BDD!$E$3:$E$215="PC")*(BDD!$C$3:$C$215="UC")*(BDD!$A$3:$A$215="MMA")*(BDD!$F$3:$F$215))</f>
        <v>772471.43747689819</v>
      </c>
      <c r="AC35" s="14">
        <f>AB35/X35</f>
        <v>4.0852619127716282E-2</v>
      </c>
      <c r="AD35" s="44">
        <f>(AB35/Global!$O$3)/(PAT_AGE!X35/Global!$O$2)</f>
        <v>1.031603704545367</v>
      </c>
      <c r="AE35" s="11"/>
      <c r="AF35" s="37">
        <f t="array" ref="AF35">SUM(($F35=BDD!$D$3:$D$215)*(BDD!$B$3:$B$215="AG")*(BDD!$E$3:$E$215="PC")*(BDD!$C$3:$C$215="UC")*(BDD!$A$3:$A$215="MMA")*(BDD!$H$3:$H$215))</f>
        <v>3631620.0883038919</v>
      </c>
      <c r="AG35" s="37">
        <f t="array" ref="AG35">SUM(($F35=BDD!$D$3:$D$215)*(BDD!$B$3:$B$215="AG")*(BDD!$E$3:$E$215="PC")*(BDD!$C$3:$C$215="UC")*(BDD!$A$3:$A$215="MMA")*(BDD!$G$3:$G$215))</f>
        <v>81632403.36170654</v>
      </c>
      <c r="AH35" s="82">
        <f>AG35/AF35</f>
        <v>22.478233233871126</v>
      </c>
      <c r="AI35" s="91"/>
      <c r="AJ35" s="37">
        <f t="array" ref="AJ35">SUM(($F35=BDD!$D$3:$D$215)*(BDD!$B$3:$B$215="AG")*(BDD!$E$3:$E$215="PC")*(BDD!$C$3:$C$215="UC")*(BDD!$A$3:$A$215="MMA")*(BDD!$F$3:$F$215))</f>
        <v>523170.72610922798</v>
      </c>
      <c r="AK35" s="14">
        <f>AJ35/AF35</f>
        <v>0.14405987228514563</v>
      </c>
      <c r="AL35" s="44">
        <f>(AJ35/Global!$O$3)/(PAT_AGE!AF35/Global!$O$2)</f>
        <v>3.6377765024339173</v>
      </c>
      <c r="AM35" s="11"/>
      <c r="AN35" s="37">
        <f t="array" ref="AN35">SUM(($F35=BDD!$D$3:$D$215)*(BDD!$E$3:$E$215="PC")*(BDD!$C$3:$C$215="UC")*(BDD!$A$3:$A$215="MAAF")*(BDD!$H$3:$H$215))</f>
        <v>2053247.9820195434</v>
      </c>
      <c r="AO35" s="37">
        <f t="array" ref="AO35">SUM(($F35=BDD!$D$3:$D$215)*(BDD!$B$3:$B$215="TOTAL")*(BDD!$E$3:$E$215="PC")*(BDD!$C$3:$C$215="UC")*(BDD!$A$3:$A$215="MAAF")*(BDD!$G$3:$G$215))</f>
        <v>47336215.349716529</v>
      </c>
      <c r="AP35" s="82">
        <f t="shared" ref="AP35:AP41" si="44">AO35/AN35</f>
        <v>23.054309934427575</v>
      </c>
      <c r="AQ35" s="91"/>
      <c r="AR35" s="37">
        <f t="array" ref="AR35">SUM(($F35=BDD!$D$3:$D$215)*(BDD!$A$3:$A$215="MAAF")*(BDD!$E$3:$E$215="PC")*(BDD!$C$3:$C$215="UC")*(BDD!$F$3:$F$215))</f>
        <v>401824.62539321079</v>
      </c>
      <c r="AS35" s="14">
        <f>AR35/AN35</f>
        <v>0.19570194584970793</v>
      </c>
      <c r="AT35" s="44">
        <f>(AR35/Global!$O$3)/(PAT_AGE!AN35/Global!$O$2)</f>
        <v>4.941833758421776</v>
      </c>
      <c r="AU35" s="11"/>
      <c r="AV35" s="37">
        <f t="array" ref="AV35">SUM(($F35=BDD!$D$3:$D$215)*(BDD!$A$3:$A$215="GMF")*(BDD!$E$3:$E$215="PC")*(BDD!$C$3:$C$215="UC")*(BDD!$H$3:$H$215))</f>
        <v>777506.51184446132</v>
      </c>
      <c r="AW35" s="37">
        <f t="array" ref="AW35">SUM(($F35=BDD!$D$3:$D$215)*(BDD!$B$3:$B$215="TOTAL")*(BDD!$E$3:$E$215="PC")*(BDD!$C$3:$C$215="UC")*(BDD!$A$3:$A$215="GMF")*(BDD!$G$3:$G$215))</f>
        <v>17369129.250709634</v>
      </c>
      <c r="AX35" s="82">
        <f t="shared" ref="AX35:AX41" si="45">AW35/AV35</f>
        <v>22.339528976426497</v>
      </c>
      <c r="AY35" s="91"/>
      <c r="AZ35" s="37">
        <f t="array" ref="AZ35">SUM(($F35=BDD!$D$3:$D$215)*(BDD!$A$3:$A$215="GMF")*(BDD!$E$3:$E$215="PC")*(BDD!$C$3:$C$215="UC")*(BDD!$F$3:$F$215))</f>
        <v>150922.41571158005</v>
      </c>
      <c r="BA35" s="14">
        <f>AZ35/AV35</f>
        <v>0.19411080603498765</v>
      </c>
      <c r="BB35" s="44">
        <f>(AZ35/Global!$O$3)/(PAT_AGE!AV35/Global!$O$2)</f>
        <v>4.9016545541904994</v>
      </c>
      <c r="BC35" s="11"/>
    </row>
    <row r="36" spans="1:55" s="28" customFormat="1" x14ac:dyDescent="0.25">
      <c r="A36" s="11"/>
      <c r="B36" s="73"/>
      <c r="C36" s="11"/>
      <c r="D36" s="73"/>
      <c r="E36" s="11"/>
      <c r="F36" s="41" t="s">
        <v>14</v>
      </c>
      <c r="G36" s="11"/>
      <c r="H36" s="37">
        <f t="array" ref="H36">SUM(($F36=BDD!$D$3:$D$215)*(BDD!$E$3:$E$215="PC")*(BDD!$C$3:$C$215="UC")*(BDD!$A$3:$A$215="MMA")*(BDD!$H$3:$H$215))</f>
        <v>18400428.264013402</v>
      </c>
      <c r="I36" s="37">
        <f t="array" ref="I36">SUM(($F36=BDD!$D$3:$D$215)*(BDD!$E$3:$E$215="PC")*(BDD!$C$3:$C$215="UC")*(BDD!$A$3:$A$215="MMA")*(BDD!$G$3:$G$215))</f>
        <v>332141224.22438455</v>
      </c>
      <c r="J36" s="82">
        <f t="shared" ref="J36:J41" si="46">I36/H36</f>
        <v>18.050733355699609</v>
      </c>
      <c r="K36" s="45"/>
      <c r="L36" s="37">
        <f t="array" ref="L36">SUM(($F36=BDD!$D$3:$D$215)*(BDD!$E$3:$E$215="PC")*(BDD!$C$3:$C$215="UC")*(BDD!$A$3:$A$215="MMA")*(BDD!$F$3:$F$215))</f>
        <v>1578647.7487197695</v>
      </c>
      <c r="M36" s="14">
        <f t="shared" ref="M36:M41" si="47">L36/H36</f>
        <v>8.5794076424145327E-2</v>
      </c>
      <c r="N36" s="44">
        <f>(L36/Global!$O$3)/(PAT_AGE!H36/Global!$O$2)</f>
        <v>2.1664580865795822</v>
      </c>
      <c r="O36" s="11"/>
      <c r="P36" s="37">
        <f t="array" ref="P36">SUM(($F36=BDD!$D$3:$D$215)*(BDD!$B$3:$B$215="BS")*(BDD!$E$3:$E$215="PC")*(BDD!$C$3:$C$215="UC")*(BDD!$A$3:$A$215="MMA")*(BDD!$H$3:$H$215))</f>
        <v>2904495.0659431978</v>
      </c>
      <c r="Q36" s="37">
        <f t="array" ref="Q36">SUM(($F36=BDD!$D$3:$D$215)*(BDD!$B$3:$B$215="BS")*(BDD!$E$3:$E$215="PC")*(BDD!$C$3:$C$215="UC")*(BDD!$A$3:$A$215="MMA")*(BDD!$G$3:$G$215))</f>
        <v>66337163.990220264</v>
      </c>
      <c r="R36" s="82">
        <f t="shared" si="42"/>
        <v>22.839482417463881</v>
      </c>
      <c r="S36" s="45"/>
      <c r="T36" s="37">
        <f t="array" ref="T36">SUM(($F36=BDD!$D$3:$D$215)*(BDD!$B$3:$B$215="BS")*(BDD!$E$3:$E$215="PC")*(BDD!$C$3:$C$215="UC")*(BDD!$A$3:$A$215="MMA")*(BDD!$F$3:$F$215))</f>
        <v>426754.12496480631</v>
      </c>
      <c r="U36" s="14">
        <f t="shared" ref="U36:U41" si="48">T36/P36</f>
        <v>0.1469288517542113</v>
      </c>
      <c r="V36" s="44">
        <f>(T36/Global!$O$3)/(PAT_AGE!P36/Global!$O$2)</f>
        <v>3.7102235061205127</v>
      </c>
      <c r="W36" s="11"/>
      <c r="X36" s="37">
        <f t="array" ref="X36">SUM(($F36=BDD!$D$3:$D$215)*(BDD!$B$3:$B$215="CO")*(BDD!$E$3:$E$215="PC")*(BDD!$C$3:$C$215="UC")*(BDD!$A$3:$A$215="MMA")*(BDD!$H$3:$H$215))</f>
        <v>11359586.097493729</v>
      </c>
      <c r="Y36" s="37">
        <f t="array" ref="Y36">SUM(($F36=BDD!$D$3:$D$215)*(BDD!$B$3:$B$215="CO")*(BDD!$E$3:$E$215="PC")*(BDD!$C$3:$C$215="UC")*(BDD!$A$3:$A$215="MMA")*(BDD!$G$3:$G$215))</f>
        <v>172092529.69347233</v>
      </c>
      <c r="Z36" s="82">
        <f t="shared" si="43"/>
        <v>15.149542264699344</v>
      </c>
      <c r="AA36" s="45"/>
      <c r="AB36" s="37">
        <f t="array" ref="AB36">SUM(($F36=BDD!$D$3:$D$215)*(BDD!$B$3:$B$215="CO")*(BDD!$E$3:$E$215="PC")*(BDD!$C$3:$C$215="UC")*(BDD!$A$3:$A$215="MMA")*(BDD!$F$3:$F$215))</f>
        <v>593894.19963640417</v>
      </c>
      <c r="AC36" s="14">
        <f t="shared" ref="AC36:AC41" si="49">AB36/X36</f>
        <v>5.2281323856283403E-2</v>
      </c>
      <c r="AD36" s="44">
        <f>(AB36/Global!$O$3)/(PAT_AGE!X36/Global!$O$2)</f>
        <v>1.3201995005526344</v>
      </c>
      <c r="AE36" s="11"/>
      <c r="AF36" s="37">
        <f t="array" ref="AF36">SUM(($F36=BDD!$D$3:$D$215)*(BDD!$B$3:$B$215="AG")*(BDD!$E$3:$E$215="PC")*(BDD!$C$3:$C$215="UC")*(BDD!$A$3:$A$215="MMA")*(BDD!$H$3:$H$215))</f>
        <v>4136347.1005764748</v>
      </c>
      <c r="AG36" s="37">
        <f t="array" ref="AG36">SUM(($F36=BDD!$D$3:$D$215)*(BDD!$B$3:$B$215="AG")*(BDD!$E$3:$E$215="PC")*(BDD!$C$3:$C$215="UC")*(BDD!$A$3:$A$215="MMA")*(BDD!$G$3:$G$215))</f>
        <v>93711530.540691972</v>
      </c>
      <c r="AH36" s="82">
        <f t="shared" ref="AH36:AH41" si="50">AG36/AF36</f>
        <v>22.655625425543125</v>
      </c>
      <c r="AI36" s="91"/>
      <c r="AJ36" s="37">
        <f t="array" ref="AJ36">SUM(($F36=BDD!$D$3:$D$215)*(BDD!$B$3:$B$215="AG")*(BDD!$E$3:$E$215="PC")*(BDD!$C$3:$C$215="UC")*(BDD!$A$3:$A$215="MMA")*(BDD!$F$3:$F$215))</f>
        <v>557999.42411855911</v>
      </c>
      <c r="AK36" s="14">
        <f t="shared" ref="AK36:AK41" si="51">AJ36/AF36</f>
        <v>0.13490149896772247</v>
      </c>
      <c r="AL36" s="44">
        <f>(AJ36/Global!$O$3)/(PAT_AGE!AF36/Global!$O$2)</f>
        <v>3.4065107465633626</v>
      </c>
      <c r="AM36" s="11"/>
      <c r="AN36" s="37">
        <f t="array" ref="AN36">SUM(($F36=BDD!$D$3:$D$215)*(BDD!$E$3:$E$215="PC")*(BDD!$C$3:$C$215="UC")*(BDD!$A$3:$A$215="MAAF")*(BDD!$H$3:$H$215))</f>
        <v>2989548.9738202807</v>
      </c>
      <c r="AO36" s="37">
        <f t="array" ref="AO36">SUM(($F36=BDD!$D$3:$D$215)*(BDD!$B$3:$B$215="TOTAL")*(BDD!$E$3:$E$215="PC")*(BDD!$C$3:$C$215="UC")*(BDD!$A$3:$A$215="MAAF")*(BDD!$G$3:$G$215))</f>
        <v>62049859.389057517</v>
      </c>
      <c r="AP36" s="82">
        <f t="shared" si="44"/>
        <v>20.755592208869331</v>
      </c>
      <c r="AQ36" s="91"/>
      <c r="AR36" s="37">
        <f t="array" ref="AR36">SUM(($F36=BDD!$D$3:$D$215)*(BDD!$A$3:$A$215="MAAF")*(BDD!$E$3:$E$215="PC")*(BDD!$C$3:$C$215="UC")*(BDD!$F$3:$F$215))</f>
        <v>533023.17040489218</v>
      </c>
      <c r="AS36" s="14">
        <f t="shared" ref="AS36:AS41" si="52">AR36/AN36</f>
        <v>0.17829551382921593</v>
      </c>
      <c r="AT36" s="44">
        <f>(AR36/Global!$O$3)/(PAT_AGE!AN36/Global!$O$2)</f>
        <v>4.5022893635050227</v>
      </c>
      <c r="AU36" s="11"/>
      <c r="AV36" s="37">
        <f t="array" ref="AV36">SUM(($F36=BDD!$D$3:$D$215)*(BDD!$A$3:$A$215="GMF")*(BDD!$E$3:$E$215="PC")*(BDD!$C$3:$C$215="UC")*(BDD!$H$3:$H$215))</f>
        <v>2015612.569762625</v>
      </c>
      <c r="AW36" s="37">
        <f t="array" ref="AW36">SUM(($F36=BDD!$D$3:$D$215)*(BDD!$B$3:$B$215="TOTAL")*(BDD!$E$3:$E$215="PC")*(BDD!$C$3:$C$215="UC")*(BDD!$A$3:$A$215="GMF")*(BDD!$G$3:$G$215))</f>
        <v>49251353.851127334</v>
      </c>
      <c r="AX36" s="82">
        <f t="shared" si="45"/>
        <v>24.434930893950305</v>
      </c>
      <c r="AY36" s="91"/>
      <c r="AZ36" s="37">
        <f t="array" ref="AZ36">SUM(($F36=BDD!$D$3:$D$215)*(BDD!$A$3:$A$215="GMF")*(BDD!$E$3:$E$215="PC")*(BDD!$C$3:$C$215="UC")*(BDD!$F$3:$F$215))</f>
        <v>426423.04400420201</v>
      </c>
      <c r="BA36" s="14">
        <f t="shared" ref="BA36:BA41" si="53">AZ36/AV36</f>
        <v>0.21156002418382469</v>
      </c>
      <c r="BB36" s="44">
        <f>(AZ36/Global!$O$3)/(PAT_AGE!AV36/Global!$O$2)</f>
        <v>5.3422793774725905</v>
      </c>
      <c r="BC36" s="11"/>
    </row>
    <row r="37" spans="1:55" s="28" customFormat="1" x14ac:dyDescent="0.25">
      <c r="A37" s="11"/>
      <c r="B37" s="73"/>
      <c r="C37" s="11"/>
      <c r="D37" s="73"/>
      <c r="E37" s="11"/>
      <c r="F37" s="41" t="s">
        <v>15</v>
      </c>
      <c r="G37" s="11"/>
      <c r="H37" s="37">
        <f t="array" ref="H37">SUM(($F37=BDD!$D$3:$D$215)*(BDD!$E$3:$E$215="PC")*(BDD!$C$3:$C$215="UC")*(BDD!$A$3:$A$215="MMA")*(BDD!$H$3:$H$215))</f>
        <v>38704686.552822098</v>
      </c>
      <c r="I37" s="37">
        <f t="array" ref="I37">SUM(($F37=BDD!$D$3:$D$215)*(BDD!$E$3:$E$215="PC")*(BDD!$C$3:$C$215="UC")*(BDD!$A$3:$A$215="MMA")*(BDD!$G$3:$G$215))</f>
        <v>719184868.48035932</v>
      </c>
      <c r="J37" s="82">
        <f t="shared" si="46"/>
        <v>18.581338141024705</v>
      </c>
      <c r="K37" s="45"/>
      <c r="L37" s="37">
        <f t="array" ref="L37">SUM(($F37=BDD!$D$3:$D$215)*(BDD!$E$3:$E$215="PC")*(BDD!$C$3:$C$215="UC")*(BDD!$A$3:$A$215="MMA")*(BDD!$F$3:$F$215))</f>
        <v>3429673.4870768217</v>
      </c>
      <c r="M37" s="14">
        <f t="shared" si="47"/>
        <v>8.8611323137733872E-2</v>
      </c>
      <c r="N37" s="44">
        <f>(L37/Global!$O$3)/(PAT_AGE!H37/Global!$O$2)</f>
        <v>2.2375987431252584</v>
      </c>
      <c r="O37" s="11"/>
      <c r="P37" s="37">
        <f t="array" ref="P37">SUM(($F37=BDD!$D$3:$D$215)*(BDD!$B$3:$B$215="BS")*(BDD!$E$3:$E$215="PC")*(BDD!$C$3:$C$215="UC")*(BDD!$A$3:$A$215="MMA")*(BDD!$H$3:$H$215))</f>
        <v>6451441.1464725025</v>
      </c>
      <c r="Q37" s="37">
        <f t="array" ref="Q37">SUM(($F37=BDD!$D$3:$D$215)*(BDD!$B$3:$B$215="BS")*(BDD!$E$3:$E$215="PC")*(BDD!$C$3:$C$215="UC")*(BDD!$A$3:$A$215="MMA")*(BDD!$G$3:$G$215))</f>
        <v>149009425.21587184</v>
      </c>
      <c r="R37" s="82">
        <f t="shared" si="42"/>
        <v>23.09707580566657</v>
      </c>
      <c r="S37" s="45"/>
      <c r="T37" s="37">
        <f t="array" ref="T37">SUM(($F37=BDD!$D$3:$D$215)*(BDD!$B$3:$B$215="BS")*(BDD!$E$3:$E$215="PC")*(BDD!$C$3:$C$215="UC")*(BDD!$A$3:$A$215="MMA")*(BDD!$F$3:$F$215))</f>
        <v>946927.28161994729</v>
      </c>
      <c r="U37" s="14">
        <f t="shared" si="48"/>
        <v>0.14677763620888101</v>
      </c>
      <c r="V37" s="44">
        <f>(T37/Global!$O$3)/(PAT_AGE!P37/Global!$O$2)</f>
        <v>3.7064050357242846</v>
      </c>
      <c r="W37" s="11"/>
      <c r="X37" s="37">
        <f t="array" ref="X37">SUM(($F37=BDD!$D$3:$D$215)*(BDD!$B$3:$B$215="CO")*(BDD!$E$3:$E$215="PC")*(BDD!$C$3:$C$215="UC")*(BDD!$A$3:$A$215="MMA")*(BDD!$H$3:$H$215))</f>
        <v>24019743.206149615</v>
      </c>
      <c r="Y37" s="37">
        <f t="array" ref="Y37">SUM(($F37=BDD!$D$3:$D$215)*(BDD!$B$3:$B$215="CO")*(BDD!$E$3:$E$215="PC")*(BDD!$C$3:$C$215="UC")*(BDD!$A$3:$A$215="MMA")*(BDD!$G$3:$G$215))</f>
        <v>376202274.21363717</v>
      </c>
      <c r="Z37" s="82">
        <f t="shared" si="43"/>
        <v>15.662210498458643</v>
      </c>
      <c r="AA37" s="45"/>
      <c r="AB37" s="37">
        <f t="array" ref="AB37">SUM(($F37=BDD!$D$3:$D$215)*(BDD!$B$3:$B$215="CO")*(BDD!$E$3:$E$215="PC")*(BDD!$C$3:$C$215="UC")*(BDD!$A$3:$A$215="MMA")*(BDD!$F$3:$F$215))</f>
        <v>1385870.2978527069</v>
      </c>
      <c r="AC37" s="14">
        <f t="shared" si="49"/>
        <v>5.7697132144938656E-2</v>
      </c>
      <c r="AD37" s="44">
        <f>(AB37/Global!$O$3)/(PAT_AGE!X37/Global!$O$2)</f>
        <v>1.456958612036231</v>
      </c>
      <c r="AE37" s="11"/>
      <c r="AF37" s="37">
        <f t="array" ref="AF37">SUM(($F37=BDD!$D$3:$D$215)*(BDD!$B$3:$B$215="AG")*(BDD!$E$3:$E$215="PC")*(BDD!$C$3:$C$215="UC")*(BDD!$A$3:$A$215="MMA")*(BDD!$H$3:$H$215))</f>
        <v>8233502.2001999849</v>
      </c>
      <c r="AG37" s="37">
        <f t="array" ref="AG37">SUM(($F37=BDD!$D$3:$D$215)*(BDD!$B$3:$B$215="AG")*(BDD!$E$3:$E$215="PC")*(BDD!$C$3:$C$215="UC")*(BDD!$A$3:$A$215="MMA")*(BDD!$G$3:$G$215))</f>
        <v>193973169.05085039</v>
      </c>
      <c r="AH37" s="82">
        <f t="shared" si="50"/>
        <v>23.559011017952841</v>
      </c>
      <c r="AI37" s="91"/>
      <c r="AJ37" s="37">
        <f t="array" ref="AJ37">SUM(($F37=BDD!$D$3:$D$215)*(BDD!$B$3:$B$215="AG")*(BDD!$E$3:$E$215="PC")*(BDD!$C$3:$C$215="UC")*(BDD!$A$3:$A$215="MMA")*(BDD!$F$3:$F$215))</f>
        <v>1096875.9076041679</v>
      </c>
      <c r="AK37" s="14">
        <f t="shared" si="51"/>
        <v>0.13322106206245085</v>
      </c>
      <c r="AL37" s="44">
        <f>(AJ37/Global!$O$3)/(PAT_AGE!AF37/Global!$O$2)</f>
        <v>3.3640766267015878</v>
      </c>
      <c r="AM37" s="11"/>
      <c r="AN37" s="37">
        <f t="array" ref="AN37">SUM(($F37=BDD!$D$3:$D$215)*(BDD!$E$3:$E$215="PC")*(BDD!$C$3:$C$215="UC")*(BDD!$A$3:$A$215="MAAF")*(BDD!$H$3:$H$215))</f>
        <v>7781856.9318536567</v>
      </c>
      <c r="AO37" s="37">
        <f t="array" ref="AO37">SUM(($F37=BDD!$D$3:$D$215)*(BDD!$B$3:$B$215="TOTAL")*(BDD!$E$3:$E$215="PC")*(BDD!$C$3:$C$215="UC")*(BDD!$A$3:$A$215="MAAF")*(BDD!$G$3:$G$215))</f>
        <v>170843836.62339088</v>
      </c>
      <c r="AP37" s="82">
        <f t="shared" si="44"/>
        <v>21.954122019909132</v>
      </c>
      <c r="AQ37" s="91"/>
      <c r="AR37" s="37">
        <f t="array" ref="AR37">SUM(($F37=BDD!$D$3:$D$215)*(BDD!$A$3:$A$215="MAAF")*(BDD!$E$3:$E$215="PC")*(BDD!$C$3:$C$215="UC")*(BDD!$F$3:$F$215))</f>
        <v>1465447.224841703</v>
      </c>
      <c r="AS37" s="14">
        <f t="shared" si="52"/>
        <v>0.18831587854605161</v>
      </c>
      <c r="AT37" s="44">
        <f>(AR37/Global!$O$3)/(PAT_AGE!AN37/Global!$O$2)</f>
        <v>4.7553219862229685</v>
      </c>
      <c r="AU37" s="11"/>
      <c r="AV37" s="37">
        <f t="array" ref="AV37">SUM(($F37=BDD!$D$3:$D$215)*(BDD!$A$3:$A$215="GMF")*(BDD!$E$3:$E$215="PC")*(BDD!$C$3:$C$215="UC")*(BDD!$H$3:$H$215))</f>
        <v>3874818.2880392997</v>
      </c>
      <c r="AW37" s="37">
        <f t="array" ref="AW37">SUM(($F37=BDD!$D$3:$D$215)*(BDD!$B$3:$B$215="TOTAL")*(BDD!$E$3:$E$215="PC")*(BDD!$C$3:$C$215="UC")*(BDD!$A$3:$A$215="GMF")*(BDD!$G$3:$G$215))</f>
        <v>99162746.664183095</v>
      </c>
      <c r="AX37" s="82">
        <f t="shared" si="45"/>
        <v>25.591586312647586</v>
      </c>
      <c r="AY37" s="91"/>
      <c r="AZ37" s="37">
        <f t="array" ref="AZ37">SUM(($F37=BDD!$D$3:$D$215)*(BDD!$A$3:$A$215="GMF")*(BDD!$E$3:$E$215="PC")*(BDD!$C$3:$C$215="UC")*(BDD!$F$3:$F$215))</f>
        <v>839739.17991456948</v>
      </c>
      <c r="BA37" s="14">
        <f t="shared" si="53"/>
        <v>0.21671704774044687</v>
      </c>
      <c r="BB37" s="44">
        <f>(AZ37/Global!$O$3)/(PAT_AGE!AV37/Global!$O$2)</f>
        <v>5.4725036989244744</v>
      </c>
      <c r="BC37" s="11"/>
    </row>
    <row r="38" spans="1:55" s="28" customFormat="1" x14ac:dyDescent="0.25">
      <c r="A38" s="11"/>
      <c r="B38" s="73"/>
      <c r="C38" s="11"/>
      <c r="D38" s="73"/>
      <c r="E38" s="11"/>
      <c r="F38" s="41" t="s">
        <v>16</v>
      </c>
      <c r="G38" s="11"/>
      <c r="H38" s="37">
        <f t="array" ref="H38">SUM(($F38=BDD!$D$3:$D$215)*(BDD!$E$3:$E$215="PC")*(BDD!$C$3:$C$215="UC")*(BDD!$A$3:$A$215="MMA")*(BDD!$H$3:$H$215))</f>
        <v>77108877.163061112</v>
      </c>
      <c r="I38" s="37">
        <f t="array" ref="I38">SUM(($F38=BDD!$D$3:$D$215)*(BDD!$E$3:$E$215="PC")*(BDD!$C$3:$C$215="UC")*(BDD!$A$3:$A$215="MMA")*(BDD!$G$3:$G$215))</f>
        <v>1412331988.1751468</v>
      </c>
      <c r="J38" s="82">
        <f t="shared" si="46"/>
        <v>18.316075141238372</v>
      </c>
      <c r="K38" s="45"/>
      <c r="L38" s="37">
        <f t="array" ref="L38">SUM(($F38=BDD!$D$3:$D$215)*(BDD!$E$3:$E$215="PC")*(BDD!$C$3:$C$215="UC")*(BDD!$A$3:$A$215="MMA")*(BDD!$F$3:$F$215))</f>
        <v>6781736.5644384064</v>
      </c>
      <c r="M38" s="14">
        <f t="shared" si="47"/>
        <v>8.7950140294445714E-2</v>
      </c>
      <c r="N38" s="44">
        <f>(L38/Global!$O$3)/(PAT_AGE!H38/Global!$O$2)</f>
        <v>2.2209026613297311</v>
      </c>
      <c r="O38" s="11"/>
      <c r="P38" s="37">
        <f t="array" ref="P38">SUM(($F38=BDD!$D$3:$D$215)*(BDD!$B$3:$B$215="BS")*(BDD!$E$3:$E$215="PC")*(BDD!$C$3:$C$215="UC")*(BDD!$A$3:$A$215="MMA")*(BDD!$H$3:$H$215))</f>
        <v>16856991.382718474</v>
      </c>
      <c r="Q38" s="37">
        <f t="array" ref="Q38">SUM(($F38=BDD!$D$3:$D$215)*(BDD!$B$3:$B$215="BS")*(BDD!$E$3:$E$215="PC")*(BDD!$C$3:$C$215="UC")*(BDD!$A$3:$A$215="MMA")*(BDD!$G$3:$G$215))</f>
        <v>368023278.38550895</v>
      </c>
      <c r="R38" s="82">
        <f t="shared" si="42"/>
        <v>21.832085573870597</v>
      </c>
      <c r="S38" s="45"/>
      <c r="T38" s="37">
        <f t="array" ref="T38">SUM(($F38=BDD!$D$3:$D$215)*(BDD!$B$3:$B$215="BS")*(BDD!$E$3:$E$215="PC")*(BDD!$C$3:$C$215="UC")*(BDD!$A$3:$A$215="MMA")*(BDD!$F$3:$F$215))</f>
        <v>2272294.5261575375</v>
      </c>
      <c r="U38" s="14">
        <f t="shared" si="48"/>
        <v>0.13479834417469411</v>
      </c>
      <c r="V38" s="44">
        <f>(T38/Global!$O$3)/(PAT_AGE!P38/Global!$O$2)</f>
        <v>3.4039058984801347</v>
      </c>
      <c r="W38" s="11"/>
      <c r="X38" s="37">
        <f t="array" ref="X38">SUM(($F38=BDD!$D$3:$D$215)*(BDD!$B$3:$B$215="CO")*(BDD!$E$3:$E$215="PC")*(BDD!$C$3:$C$215="UC")*(BDD!$A$3:$A$215="MMA")*(BDD!$H$3:$H$215))</f>
        <v>43520553.373515457</v>
      </c>
      <c r="Y38" s="37">
        <f t="array" ref="Y38">SUM(($F38=BDD!$D$3:$D$215)*(BDD!$B$3:$B$215="CO")*(BDD!$E$3:$E$215="PC")*(BDD!$C$3:$C$215="UC")*(BDD!$A$3:$A$215="MMA")*(BDD!$G$3:$G$215))</f>
        <v>670360435.43387473</v>
      </c>
      <c r="Z38" s="82">
        <f t="shared" si="43"/>
        <v>15.403306793470698</v>
      </c>
      <c r="AA38" s="45"/>
      <c r="AB38" s="37">
        <f t="array" ref="AB38">SUM(($F38=BDD!$D$3:$D$215)*(BDD!$B$3:$B$215="CO")*(BDD!$E$3:$E$215="PC")*(BDD!$C$3:$C$215="UC")*(BDD!$A$3:$A$215="MMA")*(BDD!$F$3:$F$215))</f>
        <v>2481594.7088729367</v>
      </c>
      <c r="AC38" s="14">
        <f t="shared" si="49"/>
        <v>5.7021212197708802E-2</v>
      </c>
      <c r="AD38" s="44">
        <f>(AB38/Global!$O$3)/(PAT_AGE!X38/Global!$O$2)</f>
        <v>1.439890391284985</v>
      </c>
      <c r="AE38" s="11"/>
      <c r="AF38" s="37">
        <f t="array" ref="AF38">SUM(($F38=BDD!$D$3:$D$215)*(BDD!$B$3:$B$215="AG")*(BDD!$E$3:$E$215="PC")*(BDD!$C$3:$C$215="UC")*(BDD!$A$3:$A$215="MMA")*(BDD!$H$3:$H$215))</f>
        <v>16731332.406827182</v>
      </c>
      <c r="AG38" s="37">
        <f t="array" ref="AG38">SUM(($F38=BDD!$D$3:$D$215)*(BDD!$B$3:$B$215="AG")*(BDD!$E$3:$E$215="PC")*(BDD!$C$3:$C$215="UC")*(BDD!$A$3:$A$215="MMA")*(BDD!$G$3:$G$215))</f>
        <v>373948274.35576314</v>
      </c>
      <c r="AH38" s="82">
        <f t="shared" si="50"/>
        <v>22.35017900924462</v>
      </c>
      <c r="AI38" s="91"/>
      <c r="AJ38" s="37">
        <f t="array" ref="AJ38">SUM(($F38=BDD!$D$3:$D$215)*(BDD!$B$3:$B$215="AG")*(BDD!$E$3:$E$215="PC")*(BDD!$C$3:$C$215="UC")*(BDD!$A$3:$A$215="MMA")*(BDD!$F$3:$F$215))</f>
        <v>2027847.3294079318</v>
      </c>
      <c r="AK38" s="14">
        <f t="shared" si="51"/>
        <v>0.12120058821976865</v>
      </c>
      <c r="AL38" s="44">
        <f>(AJ38/Global!$O$3)/(PAT_AGE!AF38/Global!$O$2)</f>
        <v>3.0605375731164361</v>
      </c>
      <c r="AM38" s="11"/>
      <c r="AN38" s="37">
        <f t="array" ref="AN38">SUM(($F38=BDD!$D$3:$D$215)*(BDD!$E$3:$E$215="PC")*(BDD!$C$3:$C$215="UC")*(BDD!$A$3:$A$215="MAAF")*(BDD!$H$3:$H$215))</f>
        <v>22443422.803461153</v>
      </c>
      <c r="AO38" s="37">
        <f t="array" ref="AO38">SUM(($F38=BDD!$D$3:$D$215)*(BDD!$B$3:$B$215="TOTAL")*(BDD!$E$3:$E$215="PC")*(BDD!$C$3:$C$215="UC")*(BDD!$A$3:$A$215="MAAF")*(BDD!$G$3:$G$215))</f>
        <v>503486836.16658139</v>
      </c>
      <c r="AP38" s="82">
        <f t="shared" si="44"/>
        <v>22.433602956895474</v>
      </c>
      <c r="AQ38" s="91"/>
      <c r="AR38" s="37">
        <f t="array" ref="AR38">SUM(($F38=BDD!$D$3:$D$215)*(BDD!$A$3:$A$215="MAAF")*(BDD!$E$3:$E$215="PC")*(BDD!$C$3:$C$215="UC")*(BDD!$F$3:$F$215))</f>
        <v>4233813.6356803523</v>
      </c>
      <c r="AS38" s="14">
        <f t="shared" si="52"/>
        <v>0.18864384781038956</v>
      </c>
      <c r="AT38" s="44">
        <f>(AR38/Global!$O$3)/(PAT_AGE!AN38/Global!$O$2)</f>
        <v>4.7636038128302252</v>
      </c>
      <c r="AU38" s="11"/>
      <c r="AV38" s="37">
        <f t="array" ref="AV38">SUM(($F38=BDD!$D$3:$D$215)*(BDD!$A$3:$A$215="GMF")*(BDD!$E$3:$E$215="PC")*(BDD!$C$3:$C$215="UC")*(BDD!$H$3:$H$215))</f>
        <v>11240069.224615097</v>
      </c>
      <c r="AW38" s="37">
        <f t="array" ref="AW38">SUM(($F38=BDD!$D$3:$D$215)*(BDD!$B$3:$B$215="TOTAL")*(BDD!$E$3:$E$215="PC")*(BDD!$C$3:$C$215="UC")*(BDD!$A$3:$A$215="GMF")*(BDD!$G$3:$G$215))</f>
        <v>274363612.08999938</v>
      </c>
      <c r="AX38" s="82">
        <f t="shared" si="45"/>
        <v>24.409423697245479</v>
      </c>
      <c r="AY38" s="91"/>
      <c r="AZ38" s="37">
        <f t="array" ref="AZ38">SUM(($F38=BDD!$D$3:$D$215)*(BDD!$A$3:$A$215="GMF")*(BDD!$E$3:$E$215="PC")*(BDD!$C$3:$C$215="UC")*(BDD!$F$3:$F$215))</f>
        <v>2182552.9459594106</v>
      </c>
      <c r="BA38" s="14">
        <f t="shared" si="53"/>
        <v>0.19417611247266581</v>
      </c>
      <c r="BB38" s="44">
        <f>(AZ38/Global!$O$3)/(PAT_AGE!AV38/Global!$O$2)</f>
        <v>4.9033036617502583</v>
      </c>
      <c r="BC38" s="11"/>
    </row>
    <row r="39" spans="1:55" s="28" customFormat="1" x14ac:dyDescent="0.25">
      <c r="A39" s="11"/>
      <c r="B39" s="73"/>
      <c r="C39" s="11"/>
      <c r="D39" s="73"/>
      <c r="E39" s="11"/>
      <c r="F39" s="41" t="s">
        <v>17</v>
      </c>
      <c r="G39" s="11"/>
      <c r="H39" s="37">
        <f t="array" ref="H39">SUM(($F39=BDD!$D$3:$D$215)*(BDD!$E$3:$E$215="PC")*(BDD!$C$3:$C$215="UC")*(BDD!$A$3:$A$215="MMA")*(BDD!$H$3:$H$215))</f>
        <v>95496704.829504877</v>
      </c>
      <c r="I39" s="37">
        <f t="array" ref="I39">SUM(($F39=BDD!$D$3:$D$215)*(BDD!$E$3:$E$215="PC")*(BDD!$C$3:$C$215="UC")*(BDD!$A$3:$A$215="MMA")*(BDD!$G$3:$G$215))</f>
        <v>1575355239.0801759</v>
      </c>
      <c r="J39" s="82">
        <f t="shared" si="46"/>
        <v>16.496435577465608</v>
      </c>
      <c r="K39" s="45"/>
      <c r="L39" s="37">
        <f t="array" ref="L39">SUM(($F39=BDD!$D$3:$D$215)*(BDD!$E$3:$E$215="PC")*(BDD!$C$3:$C$215="UC")*(BDD!$A$3:$A$215="MMA")*(BDD!$F$3:$F$215))</f>
        <v>7436594.1307526082</v>
      </c>
      <c r="M39" s="14">
        <f t="shared" si="47"/>
        <v>7.7872782563854298E-2</v>
      </c>
      <c r="N39" s="44">
        <f>(L39/Global!$O$3)/(PAT_AGE!H39/Global!$O$2)</f>
        <v>1.9664308602829779</v>
      </c>
      <c r="O39" s="11"/>
      <c r="P39" s="37">
        <f t="array" ref="P39">SUM(($F39=BDD!$D$3:$D$215)*(BDD!$B$3:$B$215="BS")*(BDD!$E$3:$E$215="PC")*(BDD!$C$3:$C$215="UC")*(BDD!$A$3:$A$215="MMA")*(BDD!$H$3:$H$215))</f>
        <v>21325528.484171435</v>
      </c>
      <c r="Q39" s="37">
        <f t="array" ref="Q39">SUM(($F39=BDD!$D$3:$D$215)*(BDD!$B$3:$B$215="BS")*(BDD!$E$3:$E$215="PC")*(BDD!$C$3:$C$215="UC")*(BDD!$A$3:$A$215="MMA")*(BDD!$G$3:$G$215))</f>
        <v>394024923.05405033</v>
      </c>
      <c r="R39" s="82">
        <f t="shared" si="42"/>
        <v>18.476678003384986</v>
      </c>
      <c r="S39" s="45"/>
      <c r="T39" s="37">
        <f t="array" ref="T39">SUM(($F39=BDD!$D$3:$D$215)*(BDD!$B$3:$B$215="BS")*(BDD!$E$3:$E$215="PC")*(BDD!$C$3:$C$215="UC")*(BDD!$A$3:$A$215="MMA")*(BDD!$F$3:$F$215))</f>
        <v>2327039.4313422358</v>
      </c>
      <c r="U39" s="14">
        <f t="shared" si="48"/>
        <v>0.10911989510925589</v>
      </c>
      <c r="V39" s="44">
        <f>(T39/Global!$O$3)/(PAT_AGE!P39/Global!$O$2)</f>
        <v>2.7554778723584614</v>
      </c>
      <c r="W39" s="11"/>
      <c r="X39" s="37">
        <f t="array" ref="X39">SUM(($F39=BDD!$D$3:$D$215)*(BDD!$B$3:$B$215="CO")*(BDD!$E$3:$E$215="PC")*(BDD!$C$3:$C$215="UC")*(BDD!$A$3:$A$215="MMA")*(BDD!$H$3:$H$215))</f>
        <v>49158318.421901613</v>
      </c>
      <c r="Y39" s="37">
        <f t="array" ref="Y39">SUM(($F39=BDD!$D$3:$D$215)*(BDD!$B$3:$B$215="CO")*(BDD!$E$3:$E$215="PC")*(BDD!$C$3:$C$215="UC")*(BDD!$A$3:$A$215="MMA")*(BDD!$G$3:$G$215))</f>
        <v>715384643.78391111</v>
      </c>
      <c r="Z39" s="82">
        <f t="shared" si="43"/>
        <v>14.552667112087061</v>
      </c>
      <c r="AA39" s="45"/>
      <c r="AB39" s="37">
        <f t="array" ref="AB39">SUM(($F39=BDD!$D$3:$D$215)*(BDD!$B$3:$B$215="CO")*(BDD!$E$3:$E$215="PC")*(BDD!$C$3:$C$215="UC")*(BDD!$A$3:$A$215="MMA")*(BDD!$F$3:$F$215))</f>
        <v>2681676.6414246988</v>
      </c>
      <c r="AC39" s="14">
        <f t="shared" si="49"/>
        <v>5.4551838376756305E-2</v>
      </c>
      <c r="AD39" s="44">
        <f>(AB39/Global!$O$3)/(PAT_AGE!X39/Global!$O$2)</f>
        <v>1.3775341645363881</v>
      </c>
      <c r="AE39" s="11"/>
      <c r="AF39" s="37">
        <f t="array" ref="AF39">SUM(($F39=BDD!$D$3:$D$215)*(BDD!$B$3:$B$215="AG")*(BDD!$E$3:$E$215="PC")*(BDD!$C$3:$C$215="UC")*(BDD!$A$3:$A$215="MMA")*(BDD!$H$3:$H$215))</f>
        <v>25012219.608179346</v>
      </c>
      <c r="AG39" s="37">
        <f t="array" ref="AG39">SUM(($F39=BDD!$D$3:$D$215)*(BDD!$B$3:$B$215="AG")*(BDD!$E$3:$E$215="PC")*(BDD!$C$3:$C$215="UC")*(BDD!$A$3:$A$215="MMA")*(BDD!$G$3:$G$215))</f>
        <v>465935550.4004963</v>
      </c>
      <c r="AH39" s="82">
        <f t="shared" si="50"/>
        <v>18.628316786732867</v>
      </c>
      <c r="AI39" s="91"/>
      <c r="AJ39" s="37">
        <f t="array" ref="AJ39">SUM(($F39=BDD!$D$3:$D$215)*(BDD!$B$3:$B$215="AG")*(BDD!$E$3:$E$215="PC")*(BDD!$C$3:$C$215="UC")*(BDD!$A$3:$A$215="MMA")*(BDD!$F$3:$F$215))</f>
        <v>2427826.2782000317</v>
      </c>
      <c r="AK39" s="14">
        <f t="shared" si="51"/>
        <v>9.7065606980601543E-2</v>
      </c>
      <c r="AL39" s="44">
        <f>(AJ39/Global!$O$3)/(PAT_AGE!AF39/Global!$O$2)</f>
        <v>2.4510849459147215</v>
      </c>
      <c r="AM39" s="11"/>
      <c r="AN39" s="37">
        <f t="array" ref="AN39">SUM(($F39=BDD!$D$3:$D$215)*(BDD!$E$3:$E$215="PC")*(BDD!$C$3:$C$215="UC")*(BDD!$A$3:$A$215="MAAF")*(BDD!$H$3:$H$215))</f>
        <v>37973112.667466417</v>
      </c>
      <c r="AO39" s="37">
        <f t="array" ref="AO39">SUM(($F39=BDD!$D$3:$D$215)*(BDD!$B$3:$B$215="TOTAL")*(BDD!$E$3:$E$215="PC")*(BDD!$C$3:$C$215="UC")*(BDD!$A$3:$A$215="MAAF")*(BDD!$G$3:$G$215))</f>
        <v>740658279.9496417</v>
      </c>
      <c r="AP39" s="82">
        <f t="shared" si="44"/>
        <v>19.504808216161933</v>
      </c>
      <c r="AQ39" s="91"/>
      <c r="AR39" s="37">
        <f t="array" ref="AR39">SUM(($F39=BDD!$D$3:$D$215)*(BDD!$A$3:$A$215="MAAF")*(BDD!$E$3:$E$215="PC")*(BDD!$C$3:$C$215="UC")*(BDD!$F$3:$F$215))</f>
        <v>5981597.1461942606</v>
      </c>
      <c r="AS39" s="14">
        <f t="shared" si="52"/>
        <v>0.15752190763437238</v>
      </c>
      <c r="AT39" s="44">
        <f>(AR39/Global!$O$3)/(PAT_AGE!AN39/Global!$O$2)</f>
        <v>3.9777176331008879</v>
      </c>
      <c r="AU39" s="11"/>
      <c r="AV39" s="37">
        <f t="array" ref="AV39">SUM(($F39=BDD!$D$3:$D$215)*(BDD!$A$3:$A$215="GMF")*(BDD!$E$3:$E$215="PC")*(BDD!$C$3:$C$215="UC")*(BDD!$H$3:$H$215))</f>
        <v>30481351.899044793</v>
      </c>
      <c r="AW39" s="37">
        <f t="array" ref="AW39">SUM(($F39=BDD!$D$3:$D$215)*(BDD!$B$3:$B$215="TOTAL")*(BDD!$E$3:$E$215="PC")*(BDD!$C$3:$C$215="UC")*(BDD!$A$3:$A$215="GMF")*(BDD!$G$3:$G$215))</f>
        <v>629628902.2771734</v>
      </c>
      <c r="AX39" s="82">
        <f t="shared" si="45"/>
        <v>20.656200038716275</v>
      </c>
      <c r="AY39" s="91"/>
      <c r="AZ39" s="37">
        <f t="array" ref="AZ39">SUM(($F39=BDD!$D$3:$D$215)*(BDD!$A$3:$A$215="GMF")*(BDD!$E$3:$E$215="PC")*(BDD!$C$3:$C$215="UC")*(BDD!$F$3:$F$215))</f>
        <v>4549804.4922318794</v>
      </c>
      <c r="BA39" s="14">
        <f t="shared" si="53"/>
        <v>0.14926518047168566</v>
      </c>
      <c r="BB39" s="44">
        <f>(AZ39/Global!$O$3)/(PAT_AGE!AV39/Global!$O$2)</f>
        <v>3.7692200995200063</v>
      </c>
      <c r="BC39" s="11"/>
    </row>
    <row r="40" spans="1:55" s="28" customFormat="1" x14ac:dyDescent="0.25">
      <c r="A40" s="11"/>
      <c r="B40" s="73"/>
      <c r="C40" s="11"/>
      <c r="D40" s="73"/>
      <c r="E40" s="11"/>
      <c r="F40" s="41" t="s">
        <v>12</v>
      </c>
      <c r="G40" s="11"/>
      <c r="H40" s="37">
        <f t="array" ref="H40">SUM(($F40=BDD!$D$3:$D$215)*(BDD!$E$3:$E$215="PC")*(BDD!$C$3:$C$215="UC")*(BDD!$A$3:$A$215="MMA")*(BDD!$H$3:$H$215))</f>
        <v>53068821.805650055</v>
      </c>
      <c r="I40" s="37">
        <f t="array" ref="I40">SUM(($F40=BDD!$D$3:$D$215)*(BDD!$E$3:$E$215="PC")*(BDD!$C$3:$C$215="UC")*(BDD!$A$3:$A$215="MMA")*(BDD!$G$3:$G$215))</f>
        <v>642164955.87971401</v>
      </c>
      <c r="J40" s="82">
        <f t="shared" si="46"/>
        <v>12.100606985990122</v>
      </c>
      <c r="K40" s="45"/>
      <c r="L40" s="37">
        <f t="array" ref="L40">SUM(($F40=BDD!$D$3:$D$215)*(BDD!$E$3:$E$215="PC")*(BDD!$C$3:$C$215="UC")*(BDD!$A$3:$A$215="MMA")*(BDD!$F$3:$F$215))</f>
        <v>2354788.1073637092</v>
      </c>
      <c r="M40" s="14">
        <f t="shared" si="47"/>
        <v>4.4372345705873631E-2</v>
      </c>
      <c r="N40" s="44">
        <f>(L40/Global!$O$3)/(PAT_AGE!H40/Global!$O$2)</f>
        <v>1.1204832685621207</v>
      </c>
      <c r="O40" s="11"/>
      <c r="P40" s="37">
        <f t="array" ref="P40">SUM(($F40=BDD!$D$3:$D$215)*(BDD!$B$3:$B$215="BS")*(BDD!$E$3:$E$215="PC")*(BDD!$C$3:$C$215="UC")*(BDD!$A$3:$A$215="MMA")*(BDD!$H$3:$H$215))</f>
        <v>10766178.244433613</v>
      </c>
      <c r="Q40" s="37">
        <f t="array" ref="Q40">SUM(($F40=BDD!$D$3:$D$215)*(BDD!$B$3:$B$215="BS")*(BDD!$E$3:$E$215="PC")*(BDD!$C$3:$C$215="UC")*(BDD!$A$3:$A$215="MMA")*(BDD!$G$3:$G$215))</f>
        <v>145009172.18994239</v>
      </c>
      <c r="R40" s="82">
        <f t="shared" si="42"/>
        <v>13.468955175892225</v>
      </c>
      <c r="S40" s="45"/>
      <c r="T40" s="37">
        <f t="array" ref="T40">SUM(($F40=BDD!$D$3:$D$215)*(BDD!$B$3:$B$215="BS")*(BDD!$E$3:$E$215="PC")*(BDD!$C$3:$C$215="UC")*(BDD!$A$3:$A$215="MMA")*(BDD!$F$3:$F$215))</f>
        <v>622400.69546523306</v>
      </c>
      <c r="U40" s="14">
        <f t="shared" si="48"/>
        <v>5.7810736673157899E-2</v>
      </c>
      <c r="V40" s="44">
        <f>(T40/Global!$O$3)/(PAT_AGE!P40/Global!$O$2)</f>
        <v>1.4598273351356659</v>
      </c>
      <c r="W40" s="11"/>
      <c r="X40" s="37">
        <f t="array" ref="X40">SUM(($F40=BDD!$D$3:$D$215)*(BDD!$B$3:$B$215="CO")*(BDD!$E$3:$E$215="PC")*(BDD!$C$3:$C$215="UC")*(BDD!$A$3:$A$215="MMA")*(BDD!$H$3:$H$215))</f>
        <v>29707687.254966438</v>
      </c>
      <c r="Y40" s="37">
        <f t="array" ref="Y40">SUM(($F40=BDD!$D$3:$D$215)*(BDD!$B$3:$B$215="CO")*(BDD!$E$3:$E$215="PC")*(BDD!$C$3:$C$215="UC")*(BDD!$A$3:$A$215="MMA")*(BDD!$G$3:$G$215))</f>
        <v>332178603.82693493</v>
      </c>
      <c r="Z40" s="82">
        <f t="shared" si="43"/>
        <v>11.181570647893581</v>
      </c>
      <c r="AA40" s="45"/>
      <c r="AB40" s="37">
        <f t="array" ref="AB40">SUM(($F40=BDD!$D$3:$D$215)*(BDD!$B$3:$B$215="CO")*(BDD!$E$3:$E$215="PC")*(BDD!$C$3:$C$215="UC")*(BDD!$A$3:$A$215="MMA")*(BDD!$F$3:$F$215))</f>
        <v>1013403.2382757773</v>
      </c>
      <c r="AC40" s="14">
        <f t="shared" si="49"/>
        <v>3.4112491813254826E-2</v>
      </c>
      <c r="AD40" s="44">
        <f>(AB40/Global!$O$3)/(PAT_AGE!X40/Global!$O$2)</f>
        <v>0.86140310406566534</v>
      </c>
      <c r="AE40" s="11"/>
      <c r="AF40" s="37">
        <f t="array" ref="AF40">SUM(($F40=BDD!$D$3:$D$215)*(BDD!$B$3:$B$215="AG")*(BDD!$E$3:$E$215="PC")*(BDD!$C$3:$C$215="UC")*(BDD!$A$3:$A$215="MMA")*(BDD!$H$3:$H$215))</f>
        <v>12594956.306250002</v>
      </c>
      <c r="AG40" s="37">
        <f t="array" ref="AG40">SUM(($F40=BDD!$D$3:$D$215)*(BDD!$B$3:$B$215="AG")*(BDD!$E$3:$E$215="PC")*(BDD!$C$3:$C$215="UC")*(BDD!$A$3:$A$215="MMA")*(BDD!$G$3:$G$215))</f>
        <v>164977179.86283666</v>
      </c>
      <c r="AH40" s="82">
        <f t="shared" si="50"/>
        <v>13.098670281291087</v>
      </c>
      <c r="AI40" s="91"/>
      <c r="AJ40" s="37">
        <f t="array" ref="AJ40">SUM(($F40=BDD!$D$3:$D$215)*(BDD!$B$3:$B$215="AG")*(BDD!$E$3:$E$215="PC")*(BDD!$C$3:$C$215="UC")*(BDD!$A$3:$A$215="MMA")*(BDD!$F$3:$F$215))</f>
        <v>718984.17362269922</v>
      </c>
      <c r="AK40" s="14">
        <f t="shared" si="51"/>
        <v>5.7085086771275044E-2</v>
      </c>
      <c r="AL40" s="44">
        <f>(AJ40/Global!$O$3)/(PAT_AGE!AF40/Global!$O$2)</f>
        <v>1.4415033416446963</v>
      </c>
      <c r="AM40" s="11"/>
      <c r="AN40" s="37">
        <f t="array" ref="AN40">SUM(($F40=BDD!$D$3:$D$215)*(BDD!$E$3:$E$215="PC")*(BDD!$C$3:$C$215="UC")*(BDD!$A$3:$A$215="MAAF")*(BDD!$H$3:$H$215))</f>
        <v>18659060.836601112</v>
      </c>
      <c r="AO40" s="37">
        <f t="array" ref="AO40">SUM(($F40=BDD!$D$3:$D$215)*(BDD!$B$3:$B$215="TOTAL")*(BDD!$E$3:$E$215="PC")*(BDD!$C$3:$C$215="UC")*(BDD!$A$3:$A$215="MAAF")*(BDD!$G$3:$G$215))</f>
        <v>281389848.55617321</v>
      </c>
      <c r="AP40" s="82">
        <f t="shared" si="44"/>
        <v>15.080600841613981</v>
      </c>
      <c r="AQ40" s="91"/>
      <c r="AR40" s="37">
        <f t="array" ref="AR40">SUM(($F40=BDD!$D$3:$D$215)*(BDD!$A$3:$A$215="MAAF")*(BDD!$E$3:$E$215="PC")*(BDD!$C$3:$C$215="UC")*(BDD!$F$3:$F$215))</f>
        <v>2115805.3043070566</v>
      </c>
      <c r="AS40" s="14">
        <f t="shared" si="52"/>
        <v>0.11339291526167007</v>
      </c>
      <c r="AT40" s="44">
        <f>(AR40/Global!$O$3)/(PAT_AGE!AN40/Global!$O$2)</f>
        <v>2.8633794833921797</v>
      </c>
      <c r="AU40" s="11"/>
      <c r="AV40" s="37">
        <f t="array" ref="AV40">SUM(($F40=BDD!$D$3:$D$215)*(BDD!$A$3:$A$215="GMF")*(BDD!$E$3:$E$215="PC")*(BDD!$C$3:$C$215="UC")*(BDD!$H$3:$H$215))</f>
        <v>16857517.076495543</v>
      </c>
      <c r="AW40" s="37">
        <f t="array" ref="AW40">SUM(($F40=BDD!$D$3:$D$215)*(BDD!$B$3:$B$215="TOTAL")*(BDD!$E$3:$E$215="PC")*(BDD!$C$3:$C$215="UC")*(BDD!$A$3:$A$215="GMF")*(BDD!$G$3:$G$215))</f>
        <v>272200763.4601863</v>
      </c>
      <c r="AX40" s="82">
        <f t="shared" si="45"/>
        <v>16.147144459353161</v>
      </c>
      <c r="AY40" s="91"/>
      <c r="AZ40" s="37">
        <f t="array" ref="AZ40">SUM(($F40=BDD!$D$3:$D$215)*(BDD!$A$3:$A$215="GMF")*(BDD!$E$3:$E$215="PC")*(BDD!$C$3:$C$215="UC")*(BDD!$F$3:$F$215))</f>
        <v>1719302.9799670225</v>
      </c>
      <c r="BA40" s="14">
        <f t="shared" si="53"/>
        <v>0.10199028553049777</v>
      </c>
      <c r="BB40" s="44">
        <f>(AZ40/Global!$O$3)/(PAT_AGE!AV40/Global!$O$2)</f>
        <v>2.5754421289850562</v>
      </c>
      <c r="BC40" s="11"/>
    </row>
    <row r="41" spans="1:55" s="28" customFormat="1" x14ac:dyDescent="0.25">
      <c r="A41" s="11"/>
      <c r="B41" s="74"/>
      <c r="C41" s="11"/>
      <c r="D41" s="74"/>
      <c r="E41" s="11"/>
      <c r="F41" s="48" t="s">
        <v>30</v>
      </c>
      <c r="G41" s="11"/>
      <c r="H41" s="47">
        <f>SUM(H35:H40)</f>
        <v>308443866.93656641</v>
      </c>
      <c r="I41" s="47">
        <f>SUM(I35:I40)</f>
        <v>5171161800.8974333</v>
      </c>
      <c r="J41" s="83">
        <f t="shared" si="46"/>
        <v>16.765325413200443</v>
      </c>
      <c r="K41" s="45"/>
      <c r="L41" s="47">
        <f>SUM(L35:L40)</f>
        <v>23293360.30488478</v>
      </c>
      <c r="M41" s="42">
        <f t="shared" si="47"/>
        <v>7.5518960828211953E-2</v>
      </c>
      <c r="N41" s="43">
        <f>(L41/Global!$O$3)/(PAT_AGE!H41/Global!$O$2)</f>
        <v>1.9069925360292304</v>
      </c>
      <c r="O41" s="11"/>
      <c r="P41" s="47">
        <f>SUM(P35:P40)</f>
        <v>61428625.394665822</v>
      </c>
      <c r="Q41" s="47">
        <f>SUM(Q35:Q40)</f>
        <v>1188571101.0712633</v>
      </c>
      <c r="R41" s="83">
        <f t="shared" si="42"/>
        <v>19.348814879625703</v>
      </c>
      <c r="S41" s="45"/>
      <c r="T41" s="47">
        <f>SUM(T35:T40)</f>
        <v>7011694.1624971004</v>
      </c>
      <c r="U41" s="42">
        <f t="shared" si="48"/>
        <v>0.11414375818193001</v>
      </c>
      <c r="V41" s="43">
        <f>(T41/Global!$O$3)/(PAT_AGE!P41/Global!$O$2)</f>
        <v>2.8823396468923534</v>
      </c>
      <c r="W41" s="11"/>
      <c r="X41" s="47">
        <f>SUM(X35:X40)</f>
        <v>176674625.51631123</v>
      </c>
      <c r="Y41" s="47">
        <f>SUM(Y35:Y40)</f>
        <v>2608402470.4121065</v>
      </c>
      <c r="Z41" s="83">
        <f t="shared" si="43"/>
        <v>14.763877171321864</v>
      </c>
      <c r="AA41" s="45"/>
      <c r="AB41" s="47">
        <f>SUM(AB35:AB40)</f>
        <v>8928910.5235394221</v>
      </c>
      <c r="AC41" s="42">
        <f t="shared" si="49"/>
        <v>5.0538726189149744E-2</v>
      </c>
      <c r="AD41" s="43">
        <f>(AB41/Global!$O$3)/(PAT_AGE!X41/Global!$O$2)</f>
        <v>1.2761957072260131</v>
      </c>
      <c r="AE41" s="11"/>
      <c r="AF41" s="47">
        <f>SUM(AF35:AF40)</f>
        <v>70339977.710336879</v>
      </c>
      <c r="AG41" s="47">
        <f>SUM(AG35:AG40)</f>
        <v>1374178107.572345</v>
      </c>
      <c r="AH41" s="83">
        <f t="shared" si="50"/>
        <v>19.536231774642733</v>
      </c>
      <c r="AI41" s="91"/>
      <c r="AJ41" s="47">
        <f>SUM(AJ35:AJ40)</f>
        <v>7352703.8390626181</v>
      </c>
      <c r="AK41" s="42">
        <f t="shared" si="51"/>
        <v>0.10453093785928361</v>
      </c>
      <c r="AL41" s="43">
        <f>(AJ41/Global!$O$3)/(PAT_AGE!AF41/Global!$O$2)</f>
        <v>2.6395982690392219</v>
      </c>
      <c r="AM41" s="11"/>
      <c r="AN41" s="47">
        <f>SUM(AN35:AN40)</f>
        <v>91900250.195222154</v>
      </c>
      <c r="AO41" s="47">
        <f>SUM(AO35:AO40)</f>
        <v>1805764876.0345612</v>
      </c>
      <c r="AP41" s="83">
        <f t="shared" si="44"/>
        <v>19.649183459224595</v>
      </c>
      <c r="AQ41" s="91"/>
      <c r="AR41" s="47">
        <f>SUM(AR35:AR40)</f>
        <v>14731511.106821476</v>
      </c>
      <c r="AS41" s="42">
        <f t="shared" si="52"/>
        <v>0.16029892275078222</v>
      </c>
      <c r="AT41" s="43">
        <f>(AR41/Global!$O$3)/(PAT_AGE!AN41/Global!$O$2)</f>
        <v>4.0478423678874345</v>
      </c>
      <c r="AU41" s="11"/>
      <c r="AV41" s="47">
        <f>SUM(AV35:AV40)</f>
        <v>65246875.569801822</v>
      </c>
      <c r="AW41" s="47">
        <f>SUM(AW35:AW40)</f>
        <v>1341976507.593379</v>
      </c>
      <c r="AX41" s="83">
        <f t="shared" si="45"/>
        <v>20.567674633825458</v>
      </c>
      <c r="AY41" s="91"/>
      <c r="AZ41" s="47">
        <f>SUM(AZ35:AZ40)</f>
        <v>9868745.0577886645</v>
      </c>
      <c r="BA41" s="42">
        <f t="shared" si="53"/>
        <v>0.15125237755225493</v>
      </c>
      <c r="BB41" s="43">
        <f>(AZ41/Global!$O$3)/(PAT_AGE!AV41/Global!$O$2)</f>
        <v>3.8194004775165356</v>
      </c>
      <c r="BC41" s="11"/>
    </row>
    <row r="42" spans="1:55" x14ac:dyDescent="0.25">
      <c r="A42" s="11"/>
      <c r="B42" s="11"/>
      <c r="C42" s="11"/>
      <c r="D42" s="11"/>
      <c r="E42" s="11"/>
      <c r="F42" s="51" t="s">
        <v>51</v>
      </c>
      <c r="G42" s="49"/>
      <c r="H42" s="49">
        <f>H41+H66+H91-Global!F30</f>
        <v>0</v>
      </c>
      <c r="I42" s="49">
        <f>I41+I66+I91-Global!F31</f>
        <v>0</v>
      </c>
      <c r="J42" s="85"/>
      <c r="K42" s="49"/>
      <c r="L42" s="49">
        <f>L41+L66+L91-Global!F32</f>
        <v>0</v>
      </c>
      <c r="M42" s="49"/>
      <c r="N42" s="49"/>
      <c r="O42" s="49"/>
      <c r="P42" s="49">
        <f>P41+P66+P91-Global!I30</f>
        <v>0</v>
      </c>
      <c r="Q42" s="49">
        <f>Q41+Q66+Q91-Global!I31</f>
        <v>0</v>
      </c>
      <c r="R42" s="49"/>
      <c r="S42" s="49"/>
      <c r="T42" s="49">
        <f>T41+T66+T91-Global!I32</f>
        <v>0</v>
      </c>
      <c r="U42" s="49"/>
      <c r="V42" s="49"/>
      <c r="W42" s="49"/>
      <c r="X42" s="49">
        <f>X41+X66+X91-Global!L30</f>
        <v>0</v>
      </c>
      <c r="Y42" s="49">
        <f>Y41+Y66+Y91-Global!L31</f>
        <v>0</v>
      </c>
      <c r="Z42" s="85"/>
      <c r="AA42" s="49"/>
      <c r="AB42" s="49">
        <f>AB41+AB66+AB91-Global!L32</f>
        <v>0</v>
      </c>
      <c r="AC42" s="49"/>
      <c r="AD42" s="49"/>
      <c r="AE42" s="49"/>
      <c r="AF42" s="49">
        <f>AF41+AF66+AF91-Global!O30</f>
        <v>0</v>
      </c>
      <c r="AG42" s="49">
        <f>AG41+AG66+AG91-Global!O31</f>
        <v>0</v>
      </c>
      <c r="AH42" s="85"/>
      <c r="AI42" s="91"/>
      <c r="AJ42" s="49">
        <f>AJ41+AJ66+AJ91-Global!O32</f>
        <v>0</v>
      </c>
      <c r="AK42" s="49"/>
      <c r="AL42" s="49"/>
      <c r="AM42" s="49"/>
      <c r="AN42" s="49"/>
      <c r="AO42" s="49"/>
      <c r="AP42" s="49"/>
      <c r="AQ42" s="91"/>
      <c r="AR42" s="49"/>
      <c r="AS42" s="49"/>
      <c r="AT42" s="49"/>
      <c r="AU42" s="49"/>
      <c r="AV42" s="49"/>
      <c r="AW42" s="49"/>
      <c r="AX42" s="49"/>
      <c r="AY42" s="91"/>
      <c r="AZ42" s="49"/>
      <c r="BA42" s="49"/>
      <c r="BB42" s="49"/>
      <c r="BC42" s="11"/>
    </row>
    <row r="43" spans="1:55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85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85"/>
      <c r="AA43" s="11"/>
      <c r="AB43" s="11"/>
      <c r="AC43" s="11"/>
      <c r="AD43" s="11"/>
      <c r="AE43" s="11"/>
      <c r="AF43" s="11"/>
      <c r="AG43" s="11"/>
      <c r="AH43" s="85"/>
      <c r="AI43" s="91"/>
      <c r="AJ43" s="11"/>
      <c r="AK43" s="11"/>
      <c r="AL43" s="11"/>
      <c r="AM43" s="11"/>
      <c r="AN43" s="11"/>
      <c r="AO43" s="11"/>
      <c r="AP43" s="11"/>
      <c r="AQ43" s="91"/>
      <c r="AR43" s="11"/>
      <c r="AS43" s="11"/>
      <c r="AT43" s="11"/>
      <c r="AU43" s="11"/>
      <c r="AV43" s="11"/>
      <c r="AW43" s="11"/>
      <c r="AX43" s="11"/>
      <c r="AY43" s="91"/>
      <c r="AZ43" s="11"/>
      <c r="BA43" s="11"/>
      <c r="BB43" s="11"/>
      <c r="BC43" s="11"/>
    </row>
    <row r="44" spans="1:55" s="28" customFormat="1" x14ac:dyDescent="0.25">
      <c r="A44" s="11"/>
      <c r="B44" s="11"/>
      <c r="C44" s="11"/>
      <c r="D44" s="66" t="s">
        <v>23</v>
      </c>
      <c r="E44" s="11"/>
      <c r="F44" s="40" t="s">
        <v>13</v>
      </c>
      <c r="G44" s="11"/>
      <c r="H44" s="37">
        <f t="array" ref="H44">SUM(($F44=BDD!$D$3:$D$215)*(BDD!$E$3:$E$215="GP")*(BDD!$A$3:$A$215="MMA")*(BDD!$H$3:$H$215))</f>
        <v>9709368.8505912442</v>
      </c>
      <c r="I44" s="37">
        <f t="array" ref="I44">SUM(($F44=BDD!$D$3:$D$215)*(BDD!$E$3:$E$215="GP")*(BDD!$A$3:$A$215="MMA")*(BDD!$G$3:$G$215))</f>
        <v>159600258.24054271</v>
      </c>
      <c r="J44" s="82">
        <f>I44/H44</f>
        <v>16.437758282385573</v>
      </c>
      <c r="K44" s="86">
        <f>H60/H44</f>
        <v>0.19874978339063307</v>
      </c>
      <c r="L44" s="37">
        <f t="array" ref="L44">SUM(($F44=BDD!$D$3:$D$215)*(BDD!$A$3:$A$215="MMA")*(BDD!$E$3:$E$215="GP")*(BDD!$F$3:$F$215))</f>
        <v>209994.44828677736</v>
      </c>
      <c r="M44" s="14">
        <f>L44/H44</f>
        <v>2.1628022533513074E-2</v>
      </c>
      <c r="N44" s="44">
        <f>(L44/Global!$O$3)/(PAT_AGE!H44/Global!$O$2)</f>
        <v>0.54614731304768627</v>
      </c>
      <c r="O44" s="11"/>
      <c r="P44" s="37">
        <f t="array" ref="P44">SUM(($F44=BDD!$D$3:$D$215)*(BDD!$B$3:$B$215="BS")*(BDD!$E$3:$E$215="GP")*(BDD!$A$3:$A$215="MMA")*(BDD!$H$3:$H$215))</f>
        <v>55804.218436126997</v>
      </c>
      <c r="Q44" s="37">
        <f t="array" ref="Q44">SUM(($F44=BDD!$D$3:$D$215)*(BDD!$B$3:$B$215="BS")*(BDD!$E$3:$E$215="GP")*(BDD!$A$3:$A$215="MMA")*(BDD!$G$3:$G$215))</f>
        <v>900013.23382376495</v>
      </c>
      <c r="R44" s="82">
        <f t="shared" ref="R44:R50" si="54">Q44/P44</f>
        <v>16.128050155453963</v>
      </c>
      <c r="S44" s="89">
        <f>P60/P44</f>
        <v>8.1103350778684247E-2</v>
      </c>
      <c r="T44" s="37">
        <f t="array" ref="T44">SUM(($F44=BDD!$D$3:$D$215)*(BDD!$B$3:$B$215="BS")*(BDD!$A$3:$A$215="MMA")*(BDD!$E$3:$E$215="GP")*(BDD!$F$3:$F$215))</f>
        <v>134.20741186969326</v>
      </c>
      <c r="U44" s="14">
        <f>T44/P44</f>
        <v>2.4049689365922373E-3</v>
      </c>
      <c r="V44" s="44">
        <f>(T44/Global!$O$3)/(PAT_AGE!P44/Global!$O$2)</f>
        <v>6.0729885066827388E-2</v>
      </c>
      <c r="W44" s="11"/>
      <c r="X44" s="37">
        <f t="array" ref="X44">SUM(($F44=BDD!$D$3:$D$215)*(BDD!$B$3:$B$215="CO")*(BDD!$E$3:$E$215="GP")*(BDD!$A$3:$A$215="MMA")*(BDD!$H$3:$H$215))</f>
        <v>0.63163299978929954</v>
      </c>
      <c r="Y44" s="37">
        <f t="array" ref="Y44">SUM(($F44=BDD!$D$3:$D$215)*(BDD!$B$3:$B$215="CO")*(BDD!$E$3:$E$215="GP")*(BDD!$A$3:$A$215="MMA")*(BDD!$G$3:$G$215))</f>
        <v>9.0914347745983974</v>
      </c>
      <c r="Z44" s="82">
        <f t="shared" ref="Z44:Z50" si="55">Y44/X44</f>
        <v>14.393539884127527</v>
      </c>
      <c r="AA44" s="89">
        <f>X60/X44</f>
        <v>0</v>
      </c>
      <c r="AB44" s="37">
        <f t="array" ref="AB44">SUM(($F44=BDD!$D$3:$D$215)*(BDD!$B$3:$B$215="CO")*(BDD!$A$3:$A$215="MMA")*(BDD!$E$3:$E$215="GP")*(BDD!$F$3:$F$215))</f>
        <v>1.6036292140923399E-2</v>
      </c>
      <c r="AC44" s="14">
        <f>AB44/X44</f>
        <v>2.5388623055275443E-2</v>
      </c>
      <c r="AD44" s="44">
        <f>(AB44/Global!$O$3)/(PAT_AGE!X44/Global!$O$2)</f>
        <v>0.64110938677512819</v>
      </c>
      <c r="AE44" s="11"/>
      <c r="AF44" s="37">
        <f t="array" ref="AF44">SUM(($F44=BDD!$D$3:$D$215)*(BDD!$B$3:$B$215="AG")*(BDD!$E$3:$E$215="GP")*(BDD!$A$3:$A$215="MMA")*(BDD!$H$3:$H$215))</f>
        <v>9653564.0005221181</v>
      </c>
      <c r="AG44" s="37">
        <f t="array" ref="AG44">SUM(($F44=BDD!$D$3:$D$215)*(BDD!$B$3:$B$215="AG")*(BDD!$E$3:$E$215="GP")*(BDD!$A$3:$A$215="MMA")*(BDD!$G$3:$G$215))</f>
        <v>158700235.91528416</v>
      </c>
      <c r="AH44" s="82">
        <f>AG44/AF44</f>
        <v>16.43954874144935</v>
      </c>
      <c r="AI44" s="89">
        <f>AF60/AF44</f>
        <v>0.19942987343409008</v>
      </c>
      <c r="AJ44" s="37">
        <f t="array" ref="AJ44">SUM(($F44=BDD!$D$3:$D$215)*(BDD!$B$3:$B$215="AG")*(BDD!$A$3:$A$215="MMA")*(BDD!$E$3:$E$215="GP")*(BDD!$F$3:$F$215))</f>
        <v>209860.22483861554</v>
      </c>
      <c r="AK44" s="14">
        <f>AJ44/AF44</f>
        <v>2.1739144716631614E-2</v>
      </c>
      <c r="AL44" s="44">
        <f>(AJ44/Global!$O$3)/(PAT_AGE!AF44/Global!$O$2)</f>
        <v>0.54895335237172271</v>
      </c>
      <c r="AM44" s="11"/>
      <c r="AN44" s="37">
        <f t="array" ref="AN44">SUM(($F44=BDD!$D$3:$D$215)*(BDD!$A$3:$A$215="MAAF")*(BDD!$E$3:$E$215="GP")*(BDD!$H$3:$H$215))</f>
        <v>17722002.978754517</v>
      </c>
      <c r="AO44" s="37">
        <f t="array" ref="AO44">SUM(($F44=BDD!$D$3:$D$215)*(BDD!$B$3:$B$215="TOTAL")*(BDD!$E$3:$E$215="GP")*(BDD!$A$3:$A$215="MAAF")*(BDD!$G$3:$G$215))</f>
        <v>288208340.96564507</v>
      </c>
      <c r="AP44" s="82">
        <f t="shared" ref="AP44:AP50" si="56">AO44/AN44</f>
        <v>16.262740803686516</v>
      </c>
      <c r="AQ44" s="89">
        <f>AN60/AN44</f>
        <v>0.11713201855966604</v>
      </c>
      <c r="AR44" s="37">
        <f t="array" ref="AR44">SUM(($F44=BDD!$D$3:$D$215)*(BDD!$A$3:$A$215="MAAF")*(BDD!$E$3:$E$215="GP")*(BDD!$F$3:$F$215))</f>
        <v>288089.25314598641</v>
      </c>
      <c r="AS44" s="14">
        <f>AR44/AN44</f>
        <v>1.6256021031671952E-2</v>
      </c>
      <c r="AT44" s="44">
        <f>(AR44/Global!$O$3)/(PAT_AGE!AN44/Global!$O$2)</f>
        <v>0.41049440343135324</v>
      </c>
      <c r="AU44" s="11"/>
      <c r="AV44" s="37">
        <f t="array" ref="AV44">SUM(($F44=BDD!$D$3:$D$215)*(BDD!$A$3:$A$215="GMF")*(BDD!$E$3:$E$215="GP")*(BDD!$H$3:$H$215))</f>
        <v>30933905.562370557</v>
      </c>
      <c r="AW44" s="37">
        <f t="array" ref="AW44">SUM(($F44=BDD!$D$3:$D$215)*(BDD!$B$3:$B$215="TOTAL")*(BDD!$E$3:$E$215="GP")*(BDD!$A$3:$A$215="GMF")*(BDD!$G$3:$G$215))</f>
        <v>544173331.5524112</v>
      </c>
      <c r="AX44" s="82">
        <f t="shared" ref="AX44:AX50" si="57">AW44/AV44</f>
        <v>17.591484866184146</v>
      </c>
      <c r="AY44" s="89">
        <f>AV60/AV44</f>
        <v>7.8319271683518613E-2</v>
      </c>
      <c r="AZ44" s="37">
        <f t="array" ref="AZ44">SUM(($F44=BDD!$D$3:$D$215)*(BDD!$A$3:$A$215="GMF")*(BDD!$E$3:$E$215="GP")*(BDD!$F$3:$F$215))</f>
        <v>940995.02285983483</v>
      </c>
      <c r="BA44" s="14">
        <f>AZ44/AV44</f>
        <v>3.0419534997368873E-2</v>
      </c>
      <c r="BB44" s="44">
        <f>(AZ44/Global!$O$3)/(PAT_AGE!AV44/Global!$O$2)</f>
        <v>0.76814915821499752</v>
      </c>
      <c r="BC44" s="11"/>
    </row>
    <row r="45" spans="1:55" s="28" customFormat="1" x14ac:dyDescent="0.25">
      <c r="A45" s="11"/>
      <c r="B45" s="11"/>
      <c r="C45" s="11"/>
      <c r="D45" s="67"/>
      <c r="E45" s="11"/>
      <c r="F45" s="41" t="s">
        <v>14</v>
      </c>
      <c r="G45" s="11"/>
      <c r="H45" s="37">
        <f t="array" ref="H45">SUM(($F45=BDD!$D$3:$D$215)*(BDD!$E$3:$E$215="GP")*(BDD!$A$3:$A$215="MMA")*(BDD!$H$3:$H$215))</f>
        <v>10316637.494521106</v>
      </c>
      <c r="I45" s="37">
        <f t="array" ref="I45">SUM(($F45=BDD!$D$3:$D$215)*(BDD!$E$3:$E$215="GP")*(BDD!$A$3:$A$215="MMA")*(BDD!$G$3:$G$215))</f>
        <v>192413387.44300982</v>
      </c>
      <c r="J45" s="82">
        <f t="shared" ref="J45:J50" si="58">I45/H45</f>
        <v>18.650784962173528</v>
      </c>
      <c r="K45" s="86">
        <f t="shared" ref="K45:K50" si="59">H61/H45</f>
        <v>0.27757340704728278</v>
      </c>
      <c r="L45" s="37">
        <f t="array" ref="L45">SUM(($F45=BDD!$D$3:$D$215)*(BDD!$A$3:$A$215="MMA")*(BDD!$E$3:$E$215="GP")*(BDD!$F$3:$F$215))</f>
        <v>349685.28613806283</v>
      </c>
      <c r="M45" s="14">
        <f t="shared" ref="M45:M50" si="60">L45/H45</f>
        <v>3.3895277053572107E-2</v>
      </c>
      <c r="N45" s="44">
        <f>(L45/Global!$O$3)/(PAT_AGE!H45/Global!$O$2)</f>
        <v>0.85591803222559326</v>
      </c>
      <c r="O45" s="11"/>
      <c r="P45" s="37">
        <f t="array" ref="P45">SUM(($F45=BDD!$D$3:$D$215)*(BDD!$B$3:$B$215="BS")*(BDD!$E$3:$E$215="GP")*(BDD!$A$3:$A$215="MMA")*(BDD!$H$3:$H$215))</f>
        <v>30247.838692823974</v>
      </c>
      <c r="Q45" s="37">
        <f t="array" ref="Q45">SUM(($F45=BDD!$D$3:$D$215)*(BDD!$B$3:$B$215="BS")*(BDD!$E$3:$E$215="GP")*(BDD!$A$3:$A$215="MMA")*(BDD!$G$3:$G$215))</f>
        <v>555074.46139256353</v>
      </c>
      <c r="R45" s="82">
        <f t="shared" si="54"/>
        <v>18.350880108476971</v>
      </c>
      <c r="S45" s="89">
        <f t="shared" ref="S45:S50" si="61">P61/P45</f>
        <v>7.9680041909620136E-2</v>
      </c>
      <c r="T45" s="37">
        <f t="array" ref="T45">SUM(($F45=BDD!$D$3:$D$215)*(BDD!$B$3:$B$215="BS")*(BDD!$A$3:$A$215="MMA")*(BDD!$E$3:$E$215="GP")*(BDD!$F$3:$F$215))</f>
        <v>246.19925392739412</v>
      </c>
      <c r="U45" s="14">
        <f t="shared" ref="U45:U50" si="62">T45/P45</f>
        <v>8.1393998568830856E-3</v>
      </c>
      <c r="V45" s="44">
        <f>(T45/Global!$O$3)/(PAT_AGE!P45/Global!$O$2)</f>
        <v>0.20553480350639161</v>
      </c>
      <c r="W45" s="11"/>
      <c r="X45" s="37">
        <f t="array" ref="X45">SUM(($F45=BDD!$D$3:$D$215)*(BDD!$B$3:$B$215="CO")*(BDD!$E$3:$E$215="GP")*(BDD!$A$3:$A$215="MMA")*(BDD!$H$3:$H$215))</f>
        <v>0.63073099978960045</v>
      </c>
      <c r="Y45" s="37">
        <f t="array" ref="Y45">SUM(($F45=BDD!$D$3:$D$215)*(BDD!$B$3:$B$215="CO")*(BDD!$E$3:$E$215="GP")*(BDD!$A$3:$A$215="MMA")*(BDD!$G$3:$G$215))</f>
        <v>9.0104495215400355</v>
      </c>
      <c r="Z45" s="82">
        <f t="shared" si="55"/>
        <v>14.285724856627859</v>
      </c>
      <c r="AA45" s="89">
        <f t="shared" ref="AA45:AA50" si="63">X61/X45</f>
        <v>0</v>
      </c>
      <c r="AB45" s="37">
        <f t="array" ref="AB45">SUM(($F45=BDD!$D$3:$D$215)*(BDD!$B$3:$B$215="CO")*(BDD!$A$3:$A$215="MMA")*(BDD!$E$3:$E$215="GP")*(BDD!$F$3:$F$215))</f>
        <v>1.5791386634108267E-2</v>
      </c>
      <c r="AC45" s="14">
        <f t="shared" ref="AC45:AC50" si="64">AB45/X45</f>
        <v>2.5036642624789277E-2</v>
      </c>
      <c r="AD45" s="44">
        <f>(AB45/Global!$O$3)/(PAT_AGE!X45/Global!$O$2)</f>
        <v>0.63222123409924136</v>
      </c>
      <c r="AE45" s="11"/>
      <c r="AF45" s="37">
        <f t="array" ref="AF45">SUM(($F45=BDD!$D$3:$D$215)*(BDD!$B$3:$B$215="AG")*(BDD!$E$3:$E$215="GP")*(BDD!$A$3:$A$215="MMA")*(BDD!$H$3:$H$215))</f>
        <v>10286389.025097283</v>
      </c>
      <c r="AG45" s="37">
        <f t="array" ref="AG45">SUM(($F45=BDD!$D$3:$D$215)*(BDD!$B$3:$B$215="AG")*(BDD!$E$3:$E$215="GP")*(BDD!$A$3:$A$215="MMA")*(BDD!$G$3:$G$215))</f>
        <v>191858303.97116771</v>
      </c>
      <c r="AH45" s="82">
        <f t="shared" ref="AH45:AH50" si="65">AG45/AF45</f>
        <v>18.651667120800269</v>
      </c>
      <c r="AI45" s="89">
        <f t="shared" ref="AI45:AI50" si="66">AF61/AF45</f>
        <v>0.2781553432006415</v>
      </c>
      <c r="AJ45" s="37">
        <f t="array" ref="AJ45">SUM(($F45=BDD!$D$3:$D$215)*(BDD!$B$3:$B$215="AG")*(BDD!$A$3:$A$215="MMA")*(BDD!$E$3:$E$215="GP")*(BDD!$F$3:$F$215))</f>
        <v>349439.07109274878</v>
      </c>
      <c r="AK45" s="14">
        <f t="shared" ref="AK45:AK50" si="67">AJ45/AF45</f>
        <v>3.3971014535826773E-2</v>
      </c>
      <c r="AL45" s="44">
        <f>(AJ45/Global!$O$3)/(PAT_AGE!AF45/Global!$O$2)</f>
        <v>0.85783054282919979</v>
      </c>
      <c r="AM45" s="11"/>
      <c r="AN45" s="37">
        <f t="array" ref="AN45">SUM(($F45=BDD!$D$3:$D$215)*(BDD!$A$3:$A$215="MAAF")*(BDD!$E$3:$E$215="GP")*(BDD!$H$3:$H$215))</f>
        <v>17026704.973812707</v>
      </c>
      <c r="AO45" s="37">
        <f t="array" ref="AO45">SUM(($F45=BDD!$D$3:$D$215)*(BDD!$B$3:$B$215="TOTAL")*(BDD!$E$3:$E$215="GP")*(BDD!$A$3:$A$215="MAAF")*(BDD!$G$3:$G$215))</f>
        <v>258053625.85536504</v>
      </c>
      <c r="AP45" s="82">
        <f t="shared" si="56"/>
        <v>15.155817068085391</v>
      </c>
      <c r="AQ45" s="89">
        <f t="shared" ref="AQ45:AQ50" si="68">AN61/AN45</f>
        <v>0.15675264126162095</v>
      </c>
      <c r="AR45" s="37">
        <f t="array" ref="AR45">SUM(($F45=BDD!$D$3:$D$215)*(BDD!$A$3:$A$215="MAAF")*(BDD!$E$3:$E$215="GP")*(BDD!$F$3:$F$215))</f>
        <v>430193.28617967648</v>
      </c>
      <c r="AS45" s="14">
        <f t="shared" ref="AS45:AS50" si="69">AR45/AN45</f>
        <v>2.5265797865254572E-2</v>
      </c>
      <c r="AT45" s="44">
        <f>(AR45/Global!$O$3)/(PAT_AGE!AN45/Global!$O$2)</f>
        <v>0.63800782502113396</v>
      </c>
      <c r="AU45" s="11"/>
      <c r="AV45" s="37">
        <f t="array" ref="AV45">SUM(($F45=BDD!$D$3:$D$215)*(BDD!$A$3:$A$215="GMF")*(BDD!$E$3:$E$215="GP")*(BDD!$H$3:$H$215))</f>
        <v>25743609.691883668</v>
      </c>
      <c r="AW45" s="37">
        <f t="array" ref="AW45">SUM(($F45=BDD!$D$3:$D$215)*(BDD!$B$3:$B$215="TOTAL")*(BDD!$E$3:$E$215="GP")*(BDD!$A$3:$A$215="GMF")*(BDD!$G$3:$G$215))</f>
        <v>468346657.47804332</v>
      </c>
      <c r="AX45" s="82">
        <f t="shared" si="57"/>
        <v>18.192734549797869</v>
      </c>
      <c r="AY45" s="89">
        <f t="shared" ref="AY45:AY50" si="70">AV61/AV45</f>
        <v>8.6117800525936858E-2</v>
      </c>
      <c r="AZ45" s="37">
        <f t="array" ref="AZ45">SUM(($F45=BDD!$D$3:$D$215)*(BDD!$A$3:$A$215="GMF")*(BDD!$E$3:$E$215="GP")*(BDD!$F$3:$F$215))</f>
        <v>878002.00263433019</v>
      </c>
      <c r="BA45" s="14">
        <f t="shared" ref="BA45:BA50" si="71">AZ45/AV45</f>
        <v>3.4105629052911826E-2</v>
      </c>
      <c r="BB45" s="44">
        <f>(AZ45/Global!$O$3)/(PAT_AGE!AV45/Global!$O$2)</f>
        <v>0.86122980675586247</v>
      </c>
      <c r="BC45" s="11"/>
    </row>
    <row r="46" spans="1:55" s="28" customFormat="1" x14ac:dyDescent="0.25">
      <c r="A46" s="11"/>
      <c r="B46" s="11"/>
      <c r="C46" s="11"/>
      <c r="D46" s="67"/>
      <c r="E46" s="11"/>
      <c r="F46" s="41" t="s">
        <v>15</v>
      </c>
      <c r="G46" s="11"/>
      <c r="H46" s="37">
        <f t="array" ref="H46">SUM(($F46=BDD!$D$3:$D$215)*(BDD!$E$3:$E$215="GP")*(BDD!$A$3:$A$215="MMA")*(BDD!$H$3:$H$215))</f>
        <v>17795182.593695946</v>
      </c>
      <c r="I46" s="37">
        <f t="array" ref="I46">SUM(($F46=BDD!$D$3:$D$215)*(BDD!$E$3:$E$215="GP")*(BDD!$A$3:$A$215="MMA")*(BDD!$G$3:$G$215))</f>
        <v>354363381.98208976</v>
      </c>
      <c r="J46" s="82">
        <f t="shared" si="58"/>
        <v>19.91344455817077</v>
      </c>
      <c r="K46" s="86">
        <f t="shared" si="59"/>
        <v>0.21085790165176707</v>
      </c>
      <c r="L46" s="37">
        <f t="array" ref="L46">SUM(($F46=BDD!$D$3:$D$215)*(BDD!$A$3:$A$215="MMA")*(BDD!$E$3:$E$215="GP")*(BDD!$F$3:$F$215))</f>
        <v>706854.0714861349</v>
      </c>
      <c r="M46" s="14">
        <f t="shared" si="60"/>
        <v>3.9721653192619805E-2</v>
      </c>
      <c r="N46" s="44">
        <f>(L46/Global!$O$3)/(PAT_AGE!H46/Global!$O$2)</f>
        <v>1.0030447363990971</v>
      </c>
      <c r="O46" s="11"/>
      <c r="P46" s="37">
        <f t="array" ref="P46">SUM(($F46=BDD!$D$3:$D$215)*(BDD!$B$3:$B$215="BS")*(BDD!$E$3:$E$215="GP")*(BDD!$A$3:$A$215="MMA")*(BDD!$H$3:$H$215))</f>
        <v>428175.66488527664</v>
      </c>
      <c r="Q46" s="37">
        <f t="array" ref="Q46">SUM(($F46=BDD!$D$3:$D$215)*(BDD!$B$3:$B$215="BS")*(BDD!$E$3:$E$215="GP")*(BDD!$A$3:$A$215="MMA")*(BDD!$G$3:$G$215))</f>
        <v>7304676.6722611785</v>
      </c>
      <c r="R46" s="82">
        <f t="shared" si="54"/>
        <v>17.059999601374727</v>
      </c>
      <c r="S46" s="89">
        <f t="shared" si="61"/>
        <v>2.9543412493065687E-2</v>
      </c>
      <c r="T46" s="37">
        <f t="array" ref="T46">SUM(($F46=BDD!$D$3:$D$215)*(BDD!$B$3:$B$215="BS")*(BDD!$A$3:$A$215="MMA")*(BDD!$E$3:$E$215="GP")*(BDD!$F$3:$F$215))</f>
        <v>6391.0877340679099</v>
      </c>
      <c r="U46" s="14">
        <f t="shared" si="62"/>
        <v>1.492632173708496E-2</v>
      </c>
      <c r="V46" s="44">
        <f>(T46/Global!$O$3)/(PAT_AGE!P46/Global!$O$2)</f>
        <v>0.37691705276164639</v>
      </c>
      <c r="W46" s="11"/>
      <c r="X46" s="37">
        <f t="array" ref="X46">SUM(($F46=BDD!$D$3:$D$215)*(BDD!$B$3:$B$215="CO")*(BDD!$E$3:$E$215="GP")*(BDD!$A$3:$A$215="MMA")*(BDD!$H$3:$H$215))</f>
        <v>711.91949976251749</v>
      </c>
      <c r="Y46" s="37">
        <f t="array" ref="Y46">SUM(($F46=BDD!$D$3:$D$215)*(BDD!$B$3:$B$215="CO")*(BDD!$E$3:$E$215="GP")*(BDD!$A$3:$A$215="MMA")*(BDD!$G$3:$G$215))</f>
        <v>13147.34441145711</v>
      </c>
      <c r="Z46" s="82">
        <f t="shared" si="55"/>
        <v>18.467459334718054</v>
      </c>
      <c r="AA46" s="89">
        <f t="shared" si="63"/>
        <v>0</v>
      </c>
      <c r="AB46" s="37">
        <f t="array" ref="AB46">SUM(($F46=BDD!$D$3:$D$215)*(BDD!$B$3:$B$215="CO")*(BDD!$A$3:$A$215="MMA")*(BDD!$E$3:$E$215="GP")*(BDD!$F$3:$F$215))</f>
        <v>24.197396782432957</v>
      </c>
      <c r="AC46" s="14">
        <f t="shared" si="64"/>
        <v>3.3988950703702787E-2</v>
      </c>
      <c r="AD46" s="44">
        <f>(AB46/Global!$O$3)/(PAT_AGE!X46/Global!$O$2)</f>
        <v>0.85828346402792155</v>
      </c>
      <c r="AE46" s="11"/>
      <c r="AF46" s="37">
        <f t="array" ref="AF46">SUM(($F46=BDD!$D$3:$D$215)*(BDD!$B$3:$B$215="AG")*(BDD!$E$3:$E$215="GP")*(BDD!$A$3:$A$215="MMA")*(BDD!$H$3:$H$215))</f>
        <v>17366295.009310909</v>
      </c>
      <c r="AG46" s="37">
        <f t="array" ref="AG46">SUM(($F46=BDD!$D$3:$D$215)*(BDD!$B$3:$B$215="AG")*(BDD!$E$3:$E$215="GP")*(BDD!$A$3:$A$215="MMA")*(BDD!$G$3:$G$215))</f>
        <v>347045557.96541715</v>
      </c>
      <c r="AH46" s="82">
        <f t="shared" si="65"/>
        <v>19.983857108228857</v>
      </c>
      <c r="AI46" s="89">
        <f t="shared" si="66"/>
        <v>0.21533695522992072</v>
      </c>
      <c r="AJ46" s="37">
        <f t="array" ref="AJ46">SUM(($F46=BDD!$D$3:$D$215)*(BDD!$B$3:$B$215="AG")*(BDD!$A$3:$A$215="MMA")*(BDD!$E$3:$E$215="GP")*(BDD!$F$3:$F$215))</f>
        <v>700438.78635528451</v>
      </c>
      <c r="AK46" s="14">
        <f t="shared" si="67"/>
        <v>4.0333230892354729E-2</v>
      </c>
      <c r="AL46" s="44">
        <f>(AJ46/Global!$O$3)/(PAT_AGE!AF46/Global!$O$2)</f>
        <v>1.0184881971645257</v>
      </c>
      <c r="AM46" s="11"/>
      <c r="AN46" s="37">
        <f t="array" ref="AN46">SUM(($F46=BDD!$D$3:$D$215)*(BDD!$A$3:$A$215="MAAF")*(BDD!$E$3:$E$215="GP")*(BDD!$H$3:$H$215))</f>
        <v>25303675.964169458</v>
      </c>
      <c r="AO46" s="37">
        <f t="array" ref="AO46">SUM(($F46=BDD!$D$3:$D$215)*(BDD!$B$3:$B$215="TOTAL")*(BDD!$E$3:$E$215="GP")*(BDD!$A$3:$A$215="MAAF")*(BDD!$G$3:$G$215))</f>
        <v>396727935.94835055</v>
      </c>
      <c r="AP46" s="82">
        <f t="shared" si="56"/>
        <v>15.678668052425495</v>
      </c>
      <c r="AQ46" s="89">
        <f t="shared" si="68"/>
        <v>0.14250300918843745</v>
      </c>
      <c r="AR46" s="37">
        <f t="array" ref="AR46">SUM(($F46=BDD!$D$3:$D$215)*(BDD!$A$3:$A$215="MAAF")*(BDD!$E$3:$E$215="GP")*(BDD!$F$3:$F$215))</f>
        <v>746029.70142651023</v>
      </c>
      <c r="AS46" s="14">
        <f t="shared" si="69"/>
        <v>2.948305623589648E-2</v>
      </c>
      <c r="AT46" s="44">
        <f>(AR46/Global!$O$3)/(PAT_AGE!AN46/Global!$O$2)</f>
        <v>0.74450134859616346</v>
      </c>
      <c r="AU46" s="11"/>
      <c r="AV46" s="37">
        <f t="array" ref="AV46">SUM(($F46=BDD!$D$3:$D$215)*(BDD!$A$3:$A$215="GMF")*(BDD!$E$3:$E$215="GP")*(BDD!$H$3:$H$215))</f>
        <v>26678715.320290826</v>
      </c>
      <c r="AW46" s="37">
        <f t="array" ref="AW46">SUM(($F46=BDD!$D$3:$D$215)*(BDD!$B$3:$B$215="TOTAL")*(BDD!$E$3:$E$215="GP")*(BDD!$A$3:$A$215="GMF")*(BDD!$G$3:$G$215))</f>
        <v>527471031.82845825</v>
      </c>
      <c r="AX46" s="82">
        <f t="shared" si="57"/>
        <v>19.771230566986247</v>
      </c>
      <c r="AY46" s="89">
        <f t="shared" si="70"/>
        <v>9.8416448309353019E-2</v>
      </c>
      <c r="AZ46" s="37">
        <f t="array" ref="AZ46">SUM(($F46=BDD!$D$3:$D$215)*(BDD!$A$3:$A$215="GMF")*(BDD!$E$3:$E$215="GP")*(BDD!$F$3:$F$215))</f>
        <v>1054521.6403984195</v>
      </c>
      <c r="BA46" s="14">
        <f t="shared" si="71"/>
        <v>3.9526702381969273E-2</v>
      </c>
      <c r="BB46" s="44">
        <f>(AZ46/Global!$O$3)/(PAT_AGE!AV46/Global!$O$2)</f>
        <v>0.99812187018475518</v>
      </c>
      <c r="BC46" s="11"/>
    </row>
    <row r="47" spans="1:55" s="28" customFormat="1" x14ac:dyDescent="0.25">
      <c r="A47" s="11"/>
      <c r="B47" s="11"/>
      <c r="C47" s="11"/>
      <c r="D47" s="67"/>
      <c r="E47" s="11"/>
      <c r="F47" s="41" t="s">
        <v>16</v>
      </c>
      <c r="G47" s="11"/>
      <c r="H47" s="37">
        <f t="array" ref="H47">SUM(($F47=BDD!$D$3:$D$215)*(BDD!$E$3:$E$215="GP")*(BDD!$A$3:$A$215="MMA")*(BDD!$H$3:$H$215))</f>
        <v>33201131.175283819</v>
      </c>
      <c r="I47" s="37">
        <f t="array" ref="I47">SUM(($F47=BDD!$D$3:$D$215)*(BDD!$E$3:$E$215="GP")*(BDD!$A$3:$A$215="MMA")*(BDD!$G$3:$G$215))</f>
        <v>590415322.25889134</v>
      </c>
      <c r="J47" s="82">
        <f t="shared" si="58"/>
        <v>17.782988150066974</v>
      </c>
      <c r="K47" s="86">
        <f t="shared" si="59"/>
        <v>0.16175139492038604</v>
      </c>
      <c r="L47" s="37">
        <f t="array" ref="L47">SUM(($F47=BDD!$D$3:$D$215)*(BDD!$A$3:$A$215="MMA")*(BDD!$E$3:$E$215="GP")*(BDD!$F$3:$F$215))</f>
        <v>1127643.6866513365</v>
      </c>
      <c r="M47" s="14">
        <f t="shared" si="60"/>
        <v>3.3964014078255174E-2</v>
      </c>
      <c r="N47" s="44">
        <f>(L47/Global!$O$3)/(PAT_AGE!H47/Global!$O$2)</f>
        <v>0.85765376841133945</v>
      </c>
      <c r="O47" s="11"/>
      <c r="P47" s="37">
        <f t="array" ref="P47">SUM(($F47=BDD!$D$3:$D$215)*(BDD!$B$3:$B$215="BS")*(BDD!$E$3:$E$215="GP")*(BDD!$A$3:$A$215="MMA")*(BDD!$H$3:$H$215))</f>
        <v>2694694.1159485057</v>
      </c>
      <c r="Q47" s="37">
        <f t="array" ref="Q47">SUM(($F47=BDD!$D$3:$D$215)*(BDD!$B$3:$B$215="BS")*(BDD!$E$3:$E$215="GP")*(BDD!$A$3:$A$215="MMA")*(BDD!$G$3:$G$215))</f>
        <v>36578471.012859173</v>
      </c>
      <c r="R47" s="82">
        <f t="shared" si="54"/>
        <v>13.574257202837998</v>
      </c>
      <c r="S47" s="89">
        <f t="shared" si="61"/>
        <v>1.018674084778699E-2</v>
      </c>
      <c r="T47" s="37">
        <f t="array" ref="T47">SUM(($F47=BDD!$D$3:$D$215)*(BDD!$B$3:$B$215="BS")*(BDD!$A$3:$A$215="MMA")*(BDD!$E$3:$E$215="GP")*(BDD!$F$3:$F$215))</f>
        <v>37594.57117599529</v>
      </c>
      <c r="U47" s="14">
        <f t="shared" si="62"/>
        <v>1.3951331601420881E-2</v>
      </c>
      <c r="V47" s="44">
        <f>(T47/Global!$O$3)/(PAT_AGE!P47/Global!$O$2)</f>
        <v>0.35229676017521899</v>
      </c>
      <c r="W47" s="11"/>
      <c r="X47" s="37">
        <f t="array" ref="X47">SUM(($F47=BDD!$D$3:$D$215)*(BDD!$B$3:$B$215="CO")*(BDD!$E$3:$E$215="GP")*(BDD!$A$3:$A$215="MMA")*(BDD!$H$3:$H$215))</f>
        <v>25065.07999163878</v>
      </c>
      <c r="Y47" s="37">
        <f t="array" ref="Y47">SUM(($F47=BDD!$D$3:$D$215)*(BDD!$B$3:$B$215="CO")*(BDD!$E$3:$E$215="GP")*(BDD!$A$3:$A$215="MMA")*(BDD!$G$3:$G$215))</f>
        <v>402162.21947360685</v>
      </c>
      <c r="Z47" s="82">
        <f t="shared" si="55"/>
        <v>16.044721166170635</v>
      </c>
      <c r="AA47" s="89">
        <f t="shared" si="63"/>
        <v>0</v>
      </c>
      <c r="AB47" s="37">
        <f t="array" ref="AB47">SUM(($F47=BDD!$D$3:$D$215)*(BDD!$B$3:$B$215="CO")*(BDD!$A$3:$A$215="MMA")*(BDD!$E$3:$E$215="GP")*(BDD!$F$3:$F$215))</f>
        <v>675.89413218165635</v>
      </c>
      <c r="AC47" s="14">
        <f t="shared" si="64"/>
        <v>2.6965568528292006E-2</v>
      </c>
      <c r="AD47" s="44">
        <f>(AB47/Global!$O$3)/(PAT_AGE!X47/Global!$O$2)</f>
        <v>0.68093015779458643</v>
      </c>
      <c r="AE47" s="11"/>
      <c r="AF47" s="37">
        <f t="array" ref="AF47">SUM(($F47=BDD!$D$3:$D$215)*(BDD!$B$3:$B$215="AG")*(BDD!$E$3:$E$215="GP")*(BDD!$A$3:$A$215="MMA")*(BDD!$H$3:$H$215))</f>
        <v>30481371.979343675</v>
      </c>
      <c r="AG47" s="37">
        <f t="array" ref="AG47">SUM(($F47=BDD!$D$3:$D$215)*(BDD!$B$3:$B$215="AG")*(BDD!$E$3:$E$215="GP")*(BDD!$A$3:$A$215="MMA")*(BDD!$G$3:$G$215))</f>
        <v>553434689.02655852</v>
      </c>
      <c r="AH47" s="82">
        <f t="shared" si="65"/>
        <v>18.156488802459577</v>
      </c>
      <c r="AI47" s="89">
        <f t="shared" si="66"/>
        <v>0.17528342010111489</v>
      </c>
      <c r="AJ47" s="37">
        <f t="array" ref="AJ47">SUM(($F47=BDD!$D$3:$D$215)*(BDD!$B$3:$B$215="AG")*(BDD!$A$3:$A$215="MMA")*(BDD!$E$3:$E$215="GP")*(BDD!$F$3:$F$215))</f>
        <v>1089373.2213431594</v>
      </c>
      <c r="AK47" s="14">
        <f t="shared" si="67"/>
        <v>3.5738982552405957E-2</v>
      </c>
      <c r="AL47" s="44">
        <f>(AJ47/Global!$O$3)/(PAT_AGE!AF47/Global!$O$2)</f>
        <v>0.90247498410036986</v>
      </c>
      <c r="AM47" s="11"/>
      <c r="AN47" s="37">
        <f t="array" ref="AN47">SUM(($F47=BDD!$D$3:$D$215)*(BDD!$A$3:$A$215="MAAF")*(BDD!$E$3:$E$215="GP")*(BDD!$H$3:$H$215))</f>
        <v>35240848.951308258</v>
      </c>
      <c r="AO47" s="37">
        <f t="array" ref="AO47">SUM(($F47=BDD!$D$3:$D$215)*(BDD!$B$3:$B$215="TOTAL")*(BDD!$E$3:$E$215="GP")*(BDD!$A$3:$A$215="MAAF")*(BDD!$G$3:$G$215))</f>
        <v>561504311.75262749</v>
      </c>
      <c r="AP47" s="82">
        <f t="shared" si="56"/>
        <v>15.933336694823936</v>
      </c>
      <c r="AQ47" s="89">
        <f t="shared" si="68"/>
        <v>0.13849220726787179</v>
      </c>
      <c r="AR47" s="37">
        <f t="array" ref="AR47">SUM(($F47=BDD!$D$3:$D$215)*(BDD!$A$3:$A$215="MAAF")*(BDD!$E$3:$E$215="GP")*(BDD!$F$3:$F$215))</f>
        <v>1093964.3038110528</v>
      </c>
      <c r="AS47" s="14">
        <f t="shared" si="69"/>
        <v>3.1042507100852382E-2</v>
      </c>
      <c r="AT47" s="44">
        <f>(AR47/Global!$O$3)/(PAT_AGE!AN47/Global!$O$2)</f>
        <v>0.78388034861365652</v>
      </c>
      <c r="AU47" s="11"/>
      <c r="AV47" s="37">
        <f t="array" ref="AV47">SUM(($F47=BDD!$D$3:$D$215)*(BDD!$A$3:$A$215="GMF")*(BDD!$E$3:$E$215="GP")*(BDD!$H$3:$H$215))</f>
        <v>49818541.001632527</v>
      </c>
      <c r="AW47" s="37">
        <f t="array" ref="AW47">SUM(($F47=BDD!$D$3:$D$215)*(BDD!$B$3:$B$215="TOTAL")*(BDD!$E$3:$E$215="GP")*(BDD!$A$3:$A$215="GMF")*(BDD!$G$3:$G$215))</f>
        <v>928146253.25616288</v>
      </c>
      <c r="AX47" s="82">
        <f t="shared" si="57"/>
        <v>18.630538642746444</v>
      </c>
      <c r="AY47" s="89">
        <f t="shared" si="70"/>
        <v>7.1858031930487509E-2</v>
      </c>
      <c r="AZ47" s="37">
        <f t="array" ref="AZ47">SUM(($F47=BDD!$D$3:$D$215)*(BDD!$A$3:$A$215="GMF")*(BDD!$E$3:$E$215="GP")*(BDD!$F$3:$F$215))</f>
        <v>1647473.8228180157</v>
      </c>
      <c r="BA47" s="14">
        <f t="shared" si="71"/>
        <v>3.3069491592779263E-2</v>
      </c>
      <c r="BB47" s="44">
        <f>(AZ47/Global!$O$3)/(PAT_AGE!AV47/Global!$O$2)</f>
        <v>0.83506543186108828</v>
      </c>
      <c r="BC47" s="11"/>
    </row>
    <row r="48" spans="1:55" s="28" customFormat="1" x14ac:dyDescent="0.25">
      <c r="A48" s="11"/>
      <c r="B48" s="11"/>
      <c r="C48" s="11"/>
      <c r="D48" s="67"/>
      <c r="E48" s="11"/>
      <c r="F48" s="41" t="s">
        <v>17</v>
      </c>
      <c r="G48" s="11"/>
      <c r="H48" s="37">
        <f t="array" ref="H48">SUM(($F48=BDD!$D$3:$D$215)*(BDD!$E$3:$E$215="GP")*(BDD!$A$3:$A$215="MMA")*(BDD!$H$3:$H$215))</f>
        <v>46576575.910162494</v>
      </c>
      <c r="I48" s="37">
        <f t="array" ref="I48">SUM(($F48=BDD!$D$3:$D$215)*(BDD!$E$3:$E$215="GP")*(BDD!$A$3:$A$215="MMA")*(BDD!$G$3:$G$215))</f>
        <v>677767280.29142833</v>
      </c>
      <c r="J48" s="82">
        <f t="shared" si="58"/>
        <v>14.551676825679817</v>
      </c>
      <c r="K48" s="86">
        <f t="shared" si="59"/>
        <v>0.1113608390368649</v>
      </c>
      <c r="L48" s="37">
        <f t="array" ref="L48">SUM(($F48=BDD!$D$3:$D$215)*(BDD!$A$3:$A$215="MMA")*(BDD!$E$3:$E$215="GP")*(BDD!$F$3:$F$215))</f>
        <v>1130814.9343276804</v>
      </c>
      <c r="M48" s="14">
        <f t="shared" si="60"/>
        <v>2.4278618860021205E-2</v>
      </c>
      <c r="N48" s="44">
        <f>(L48/Global!$O$3)/(PAT_AGE!H48/Global!$O$2)</f>
        <v>0.6130797410795773</v>
      </c>
      <c r="O48" s="11"/>
      <c r="P48" s="37">
        <f t="array" ref="P48">SUM(($F48=BDD!$D$3:$D$215)*(BDD!$B$3:$B$215="BS")*(BDD!$E$3:$E$215="GP")*(BDD!$A$3:$A$215="MMA")*(BDD!$H$3:$H$215))</f>
        <v>2327013.4168322338</v>
      </c>
      <c r="Q48" s="37">
        <f t="array" ref="Q48">SUM(($F48=BDD!$D$3:$D$215)*(BDD!$B$3:$B$215="BS")*(BDD!$E$3:$E$215="GP")*(BDD!$A$3:$A$215="MMA")*(BDD!$G$3:$G$215))</f>
        <v>20963938.832014818</v>
      </c>
      <c r="R48" s="82">
        <f t="shared" si="54"/>
        <v>9.0089462657903603</v>
      </c>
      <c r="S48" s="89">
        <f t="shared" si="61"/>
        <v>1.0096405273587897E-3</v>
      </c>
      <c r="T48" s="37">
        <f t="array" ref="T48">SUM(($F48=BDD!$D$3:$D$215)*(BDD!$B$3:$B$215="BS")*(BDD!$A$3:$A$215="MMA")*(BDD!$E$3:$E$215="GP")*(BDD!$F$3:$F$215))</f>
        <v>33036.594051851556</v>
      </c>
      <c r="U48" s="14">
        <f t="shared" si="62"/>
        <v>1.41969933705085E-2</v>
      </c>
      <c r="V48" s="44">
        <f>(T48/Global!$O$3)/(PAT_AGE!P48/Global!$O$2)</f>
        <v>0.35850017127754463</v>
      </c>
      <c r="W48" s="11"/>
      <c r="X48" s="37">
        <f t="array" ref="X48">SUM(($F48=BDD!$D$3:$D$215)*(BDD!$B$3:$B$215="CO")*(BDD!$E$3:$E$215="GP")*(BDD!$A$3:$A$215="MMA")*(BDD!$H$3:$H$215))</f>
        <v>292570.60006958077</v>
      </c>
      <c r="Y48" s="37">
        <f t="array" ref="Y48">SUM(($F48=BDD!$D$3:$D$215)*(BDD!$B$3:$B$215="CO")*(BDD!$E$3:$E$215="GP")*(BDD!$A$3:$A$215="MMA")*(BDD!$G$3:$G$215))</f>
        <v>4303196.3721966967</v>
      </c>
      <c r="Z48" s="82">
        <f t="shared" si="55"/>
        <v>14.708232375957415</v>
      </c>
      <c r="AA48" s="89">
        <f t="shared" si="63"/>
        <v>6.4087096093943752E-2</v>
      </c>
      <c r="AB48" s="37">
        <f t="array" ref="AB48">SUM(($F48=BDD!$D$3:$D$215)*(BDD!$B$3:$B$215="CO")*(BDD!$A$3:$A$215="MMA")*(BDD!$E$3:$E$215="GP")*(BDD!$F$3:$F$215))</f>
        <v>10413.888526480701</v>
      </c>
      <c r="AC48" s="14">
        <f t="shared" si="64"/>
        <v>3.5594446345613713E-2</v>
      </c>
      <c r="AD48" s="44">
        <f>(AB48/Global!$O$3)/(PAT_AGE!X48/Global!$O$2)</f>
        <v>0.89882517927631023</v>
      </c>
      <c r="AE48" s="11"/>
      <c r="AF48" s="37">
        <f t="array" ref="AF48">SUM(($F48=BDD!$D$3:$D$215)*(BDD!$B$3:$B$215="AG")*(BDD!$E$3:$E$215="GP")*(BDD!$A$3:$A$215="MMA")*(BDD!$H$3:$H$215))</f>
        <v>43956991.893260673</v>
      </c>
      <c r="AG48" s="37">
        <f t="array" ref="AG48">SUM(($F48=BDD!$D$3:$D$215)*(BDD!$B$3:$B$215="AG")*(BDD!$E$3:$E$215="GP")*(BDD!$A$3:$A$215="MMA")*(BDD!$G$3:$G$215))</f>
        <v>652500145.08721685</v>
      </c>
      <c r="AH48" s="82">
        <f t="shared" si="65"/>
        <v>14.844058180133473</v>
      </c>
      <c r="AI48" s="89">
        <f t="shared" si="66"/>
        <v>0.11751730277971202</v>
      </c>
      <c r="AJ48" s="37">
        <f t="array" ref="AJ48">SUM(($F48=BDD!$D$3:$D$215)*(BDD!$B$3:$B$215="AG")*(BDD!$A$3:$A$215="MMA")*(BDD!$E$3:$E$215="GP")*(BDD!$F$3:$F$215))</f>
        <v>1087364.4517493483</v>
      </c>
      <c r="AK48" s="14">
        <f t="shared" si="67"/>
        <v>2.4737007809582601E-2</v>
      </c>
      <c r="AL48" s="44">
        <f>(AJ48/Global!$O$3)/(PAT_AGE!AF48/Global!$O$2)</f>
        <v>0.62465490440048599</v>
      </c>
      <c r="AM48" s="11"/>
      <c r="AN48" s="37">
        <f t="array" ref="AN48">SUM(($F48=BDD!$D$3:$D$215)*(BDD!$A$3:$A$215="MAAF")*(BDD!$E$3:$E$215="GP")*(BDD!$H$3:$H$215))</f>
        <v>26790136.966722228</v>
      </c>
      <c r="AO48" s="37">
        <f t="array" ref="AO48">SUM(($F48=BDD!$D$3:$D$215)*(BDD!$B$3:$B$215="TOTAL")*(BDD!$E$3:$E$215="GP")*(BDD!$A$3:$A$215="MAAF")*(BDD!$G$3:$G$215))</f>
        <v>391225181.85153699</v>
      </c>
      <c r="AP48" s="82">
        <f t="shared" si="56"/>
        <v>14.603328916813798</v>
      </c>
      <c r="AQ48" s="89">
        <f t="shared" si="68"/>
        <v>0.12219515620241088</v>
      </c>
      <c r="AR48" s="37">
        <f t="array" ref="AR48">SUM(($F48=BDD!$D$3:$D$215)*(BDD!$A$3:$A$215="MAAF")*(BDD!$E$3:$E$215="GP")*(BDD!$F$3:$F$215))</f>
        <v>665779.00584668713</v>
      </c>
      <c r="AS48" s="14">
        <f t="shared" si="69"/>
        <v>2.4851646211204316E-2</v>
      </c>
      <c r="AT48" s="44">
        <f>(AR48/Global!$O$3)/(PAT_AGE!AN48/Global!$O$2)</f>
        <v>0.62754973470319952</v>
      </c>
      <c r="AU48" s="11"/>
      <c r="AV48" s="37">
        <f t="array" ref="AV48">SUM(($F48=BDD!$D$3:$D$215)*(BDD!$A$3:$A$215="GMF")*(BDD!$E$3:$E$215="GP")*(BDD!$H$3:$H$215))</f>
        <v>83119158.684706643</v>
      </c>
      <c r="AW48" s="37">
        <f t="array" ref="AW48">SUM(($F48=BDD!$D$3:$D$215)*(BDD!$B$3:$B$215="TOTAL")*(BDD!$E$3:$E$215="GP")*(BDD!$A$3:$A$215="GMF")*(BDD!$G$3:$G$215))</f>
        <v>1327745210.1521933</v>
      </c>
      <c r="AX48" s="82">
        <f t="shared" si="57"/>
        <v>15.973997224739588</v>
      </c>
      <c r="AY48" s="89">
        <f t="shared" si="70"/>
        <v>7.509051450114114E-2</v>
      </c>
      <c r="AZ48" s="37">
        <f t="array" ref="AZ48">SUM(($F48=BDD!$D$3:$D$215)*(BDD!$A$3:$A$215="GMF")*(BDD!$E$3:$E$215="GP")*(BDD!$F$3:$F$215))</f>
        <v>2155290.4013118688</v>
      </c>
      <c r="BA48" s="14">
        <f t="shared" si="71"/>
        <v>2.5930127727681482E-2</v>
      </c>
      <c r="BB48" s="44">
        <f>(AZ48/Global!$O$3)/(PAT_AGE!AV48/Global!$O$2)</f>
        <v>0.65478337483293925</v>
      </c>
      <c r="BC48" s="11"/>
    </row>
    <row r="49" spans="1:55" s="28" customFormat="1" x14ac:dyDescent="0.25">
      <c r="A49" s="11"/>
      <c r="B49" s="11"/>
      <c r="C49" s="11"/>
      <c r="D49" s="67"/>
      <c r="E49" s="11"/>
      <c r="F49" s="41" t="s">
        <v>12</v>
      </c>
      <c r="G49" s="11"/>
      <c r="H49" s="37">
        <f t="array" ref="H49">SUM(($F49=BDD!$D$3:$D$215)*(BDD!$E$3:$E$215="GP")*(BDD!$A$3:$A$215="MMA")*(BDD!$H$3:$H$215))</f>
        <v>36000808.028177284</v>
      </c>
      <c r="I49" s="37">
        <f t="array" ref="I49">SUM(($F49=BDD!$D$3:$D$215)*(BDD!$E$3:$E$215="GP")*(BDD!$A$3:$A$215="MMA")*(BDD!$G$3:$G$215))</f>
        <v>329992974.43208998</v>
      </c>
      <c r="J49" s="82">
        <f t="shared" si="58"/>
        <v>9.1662657730851347</v>
      </c>
      <c r="K49" s="86">
        <f t="shared" si="59"/>
        <v>7.0703391986536426E-2</v>
      </c>
      <c r="L49" s="37">
        <f t="array" ref="L49">SUM(($F49=BDD!$D$3:$D$215)*(BDD!$A$3:$A$215="MMA")*(BDD!$E$3:$E$215="GP")*(BDD!$F$3:$F$215))</f>
        <v>448939.98840130604</v>
      </c>
      <c r="M49" s="14">
        <f t="shared" si="60"/>
        <v>1.2470275335207131E-2</v>
      </c>
      <c r="N49" s="44">
        <f>(L49/Global!$O$3)/(PAT_AGE!H49/Global!$O$2)</f>
        <v>0.31489736783541034</v>
      </c>
      <c r="O49" s="11"/>
      <c r="P49" s="37">
        <f t="array" ref="P49">SUM(($F49=BDD!$D$3:$D$215)*(BDD!$B$3:$B$215="BS")*(BDD!$E$3:$E$215="GP")*(BDD!$A$3:$A$215="MMA")*(BDD!$H$3:$H$215))</f>
        <v>2517970.1482267105</v>
      </c>
      <c r="Q49" s="37">
        <f t="array" ref="Q49">SUM(($F49=BDD!$D$3:$D$215)*(BDD!$B$3:$B$215="BS")*(BDD!$E$3:$E$215="GP")*(BDD!$A$3:$A$215="MMA")*(BDD!$G$3:$G$215))</f>
        <v>14860518.303523235</v>
      </c>
      <c r="R49" s="82">
        <f t="shared" si="54"/>
        <v>5.9017849413301455</v>
      </c>
      <c r="S49" s="89">
        <f t="shared" si="61"/>
        <v>1.0687648791205685E-2</v>
      </c>
      <c r="T49" s="37">
        <f t="array" ref="T49">SUM(($F49=BDD!$D$3:$D$215)*(BDD!$B$3:$B$215="BS")*(BDD!$A$3:$A$215="MMA")*(BDD!$E$3:$E$215="GP")*(BDD!$F$3:$F$215))</f>
        <v>43821.287147477087</v>
      </c>
      <c r="U49" s="14">
        <f t="shared" si="62"/>
        <v>1.7403418058128443E-2</v>
      </c>
      <c r="V49" s="44">
        <f>(T49/Global!$O$3)/(PAT_AGE!P49/Global!$O$2)</f>
        <v>0.4394682868285576</v>
      </c>
      <c r="W49" s="11"/>
      <c r="X49" s="37">
        <f t="array" ref="X49">SUM(($F49=BDD!$D$3:$D$215)*(BDD!$B$3:$B$215="CO")*(BDD!$E$3:$E$215="GP")*(BDD!$A$3:$A$215="MMA")*(BDD!$H$3:$H$215))</f>
        <v>738688.99975358776</v>
      </c>
      <c r="Y49" s="37">
        <f t="array" ref="Y49">SUM(($F49=BDD!$D$3:$D$215)*(BDD!$B$3:$B$215="CO")*(BDD!$E$3:$E$215="GP")*(BDD!$A$3:$A$215="MMA")*(BDD!$G$3:$G$215))</f>
        <v>5371039.8984014913</v>
      </c>
      <c r="Z49" s="82">
        <f t="shared" si="55"/>
        <v>7.2710435652800642</v>
      </c>
      <c r="AA49" s="89">
        <f t="shared" si="63"/>
        <v>0</v>
      </c>
      <c r="AB49" s="37">
        <f t="array" ref="AB49">SUM(($F49=BDD!$D$3:$D$215)*(BDD!$B$3:$B$215="CO")*(BDD!$A$3:$A$215="MMA")*(BDD!$E$3:$E$215="GP")*(BDD!$F$3:$F$215))</f>
        <v>12224.618966452103</v>
      </c>
      <c r="AC49" s="14">
        <f t="shared" si="64"/>
        <v>1.6549074063008921E-2</v>
      </c>
      <c r="AD49" s="44">
        <f>(AB49/Global!$O$3)/(PAT_AGE!X49/Global!$O$2)</f>
        <v>0.41789453099258378</v>
      </c>
      <c r="AE49" s="11"/>
      <c r="AF49" s="37">
        <f t="array" ref="AF49">SUM(($F49=BDD!$D$3:$D$215)*(BDD!$B$3:$B$215="AG")*(BDD!$E$3:$E$215="GP")*(BDD!$A$3:$A$215="MMA")*(BDD!$H$3:$H$215))</f>
        <v>32744148.880196989</v>
      </c>
      <c r="AG49" s="37">
        <f t="array" ref="AG49">SUM(($F49=BDD!$D$3:$D$215)*(BDD!$B$3:$B$215="AG")*(BDD!$E$3:$E$215="GP")*(BDD!$A$3:$A$215="MMA")*(BDD!$G$3:$G$215))</f>
        <v>309761416.23016524</v>
      </c>
      <c r="AH49" s="82">
        <f t="shared" si="65"/>
        <v>9.4600539889892445</v>
      </c>
      <c r="AI49" s="89">
        <f t="shared" si="66"/>
        <v>7.6913529511845047E-2</v>
      </c>
      <c r="AJ49" s="37">
        <f t="array" ref="AJ49">SUM(($F49=BDD!$D$3:$D$215)*(BDD!$B$3:$B$215="AG")*(BDD!$A$3:$A$215="MMA")*(BDD!$E$3:$E$215="GP")*(BDD!$F$3:$F$215))</f>
        <v>392894.08228737692</v>
      </c>
      <c r="AK49" s="14">
        <f t="shared" si="67"/>
        <v>1.1998909598318846E-2</v>
      </c>
      <c r="AL49" s="44">
        <f>(AJ49/Global!$O$3)/(PAT_AGE!AF49/Global!$O$2)</f>
        <v>0.30299451678809991</v>
      </c>
      <c r="AM49" s="11"/>
      <c r="AN49" s="37">
        <f t="array" ref="AN49">SUM(($F49=BDD!$D$3:$D$215)*(BDD!$A$3:$A$215="MAAF")*(BDD!$E$3:$E$215="GP")*(BDD!$H$3:$H$215))</f>
        <v>18787421.982437812</v>
      </c>
      <c r="AO49" s="37">
        <f t="array" ref="AO49">SUM(($F49=BDD!$D$3:$D$215)*(BDD!$B$3:$B$215="TOTAL")*(BDD!$E$3:$E$215="GP")*(BDD!$A$3:$A$215="MAAF")*(BDD!$G$3:$G$215))</f>
        <v>217820347.5710507</v>
      </c>
      <c r="AP49" s="82">
        <f t="shared" si="56"/>
        <v>11.59394555435364</v>
      </c>
      <c r="AQ49" s="89">
        <f t="shared" si="68"/>
        <v>8.6290497297536739E-2</v>
      </c>
      <c r="AR49" s="37">
        <f t="array" ref="AR49">SUM(($F49=BDD!$D$3:$D$215)*(BDD!$A$3:$A$215="MAAF")*(BDD!$E$3:$E$215="GP")*(BDD!$F$3:$F$215))</f>
        <v>299341.5073804204</v>
      </c>
      <c r="AS49" s="14">
        <f t="shared" si="69"/>
        <v>1.5933080529102937E-2</v>
      </c>
      <c r="AT49" s="44">
        <f>(AR49/Global!$O$3)/(PAT_AGE!AN49/Global!$O$2)</f>
        <v>0.40233956229971285</v>
      </c>
      <c r="AU49" s="11"/>
      <c r="AV49" s="37">
        <f t="array" ref="AV49">SUM(($F49=BDD!$D$3:$D$215)*(BDD!$A$3:$A$215="GMF")*(BDD!$E$3:$E$215="GP")*(BDD!$H$3:$H$215))</f>
        <v>80265109.66023159</v>
      </c>
      <c r="AW49" s="37">
        <f t="array" ref="AW49">SUM(($F49=BDD!$D$3:$D$215)*(BDD!$B$3:$B$215="TOTAL")*(BDD!$E$3:$E$215="GP")*(BDD!$A$3:$A$215="GMF")*(BDD!$G$3:$G$215))</f>
        <v>945244089.71548462</v>
      </c>
      <c r="AX49" s="82">
        <f t="shared" si="57"/>
        <v>11.776525238883693</v>
      </c>
      <c r="AY49" s="89">
        <f t="shared" si="70"/>
        <v>3.6150303399318504E-2</v>
      </c>
      <c r="AZ49" s="37">
        <f t="array" ref="AZ49">SUM(($F49=BDD!$D$3:$D$215)*(BDD!$A$3:$A$215="GMF")*(BDD!$E$3:$E$215="GP")*(BDD!$F$3:$F$215))</f>
        <v>1057218.0872376524</v>
      </c>
      <c r="BA49" s="14">
        <f t="shared" si="71"/>
        <v>1.317157718606426E-2</v>
      </c>
      <c r="BB49" s="44">
        <f>(AZ49/Global!$O$3)/(PAT_AGE!AV49/Global!$O$2)</f>
        <v>0.33260652829552639</v>
      </c>
      <c r="BC49" s="11"/>
    </row>
    <row r="50" spans="1:55" s="28" customFormat="1" x14ac:dyDescent="0.25">
      <c r="A50" s="11"/>
      <c r="B50" s="11"/>
      <c r="C50" s="11"/>
      <c r="D50" s="67"/>
      <c r="E50" s="11"/>
      <c r="F50" s="48" t="s">
        <v>30</v>
      </c>
      <c r="G50" s="11"/>
      <c r="H50" s="47">
        <f>SUM(H44:H49)</f>
        <v>153599704.05243188</v>
      </c>
      <c r="I50" s="47">
        <f>SUM(I44:I49)</f>
        <v>2304552604.6480517</v>
      </c>
      <c r="J50" s="83">
        <f t="shared" si="58"/>
        <v>15.003626594627965</v>
      </c>
      <c r="K50" s="87">
        <f t="shared" si="59"/>
        <v>0.14093861224871176</v>
      </c>
      <c r="L50" s="47">
        <f>SUM(L44:L49)</f>
        <v>3973932.4152912982</v>
      </c>
      <c r="M50" s="42">
        <f t="shared" si="60"/>
        <v>2.5872005677398831E-2</v>
      </c>
      <c r="N50" s="43">
        <f>(L50/Global!$O$3)/(PAT_AGE!H50/Global!$O$2)</f>
        <v>0.65331568625708791</v>
      </c>
      <c r="O50" s="11"/>
      <c r="P50" s="47">
        <f>SUM(P44:P49)</f>
        <v>8053905.4030216765</v>
      </c>
      <c r="Q50" s="47">
        <f>SUM(Q44:Q49)</f>
        <v>81162692.515874743</v>
      </c>
      <c r="R50" s="83">
        <f t="shared" si="54"/>
        <v>10.077433053214655</v>
      </c>
      <c r="S50" s="90">
        <f t="shared" si="61"/>
        <v>9.4732434656609032E-3</v>
      </c>
      <c r="T50" s="47">
        <f>SUM(T44:T49)</f>
        <v>121223.94677518893</v>
      </c>
      <c r="U50" s="42">
        <f t="shared" si="62"/>
        <v>1.5051573206919956E-2</v>
      </c>
      <c r="V50" s="43">
        <f>(T50/Global!$O$3)/(PAT_AGE!P50/Global!$O$2)</f>
        <v>0.3800798825395264</v>
      </c>
      <c r="W50" s="11"/>
      <c r="X50" s="47">
        <f>SUM(X44:X49)</f>
        <v>1057037.8616785693</v>
      </c>
      <c r="Y50" s="47">
        <f>SUM(Y44:Y49)</f>
        <v>10089563.936367549</v>
      </c>
      <c r="Z50" s="83">
        <f t="shared" si="55"/>
        <v>9.5451301246157687</v>
      </c>
      <c r="AA50" s="90">
        <f t="shared" si="63"/>
        <v>1.7738248402140611E-2</v>
      </c>
      <c r="AB50" s="47">
        <f>SUM(AB44:AB49)</f>
        <v>23338.630849575668</v>
      </c>
      <c r="AC50" s="42">
        <f t="shared" si="64"/>
        <v>2.2079276150538327E-2</v>
      </c>
      <c r="AD50" s="43">
        <f>(AB50/Global!$O$3)/(PAT_AGE!X50/Global!$O$2)</f>
        <v>0.55754229611003103</v>
      </c>
      <c r="AE50" s="11"/>
      <c r="AF50" s="47">
        <f>SUM(AF44:AF49)</f>
        <v>144488760.78773165</v>
      </c>
      <c r="AG50" s="47">
        <f>SUM(AG44:AG49)</f>
        <v>2213300348.1958094</v>
      </c>
      <c r="AH50" s="83">
        <f t="shared" si="65"/>
        <v>15.31814887282041</v>
      </c>
      <c r="AI50" s="90">
        <f t="shared" si="66"/>
        <v>0.14916788272364692</v>
      </c>
      <c r="AJ50" s="47">
        <f>SUM(AJ44:AJ49)</f>
        <v>3829369.837666533</v>
      </c>
      <c r="AK50" s="42">
        <f t="shared" si="67"/>
        <v>2.6502890721668365E-2</v>
      </c>
      <c r="AL50" s="43">
        <f>(AJ50/Global!$O$3)/(PAT_AGE!AF50/Global!$O$2)</f>
        <v>0.66924669295156869</v>
      </c>
      <c r="AM50" s="11"/>
      <c r="AN50" s="47">
        <f>SUM(AN44:AN49)</f>
        <v>140870791.81720498</v>
      </c>
      <c r="AO50" s="47">
        <f>SUM(AO44:AO49)</f>
        <v>2113539743.9445758</v>
      </c>
      <c r="AP50" s="83">
        <f t="shared" si="56"/>
        <v>15.003392233977936</v>
      </c>
      <c r="AQ50" s="90">
        <f t="shared" si="68"/>
        <v>0.12867130657424988</v>
      </c>
      <c r="AR50" s="47">
        <f>SUM(AR44:AR49)</f>
        <v>3523397.0577903334</v>
      </c>
      <c r="AS50" s="42">
        <f t="shared" si="69"/>
        <v>2.5011551453209126E-2</v>
      </c>
      <c r="AT50" s="43">
        <f>(AR50/Global!$O$3)/(PAT_AGE!AN50/Global!$O$2)</f>
        <v>0.63158763590881561</v>
      </c>
      <c r="AU50" s="11"/>
      <c r="AV50" s="47">
        <f>SUM(AV44:AV49)</f>
        <v>296559039.92111582</v>
      </c>
      <c r="AW50" s="47">
        <f>SUM(AW44:AW49)</f>
        <v>4741126573.9827538</v>
      </c>
      <c r="AX50" s="83">
        <f t="shared" si="57"/>
        <v>15.987125448085768</v>
      </c>
      <c r="AY50" s="90">
        <f t="shared" si="70"/>
        <v>6.740060656384031E-2</v>
      </c>
      <c r="AZ50" s="47">
        <f>SUM(AZ44:AZ49)</f>
        <v>7733500.9772601211</v>
      </c>
      <c r="BA50" s="42">
        <f t="shared" si="71"/>
        <v>2.6077441373283442E-2</v>
      </c>
      <c r="BB50" s="43">
        <f>(AZ50/Global!$O$3)/(PAT_AGE!AV50/Global!$O$2)</f>
        <v>0.65850331509082005</v>
      </c>
      <c r="BC50" s="11"/>
    </row>
    <row r="51" spans="1:55" s="28" customFormat="1" x14ac:dyDescent="0.25">
      <c r="A51" s="11"/>
      <c r="B51" s="11"/>
      <c r="C51" s="11"/>
      <c r="D51" s="67"/>
      <c r="E51" s="11"/>
      <c r="F51" s="39"/>
      <c r="G51" s="11"/>
      <c r="H51" s="11"/>
      <c r="I51" s="11"/>
      <c r="J51" s="85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85"/>
      <c r="AA51" s="11"/>
      <c r="AB51" s="11"/>
      <c r="AC51" s="11"/>
      <c r="AD51" s="11"/>
      <c r="AE51" s="11"/>
      <c r="AF51" s="11"/>
      <c r="AG51" s="11"/>
      <c r="AH51" s="85"/>
      <c r="AI51" s="91"/>
      <c r="AJ51" s="11"/>
      <c r="AK51" s="11"/>
      <c r="AL51" s="11"/>
      <c r="AM51" s="11"/>
      <c r="AN51" s="11"/>
      <c r="AO51" s="11"/>
      <c r="AP51" s="11"/>
      <c r="AQ51" s="91"/>
      <c r="AR51" s="11"/>
      <c r="AS51" s="11"/>
      <c r="AT51" s="11"/>
      <c r="AU51" s="11"/>
      <c r="AV51" s="11"/>
      <c r="AW51" s="11"/>
      <c r="AX51" s="11"/>
      <c r="AY51" s="91"/>
      <c r="AZ51" s="11"/>
      <c r="BA51" s="11"/>
      <c r="BB51" s="11"/>
      <c r="BC51" s="11"/>
    </row>
    <row r="52" spans="1:55" s="28" customFormat="1" x14ac:dyDescent="0.25">
      <c r="A52" s="11"/>
      <c r="B52" s="66" t="s">
        <v>11</v>
      </c>
      <c r="C52" s="11"/>
      <c r="D52" s="67"/>
      <c r="E52" s="11"/>
      <c r="F52" s="40" t="s">
        <v>13</v>
      </c>
      <c r="G52" s="11"/>
      <c r="H52" s="37">
        <f t="array" ref="H52">SUM(($F52=BDD!$D$3:$D$215)*(BDD!$E$3:$E$215="GP")*(BDD!$C$3:$C$215="EURO")*(BDD!$A$3:$A$215="MMA")*(BDD!$H$3:$H$215))</f>
        <v>7779633.8946764758</v>
      </c>
      <c r="I52" s="37">
        <f t="array" ref="I52">SUM(($F52=BDD!$D$3:$D$215)*(BDD!$E$3:$E$215="GP")*(BDD!$C$3:$C$215="EURO")*(BDD!$A$3:$A$215="MMA")*(BDD!$G$3:$G$215))</f>
        <v>121932994.05134797</v>
      </c>
      <c r="J52" s="82">
        <f>I52/H52</f>
        <v>15.673358888364332</v>
      </c>
      <c r="K52" s="45"/>
      <c r="L52" s="37">
        <f t="array" ref="L52">SUM(($F52=BDD!$D$3:$D$215)*(BDD!$E$3:$E$215="GP")*(BDD!$C$3:$C$215="EURO")*(BDD!$A$3:$A$215="MMA")*(BDD!$F$3:$F$215))</f>
        <v>150517.24280511032</v>
      </c>
      <c r="M52" s="14">
        <f>L52/H52</f>
        <v>1.9347599751205227E-2</v>
      </c>
      <c r="N52" s="44">
        <f>(L52/Global!$O$3)/(PAT_AGE!H52/Global!$O$2)</f>
        <v>0.48856244724498449</v>
      </c>
      <c r="O52" s="11"/>
      <c r="P52" s="37">
        <f t="array" ref="P52">SUM(($F52=BDD!$D$3:$D$215)*(BDD!$B$3:$B$215="BS")*(BDD!$E$3:$E$215="GP")*(BDD!$C$3:$C$215="EURO")*(BDD!$A$3:$A$215="MMA")*(BDD!$H$3:$H$215))</f>
        <v>51278.309333371471</v>
      </c>
      <c r="Q52" s="37">
        <f t="array" ref="Q52">SUM(($F52=BDD!$D$3:$D$215)*(BDD!$B$3:$B$215="BS")*(BDD!$E$3:$E$215="GP")*(BDD!$C$3:$C$215="EURO")*(BDD!$A$3:$A$215="MMA")*(BDD!$G$3:$G$215))</f>
        <v>810727.14625718689</v>
      </c>
      <c r="R52" s="82">
        <f t="shared" ref="R52:R58" si="72">Q52/P52</f>
        <v>15.810333000381759</v>
      </c>
      <c r="S52" s="45"/>
      <c r="T52" s="37">
        <f t="array" ref="T52">SUM(($F52=BDD!$D$3:$D$215)*(BDD!$B$3:$B$215="BS")*(BDD!$E$3:$E$215="GP")*(BDD!$C$3:$C$215="EURO")*(BDD!$A$3:$A$215="MMA")*(BDD!$F$3:$F$215))</f>
        <v>312.28843839236458</v>
      </c>
      <c r="U52" s="14">
        <f>T52/P52</f>
        <v>6.0900689287961768E-3</v>
      </c>
      <c r="V52" s="44">
        <f>(T52/Global!$O$3)/(PAT_AGE!P52/Global!$O$2)</f>
        <v>0.1537854316816718</v>
      </c>
      <c r="W52" s="11"/>
      <c r="X52" s="37">
        <f t="array" ref="X52">SUM(($F52=BDD!$D$3:$D$215)*(BDD!$B$3:$B$215="CO")*(BDD!$E$3:$E$215="GP")*(BDD!$C$3:$C$215="EURO")*(BDD!$A$3:$A$215="MMA")*(BDD!$H$3:$H$215))</f>
        <v>0.63163299978929954</v>
      </c>
      <c r="Y52" s="37">
        <f t="array" ref="Y52">SUM(($F52=BDD!$D$3:$D$215)*(BDD!$B$3:$B$215="CO")*(BDD!$E$3:$E$215="GP")*(BDD!$C$3:$C$215="EURO")*(BDD!$A$3:$A$215="MMA")*(BDD!$G$3:$G$215))</f>
        <v>9.0914347745983974</v>
      </c>
      <c r="Z52" s="82">
        <f t="shared" ref="Z52:Z58" si="73">Y52/X52</f>
        <v>14.393539884127527</v>
      </c>
      <c r="AA52" s="45"/>
      <c r="AB52" s="37">
        <f t="array" ref="AB52">SUM(($F52=BDD!$D$3:$D$215)*(BDD!$B$3:$B$215="CO")*(BDD!$E$3:$E$215="GP")*(BDD!$C$3:$C$215="EURO")*(BDD!$A$3:$A$215="MMA")*(BDD!$F$3:$F$215))</f>
        <v>1.6036292140923399E-2</v>
      </c>
      <c r="AC52" s="14">
        <f>AB52/X52</f>
        <v>2.5388623055275443E-2</v>
      </c>
      <c r="AD52" s="44">
        <f>(AB52/Global!$O$3)/(PAT_AGE!X52/Global!$O$2)</f>
        <v>0.64110938677512819</v>
      </c>
      <c r="AE52" s="11"/>
      <c r="AF52" s="37">
        <f t="array" ref="AF52">SUM(($F52=BDD!$D$3:$D$215)*(BDD!$B$3:$B$215="AG")*(BDD!$E$3:$E$215="GP")*(BDD!$C$3:$C$215="EURO")*(BDD!$A$3:$A$215="MMA")*(BDD!$H$3:$H$215))</f>
        <v>7728354.9537101043</v>
      </c>
      <c r="AG52" s="37">
        <f t="array" ref="AG52">SUM(($F52=BDD!$D$3:$D$215)*(BDD!$B$3:$B$215="AG")*(BDD!$E$3:$E$215="GP")*(BDD!$C$3:$C$215="EURO")*(BDD!$A$3:$A$215="MMA")*(BDD!$G$3:$G$215))</f>
        <v>121122257.813656</v>
      </c>
      <c r="AH52" s="82">
        <f>AG52/AF52</f>
        <v>15.67245015778029</v>
      </c>
      <c r="AI52" s="91"/>
      <c r="AJ52" s="37">
        <f t="array" ref="AJ52">SUM(($F52=BDD!$D$3:$D$215)*(BDD!$B$3:$B$215="AG")*(BDD!$E$3:$E$215="GP")*(BDD!$C$3:$C$215="EURO")*(BDD!$A$3:$A$215="MMA")*(BDD!$F$3:$F$215))</f>
        <v>150204.93833042582</v>
      </c>
      <c r="AK52" s="14">
        <f>AJ52/AF52</f>
        <v>1.9435564131059721E-2</v>
      </c>
      <c r="AL52" s="44">
        <f>(AJ52/Global!$O$3)/(PAT_AGE!AF52/Global!$O$2)</f>
        <v>0.4907837094813724</v>
      </c>
      <c r="AM52" s="11"/>
      <c r="AN52" s="37">
        <f t="array" ref="AN52">SUM(($F52=BDD!$D$3:$D$215)*(BDD!$E$3:$E$215="GP")*(BDD!$C$3:$C$215="EURO")*(BDD!$A$3:$A$215="MAAF")*(BDD!$H$3:$H$215))</f>
        <v>15646188.996932587</v>
      </c>
      <c r="AO52" s="37">
        <f t="array" ref="AO52">SUM(($F52=BDD!$D$3:$D$215)*(BDD!$B$3:$B$215="TOTAL")*(BDD!$E$3:$E$215="GP")*(BDD!$C$3:$C$215="EURO")*(BDD!$A$3:$A$215="MAAF")*(BDD!$G$3:$G$215))</f>
        <v>260747799.09446165</v>
      </c>
      <c r="AP52" s="82">
        <f t="shared" ref="AP52:AP58" si="74">AO52/AN52</f>
        <v>16.665259453633144</v>
      </c>
      <c r="AQ52" s="91"/>
      <c r="AR52" s="37">
        <f t="array" ref="AR52">SUM(($F52=BDD!$D$3:$D$215)*(BDD!$A$3:$A$215="MAAF")*(BDD!$E$3:$E$215="GP")*(BDD!$C$3:$C$215="EURO")*(BDD!$F$3:$F$215))</f>
        <v>209234.40485451382</v>
      </c>
      <c r="AS52" s="14">
        <f>AR52/AN52</f>
        <v>1.3372867021837325E-2</v>
      </c>
      <c r="AT52" s="44">
        <f>(AR52/Global!$O$3)/(PAT_AGE!AN52/Global!$O$2)</f>
        <v>0.3376894665429287</v>
      </c>
      <c r="AU52" s="11"/>
      <c r="AV52" s="37">
        <f t="array" ref="AV52">SUM(($F52=BDD!$D$3:$D$215)*(BDD!$A$3:$A$215="GMF")*(BDD!$E$3:$E$215="GP")*(BDD!$C$3:$C$215="EURO")*(BDD!$H$3:$H$215))</f>
        <v>28511184.608398952</v>
      </c>
      <c r="AW52" s="37">
        <f t="array" ref="AW52">SUM(($F52=BDD!$D$3:$D$215)*(BDD!$B$3:$B$215="TOTAL")*(BDD!$E$3:$E$215="GP")*(BDD!$C$3:$C$215="EURO")*(BDD!$A$3:$A$215="GMF")*(BDD!$G$3:$G$215))</f>
        <v>498481002.29511058</v>
      </c>
      <c r="AX52" s="82">
        <f t="shared" ref="AX52:AX58" si="75">AW52/AV52</f>
        <v>17.483700138796262</v>
      </c>
      <c r="AY52" s="91"/>
      <c r="AZ52" s="37">
        <f t="array" ref="AZ52">SUM(($F52=BDD!$D$3:$D$215)*(BDD!$A$3:$A$215="GMF")*(BDD!$E$3:$E$215="GP")*(BDD!$C$3:$C$215="EURO")*(BDD!$F$3:$F$215))</f>
        <v>677621.83339978685</v>
      </c>
      <c r="BA52" s="14">
        <f>AZ52/AV52</f>
        <v>2.376687755022883E-2</v>
      </c>
      <c r="BB52" s="44">
        <f>(AZ52/Global!$O$3)/(PAT_AGE!AV52/Global!$O$2)</f>
        <v>0.60015733262149762</v>
      </c>
      <c r="BC52" s="11"/>
    </row>
    <row r="53" spans="1:55" s="28" customFormat="1" x14ac:dyDescent="0.25">
      <c r="A53" s="11"/>
      <c r="B53" s="67"/>
      <c r="C53" s="11"/>
      <c r="D53" s="67"/>
      <c r="E53" s="11"/>
      <c r="F53" s="41" t="s">
        <v>14</v>
      </c>
      <c r="G53" s="11"/>
      <c r="H53" s="37">
        <f t="array" ref="H53">SUM(($F53=BDD!$D$3:$D$215)*(BDD!$E$3:$E$215="GP")*(BDD!$C$3:$C$215="EURO")*(BDD!$A$3:$A$215="MMA")*(BDD!$H$3:$H$215))</f>
        <v>7453013.2758951401</v>
      </c>
      <c r="I53" s="37">
        <f t="array" ref="I53">SUM(($F53=BDD!$D$3:$D$215)*(BDD!$E$3:$E$215="GP")*(BDD!$C$3:$C$215="EURO")*(BDD!$A$3:$A$215="MMA")*(BDD!$G$3:$G$215))</f>
        <v>131630002.15362234</v>
      </c>
      <c r="J53" s="82">
        <f t="shared" ref="J53:J58" si="76">I53/H53</f>
        <v>17.661313254243868</v>
      </c>
      <c r="K53" s="45"/>
      <c r="L53" s="37">
        <f t="array" ref="L53">SUM(($F53=BDD!$D$3:$D$215)*(BDD!$E$3:$E$215="GP")*(BDD!$C$3:$C$215="EURO")*(BDD!$A$3:$A$215="MMA")*(BDD!$F$3:$F$215))</f>
        <v>189465.28147240018</v>
      </c>
      <c r="M53" s="14">
        <f t="shared" ref="M53:M58" si="77">L53/H53</f>
        <v>2.5421299340117512E-2</v>
      </c>
      <c r="N53" s="44">
        <f>(L53/Global!$O$3)/(PAT_AGE!H53/Global!$O$2)</f>
        <v>0.64193452301396958</v>
      </c>
      <c r="O53" s="11"/>
      <c r="P53" s="37">
        <f t="array" ref="P53">SUM(($F53=BDD!$D$3:$D$215)*(BDD!$B$3:$B$215="BS")*(BDD!$E$3:$E$215="GP")*(BDD!$C$3:$C$215="EURO")*(BDD!$A$3:$A$215="MMA")*(BDD!$H$3:$H$215))</f>
        <v>27837.68963810433</v>
      </c>
      <c r="Q53" s="37">
        <f t="array" ref="Q53">SUM(($F53=BDD!$D$3:$D$215)*(BDD!$B$3:$B$215="BS")*(BDD!$E$3:$E$215="GP")*(BDD!$C$3:$C$215="EURO")*(BDD!$A$3:$A$215="MMA")*(BDD!$G$3:$G$215))</f>
        <v>497631.37797500781</v>
      </c>
      <c r="R53" s="82">
        <f t="shared" si="72"/>
        <v>17.876173793311072</v>
      </c>
      <c r="S53" s="45"/>
      <c r="T53" s="37">
        <f t="array" ref="T53">SUM(($F53=BDD!$D$3:$D$215)*(BDD!$B$3:$B$215="BS")*(BDD!$E$3:$E$215="GP")*(BDD!$C$3:$C$215="EURO")*(BDD!$A$3:$A$215="MMA")*(BDD!$F$3:$F$215))</f>
        <v>317.00490716927663</v>
      </c>
      <c r="U53" s="14">
        <f t="shared" ref="U53:U58" si="78">T53/P53</f>
        <v>1.1387615541749527E-2</v>
      </c>
      <c r="V53" s="44">
        <f>(T53/Global!$O$3)/(PAT_AGE!P53/Global!$O$2)</f>
        <v>0.28755821853383112</v>
      </c>
      <c r="W53" s="11"/>
      <c r="X53" s="37">
        <f t="array" ref="X53">SUM(($F53=BDD!$D$3:$D$215)*(BDD!$B$3:$B$215="CO")*(BDD!$E$3:$E$215="GP")*(BDD!$C$3:$C$215="EURO")*(BDD!$A$3:$A$215="MMA")*(BDD!$H$3:$H$215))</f>
        <v>0.63073099978960045</v>
      </c>
      <c r="Y53" s="37">
        <f t="array" ref="Y53">SUM(($F53=BDD!$D$3:$D$215)*(BDD!$B$3:$B$215="CO")*(BDD!$E$3:$E$215="GP")*(BDD!$C$3:$C$215="EURO")*(BDD!$A$3:$A$215="MMA")*(BDD!$G$3:$G$215))</f>
        <v>9.0104495215400355</v>
      </c>
      <c r="Z53" s="82">
        <f t="shared" si="73"/>
        <v>14.285724856627859</v>
      </c>
      <c r="AA53" s="45"/>
      <c r="AB53" s="37">
        <f t="array" ref="AB53">SUM(($F53=BDD!$D$3:$D$215)*(BDD!$B$3:$B$215="CO")*(BDD!$E$3:$E$215="GP")*(BDD!$C$3:$C$215="EURO")*(BDD!$A$3:$A$215="MMA")*(BDD!$F$3:$F$215))</f>
        <v>1.5791386634108267E-2</v>
      </c>
      <c r="AC53" s="14">
        <f t="shared" ref="AC53:AC58" si="79">AB53/X53</f>
        <v>2.5036642624789277E-2</v>
      </c>
      <c r="AD53" s="44">
        <f>(AB53/Global!$O$3)/(PAT_AGE!X53/Global!$O$2)</f>
        <v>0.63222123409924136</v>
      </c>
      <c r="AE53" s="11"/>
      <c r="AF53" s="37">
        <f t="array" ref="AF53">SUM(($F53=BDD!$D$3:$D$215)*(BDD!$B$3:$B$215="AG")*(BDD!$E$3:$E$215="GP")*(BDD!$C$3:$C$215="EURO")*(BDD!$A$3:$A$215="MMA")*(BDD!$H$3:$H$215))</f>
        <v>7425174.9555260362</v>
      </c>
      <c r="AG53" s="37">
        <f t="array" ref="AG53">SUM(($F53=BDD!$D$3:$D$215)*(BDD!$B$3:$B$215="AG")*(BDD!$E$3:$E$215="GP")*(BDD!$C$3:$C$215="EURO")*(BDD!$A$3:$A$215="MMA")*(BDD!$G$3:$G$215))</f>
        <v>131132361.76519781</v>
      </c>
      <c r="AH53" s="82">
        <f t="shared" ref="AH53:AH58" si="80">AG53/AF53</f>
        <v>17.660508008313691</v>
      </c>
      <c r="AI53" s="91"/>
      <c r="AJ53" s="37">
        <f t="array" ref="AJ53">SUM(($F53=BDD!$D$3:$D$215)*(BDD!$B$3:$B$215="AG")*(BDD!$E$3:$E$215="GP")*(BDD!$C$3:$C$215="EURO")*(BDD!$A$3:$A$215="MMA")*(BDD!$F$3:$F$215))</f>
        <v>189148.26077384429</v>
      </c>
      <c r="AK53" s="14">
        <f t="shared" ref="AK53:AK58" si="81">AJ53/AF53</f>
        <v>2.5473912992861471E-2</v>
      </c>
      <c r="AL53" s="44">
        <f>(AJ53/Global!$O$3)/(PAT_AGE!AF53/Global!$O$2)</f>
        <v>0.64326311442963002</v>
      </c>
      <c r="AM53" s="11"/>
      <c r="AN53" s="37">
        <f t="array" ref="AN53">SUM(($F53=BDD!$D$3:$D$215)*(BDD!$E$3:$E$215="GP")*(BDD!$C$3:$C$215="EURO")*(BDD!$A$3:$A$215="MAAF")*(BDD!$H$3:$H$215))</f>
        <v>14357723.997185187</v>
      </c>
      <c r="AO53" s="37">
        <f t="array" ref="AO53">SUM(($F53=BDD!$D$3:$D$215)*(BDD!$B$3:$B$215="TOTAL")*(BDD!$E$3:$E$215="GP")*(BDD!$C$3:$C$215="EURO")*(BDD!$A$3:$A$215="MAAF")*(BDD!$G$3:$G$215))</f>
        <v>221024501.57616475</v>
      </c>
      <c r="AP53" s="82">
        <f t="shared" si="74"/>
        <v>15.394118289186803</v>
      </c>
      <c r="AQ53" s="91"/>
      <c r="AR53" s="37">
        <f t="array" ref="AR53">SUM(($F53=BDD!$D$3:$D$215)*(BDD!$A$3:$A$215="MAAF")*(BDD!$E$3:$E$215="GP")*(BDD!$C$3:$C$215="EURO")*(BDD!$F$3:$F$215))</f>
        <v>248806.26551799694</v>
      </c>
      <c r="AS53" s="14">
        <f t="shared" ref="AS53:AS58" si="82">AR53/AN53</f>
        <v>1.7329088201359429E-2</v>
      </c>
      <c r="AT53" s="44">
        <f>(AR53/Global!$O$3)/(PAT_AGE!AN53/Global!$O$2)</f>
        <v>0.437591321355144</v>
      </c>
      <c r="AU53" s="11"/>
      <c r="AV53" s="37">
        <f t="array" ref="AV53">SUM(($F53=BDD!$D$3:$D$215)*(BDD!$A$3:$A$215="GMF")*(BDD!$E$3:$E$215="GP")*(BDD!$C$3:$C$215="EURO")*(BDD!$H$3:$H$215))</f>
        <v>23526626.647620454</v>
      </c>
      <c r="AW53" s="37">
        <f t="array" ref="AW53">SUM(($F53=BDD!$D$3:$D$215)*(BDD!$B$3:$B$215="TOTAL")*(BDD!$E$3:$E$215="GP")*(BDD!$C$3:$C$215="EURO")*(BDD!$A$3:$A$215="GMF")*(BDD!$G$3:$G$215))</f>
        <v>424618194.87983567</v>
      </c>
      <c r="AX53" s="82">
        <f t="shared" si="75"/>
        <v>18.048409627088748</v>
      </c>
      <c r="AY53" s="91"/>
      <c r="AZ53" s="37">
        <f t="array" ref="AZ53">SUM(($F53=BDD!$D$3:$D$215)*(BDD!$A$3:$A$215="GMF")*(BDD!$E$3:$E$215="GP")*(BDD!$C$3:$C$215="EURO")*(BDD!$F$3:$F$215))</f>
        <v>616157.50259836426</v>
      </c>
      <c r="BA53" s="14">
        <f t="shared" ref="BA53:BA58" si="83">AZ53/AV53</f>
        <v>2.6189793880232466E-2</v>
      </c>
      <c r="BB53" s="44">
        <f>(AZ53/Global!$O$3)/(PAT_AGE!AV53/Global!$O$2)</f>
        <v>0.66134042235244339</v>
      </c>
      <c r="BC53" s="11"/>
    </row>
    <row r="54" spans="1:55" s="28" customFormat="1" x14ac:dyDescent="0.25">
      <c r="A54" s="11"/>
      <c r="B54" s="67"/>
      <c r="C54" s="11"/>
      <c r="D54" s="67"/>
      <c r="E54" s="11"/>
      <c r="F54" s="41" t="s">
        <v>15</v>
      </c>
      <c r="G54" s="11"/>
      <c r="H54" s="37">
        <f t="array" ref="H54">SUM(($F54=BDD!$D$3:$D$215)*(BDD!$E$3:$E$215="GP")*(BDD!$C$3:$C$215="EURO")*(BDD!$A$3:$A$215="MMA")*(BDD!$H$3:$H$215))</f>
        <v>14042927.73247917</v>
      </c>
      <c r="I54" s="37">
        <f t="array" ref="I54">SUM(($F54=BDD!$D$3:$D$215)*(BDD!$E$3:$E$215="GP")*(BDD!$C$3:$C$215="EURO")*(BDD!$A$3:$A$215="MMA")*(BDD!$G$3:$G$215))</f>
        <v>272308697.91913229</v>
      </c>
      <c r="J54" s="82">
        <f t="shared" si="76"/>
        <v>19.39116280498428</v>
      </c>
      <c r="K54" s="45"/>
      <c r="L54" s="37">
        <f t="array" ref="L54">SUM(($F54=BDD!$D$3:$D$215)*(BDD!$E$3:$E$215="GP")*(BDD!$C$3:$C$215="EURO")*(BDD!$A$3:$A$215="MMA")*(BDD!$F$3:$F$215))</f>
        <v>433545.28434295213</v>
      </c>
      <c r="M54" s="14">
        <f t="shared" si="77"/>
        <v>3.0872855903133888E-2</v>
      </c>
      <c r="N54" s="44">
        <f>(L54/Global!$O$3)/(PAT_AGE!H54/Global!$O$2)</f>
        <v>0.77959634411691126</v>
      </c>
      <c r="O54" s="11"/>
      <c r="P54" s="37">
        <f t="array" ref="P54">SUM(($F54=BDD!$D$3:$D$215)*(BDD!$B$3:$B$215="BS")*(BDD!$E$3:$E$215="GP")*(BDD!$C$3:$C$215="EURO")*(BDD!$A$3:$A$215="MMA")*(BDD!$H$3:$H$215))</f>
        <v>415525.89459807827</v>
      </c>
      <c r="Q54" s="37">
        <f t="array" ref="Q54">SUM(($F54=BDD!$D$3:$D$215)*(BDD!$B$3:$B$215="BS")*(BDD!$E$3:$E$215="GP")*(BDD!$C$3:$C$215="EURO")*(BDD!$A$3:$A$215="MMA")*(BDD!$G$3:$G$215))</f>
        <v>7027795.858862726</v>
      </c>
      <c r="R54" s="82">
        <f t="shared" si="72"/>
        <v>16.913015410653131</v>
      </c>
      <c r="S54" s="45"/>
      <c r="T54" s="37">
        <f t="array" ref="T54">SUM(($F54=BDD!$D$3:$D$215)*(BDD!$B$3:$B$215="BS")*(BDD!$E$3:$E$215="GP")*(BDD!$C$3:$C$215="EURO")*(BDD!$A$3:$A$215="MMA")*(BDD!$F$3:$F$215))</f>
        <v>6495.863152154504</v>
      </c>
      <c r="U54" s="14">
        <f t="shared" si="78"/>
        <v>1.563287207031392E-2</v>
      </c>
      <c r="V54" s="44">
        <f>(T54/Global!$O$3)/(PAT_AGE!P54/Global!$O$2)</f>
        <v>0.39475874704636493</v>
      </c>
      <c r="W54" s="11"/>
      <c r="X54" s="37">
        <f t="array" ref="X54">SUM(($F54=BDD!$D$3:$D$215)*(BDD!$B$3:$B$215="CO")*(BDD!$E$3:$E$215="GP")*(BDD!$C$3:$C$215="EURO")*(BDD!$A$3:$A$215="MMA")*(BDD!$H$3:$H$215))</f>
        <v>711.91949976251749</v>
      </c>
      <c r="Y54" s="37">
        <f t="array" ref="Y54">SUM(($F54=BDD!$D$3:$D$215)*(BDD!$B$3:$B$215="CO")*(BDD!$E$3:$E$215="GP")*(BDD!$C$3:$C$215="EURO")*(BDD!$A$3:$A$215="MMA")*(BDD!$G$3:$G$215))</f>
        <v>13147.34441145711</v>
      </c>
      <c r="Z54" s="82">
        <f t="shared" si="73"/>
        <v>18.467459334718054</v>
      </c>
      <c r="AA54" s="45"/>
      <c r="AB54" s="37">
        <f t="array" ref="AB54">SUM(($F54=BDD!$D$3:$D$215)*(BDD!$B$3:$B$215="CO")*(BDD!$E$3:$E$215="GP")*(BDD!$C$3:$C$215="EURO")*(BDD!$A$3:$A$215="MMA")*(BDD!$F$3:$F$215))</f>
        <v>24.197396782432957</v>
      </c>
      <c r="AC54" s="14">
        <f t="shared" si="79"/>
        <v>3.3988950703702787E-2</v>
      </c>
      <c r="AD54" s="44">
        <f>(AB54/Global!$O$3)/(PAT_AGE!X54/Global!$O$2)</f>
        <v>0.85828346402792155</v>
      </c>
      <c r="AE54" s="11"/>
      <c r="AF54" s="37">
        <f t="array" ref="AF54">SUM(($F54=BDD!$D$3:$D$215)*(BDD!$B$3:$B$215="AG")*(BDD!$E$3:$E$215="GP")*(BDD!$C$3:$C$215="EURO")*(BDD!$A$3:$A$215="MMA")*(BDD!$H$3:$H$215))</f>
        <v>13626689.91838133</v>
      </c>
      <c r="AG54" s="37">
        <f t="array" ref="AG54">SUM(($F54=BDD!$D$3:$D$215)*(BDD!$B$3:$B$215="AG")*(BDD!$E$3:$E$215="GP")*(BDD!$C$3:$C$215="EURO")*(BDD!$A$3:$A$215="MMA")*(BDD!$G$3:$G$215))</f>
        <v>265267754.71585816</v>
      </c>
      <c r="AH54" s="82">
        <f t="shared" si="80"/>
        <v>19.46677852836681</v>
      </c>
      <c r="AI54" s="91"/>
      <c r="AJ54" s="37">
        <f t="array" ref="AJ54">SUM(($F54=BDD!$D$3:$D$215)*(BDD!$B$3:$B$215="AG")*(BDD!$E$3:$E$215="GP")*(BDD!$C$3:$C$215="EURO")*(BDD!$A$3:$A$215="MMA")*(BDD!$F$3:$F$215))</f>
        <v>427025.22379401518</v>
      </c>
      <c r="AK54" s="14">
        <f t="shared" si="81"/>
        <v>3.1337414027304743E-2</v>
      </c>
      <c r="AL54" s="44">
        <f>(AJ54/Global!$O$3)/(PAT_AGE!AF54/Global!$O$2)</f>
        <v>0.79132729043330463</v>
      </c>
      <c r="AM54" s="11"/>
      <c r="AN54" s="37">
        <f t="array" ref="AN54">SUM(($F54=BDD!$D$3:$D$215)*(BDD!$E$3:$E$215="GP")*(BDD!$C$3:$C$215="EURO")*(BDD!$A$3:$A$215="MAAF")*(BDD!$H$3:$H$215))</f>
        <v>21697825.995746173</v>
      </c>
      <c r="AO54" s="37">
        <f t="array" ref="AO54">SUM(($F54=BDD!$D$3:$D$215)*(BDD!$B$3:$B$215="TOTAL")*(BDD!$E$3:$E$215="GP")*(BDD!$C$3:$C$215="EURO")*(BDD!$A$3:$A$215="MAAF")*(BDD!$G$3:$G$215))</f>
        <v>343250032.40169364</v>
      </c>
      <c r="AP54" s="82">
        <f t="shared" si="74"/>
        <v>15.819558718416642</v>
      </c>
      <c r="AQ54" s="91"/>
      <c r="AR54" s="37">
        <f t="array" ref="AR54">SUM(($F54=BDD!$D$3:$D$215)*(BDD!$A$3:$A$215="MAAF")*(BDD!$E$3:$E$215="GP")*(BDD!$C$3:$C$215="EURO")*(BDD!$F$3:$F$215))</f>
        <v>429467.67704344296</v>
      </c>
      <c r="AS54" s="14">
        <f t="shared" si="82"/>
        <v>1.9793120155339041E-2</v>
      </c>
      <c r="AT54" s="44">
        <f>(AR54/Global!$O$3)/(PAT_AGE!AN54/Global!$O$2)</f>
        <v>0.49981265614635639</v>
      </c>
      <c r="AU54" s="11"/>
      <c r="AV54" s="37">
        <f t="array" ref="AV54">SUM(($F54=BDD!$D$3:$D$215)*(BDD!$A$3:$A$215="GMF")*(BDD!$E$3:$E$215="GP")*(BDD!$C$3:$C$215="EURO")*(BDD!$H$3:$H$215))</f>
        <v>24053090.91301148</v>
      </c>
      <c r="AW54" s="37">
        <f t="array" ref="AW54">SUM(($F54=BDD!$D$3:$D$215)*(BDD!$B$3:$B$215="TOTAL")*(BDD!$E$3:$E$215="GP")*(BDD!$C$3:$C$215="EURO")*(BDD!$A$3:$A$215="GMF")*(BDD!$G$3:$G$215))</f>
        <v>472658122.22365427</v>
      </c>
      <c r="AX54" s="82">
        <f t="shared" si="75"/>
        <v>19.650618871937603</v>
      </c>
      <c r="AY54" s="91"/>
      <c r="AZ54" s="37">
        <f t="array" ref="AZ54">SUM(($F54=BDD!$D$3:$D$215)*(BDD!$A$3:$A$215="GMF")*(BDD!$E$3:$E$215="GP")*(BDD!$C$3:$C$215="EURO")*(BDD!$F$3:$F$215))</f>
        <v>712166.32903121167</v>
      </c>
      <c r="BA54" s="14">
        <f t="shared" si="83"/>
        <v>2.9608100331336894E-2</v>
      </c>
      <c r="BB54" s="44">
        <f>(AZ54/Global!$O$3)/(PAT_AGE!AV54/Global!$O$2)</f>
        <v>0.74765894178950498</v>
      </c>
      <c r="BC54" s="11"/>
    </row>
    <row r="55" spans="1:55" s="28" customFormat="1" x14ac:dyDescent="0.25">
      <c r="A55" s="11"/>
      <c r="B55" s="67"/>
      <c r="C55" s="11"/>
      <c r="D55" s="67"/>
      <c r="E55" s="11"/>
      <c r="F55" s="41" t="s">
        <v>16</v>
      </c>
      <c r="G55" s="11"/>
      <c r="H55" s="37">
        <f t="array" ref="H55">SUM(($F55=BDD!$D$3:$D$215)*(BDD!$E$3:$E$215="GP")*(BDD!$C$3:$C$215="EURO")*(BDD!$A$3:$A$215="MMA")*(BDD!$H$3:$H$215))</f>
        <v>27830801.894746944</v>
      </c>
      <c r="I55" s="37">
        <f t="array" ref="I55">SUM(($F55=BDD!$D$3:$D$215)*(BDD!$E$3:$E$215="GP")*(BDD!$C$3:$C$215="EURO")*(BDD!$A$3:$A$215="MMA")*(BDD!$G$3:$G$215))</f>
        <v>481925726.86302936</v>
      </c>
      <c r="J55" s="82">
        <f t="shared" si="76"/>
        <v>17.316271686515535</v>
      </c>
      <c r="K55" s="45"/>
      <c r="L55" s="37">
        <f t="array" ref="L55">SUM(($F55=BDD!$D$3:$D$215)*(BDD!$E$3:$E$215="GP")*(BDD!$C$3:$C$215="EURO")*(BDD!$A$3:$A$215="MMA")*(BDD!$F$3:$F$215))</f>
        <v>713184.19808920776</v>
      </c>
      <c r="M55" s="14">
        <f t="shared" si="77"/>
        <v>2.5625715018431468E-2</v>
      </c>
      <c r="N55" s="44">
        <f>(L55/Global!$O$3)/(PAT_AGE!H55/Global!$O$2)</f>
        <v>0.64709639452963852</v>
      </c>
      <c r="O55" s="11"/>
      <c r="P55" s="37">
        <f t="array" ref="P55">SUM(($F55=BDD!$D$3:$D$215)*(BDD!$B$3:$B$215="BS")*(BDD!$E$3:$E$215="GP")*(BDD!$C$3:$C$215="EURO")*(BDD!$A$3:$A$215="MMA")*(BDD!$H$3:$H$215))</f>
        <v>2667243.965325282</v>
      </c>
      <c r="Q55" s="37">
        <f t="array" ref="Q55">SUM(($F55=BDD!$D$3:$D$215)*(BDD!$B$3:$B$215="BS")*(BDD!$E$3:$E$215="GP")*(BDD!$C$3:$C$215="EURO")*(BDD!$A$3:$A$215="MMA")*(BDD!$G$3:$G$215))</f>
        <v>36073938.799944848</v>
      </c>
      <c r="R55" s="82">
        <f t="shared" si="72"/>
        <v>13.524799106835911</v>
      </c>
      <c r="S55" s="45"/>
      <c r="T55" s="37">
        <f t="array" ref="T55">SUM(($F55=BDD!$D$3:$D$215)*(BDD!$B$3:$B$215="BS")*(BDD!$E$3:$E$215="GP")*(BDD!$C$3:$C$215="EURO")*(BDD!$A$3:$A$215="MMA")*(BDD!$F$3:$F$215))</f>
        <v>37218.304717123436</v>
      </c>
      <c r="U55" s="14">
        <f t="shared" si="78"/>
        <v>1.3953843443257919E-2</v>
      </c>
      <c r="V55" s="44">
        <f>(T55/Global!$O$3)/(PAT_AGE!P55/Global!$O$2)</f>
        <v>0.35236018879741388</v>
      </c>
      <c r="W55" s="11"/>
      <c r="X55" s="37">
        <f t="array" ref="X55">SUM(($F55=BDD!$D$3:$D$215)*(BDD!$B$3:$B$215="CO")*(BDD!$E$3:$E$215="GP")*(BDD!$C$3:$C$215="EURO")*(BDD!$A$3:$A$215="MMA")*(BDD!$H$3:$H$215))</f>
        <v>25065.07999163878</v>
      </c>
      <c r="Y55" s="37">
        <f t="array" ref="Y55">SUM(($F55=BDD!$D$3:$D$215)*(BDD!$B$3:$B$215="CO")*(BDD!$E$3:$E$215="GP")*(BDD!$C$3:$C$215="EURO")*(BDD!$A$3:$A$215="MMA")*(BDD!$G$3:$G$215))</f>
        <v>402162.21947360685</v>
      </c>
      <c r="Z55" s="82">
        <f t="shared" si="73"/>
        <v>16.044721166170635</v>
      </c>
      <c r="AA55" s="45"/>
      <c r="AB55" s="37">
        <f t="array" ref="AB55">SUM(($F55=BDD!$D$3:$D$215)*(BDD!$B$3:$B$215="CO")*(BDD!$E$3:$E$215="GP")*(BDD!$C$3:$C$215="EURO")*(BDD!$A$3:$A$215="MMA")*(BDD!$F$3:$F$215))</f>
        <v>675.89413218165635</v>
      </c>
      <c r="AC55" s="14">
        <f t="shared" si="79"/>
        <v>2.6965568528292006E-2</v>
      </c>
      <c r="AD55" s="44">
        <f>(AB55/Global!$O$3)/(PAT_AGE!X55/Global!$O$2)</f>
        <v>0.68093015779458643</v>
      </c>
      <c r="AE55" s="11"/>
      <c r="AF55" s="37">
        <f t="array" ref="AF55">SUM(($F55=BDD!$D$3:$D$215)*(BDD!$B$3:$B$215="AG")*(BDD!$E$3:$E$215="GP")*(BDD!$C$3:$C$215="EURO")*(BDD!$A$3:$A$215="MMA")*(BDD!$H$3:$H$215))</f>
        <v>25138492.849430025</v>
      </c>
      <c r="AG55" s="37">
        <f t="array" ref="AG55">SUM(($F55=BDD!$D$3:$D$215)*(BDD!$B$3:$B$215="AG")*(BDD!$E$3:$E$215="GP")*(BDD!$C$3:$C$215="EURO")*(BDD!$A$3:$A$215="MMA")*(BDD!$G$3:$G$215))</f>
        <v>445449625.84361088</v>
      </c>
      <c r="AH55" s="82">
        <f t="shared" si="80"/>
        <v>17.719822286550116</v>
      </c>
      <c r="AI55" s="91"/>
      <c r="AJ55" s="37">
        <f t="array" ref="AJ55">SUM(($F55=BDD!$D$3:$D$215)*(BDD!$B$3:$B$215="AG")*(BDD!$E$3:$E$215="GP")*(BDD!$C$3:$C$215="EURO")*(BDD!$A$3:$A$215="MMA")*(BDD!$F$3:$F$215))</f>
        <v>675289.99923990271</v>
      </c>
      <c r="AK55" s="14">
        <f t="shared" si="81"/>
        <v>2.686278780850674E-2</v>
      </c>
      <c r="AL55" s="44">
        <f>(AJ55/Global!$O$3)/(PAT_AGE!AF55/Global!$O$2)</f>
        <v>0.67833475574815127</v>
      </c>
      <c r="AM55" s="11"/>
      <c r="AN55" s="37">
        <f t="array" ref="AN55">SUM(($F55=BDD!$D$3:$D$215)*(BDD!$E$3:$E$215="GP")*(BDD!$C$3:$C$215="EURO")*(BDD!$A$3:$A$215="MAAF")*(BDD!$H$3:$H$215))</f>
        <v>30360265.99404791</v>
      </c>
      <c r="AO55" s="37">
        <f t="array" ref="AO55">SUM(($F55=BDD!$D$3:$D$215)*(BDD!$B$3:$B$215="TOTAL")*(BDD!$E$3:$E$215="GP")*(BDD!$C$3:$C$215="EURO")*(BDD!$A$3:$A$215="MAAF")*(BDD!$G$3:$G$215))</f>
        <v>483809392.85105187</v>
      </c>
      <c r="AP55" s="82">
        <f t="shared" si="74"/>
        <v>15.935611135485509</v>
      </c>
      <c r="AQ55" s="91"/>
      <c r="AR55" s="37">
        <f t="array" ref="AR55">SUM(($F55=BDD!$D$3:$D$215)*(BDD!$A$3:$A$215="MAAF")*(BDD!$E$3:$E$215="GP")*(BDD!$C$3:$C$215="EURO")*(BDD!$F$3:$F$215))</f>
        <v>591077.94686909171</v>
      </c>
      <c r="AS55" s="14">
        <f t="shared" si="82"/>
        <v>1.946880000935999E-2</v>
      </c>
      <c r="AT55" s="44">
        <f>(AR55/Global!$O$3)/(PAT_AGE!AN55/Global!$O$2)</f>
        <v>0.49162297648335307</v>
      </c>
      <c r="AU55" s="11"/>
      <c r="AV55" s="37">
        <f t="array" ref="AV55">SUM(($F55=BDD!$D$3:$D$215)*(BDD!$A$3:$A$215="GMF")*(BDD!$E$3:$E$215="GP")*(BDD!$C$3:$C$215="EURO")*(BDD!$H$3:$H$215))</f>
        <v>46238678.691606916</v>
      </c>
      <c r="AW55" s="37">
        <f t="array" ref="AW55">SUM(($F55=BDD!$D$3:$D$215)*(BDD!$B$3:$B$215="TOTAL")*(BDD!$E$3:$E$215="GP")*(BDD!$C$3:$C$215="EURO")*(BDD!$A$3:$A$215="GMF")*(BDD!$G$3:$G$215))</f>
        <v>853386770.76155651</v>
      </c>
      <c r="AX55" s="82">
        <f t="shared" si="75"/>
        <v>18.456123637383701</v>
      </c>
      <c r="AY55" s="91"/>
      <c r="AZ55" s="37">
        <f t="array" ref="AZ55">SUM(($F55=BDD!$D$3:$D$215)*(BDD!$A$3:$A$215="GMF")*(BDD!$E$3:$E$215="GP")*(BDD!$C$3:$C$215="EURO")*(BDD!$F$3:$F$215))</f>
        <v>1196139.5064882501</v>
      </c>
      <c r="BA55" s="14">
        <f t="shared" si="83"/>
        <v>2.5868808113354874E-2</v>
      </c>
      <c r="BB55" s="44">
        <f>(AZ55/Global!$O$3)/(PAT_AGE!AV55/Global!$O$2)</f>
        <v>0.65323494188907194</v>
      </c>
      <c r="BC55" s="11"/>
    </row>
    <row r="56" spans="1:55" s="28" customFormat="1" x14ac:dyDescent="0.25">
      <c r="A56" s="11"/>
      <c r="B56" s="67"/>
      <c r="C56" s="11"/>
      <c r="D56" s="67"/>
      <c r="E56" s="11"/>
      <c r="F56" s="41" t="s">
        <v>17</v>
      </c>
      <c r="G56" s="11"/>
      <c r="H56" s="37">
        <f t="array" ref="H56">SUM(($F56=BDD!$D$3:$D$215)*(BDD!$E$3:$E$215="GP")*(BDD!$C$3:$C$215="EURO")*(BDD!$A$3:$A$215="MMA")*(BDD!$H$3:$H$215))</f>
        <v>41389769.337342568</v>
      </c>
      <c r="I56" s="37">
        <f t="array" ref="I56">SUM(($F56=BDD!$D$3:$D$215)*(BDD!$E$3:$E$215="GP")*(BDD!$C$3:$C$215="EURO")*(BDD!$A$3:$A$215="MMA")*(BDD!$G$3:$G$215))</f>
        <v>589526917.52242184</v>
      </c>
      <c r="J56" s="82">
        <f t="shared" si="76"/>
        <v>14.2433003846325</v>
      </c>
      <c r="K56" s="45"/>
      <c r="L56" s="37">
        <f t="array" ref="L56">SUM(($F56=BDD!$D$3:$D$215)*(BDD!$E$3:$E$215="GP")*(BDD!$C$3:$C$215="EURO")*(BDD!$A$3:$A$215="MMA")*(BDD!$F$3:$F$215))</f>
        <v>765248.56632371794</v>
      </c>
      <c r="M56" s="14">
        <f t="shared" si="77"/>
        <v>1.8488833800610175E-2</v>
      </c>
      <c r="N56" s="44">
        <f>(L56/Global!$O$3)/(PAT_AGE!H56/Global!$O$2)</f>
        <v>0.46687702890738181</v>
      </c>
      <c r="O56" s="11"/>
      <c r="P56" s="37">
        <f t="array" ref="P56">SUM(($F56=BDD!$D$3:$D$215)*(BDD!$B$3:$B$215="BS")*(BDD!$E$3:$E$215="GP")*(BDD!$C$3:$C$215="EURO")*(BDD!$A$3:$A$215="MMA")*(BDD!$H$3:$H$215))</f>
        <v>2324663.9697788921</v>
      </c>
      <c r="Q56" s="37">
        <f t="array" ref="Q56">SUM(($F56=BDD!$D$3:$D$215)*(BDD!$B$3:$B$215="BS")*(BDD!$E$3:$E$215="GP")*(BDD!$C$3:$C$215="EURO")*(BDD!$A$3:$A$215="MMA")*(BDD!$G$3:$G$215))</f>
        <v>20926538.496350788</v>
      </c>
      <c r="R56" s="82">
        <f t="shared" si="72"/>
        <v>9.0019627646834444</v>
      </c>
      <c r="S56" s="45"/>
      <c r="T56" s="37">
        <f t="array" ref="T56">SUM(($F56=BDD!$D$3:$D$215)*(BDD!$B$3:$B$215="BS")*(BDD!$E$3:$E$215="GP")*(BDD!$C$3:$C$215="EURO")*(BDD!$A$3:$A$215="MMA")*(BDD!$F$3:$F$215))</f>
        <v>32956.023294384846</v>
      </c>
      <c r="U56" s="14">
        <f t="shared" si="78"/>
        <v>1.4176682618571931E-2</v>
      </c>
      <c r="V56" s="44">
        <f>(T56/Global!$O$3)/(PAT_AGE!P56/Global!$O$2)</f>
        <v>0.35798728746771197</v>
      </c>
      <c r="W56" s="11"/>
      <c r="X56" s="37">
        <f t="array" ref="X56">SUM(($F56=BDD!$D$3:$D$215)*(BDD!$B$3:$B$215="CO")*(BDD!$E$3:$E$215="GP")*(BDD!$C$3:$C$215="EURO")*(BDD!$A$3:$A$215="MMA")*(BDD!$H$3:$H$215))</f>
        <v>273820.59990865877</v>
      </c>
      <c r="Y56" s="37">
        <f t="array" ref="Y56">SUM(($F56=BDD!$D$3:$D$215)*(BDD!$B$3:$B$215="CO")*(BDD!$E$3:$E$215="GP")*(BDD!$C$3:$C$215="EURO")*(BDD!$A$3:$A$215="MMA")*(BDD!$G$3:$G$215))</f>
        <v>4030516.159112575</v>
      </c>
      <c r="Z56" s="82">
        <f t="shared" si="73"/>
        <v>14.719550539503153</v>
      </c>
      <c r="AA56" s="45"/>
      <c r="AB56" s="37">
        <f t="array" ref="AB56">SUM(($F56=BDD!$D$3:$D$215)*(BDD!$B$3:$B$215="CO")*(BDD!$E$3:$E$215="GP")*(BDD!$C$3:$C$215="EURO")*(BDD!$A$3:$A$215="MMA")*(BDD!$F$3:$F$215))</f>
        <v>9424.6253478567669</v>
      </c>
      <c r="AC56" s="14">
        <f t="shared" si="79"/>
        <v>3.441897852462758E-2</v>
      </c>
      <c r="AD56" s="44">
        <f>(AB56/Global!$O$3)/(PAT_AGE!X56/Global!$O$2)</f>
        <v>0.8691424567337922</v>
      </c>
      <c r="AE56" s="11"/>
      <c r="AF56" s="37">
        <f t="array" ref="AF56">SUM(($F56=BDD!$D$3:$D$215)*(BDD!$B$3:$B$215="AG")*(BDD!$E$3:$E$215="GP")*(BDD!$C$3:$C$215="EURO")*(BDD!$A$3:$A$215="MMA")*(BDD!$H$3:$H$215))</f>
        <v>38791284.767655015</v>
      </c>
      <c r="AG56" s="37">
        <f t="array" ref="AG56">SUM(($F56=BDD!$D$3:$D$215)*(BDD!$B$3:$B$215="AG")*(BDD!$E$3:$E$215="GP")*(BDD!$C$3:$C$215="EURO")*(BDD!$A$3:$A$215="MMA")*(BDD!$G$3:$G$215))</f>
        <v>564569862.8669585</v>
      </c>
      <c r="AH56" s="82">
        <f t="shared" si="80"/>
        <v>14.554038780837407</v>
      </c>
      <c r="AI56" s="91"/>
      <c r="AJ56" s="37">
        <f t="array" ref="AJ56">SUM(($F56=BDD!$D$3:$D$215)*(BDD!$B$3:$B$215="AG")*(BDD!$E$3:$E$215="GP")*(BDD!$C$3:$C$215="EURO")*(BDD!$A$3:$A$215="MMA")*(BDD!$F$3:$F$215))</f>
        <v>722867.91768147633</v>
      </c>
      <c r="AK56" s="14">
        <f t="shared" si="81"/>
        <v>1.8634802172992702E-2</v>
      </c>
      <c r="AL56" s="44">
        <f>(AJ56/Global!$O$3)/(PAT_AGE!AF56/Global!$O$2)</f>
        <v>0.47056299854437161</v>
      </c>
      <c r="AM56" s="11"/>
      <c r="AN56" s="37">
        <f t="array" ref="AN56">SUM(($F56=BDD!$D$3:$D$215)*(BDD!$E$3:$E$215="GP")*(BDD!$C$3:$C$215="EURO")*(BDD!$A$3:$A$215="MAAF")*(BDD!$H$3:$H$215))</f>
        <v>23516511.995389622</v>
      </c>
      <c r="AO56" s="37">
        <f t="array" ref="AO56">SUM(($F56=BDD!$D$3:$D$215)*(BDD!$B$3:$B$215="TOTAL")*(BDD!$E$3:$E$215="GP")*(BDD!$C$3:$C$215="EURO")*(BDD!$A$3:$A$215="MAAF")*(BDD!$G$3:$G$215))</f>
        <v>344268578.4919064</v>
      </c>
      <c r="AP56" s="82">
        <f t="shared" si="74"/>
        <v>14.639440515642786</v>
      </c>
      <c r="AQ56" s="91"/>
      <c r="AR56" s="37">
        <f t="array" ref="AR56">SUM(($F56=BDD!$D$3:$D$215)*(BDD!$A$3:$A$215="MAAF")*(BDD!$E$3:$E$215="GP")*(BDD!$C$3:$C$215="EURO")*(BDD!$F$3:$F$215))</f>
        <v>347696.67670398945</v>
      </c>
      <c r="AS56" s="14">
        <f t="shared" si="82"/>
        <v>1.4785214608873751E-2</v>
      </c>
      <c r="AT56" s="44">
        <f>(AR56/Global!$O$3)/(PAT_AGE!AN56/Global!$O$2)</f>
        <v>0.37335383847309955</v>
      </c>
      <c r="AU56" s="11"/>
      <c r="AV56" s="37">
        <f t="array" ref="AV56">SUM(($F56=BDD!$D$3:$D$215)*(BDD!$A$3:$A$215="GMF")*(BDD!$E$3:$E$215="GP")*(BDD!$C$3:$C$215="EURO")*(BDD!$H$3:$H$215))</f>
        <v>76877698.294170022</v>
      </c>
      <c r="AW56" s="37">
        <f t="array" ref="AW56">SUM(($F56=BDD!$D$3:$D$215)*(BDD!$B$3:$B$215="TOTAL")*(BDD!$E$3:$E$215="GP")*(BDD!$C$3:$C$215="EURO")*(BDD!$A$3:$A$215="GMF")*(BDD!$G$3:$G$215))</f>
        <v>1214047105.2547979</v>
      </c>
      <c r="AX56" s="82">
        <f t="shared" si="75"/>
        <v>15.791928377060485</v>
      </c>
      <c r="AY56" s="91"/>
      <c r="AZ56" s="37">
        <f t="array" ref="AZ56">SUM(($F56=BDD!$D$3:$D$215)*(BDD!$A$3:$A$215="GMF")*(BDD!$E$3:$E$215="GP")*(BDD!$C$3:$C$215="EURO")*(BDD!$F$3:$F$215))</f>
        <v>1522874.8960025304</v>
      </c>
      <c r="BA56" s="14">
        <f t="shared" si="83"/>
        <v>1.9809059451484864E-2</v>
      </c>
      <c r="BB56" s="44">
        <f>(AZ56/Global!$O$3)/(PAT_AGE!AV56/Global!$O$2)</f>
        <v>0.50021515266440031</v>
      </c>
      <c r="BC56" s="11"/>
    </row>
    <row r="57" spans="1:55" s="28" customFormat="1" x14ac:dyDescent="0.25">
      <c r="A57" s="11"/>
      <c r="B57" s="67"/>
      <c r="C57" s="11"/>
      <c r="D57" s="67"/>
      <c r="E57" s="11"/>
      <c r="F57" s="41" t="s">
        <v>12</v>
      </c>
      <c r="G57" s="11"/>
      <c r="H57" s="37">
        <f t="array" ref="H57">SUM(($F57=BDD!$D$3:$D$215)*(BDD!$E$3:$E$215="GP")*(BDD!$C$3:$C$215="EURO")*(BDD!$A$3:$A$215="MMA")*(BDD!$H$3:$H$215))</f>
        <v>33455428.78632902</v>
      </c>
      <c r="I57" s="37">
        <f t="array" ref="I57">SUM(($F57=BDD!$D$3:$D$215)*(BDD!$E$3:$E$215="GP")*(BDD!$C$3:$C$215="EURO")*(BDD!$A$3:$A$215="MMA")*(BDD!$G$3:$G$215))</f>
        <v>299163419.50910991</v>
      </c>
      <c r="J57" s="82">
        <f t="shared" si="76"/>
        <v>8.9421487143323617</v>
      </c>
      <c r="K57" s="45"/>
      <c r="L57" s="37">
        <f t="array" ref="L57">SUM(($F57=BDD!$D$3:$D$215)*(BDD!$E$3:$E$215="GP")*(BDD!$C$3:$C$215="EURO")*(BDD!$A$3:$A$215="MMA")*(BDD!$F$3:$F$215))</f>
        <v>344850.02631769388</v>
      </c>
      <c r="M57" s="14">
        <f t="shared" si="77"/>
        <v>1.0307744925947888E-2</v>
      </c>
      <c r="N57" s="44">
        <f>(L57/Global!$O$3)/(PAT_AGE!H57/Global!$O$2)</f>
        <v>0.26028950109351234</v>
      </c>
      <c r="O57" s="11"/>
      <c r="P57" s="37">
        <f t="array" ref="P57">SUM(($F57=BDD!$D$3:$D$215)*(BDD!$B$3:$B$215="BS")*(BDD!$E$3:$E$215="GP")*(BDD!$C$3:$C$215="EURO")*(BDD!$A$3:$A$215="MMA")*(BDD!$H$3:$H$215))</f>
        <v>2491058.9676157231</v>
      </c>
      <c r="Q57" s="37">
        <f t="array" ref="Q57">SUM(($F57=BDD!$D$3:$D$215)*(BDD!$B$3:$B$215="BS")*(BDD!$E$3:$E$215="GP")*(BDD!$C$3:$C$215="EURO")*(BDD!$A$3:$A$215="MMA")*(BDD!$G$3:$G$215))</f>
        <v>14510479.3626917</v>
      </c>
      <c r="R57" s="82">
        <f t="shared" si="72"/>
        <v>5.8250244379321821</v>
      </c>
      <c r="S57" s="45"/>
      <c r="T57" s="37">
        <f t="array" ref="T57">SUM(($F57=BDD!$D$3:$D$215)*(BDD!$B$3:$B$215="BS")*(BDD!$E$3:$E$215="GP")*(BDD!$C$3:$C$215="EURO")*(BDD!$A$3:$A$215="MMA")*(BDD!$F$3:$F$215))</f>
        <v>43126.232226081389</v>
      </c>
      <c r="U57" s="14">
        <f t="shared" si="78"/>
        <v>1.7312409215009057E-2</v>
      </c>
      <c r="V57" s="44">
        <f>(T57/Global!$O$3)/(PAT_AGE!P57/Global!$O$2)</f>
        <v>0.43717014630016604</v>
      </c>
      <c r="W57" s="11"/>
      <c r="X57" s="37">
        <f t="array" ref="X57">SUM(($F57=BDD!$D$3:$D$215)*(BDD!$B$3:$B$215="CO")*(BDD!$E$3:$E$215="GP")*(BDD!$C$3:$C$215="EURO")*(BDD!$A$3:$A$215="MMA")*(BDD!$H$3:$H$215))</f>
        <v>738688.99975358776</v>
      </c>
      <c r="Y57" s="37">
        <f t="array" ref="Y57">SUM(($F57=BDD!$D$3:$D$215)*(BDD!$B$3:$B$215="CO")*(BDD!$E$3:$E$215="GP")*(BDD!$C$3:$C$215="EURO")*(BDD!$A$3:$A$215="MMA")*(BDD!$G$3:$G$215))</f>
        <v>5371039.8984014913</v>
      </c>
      <c r="Z57" s="82">
        <f t="shared" si="73"/>
        <v>7.2710435652800642</v>
      </c>
      <c r="AA57" s="45"/>
      <c r="AB57" s="37">
        <f t="array" ref="AB57">SUM(($F57=BDD!$D$3:$D$215)*(BDD!$B$3:$B$215="CO")*(BDD!$E$3:$E$215="GP")*(BDD!$C$3:$C$215="EURO")*(BDD!$A$3:$A$215="MMA")*(BDD!$F$3:$F$215))</f>
        <v>12224.618966452103</v>
      </c>
      <c r="AC57" s="14">
        <f t="shared" si="79"/>
        <v>1.6549074063008921E-2</v>
      </c>
      <c r="AD57" s="44">
        <f>(AB57/Global!$O$3)/(PAT_AGE!X57/Global!$O$2)</f>
        <v>0.41789453099258378</v>
      </c>
      <c r="AE57" s="11"/>
      <c r="AF57" s="37">
        <f t="array" ref="AF57">SUM(($F57=BDD!$D$3:$D$215)*(BDD!$B$3:$B$215="AG")*(BDD!$E$3:$E$215="GP")*(BDD!$C$3:$C$215="EURO")*(BDD!$A$3:$A$215="MMA")*(BDD!$H$3:$H$215))</f>
        <v>30225680.818959709</v>
      </c>
      <c r="AG57" s="37">
        <f t="array" ref="AG57">SUM(($F57=BDD!$D$3:$D$215)*(BDD!$B$3:$B$215="AG")*(BDD!$E$3:$E$215="GP")*(BDD!$C$3:$C$215="EURO")*(BDD!$A$3:$A$215="MMA")*(BDD!$G$3:$G$215))</f>
        <v>279281900.24801672</v>
      </c>
      <c r="AH57" s="82">
        <f t="shared" si="80"/>
        <v>9.2398878265409046</v>
      </c>
      <c r="AI57" s="91"/>
      <c r="AJ57" s="37">
        <f t="array" ref="AJ57">SUM(($F57=BDD!$D$3:$D$215)*(BDD!$B$3:$B$215="AG")*(BDD!$E$3:$E$215="GP")*(BDD!$C$3:$C$215="EURO")*(BDD!$A$3:$A$215="MMA")*(BDD!$F$3:$F$215))</f>
        <v>289499.17512516043</v>
      </c>
      <c r="AK57" s="14">
        <f t="shared" si="81"/>
        <v>9.5779207376386327E-3</v>
      </c>
      <c r="AL57" s="44">
        <f>(AJ57/Global!$O$3)/(PAT_AGE!AF57/Global!$O$2)</f>
        <v>0.24186009919952584</v>
      </c>
      <c r="AM57" s="11"/>
      <c r="AN57" s="37">
        <f t="array" ref="AN57">SUM(($F57=BDD!$D$3:$D$215)*(BDD!$E$3:$E$215="GP")*(BDD!$C$3:$C$215="EURO")*(BDD!$A$3:$A$215="MAAF")*(BDD!$H$3:$H$215))</f>
        <v>17166245.99663458</v>
      </c>
      <c r="AO57" s="37">
        <f t="array" ref="AO57">SUM(($F57=BDD!$D$3:$D$215)*(BDD!$B$3:$B$215="TOTAL")*(BDD!$E$3:$E$215="GP")*(BDD!$C$3:$C$215="EURO")*(BDD!$A$3:$A$215="MAAF")*(BDD!$G$3:$G$215))</f>
        <v>197597941.50127172</v>
      </c>
      <c r="AP57" s="82">
        <f t="shared" si="74"/>
        <v>11.510841772861145</v>
      </c>
      <c r="AQ57" s="91"/>
      <c r="AR57" s="37">
        <f t="array" ref="AR57">SUM(($F57=BDD!$D$3:$D$215)*(BDD!$A$3:$A$215="MAAF")*(BDD!$E$3:$E$215="GP")*(BDD!$C$3:$C$215="EURO")*(BDD!$F$3:$F$215))</f>
        <v>161937.23783044436</v>
      </c>
      <c r="AS57" s="14">
        <f t="shared" si="82"/>
        <v>9.4334683227883329E-3</v>
      </c>
      <c r="AT57" s="44">
        <f>(AR57/Global!$O$3)/(PAT_AGE!AN57/Global!$O$2)</f>
        <v>0.23821241027597795</v>
      </c>
      <c r="AU57" s="11"/>
      <c r="AV57" s="37">
        <f t="array" ref="AV57">SUM(($F57=BDD!$D$3:$D$215)*(BDD!$A$3:$A$215="GMF")*(BDD!$E$3:$E$215="GP")*(BDD!$C$3:$C$215="EURO")*(BDD!$H$3:$H$215))</f>
        <v>77363501.59363465</v>
      </c>
      <c r="AW57" s="37">
        <f t="array" ref="AW57">SUM(($F57=BDD!$D$3:$D$215)*(BDD!$B$3:$B$215="TOTAL")*(BDD!$E$3:$E$215="GP")*(BDD!$C$3:$C$215="EURO")*(BDD!$A$3:$A$215="GMF")*(BDD!$G$3:$G$215))</f>
        <v>903793348.38766396</v>
      </c>
      <c r="AX57" s="82">
        <f t="shared" si="75"/>
        <v>11.682425559471143</v>
      </c>
      <c r="AY57" s="91"/>
      <c r="AZ57" s="37">
        <f t="array" ref="AZ57">SUM(($F57=BDD!$D$3:$D$215)*(BDD!$A$3:$A$215="GMF")*(BDD!$E$3:$E$215="GP")*(BDD!$C$3:$C$215="EURO")*(BDD!$F$3:$F$215))</f>
        <v>864913.22273958474</v>
      </c>
      <c r="BA57" s="14">
        <f t="shared" si="83"/>
        <v>1.1179861367737631E-2</v>
      </c>
      <c r="BB57" s="44">
        <f>(AZ57/Global!$O$3)/(PAT_AGE!AV57/Global!$O$2)</f>
        <v>0.28231204386690428</v>
      </c>
      <c r="BC57" s="11"/>
    </row>
    <row r="58" spans="1:55" s="28" customFormat="1" x14ac:dyDescent="0.25">
      <c r="A58" s="11"/>
      <c r="B58" s="68"/>
      <c r="C58" s="11"/>
      <c r="D58" s="67"/>
      <c r="E58" s="11"/>
      <c r="F58" s="48" t="s">
        <v>30</v>
      </c>
      <c r="G58" s="11"/>
      <c r="H58" s="47">
        <f>SUM(H52:H57)</f>
        <v>131951574.92146932</v>
      </c>
      <c r="I58" s="47">
        <f>SUM(I52:I57)</f>
        <v>1896487758.0186639</v>
      </c>
      <c r="J58" s="83">
        <f t="shared" si="76"/>
        <v>14.372604185644274</v>
      </c>
      <c r="K58" s="45"/>
      <c r="L58" s="47">
        <f>SUM(L52:L57)</f>
        <v>2596810.599351082</v>
      </c>
      <c r="M58" s="42">
        <f t="shared" si="77"/>
        <v>1.9680027319844935E-2</v>
      </c>
      <c r="N58" s="43">
        <f>(L58/Global!$O$3)/(PAT_AGE!H58/Global!$O$2)</f>
        <v>0.49695685422852776</v>
      </c>
      <c r="O58" s="11"/>
      <c r="P58" s="47">
        <f>SUM(P52:P57)</f>
        <v>7977608.7962894514</v>
      </c>
      <c r="Q58" s="47">
        <f>SUM(Q52:Q57)</f>
        <v>79847111.04208225</v>
      </c>
      <c r="R58" s="83">
        <f t="shared" si="72"/>
        <v>10.008902802957795</v>
      </c>
      <c r="S58" s="45"/>
      <c r="T58" s="47">
        <f>SUM(T52:T57)</f>
        <v>120425.71673530582</v>
      </c>
      <c r="U58" s="42">
        <f t="shared" si="78"/>
        <v>1.5095465296733813E-2</v>
      </c>
      <c r="V58" s="43">
        <f>(T58/Global!$O$3)/(PAT_AGE!P58/Global!$O$2)</f>
        <v>0.38118823846428757</v>
      </c>
      <c r="W58" s="11"/>
      <c r="X58" s="47">
        <f>SUM(X52:X57)</f>
        <v>1038287.8615176474</v>
      </c>
      <c r="Y58" s="47">
        <f>SUM(Y52:Y57)</f>
        <v>9816883.7232834268</v>
      </c>
      <c r="Z58" s="83">
        <f t="shared" si="73"/>
        <v>9.4548767130285594</v>
      </c>
      <c r="AA58" s="45"/>
      <c r="AB58" s="47">
        <f>SUM(AB52:AB57)</f>
        <v>22349.367670951731</v>
      </c>
      <c r="AC58" s="42">
        <f t="shared" si="79"/>
        <v>2.1525213285537258E-2</v>
      </c>
      <c r="AD58" s="43">
        <f>(AB58/Global!$O$3)/(PAT_AGE!X58/Global!$O$2)</f>
        <v>0.54355119061201551</v>
      </c>
      <c r="AE58" s="11"/>
      <c r="AF58" s="47">
        <f>SUM(AF52:AF57)</f>
        <v>122935678.26366222</v>
      </c>
      <c r="AG58" s="47">
        <f>SUM(AG52:AG57)</f>
        <v>1806823763.2532983</v>
      </c>
      <c r="AH58" s="83">
        <f t="shared" si="80"/>
        <v>14.697309916639277</v>
      </c>
      <c r="AI58" s="91"/>
      <c r="AJ58" s="47">
        <f>SUM(AJ52:AJ57)</f>
        <v>2454035.5149448244</v>
      </c>
      <c r="AK58" s="42">
        <f t="shared" si="81"/>
        <v>1.9961947171118325E-2</v>
      </c>
      <c r="AL58" s="43">
        <f>(AJ58/Global!$O$3)/(PAT_AGE!AF58/Global!$O$2)</f>
        <v>0.50407584853460374</v>
      </c>
      <c r="AM58" s="11"/>
      <c r="AN58" s="47">
        <f>SUM(AN52:AN57)</f>
        <v>122744762.97593606</v>
      </c>
      <c r="AO58" s="47">
        <f>SUM(AO52:AO57)</f>
        <v>1850698245.9165499</v>
      </c>
      <c r="AP58" s="83">
        <f t="shared" si="74"/>
        <v>15.077614727068859</v>
      </c>
      <c r="AQ58" s="91"/>
      <c r="AR58" s="47">
        <f>SUM(AR52:AR57)</f>
        <v>1988220.2088194792</v>
      </c>
      <c r="AS58" s="42">
        <f t="shared" si="82"/>
        <v>1.6198004384181074E-2</v>
      </c>
      <c r="AT58" s="43">
        <f>(AR58/Global!$O$3)/(PAT_AGE!AN58/Global!$O$2)</f>
        <v>0.40902937646968446</v>
      </c>
      <c r="AU58" s="11"/>
      <c r="AV58" s="47">
        <f>SUM(AV52:AV57)</f>
        <v>276570780.74844247</v>
      </c>
      <c r="AW58" s="47">
        <f>SUM(AW52:AW57)</f>
        <v>4366984543.802619</v>
      </c>
      <c r="AX58" s="83">
        <f t="shared" si="75"/>
        <v>15.789753827157361</v>
      </c>
      <c r="AY58" s="91"/>
      <c r="AZ58" s="47">
        <f>SUM(AZ52:AZ57)</f>
        <v>5589873.2902597282</v>
      </c>
      <c r="BA58" s="42">
        <f t="shared" si="83"/>
        <v>2.0211366056575766E-2</v>
      </c>
      <c r="BB58" s="43">
        <f>(AZ58/Global!$O$3)/(PAT_AGE!AV58/Global!$O$2)</f>
        <v>0.51037413372941787</v>
      </c>
      <c r="BC58" s="11"/>
    </row>
    <row r="59" spans="1:55" s="28" customFormat="1" x14ac:dyDescent="0.25">
      <c r="A59" s="11"/>
      <c r="B59" s="11"/>
      <c r="C59" s="11"/>
      <c r="D59" s="67"/>
      <c r="E59" s="11"/>
      <c r="F59" s="11"/>
      <c r="G59" s="11"/>
      <c r="H59" s="11"/>
      <c r="I59" s="11"/>
      <c r="J59" s="85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85"/>
      <c r="AA59" s="49"/>
      <c r="AB59" s="11"/>
      <c r="AC59" s="11"/>
      <c r="AD59" s="11"/>
      <c r="AE59" s="11"/>
      <c r="AF59" s="11"/>
      <c r="AG59" s="11"/>
      <c r="AH59" s="85"/>
      <c r="AI59" s="91"/>
      <c r="AJ59" s="11"/>
      <c r="AK59" s="11"/>
      <c r="AL59" s="11"/>
      <c r="AM59" s="11"/>
      <c r="AN59" s="11"/>
      <c r="AO59" s="11"/>
      <c r="AP59" s="11"/>
      <c r="AQ59" s="91"/>
      <c r="AR59" s="11"/>
      <c r="AS59" s="11"/>
      <c r="AT59" s="11"/>
      <c r="AU59" s="11"/>
      <c r="AV59" s="11"/>
      <c r="AW59" s="11"/>
      <c r="AX59" s="11"/>
      <c r="AY59" s="91"/>
      <c r="AZ59" s="11"/>
      <c r="BA59" s="11"/>
      <c r="BB59" s="11"/>
      <c r="BC59" s="11"/>
    </row>
    <row r="60" spans="1:55" s="28" customFormat="1" x14ac:dyDescent="0.25">
      <c r="A60" s="11"/>
      <c r="B60" s="66" t="s">
        <v>18</v>
      </c>
      <c r="C60" s="11"/>
      <c r="D60" s="67"/>
      <c r="E60" s="11"/>
      <c r="F60" s="40" t="s">
        <v>13</v>
      </c>
      <c r="G60" s="11"/>
      <c r="H60" s="37">
        <f t="array" ref="H60">SUM(($F60=BDD!$D$3:$D$215)*(BDD!$E$3:$E$215="GP")*(BDD!$C$3:$C$215="UC")*(BDD!$A$3:$A$215="MMA")*(BDD!$H$3:$H$215))</f>
        <v>1929734.9559147698</v>
      </c>
      <c r="I60" s="37">
        <f t="array" ref="I60">SUM(($F60=BDD!$D$3:$D$215)*(BDD!$E$3:$E$215="GP")*(BDD!$C$3:$C$215="UC")*(BDD!$A$3:$A$215="MMA")*(BDD!$G$3:$G$215))</f>
        <v>37667264.189194739</v>
      </c>
      <c r="J60" s="82">
        <f>I60/H60</f>
        <v>19.519397766901612</v>
      </c>
      <c r="K60" s="45"/>
      <c r="L60" s="37">
        <f t="array" ref="L60">SUM(($F60=BDD!$D$3:$D$215)*(BDD!$E$3:$E$215="GP")*(BDD!$C$3:$C$215="UC")*(BDD!$A$3:$A$215="MMA")*(BDD!$F$3:$F$215))</f>
        <v>59477.205481667057</v>
      </c>
      <c r="M60" s="14">
        <f>L60/H60</f>
        <v>3.0821437575852245E-2</v>
      </c>
      <c r="N60" s="44">
        <f>(L60/Global!$O$3)/(PAT_AGE!H60/Global!$O$2)</f>
        <v>0.77829793686572768</v>
      </c>
      <c r="O60" s="11"/>
      <c r="P60" s="37">
        <f t="array" ref="P60">SUM(($F60=BDD!$D$3:$D$215)*(BDD!$B$3:$B$215="BS")*(BDD!$E$3:$E$215="GP")*(BDD!$C$3:$C$215="UC")*(BDD!$A$3:$A$215="MMA")*(BDD!$H$3:$H$215))</f>
        <v>4525.909102755526</v>
      </c>
      <c r="Q60" s="37">
        <f t="array" ref="Q60">SUM(($F60=BDD!$D$3:$D$215)*(BDD!$B$3:$B$215="BS")*(BDD!$E$3:$E$215="GP")*(BDD!$C$3:$C$215="UC")*(BDD!$A$3:$A$215="MMA")*(BDD!$G$3:$G$215))</f>
        <v>89286.087566578062</v>
      </c>
      <c r="R60" s="82">
        <f t="shared" ref="R60:R66" si="84">Q60/P60</f>
        <v>19.727768618291005</v>
      </c>
      <c r="S60" s="45"/>
      <c r="T60" s="37">
        <f t="array" ref="T60">SUM(($F60=BDD!$D$3:$D$215)*(BDD!$B$3:$B$215="BS")*(BDD!$E$3:$E$215="GP")*(BDD!$C$3:$C$215="UC")*(BDD!$A$3:$A$215="MMA")*(BDD!$F$3:$F$215))</f>
        <v>-178.08102652267132</v>
      </c>
      <c r="U60" s="14">
        <f>T60/P60</f>
        <v>-3.9347017909451519E-2</v>
      </c>
      <c r="V60" s="44">
        <f>(T60/Global!$O$3)/(PAT_AGE!P60/Global!$O$2)</f>
        <v>-0.99358450706198698</v>
      </c>
      <c r="W60" s="11"/>
      <c r="X60" s="37">
        <f t="array" ref="X60">SUM(($F60=BDD!$D$3:$D$215)*(BDD!$B$3:$B$215="CO")*(BDD!$E$3:$E$215="GP")*(BDD!$C$3:$C$215="UC")*(BDD!$A$3:$A$215="MMA")*(BDD!$H$3:$H$215))</f>
        <v>0</v>
      </c>
      <c r="Y60" s="37">
        <f t="array" ref="Y60">SUM(($F60=BDD!$D$3:$D$215)*(BDD!$B$3:$B$215="CO")*(BDD!$E$3:$E$215="GP")*(BDD!$C$3:$C$215="UC")*(BDD!$A$3:$A$215="MMA")*(BDD!$G$3:$G$215))</f>
        <v>0</v>
      </c>
      <c r="Z60" s="82"/>
      <c r="AA60" s="11"/>
      <c r="AB60" s="37">
        <f t="array" ref="AB60">SUM(($F60=BDD!$D$3:$D$215)*(BDD!$B$3:$B$215="CO")*(BDD!$E$3:$E$215="GP")*(BDD!$C$3:$C$215="UC")*(BDD!$A$3:$A$215="MMA")*(BDD!$F$3:$F$215))</f>
        <v>0</v>
      </c>
      <c r="AC60" s="14" t="e">
        <f>AB60/X60</f>
        <v>#DIV/0!</v>
      </c>
      <c r="AD60" s="44" t="e">
        <f>(AB60/Global!$O$3)/(PAT_AGE!X60/Global!$O$2)</f>
        <v>#DIV/0!</v>
      </c>
      <c r="AE60" s="11"/>
      <c r="AF60" s="37">
        <f t="array" ref="AF60">SUM(($F60=BDD!$D$3:$D$215)*(BDD!$B$3:$B$215="AG")*(BDD!$E$3:$E$215="GP")*(BDD!$C$3:$C$215="UC")*(BDD!$A$3:$A$215="MMA")*(BDD!$H$3:$H$215))</f>
        <v>1925209.0468120142</v>
      </c>
      <c r="AG60" s="37">
        <f t="array" ref="AG60">SUM(($F60=BDD!$D$3:$D$215)*(BDD!$B$3:$B$215="AG")*(BDD!$E$3:$E$215="GP")*(BDD!$C$3:$C$215="UC")*(BDD!$A$3:$A$215="MMA")*(BDD!$G$3:$G$215))</f>
        <v>37577978.101628162</v>
      </c>
      <c r="AH60" s="82">
        <f>AG60/AF60</f>
        <v>19.518907914885485</v>
      </c>
      <c r="AI60" s="91"/>
      <c r="AJ60" s="37">
        <f t="array" ref="AJ60">SUM(($F60=BDD!$D$3:$D$215)*(BDD!$B$3:$B$215="AG")*(BDD!$E$3:$E$215="GP")*(BDD!$C$3:$C$215="UC")*(BDD!$A$3:$A$215="MMA")*(BDD!$F$3:$F$215))</f>
        <v>59655.286508189725</v>
      </c>
      <c r="AK60" s="14">
        <f>AJ60/AF60</f>
        <v>3.0986394234420366E-2</v>
      </c>
      <c r="AL60" s="44">
        <f>(AJ60/Global!$O$3)/(PAT_AGE!AF60/Global!$O$2)</f>
        <v>0.78246339562214928</v>
      </c>
      <c r="AM60" s="11"/>
      <c r="AN60" s="37">
        <f t="array" ref="AN60">SUM(($F60=BDD!$D$3:$D$215)*(BDD!$E$3:$E$215="GP")*(BDD!$C$3:$C$215="UC")*(BDD!$A$3:$A$215="MAAF")*(BDD!$H$3:$H$215))</f>
        <v>2075813.981821931</v>
      </c>
      <c r="AO60" s="37">
        <f t="array" ref="AO60">SUM(($F60=BDD!$D$3:$D$215)*(BDD!$B$3:$B$215="TOTAL")*(BDD!$E$3:$E$215="GP")*(BDD!$C$3:$C$215="UC")*(BDD!$A$3:$A$215="MAAF")*(BDD!$G$3:$G$215))</f>
        <v>27460541.871183451</v>
      </c>
      <c r="AP60" s="82">
        <f t="shared" ref="AP60:AP66" si="85">AO60/AN60</f>
        <v>13.228806680973157</v>
      </c>
      <c r="AQ60" s="91"/>
      <c r="AR60" s="37">
        <f t="array" ref="AR60">SUM(($F60=BDD!$D$3:$D$215)*(BDD!$A$3:$A$215="MAAF")*(BDD!$E$3:$E$215="GP")*(BDD!$C$3:$C$215="UC")*(BDD!$F$3:$F$215))</f>
        <v>78854.84829147259</v>
      </c>
      <c r="AS60" s="14">
        <f>AR60/AN60</f>
        <v>3.7987434800040278E-2</v>
      </c>
      <c r="AT60" s="44">
        <f>(AR60/Global!$O$3)/(PAT_AGE!AN60/Global!$O$2)</f>
        <v>0.95925253515288633</v>
      </c>
      <c r="AU60" s="11"/>
      <c r="AV60" s="37">
        <f t="array" ref="AV60">SUM(($F60=BDD!$D$3:$D$215)*(BDD!$A$3:$A$215="GMF")*(BDD!$E$3:$E$215="GP")*(BDD!$C$3:$C$215="UC")*(BDD!$H$3:$H$215))</f>
        <v>2422720.9539716071</v>
      </c>
      <c r="AW60" s="37">
        <f t="array" ref="AW60">SUM(($F60=BDD!$D$3:$D$215)*(BDD!$B$3:$B$215="TOTAL")*(BDD!$E$3:$E$215="GP")*(BDD!$C$3:$C$215="UC")*(BDD!$A$3:$A$215="GMF")*(BDD!$G$3:$G$215))</f>
        <v>45692329.2573006</v>
      </c>
      <c r="AX60" s="82">
        <f t="shared" ref="AX60:AX66" si="86">AW60/AV60</f>
        <v>18.85992242829138</v>
      </c>
      <c r="AY60" s="91"/>
      <c r="AZ60" s="37">
        <f t="array" ref="AZ60">SUM(($F60=BDD!$D$3:$D$215)*(BDD!$A$3:$A$215="GMF")*(BDD!$E$3:$E$215="GP")*(BDD!$C$3:$C$215="UC")*(BDD!$F$3:$F$215))</f>
        <v>263373.18946004804</v>
      </c>
      <c r="BA60" s="14">
        <f>AZ60/AV60</f>
        <v>0.10870966754478924</v>
      </c>
      <c r="BB60" s="44">
        <f>(AZ60/Global!$O$3)/(PAT_AGE!AV60/Global!$O$2)</f>
        <v>2.7451188725134963</v>
      </c>
      <c r="BC60" s="11"/>
    </row>
    <row r="61" spans="1:55" s="28" customFormat="1" x14ac:dyDescent="0.25">
      <c r="A61" s="11"/>
      <c r="B61" s="67"/>
      <c r="C61" s="11"/>
      <c r="D61" s="67"/>
      <c r="E61" s="11"/>
      <c r="F61" s="41" t="s">
        <v>14</v>
      </c>
      <c r="G61" s="11"/>
      <c r="H61" s="37">
        <f t="array" ref="H61">SUM(($F61=BDD!$D$3:$D$215)*(BDD!$E$3:$E$215="GP")*(BDD!$C$3:$C$215="UC")*(BDD!$A$3:$A$215="MMA")*(BDD!$H$3:$H$215))</f>
        <v>2863624.2186259665</v>
      </c>
      <c r="I61" s="37">
        <f t="array" ref="I61">SUM(($F61=BDD!$D$3:$D$215)*(BDD!$E$3:$E$215="GP")*(BDD!$C$3:$C$215="UC")*(BDD!$A$3:$A$215="MMA")*(BDD!$G$3:$G$215))</f>
        <v>60783385.289387465</v>
      </c>
      <c r="J61" s="82">
        <f t="shared" ref="J61:J66" si="87">I61/H61</f>
        <v>21.226034091356006</v>
      </c>
      <c r="K61" s="45"/>
      <c r="L61" s="37">
        <f t="array" ref="L61">SUM(($F61=BDD!$D$3:$D$215)*(BDD!$E$3:$E$215="GP")*(BDD!$C$3:$C$215="UC")*(BDD!$A$3:$A$215="MMA")*(BDD!$F$3:$F$215))</f>
        <v>160220.00466566259</v>
      </c>
      <c r="M61" s="14">
        <f t="shared" ref="M61:M66" si="88">L61/H61</f>
        <v>5.5950080189830172E-2</v>
      </c>
      <c r="N61" s="44">
        <f>(L61/Global!$O$3)/(PAT_AGE!H61/Global!$O$2)</f>
        <v>1.4128423397529588</v>
      </c>
      <c r="O61" s="11"/>
      <c r="P61" s="37">
        <f t="array" ref="P61">SUM(($F61=BDD!$D$3:$D$215)*(BDD!$B$3:$B$215="BS")*(BDD!$E$3:$E$215="GP")*(BDD!$C$3:$C$215="UC")*(BDD!$A$3:$A$215="MMA")*(BDD!$H$3:$H$215))</f>
        <v>2410.149054719644</v>
      </c>
      <c r="Q61" s="37">
        <f t="array" ref="Q61">SUM(($F61=BDD!$D$3:$D$215)*(BDD!$B$3:$B$215="BS")*(BDD!$E$3:$E$215="GP")*(BDD!$C$3:$C$215="UC")*(BDD!$A$3:$A$215="MMA")*(BDD!$G$3:$G$215))</f>
        <v>57443.083417555761</v>
      </c>
      <c r="R61" s="82">
        <f t="shared" si="84"/>
        <v>23.83383023762309</v>
      </c>
      <c r="S61" s="45"/>
      <c r="T61" s="37">
        <f t="array" ref="T61">SUM(($F61=BDD!$D$3:$D$215)*(BDD!$B$3:$B$215="BS")*(BDD!$E$3:$E$215="GP")*(BDD!$C$3:$C$215="UC")*(BDD!$A$3:$A$215="MMA")*(BDD!$F$3:$F$215))</f>
        <v>-70.80565324188251</v>
      </c>
      <c r="U61" s="14">
        <f t="shared" ref="U61:U66" si="89">T61/P61</f>
        <v>-2.9378122113745717E-2</v>
      </c>
      <c r="V61" s="44">
        <f>(T61/Global!$O$3)/(PAT_AGE!P61/Global!$O$2)</f>
        <v>-0.74185156918286499</v>
      </c>
      <c r="W61" s="11"/>
      <c r="X61" s="37">
        <f t="array" ref="X61">SUM(($F61=BDD!$D$3:$D$215)*(BDD!$B$3:$B$215="CO")*(BDD!$E$3:$E$215="GP")*(BDD!$C$3:$C$215="UC")*(BDD!$A$3:$A$215="MMA")*(BDD!$H$3:$H$215))</f>
        <v>0</v>
      </c>
      <c r="Y61" s="37">
        <f t="array" ref="Y61">SUM(($F61=BDD!$D$3:$D$215)*(BDD!$B$3:$B$215="CO")*(BDD!$E$3:$E$215="GP")*(BDD!$C$3:$C$215="UC")*(BDD!$A$3:$A$215="MMA")*(BDD!$G$3:$G$215))</f>
        <v>0</v>
      </c>
      <c r="Z61" s="82"/>
      <c r="AA61" s="45"/>
      <c r="AB61" s="37">
        <f t="array" ref="AB61">SUM(($F61=BDD!$D$3:$D$215)*(BDD!$B$3:$B$215="CO")*(BDD!$E$3:$E$215="GP")*(BDD!$C$3:$C$215="UC")*(BDD!$A$3:$A$215="MMA")*(BDD!$F$3:$F$215))</f>
        <v>0</v>
      </c>
      <c r="AC61" s="14" t="e">
        <f t="shared" ref="AC61:AC66" si="90">AB61/X61</f>
        <v>#DIV/0!</v>
      </c>
      <c r="AD61" s="44" t="e">
        <f>(AB61/Global!$O$3)/(PAT_AGE!X61/Global!$O$2)</f>
        <v>#DIV/0!</v>
      </c>
      <c r="AE61" s="11"/>
      <c r="AF61" s="37">
        <f t="array" ref="AF61">SUM(($F61=BDD!$D$3:$D$215)*(BDD!$B$3:$B$215="AG")*(BDD!$E$3:$E$215="GP")*(BDD!$C$3:$C$215="UC")*(BDD!$A$3:$A$215="MMA")*(BDD!$H$3:$H$215))</f>
        <v>2861214.0695712469</v>
      </c>
      <c r="AG61" s="37">
        <f t="array" ref="AG61">SUM(($F61=BDD!$D$3:$D$215)*(BDD!$B$3:$B$215="AG")*(BDD!$E$3:$E$215="GP")*(BDD!$C$3:$C$215="UC")*(BDD!$A$3:$A$215="MMA")*(BDD!$G$3:$G$215))</f>
        <v>60725942.205969907</v>
      </c>
      <c r="AH61" s="82">
        <f t="shared" ref="AH61:AH66" si="91">AG61/AF61</f>
        <v>21.223837409365771</v>
      </c>
      <c r="AI61" s="91"/>
      <c r="AJ61" s="37">
        <f t="array" ref="AJ61">SUM(($F61=BDD!$D$3:$D$215)*(BDD!$B$3:$B$215="AG")*(BDD!$E$3:$E$215="GP")*(BDD!$C$3:$C$215="UC")*(BDD!$A$3:$A$215="MMA")*(BDD!$F$3:$F$215))</f>
        <v>160290.81031890446</v>
      </c>
      <c r="AK61" s="14">
        <f t="shared" ref="AK61:AK66" si="92">AJ61/AF61</f>
        <v>5.6021956561580884E-2</v>
      </c>
      <c r="AL61" s="44">
        <f>(AJ61/Global!$O$3)/(PAT_AGE!AF61/Global!$O$2)</f>
        <v>1.4146573502210884</v>
      </c>
      <c r="AM61" s="11"/>
      <c r="AN61" s="37">
        <f t="array" ref="AN61">SUM(($F61=BDD!$D$3:$D$215)*(BDD!$E$3:$E$215="GP")*(BDD!$C$3:$C$215="UC")*(BDD!$A$3:$A$215="MAAF")*(BDD!$H$3:$H$215))</f>
        <v>2668980.9766275203</v>
      </c>
      <c r="AO61" s="37">
        <f t="array" ref="AO61">SUM(($F61=BDD!$D$3:$D$215)*(BDD!$B$3:$B$215="TOTAL")*(BDD!$E$3:$E$215="GP")*(BDD!$C$3:$C$215="UC")*(BDD!$A$3:$A$215="MAAF")*(BDD!$G$3:$G$215))</f>
        <v>37029124.279200278</v>
      </c>
      <c r="AP61" s="82">
        <f t="shared" si="85"/>
        <v>13.873880931886468</v>
      </c>
      <c r="AQ61" s="91"/>
      <c r="AR61" s="37">
        <f t="array" ref="AR61">SUM(($F61=BDD!$D$3:$D$215)*(BDD!$A$3:$A$215="MAAF")*(BDD!$E$3:$E$215="GP")*(BDD!$C$3:$C$215="UC")*(BDD!$F$3:$F$215))</f>
        <v>181387.02066167953</v>
      </c>
      <c r="AS61" s="14">
        <f t="shared" ref="AS61:AS66" si="93">AR61/AN61</f>
        <v>6.7961151559377972E-2</v>
      </c>
      <c r="AT61" s="44">
        <f>(AR61/Global!$O$3)/(PAT_AGE!AN61/Global!$O$2)</f>
        <v>1.7161439636132978</v>
      </c>
      <c r="AU61" s="11"/>
      <c r="AV61" s="37">
        <f t="array" ref="AV61">SUM(($F61=BDD!$D$3:$D$215)*(BDD!$A$3:$A$215="GMF")*(BDD!$E$3:$E$215="GP")*(BDD!$C$3:$C$215="UC")*(BDD!$H$3:$H$215))</f>
        <v>2216983.0442632125</v>
      </c>
      <c r="AW61" s="37">
        <f t="array" ref="AW61">SUM(($F61=BDD!$D$3:$D$215)*(BDD!$B$3:$B$215="TOTAL")*(BDD!$E$3:$E$215="GP")*(BDD!$C$3:$C$215="UC")*(BDD!$A$3:$A$215="GMF")*(BDD!$G$3:$G$215))</f>
        <v>43728462.59820766</v>
      </c>
      <c r="AX61" s="82">
        <f t="shared" si="86"/>
        <v>19.724310797667957</v>
      </c>
      <c r="AY61" s="91"/>
      <c r="AZ61" s="37">
        <f t="array" ref="AZ61">SUM(($F61=BDD!$D$3:$D$215)*(BDD!$A$3:$A$215="GMF")*(BDD!$E$3:$E$215="GP")*(BDD!$C$3:$C$215="UC")*(BDD!$F$3:$F$215))</f>
        <v>261844.5000359659</v>
      </c>
      <c r="BA61" s="14">
        <f t="shared" ref="BA61:BA66" si="94">AZ61/AV61</f>
        <v>0.1181084811241697</v>
      </c>
      <c r="BB61" s="44">
        <f>(AZ61/Global!$O$3)/(PAT_AGE!AV61/Global!$O$2)</f>
        <v>2.9824561868361927</v>
      </c>
      <c r="BC61" s="11"/>
    </row>
    <row r="62" spans="1:55" s="28" customFormat="1" x14ac:dyDescent="0.25">
      <c r="A62" s="11"/>
      <c r="B62" s="67"/>
      <c r="C62" s="11"/>
      <c r="D62" s="67"/>
      <c r="E62" s="11"/>
      <c r="F62" s="41" t="s">
        <v>15</v>
      </c>
      <c r="G62" s="11"/>
      <c r="H62" s="37">
        <f t="array" ref="H62">SUM(($F62=BDD!$D$3:$D$215)*(BDD!$E$3:$E$215="GP")*(BDD!$C$3:$C$215="UC")*(BDD!$A$3:$A$215="MMA")*(BDD!$H$3:$H$215))</f>
        <v>3752254.861216777</v>
      </c>
      <c r="I62" s="37">
        <f t="array" ref="I62">SUM(($F62=BDD!$D$3:$D$215)*(BDD!$E$3:$E$215="GP")*(BDD!$C$3:$C$215="UC")*(BDD!$A$3:$A$215="MMA")*(BDD!$G$3:$G$215))</f>
        <v>82054684.062957436</v>
      </c>
      <c r="J62" s="82">
        <f t="shared" si="87"/>
        <v>21.868099875377023</v>
      </c>
      <c r="K62" s="45"/>
      <c r="L62" s="37">
        <f t="array" ref="L62">SUM(($F62=BDD!$D$3:$D$215)*(BDD!$E$3:$E$215="GP")*(BDD!$C$3:$C$215="UC")*(BDD!$A$3:$A$215="MMA")*(BDD!$F$3:$F$215))</f>
        <v>273308.78714318277</v>
      </c>
      <c r="M62" s="14">
        <f t="shared" si="88"/>
        <v>7.2838545688379622E-2</v>
      </c>
      <c r="N62" s="44">
        <f>(L62/Global!$O$3)/(PAT_AGE!H62/Global!$O$2)</f>
        <v>1.8393071281652698</v>
      </c>
      <c r="O62" s="11"/>
      <c r="P62" s="37">
        <f t="array" ref="P62">SUM(($F62=BDD!$D$3:$D$215)*(BDD!$B$3:$B$215="BS")*(BDD!$E$3:$E$215="GP")*(BDD!$C$3:$C$215="UC")*(BDD!$A$3:$A$215="MMA")*(BDD!$H$3:$H$215))</f>
        <v>12649.770287198389</v>
      </c>
      <c r="Q62" s="37">
        <f t="array" ref="Q62">SUM(($F62=BDD!$D$3:$D$215)*(BDD!$B$3:$B$215="BS")*(BDD!$E$3:$E$215="GP")*(BDD!$C$3:$C$215="UC")*(BDD!$A$3:$A$215="MMA")*(BDD!$G$3:$G$215))</f>
        <v>276880.81339845294</v>
      </c>
      <c r="R62" s="82">
        <f t="shared" si="84"/>
        <v>21.88820880634151</v>
      </c>
      <c r="S62" s="45"/>
      <c r="T62" s="37">
        <f t="array" ref="T62">SUM(($F62=BDD!$D$3:$D$215)*(BDD!$B$3:$B$215="BS")*(BDD!$E$3:$E$215="GP")*(BDD!$C$3:$C$215="UC")*(BDD!$A$3:$A$215="MMA")*(BDD!$F$3:$F$215))</f>
        <v>-104.77541808659417</v>
      </c>
      <c r="U62" s="14">
        <f t="shared" si="89"/>
        <v>-8.2827921541490171E-3</v>
      </c>
      <c r="V62" s="44">
        <f>(T62/Global!$O$3)/(PAT_AGE!P62/Global!$O$2)</f>
        <v>-0.20915572251284145</v>
      </c>
      <c r="W62" s="11"/>
      <c r="X62" s="37">
        <f t="array" ref="X62">SUM(($F62=BDD!$D$3:$D$215)*(BDD!$B$3:$B$215="CO")*(BDD!$E$3:$E$215="GP")*(BDD!$C$3:$C$215="UC")*(BDD!$A$3:$A$215="MMA")*(BDD!$H$3:$H$215))</f>
        <v>0</v>
      </c>
      <c r="Y62" s="37">
        <f t="array" ref="Y62">SUM(($F62=BDD!$D$3:$D$215)*(BDD!$B$3:$B$215="CO")*(BDD!$E$3:$E$215="GP")*(BDD!$C$3:$C$215="UC")*(BDD!$A$3:$A$215="MMA")*(BDD!$G$3:$G$215))</f>
        <v>0</v>
      </c>
      <c r="Z62" s="82"/>
      <c r="AA62" s="45"/>
      <c r="AB62" s="37">
        <f t="array" ref="AB62">SUM(($F62=BDD!$D$3:$D$215)*(BDD!$B$3:$B$215="CO")*(BDD!$E$3:$E$215="GP")*(BDD!$C$3:$C$215="UC")*(BDD!$A$3:$A$215="MMA")*(BDD!$F$3:$F$215))</f>
        <v>0</v>
      </c>
      <c r="AC62" s="14" t="e">
        <f t="shared" si="90"/>
        <v>#DIV/0!</v>
      </c>
      <c r="AD62" s="44" t="e">
        <f>(AB62/Global!$O$3)/(PAT_AGE!X62/Global!$O$2)</f>
        <v>#DIV/0!</v>
      </c>
      <c r="AE62" s="11"/>
      <c r="AF62" s="37">
        <f t="array" ref="AF62">SUM(($F62=BDD!$D$3:$D$215)*(BDD!$B$3:$B$215="AG")*(BDD!$E$3:$E$215="GP")*(BDD!$C$3:$C$215="UC")*(BDD!$A$3:$A$215="MMA")*(BDD!$H$3:$H$215))</f>
        <v>3739605.0909295785</v>
      </c>
      <c r="AG62" s="37">
        <f t="array" ref="AG62">SUM(($F62=BDD!$D$3:$D$215)*(BDD!$B$3:$B$215="AG")*(BDD!$E$3:$E$215="GP")*(BDD!$C$3:$C$215="UC")*(BDD!$A$3:$A$215="MMA")*(BDD!$G$3:$G$215))</f>
        <v>81777803.249558985</v>
      </c>
      <c r="AH62" s="82">
        <f t="shared" si="91"/>
        <v>21.868031853927906</v>
      </c>
      <c r="AI62" s="91"/>
      <c r="AJ62" s="37">
        <f t="array" ref="AJ62">SUM(($F62=BDD!$D$3:$D$215)*(BDD!$B$3:$B$215="AG")*(BDD!$E$3:$E$215="GP")*(BDD!$C$3:$C$215="UC")*(BDD!$A$3:$A$215="MMA")*(BDD!$F$3:$F$215))</f>
        <v>273413.56256126938</v>
      </c>
      <c r="AK62" s="14">
        <f t="shared" si="92"/>
        <v>7.3112950676111413E-2</v>
      </c>
      <c r="AL62" s="44">
        <f>(AJ62/Global!$O$3)/(PAT_AGE!AF62/Global!$O$2)</f>
        <v>1.8462363583574599</v>
      </c>
      <c r="AM62" s="11"/>
      <c r="AN62" s="37">
        <f t="array" ref="AN62">SUM(($F62=BDD!$D$3:$D$215)*(BDD!$E$3:$E$215="GP")*(BDD!$C$3:$C$215="UC")*(BDD!$A$3:$A$215="MAAF")*(BDD!$H$3:$H$215))</f>
        <v>3605849.9684232837</v>
      </c>
      <c r="AO62" s="37">
        <f t="array" ref="AO62">SUM(($F62=BDD!$D$3:$D$215)*(BDD!$B$3:$B$215="TOTAL")*(BDD!$E$3:$E$215="GP")*(BDD!$C$3:$C$215="UC")*(BDD!$A$3:$A$215="MAAF")*(BDD!$G$3:$G$215))</f>
        <v>53477903.546656936</v>
      </c>
      <c r="AP62" s="82">
        <f t="shared" si="85"/>
        <v>14.83087316859193</v>
      </c>
      <c r="AQ62" s="91"/>
      <c r="AR62" s="37">
        <f t="array" ref="AR62">SUM(($F62=BDD!$D$3:$D$215)*(BDD!$A$3:$A$215="MAAF")*(BDD!$E$3:$E$215="GP")*(BDD!$C$3:$C$215="UC")*(BDD!$F$3:$F$215))</f>
        <v>316562.02438306733</v>
      </c>
      <c r="AS62" s="14">
        <f t="shared" si="93"/>
        <v>8.7791235674036988E-2</v>
      </c>
      <c r="AT62" s="44">
        <f>(AR62/Global!$O$3)/(PAT_AGE!AN62/Global!$O$2)</f>
        <v>2.2168900276581769</v>
      </c>
      <c r="AU62" s="11"/>
      <c r="AV62" s="37">
        <f t="array" ref="AV62">SUM(($F62=BDD!$D$3:$D$215)*(BDD!$A$3:$A$215="GMF")*(BDD!$E$3:$E$215="GP")*(BDD!$C$3:$C$215="UC")*(BDD!$H$3:$H$215))</f>
        <v>2625624.4072793466</v>
      </c>
      <c r="AW62" s="37">
        <f t="array" ref="AW62">SUM(($F62=BDD!$D$3:$D$215)*(BDD!$B$3:$B$215="TOTAL")*(BDD!$E$3:$E$215="GP")*(BDD!$C$3:$C$215="UC")*(BDD!$A$3:$A$215="GMF")*(BDD!$G$3:$G$215))</f>
        <v>54812909.604804002</v>
      </c>
      <c r="AX62" s="82">
        <f t="shared" si="86"/>
        <v>20.876142624527454</v>
      </c>
      <c r="AY62" s="91"/>
      <c r="AZ62" s="37">
        <f t="array" ref="AZ62">SUM(($F62=BDD!$D$3:$D$215)*(BDD!$A$3:$A$215="GMF")*(BDD!$E$3:$E$215="GP")*(BDD!$C$3:$C$215="UC")*(BDD!$F$3:$F$215))</f>
        <v>342355.31136720779</v>
      </c>
      <c r="BA62" s="14">
        <f t="shared" si="94"/>
        <v>0.13039005518765492</v>
      </c>
      <c r="BB62" s="44">
        <f>(AZ62/Global!$O$3)/(PAT_AGE!AV62/Global!$O$2)</f>
        <v>3.292588500799484</v>
      </c>
      <c r="BC62" s="11"/>
    </row>
    <row r="63" spans="1:55" s="28" customFormat="1" x14ac:dyDescent="0.25">
      <c r="A63" s="11"/>
      <c r="B63" s="67"/>
      <c r="C63" s="11"/>
      <c r="D63" s="67"/>
      <c r="E63" s="11"/>
      <c r="F63" s="41" t="s">
        <v>16</v>
      </c>
      <c r="G63" s="11"/>
      <c r="H63" s="37">
        <f t="array" ref="H63">SUM(($F63=BDD!$D$3:$D$215)*(BDD!$E$3:$E$215="GP")*(BDD!$C$3:$C$215="UC")*(BDD!$A$3:$A$215="MMA")*(BDD!$H$3:$H$215))</f>
        <v>5370329.2805368733</v>
      </c>
      <c r="I63" s="37">
        <f t="array" ref="I63">SUM(($F63=BDD!$D$3:$D$215)*(BDD!$E$3:$E$215="GP")*(BDD!$C$3:$C$215="UC")*(BDD!$A$3:$A$215="MMA")*(BDD!$G$3:$G$215))</f>
        <v>108489595.39586197</v>
      </c>
      <c r="J63" s="82">
        <f t="shared" si="87"/>
        <v>20.201665434007843</v>
      </c>
      <c r="K63" s="45"/>
      <c r="L63" s="37">
        <f t="array" ref="L63">SUM(($F63=BDD!$D$3:$D$215)*(BDD!$E$3:$E$215="GP")*(BDD!$C$3:$C$215="UC")*(BDD!$A$3:$A$215="MMA")*(BDD!$F$3:$F$215))</f>
        <v>414459.48856212862</v>
      </c>
      <c r="M63" s="14">
        <f t="shared" si="88"/>
        <v>7.7175805599893302E-2</v>
      </c>
      <c r="N63" s="44">
        <f>(L63/Global!$O$3)/(PAT_AGE!H63/Global!$O$2)</f>
        <v>1.9488309111644855</v>
      </c>
      <c r="O63" s="11"/>
      <c r="P63" s="37">
        <f t="array" ref="P63">SUM(($F63=BDD!$D$3:$D$215)*(BDD!$B$3:$B$215="BS")*(BDD!$E$3:$E$215="GP")*(BDD!$C$3:$C$215="UC")*(BDD!$A$3:$A$215="MMA")*(BDD!$H$3:$H$215))</f>
        <v>27450.150623223893</v>
      </c>
      <c r="Q63" s="37">
        <f t="array" ref="Q63">SUM(($F63=BDD!$D$3:$D$215)*(BDD!$B$3:$B$215="BS")*(BDD!$E$3:$E$215="GP")*(BDD!$C$3:$C$215="UC")*(BDD!$A$3:$A$215="MMA")*(BDD!$G$3:$G$215))</f>
        <v>504532.21291432821</v>
      </c>
      <c r="R63" s="82">
        <f t="shared" si="84"/>
        <v>18.379943332167887</v>
      </c>
      <c r="S63" s="45"/>
      <c r="T63" s="37">
        <f t="array" ref="T63">SUM(($F63=BDD!$D$3:$D$215)*(BDD!$B$3:$B$215="BS")*(BDD!$E$3:$E$215="GP")*(BDD!$C$3:$C$215="UC")*(BDD!$A$3:$A$215="MMA")*(BDD!$F$3:$F$215))</f>
        <v>376.266458871851</v>
      </c>
      <c r="U63" s="14">
        <f t="shared" si="89"/>
        <v>1.3707263906723884E-2</v>
      </c>
      <c r="V63" s="44">
        <f>(T63/Global!$O$3)/(PAT_AGE!P63/Global!$O$2)</f>
        <v>0.34613360238055879</v>
      </c>
      <c r="W63" s="11"/>
      <c r="X63" s="37">
        <f t="array" ref="X63">SUM(($F63=BDD!$D$3:$D$215)*(BDD!$B$3:$B$215="CO")*(BDD!$E$3:$E$215="GP")*(BDD!$C$3:$C$215="UC")*(BDD!$A$3:$A$215="MMA")*(BDD!$H$3:$H$215))</f>
        <v>0</v>
      </c>
      <c r="Y63" s="37">
        <f t="array" ref="Y63">SUM(($F63=BDD!$D$3:$D$215)*(BDD!$B$3:$B$215="CO")*(BDD!$E$3:$E$215="GP")*(BDD!$C$3:$C$215="UC")*(BDD!$A$3:$A$215="MMA")*(BDD!$G$3:$G$215))</f>
        <v>0</v>
      </c>
      <c r="Z63" s="82"/>
      <c r="AA63" s="45"/>
      <c r="AB63" s="37">
        <f t="array" ref="AB63">SUM(($F63=BDD!$D$3:$D$215)*(BDD!$B$3:$B$215="CO")*(BDD!$E$3:$E$215="GP")*(BDD!$C$3:$C$215="UC")*(BDD!$A$3:$A$215="MMA")*(BDD!$F$3:$F$215))</f>
        <v>0</v>
      </c>
      <c r="AC63" s="14" t="e">
        <f t="shared" si="90"/>
        <v>#DIV/0!</v>
      </c>
      <c r="AD63" s="44" t="e">
        <f>(AB63/Global!$O$3)/(PAT_AGE!X63/Global!$O$2)</f>
        <v>#DIV/0!</v>
      </c>
      <c r="AE63" s="11"/>
      <c r="AF63" s="37">
        <f t="array" ref="AF63">SUM(($F63=BDD!$D$3:$D$215)*(BDD!$B$3:$B$215="AG")*(BDD!$E$3:$E$215="GP")*(BDD!$C$3:$C$215="UC")*(BDD!$A$3:$A$215="MMA")*(BDD!$H$3:$H$215))</f>
        <v>5342879.1299136495</v>
      </c>
      <c r="AG63" s="37">
        <f t="array" ref="AG63">SUM(($F63=BDD!$D$3:$D$215)*(BDD!$B$3:$B$215="AG")*(BDD!$E$3:$E$215="GP")*(BDD!$C$3:$C$215="UC")*(BDD!$A$3:$A$215="MMA")*(BDD!$G$3:$G$215))</f>
        <v>107985063.18294764</v>
      </c>
      <c r="AH63" s="82">
        <f t="shared" si="91"/>
        <v>20.211024909465408</v>
      </c>
      <c r="AI63" s="91"/>
      <c r="AJ63" s="37">
        <f t="array" ref="AJ63">SUM(($F63=BDD!$D$3:$D$215)*(BDD!$B$3:$B$215="AG")*(BDD!$E$3:$E$215="GP")*(BDD!$C$3:$C$215="UC")*(BDD!$A$3:$A$215="MMA")*(BDD!$F$3:$F$215))</f>
        <v>414083.22210325679</v>
      </c>
      <c r="AK63" s="14">
        <f t="shared" si="92"/>
        <v>7.750188840786093E-2</v>
      </c>
      <c r="AL63" s="44">
        <f>(AJ63/Global!$O$3)/(PAT_AGE!AF63/Global!$O$2)</f>
        <v>1.9570651012818026</v>
      </c>
      <c r="AM63" s="11"/>
      <c r="AN63" s="37">
        <f t="array" ref="AN63">SUM(($F63=BDD!$D$3:$D$215)*(BDD!$E$3:$E$215="GP")*(BDD!$C$3:$C$215="UC")*(BDD!$A$3:$A$215="MAAF")*(BDD!$H$3:$H$215))</f>
        <v>4880582.9572603451</v>
      </c>
      <c r="AO63" s="37">
        <f t="array" ref="AO63">SUM(($F63=BDD!$D$3:$D$215)*(BDD!$B$3:$B$215="TOTAL")*(BDD!$E$3:$E$215="GP")*(BDD!$C$3:$C$215="UC")*(BDD!$A$3:$A$215="MAAF")*(BDD!$G$3:$G$215))</f>
        <v>77694918.90157561</v>
      </c>
      <c r="AP63" s="82">
        <f t="shared" si="85"/>
        <v>15.919188257213579</v>
      </c>
      <c r="AQ63" s="91"/>
      <c r="AR63" s="37">
        <f t="array" ref="AR63">SUM(($F63=BDD!$D$3:$D$215)*(BDD!$A$3:$A$215="MAAF")*(BDD!$E$3:$E$215="GP")*(BDD!$C$3:$C$215="UC")*(BDD!$F$3:$F$215))</f>
        <v>502886.35694196122</v>
      </c>
      <c r="AS63" s="14">
        <f t="shared" si="93"/>
        <v>0.10303817419881543</v>
      </c>
      <c r="AT63" s="44">
        <f>(AR63/Global!$O$3)/(PAT_AGE!AN63/Global!$O$2)</f>
        <v>2.6019032434807534</v>
      </c>
      <c r="AU63" s="11"/>
      <c r="AV63" s="37">
        <f t="array" ref="AV63">SUM(($F63=BDD!$D$3:$D$215)*(BDD!$A$3:$A$215="GMF")*(BDD!$E$3:$E$215="GP")*(BDD!$C$3:$C$215="UC")*(BDD!$H$3:$H$215))</f>
        <v>3579862.3100256114</v>
      </c>
      <c r="AW63" s="37">
        <f t="array" ref="AW63">SUM(($F63=BDD!$D$3:$D$215)*(BDD!$B$3:$B$215="TOTAL")*(BDD!$E$3:$E$215="GP")*(BDD!$C$3:$C$215="UC")*(BDD!$A$3:$A$215="GMF")*(BDD!$G$3:$G$215))</f>
        <v>74759482.494606376</v>
      </c>
      <c r="AX63" s="82">
        <f t="shared" si="86"/>
        <v>20.883340201448007</v>
      </c>
      <c r="AY63" s="91"/>
      <c r="AZ63" s="37">
        <f t="array" ref="AZ63">SUM(($F63=BDD!$D$3:$D$215)*(BDD!$A$3:$A$215="GMF")*(BDD!$E$3:$E$215="GP")*(BDD!$C$3:$C$215="UC")*(BDD!$F$3:$F$215))</f>
        <v>451334.31632976548</v>
      </c>
      <c r="BA63" s="14">
        <f t="shared" si="94"/>
        <v>0.12607588707134842</v>
      </c>
      <c r="BB63" s="44">
        <f>(AZ63/Global!$O$3)/(PAT_AGE!AV63/Global!$O$2)</f>
        <v>3.1836478280631826</v>
      </c>
      <c r="BC63" s="11"/>
    </row>
    <row r="64" spans="1:55" s="28" customFormat="1" x14ac:dyDescent="0.25">
      <c r="A64" s="11"/>
      <c r="B64" s="67"/>
      <c r="C64" s="11"/>
      <c r="D64" s="67"/>
      <c r="E64" s="11"/>
      <c r="F64" s="41" t="s">
        <v>17</v>
      </c>
      <c r="G64" s="11"/>
      <c r="H64" s="37">
        <f t="array" ref="H64">SUM(($F64=BDD!$D$3:$D$215)*(BDD!$E$3:$E$215="GP")*(BDD!$C$3:$C$215="UC")*(BDD!$A$3:$A$215="MMA")*(BDD!$H$3:$H$215))</f>
        <v>5186806.5728199249</v>
      </c>
      <c r="I64" s="37">
        <f t="array" ref="I64">SUM(($F64=BDD!$D$3:$D$215)*(BDD!$E$3:$E$215="GP")*(BDD!$C$3:$C$215="UC")*(BDD!$A$3:$A$215="MMA")*(BDD!$G$3:$G$215))</f>
        <v>88240362.769006461</v>
      </c>
      <c r="J64" s="82">
        <f t="shared" si="87"/>
        <v>17.012464515528016</v>
      </c>
      <c r="K64" s="45"/>
      <c r="L64" s="37">
        <f t="array" ref="L64">SUM(($F64=BDD!$D$3:$D$215)*(BDD!$E$3:$E$215="GP")*(BDD!$C$3:$C$215="UC")*(BDD!$A$3:$A$215="MMA")*(BDD!$F$3:$F$215))</f>
        <v>365566.36800396256</v>
      </c>
      <c r="M64" s="14">
        <f t="shared" si="88"/>
        <v>7.048004641615431E-2</v>
      </c>
      <c r="N64" s="44">
        <f>(L64/Global!$O$3)/(PAT_AGE!H64/Global!$O$2)</f>
        <v>1.7797506875172695</v>
      </c>
      <c r="O64" s="11"/>
      <c r="P64" s="37">
        <f t="array" ref="P64">SUM(($F64=BDD!$D$3:$D$215)*(BDD!$B$3:$B$215="BS")*(BDD!$E$3:$E$215="GP")*(BDD!$C$3:$C$215="UC")*(BDD!$A$3:$A$215="MMA")*(BDD!$H$3:$H$215))</f>
        <v>2349.4470533414756</v>
      </c>
      <c r="Q64" s="37">
        <f t="array" ref="Q64">SUM(($F64=BDD!$D$3:$D$215)*(BDD!$B$3:$B$215="BS")*(BDD!$E$3:$E$215="GP")*(BDD!$C$3:$C$215="UC")*(BDD!$A$3:$A$215="MMA")*(BDD!$G$3:$G$215))</f>
        <v>37400.335664029655</v>
      </c>
      <c r="R64" s="82">
        <f t="shared" si="84"/>
        <v>15.918782085698604</v>
      </c>
      <c r="S64" s="45"/>
      <c r="T64" s="37">
        <f t="array" ref="T64">SUM(($F64=BDD!$D$3:$D$215)*(BDD!$B$3:$B$215="BS")*(BDD!$E$3:$E$215="GP")*(BDD!$C$3:$C$215="UC")*(BDD!$A$3:$A$215="MMA")*(BDD!$F$3:$F$215))</f>
        <v>80.570757466708784</v>
      </c>
      <c r="U64" s="14">
        <f t="shared" si="89"/>
        <v>3.4293497847554345E-2</v>
      </c>
      <c r="V64" s="44">
        <f>(T64/Global!$O$3)/(PAT_AGE!P64/Global!$O$2)</f>
        <v>0.8659738390519508</v>
      </c>
      <c r="W64" s="11"/>
      <c r="X64" s="37">
        <f t="array" ref="X64">SUM(($F64=BDD!$D$3:$D$215)*(BDD!$B$3:$B$215="CO")*(BDD!$E$3:$E$215="GP")*(BDD!$C$3:$C$215="UC")*(BDD!$A$3:$A$215="MMA")*(BDD!$H$3:$H$215))</f>
        <v>18750.000160922009</v>
      </c>
      <c r="Y64" s="37">
        <f t="array" ref="Y64">SUM(($F64=BDD!$D$3:$D$215)*(BDD!$B$3:$B$215="CO")*(BDD!$E$3:$E$215="GP")*(BDD!$C$3:$C$215="UC")*(BDD!$A$3:$A$215="MMA")*(BDD!$G$3:$G$215))</f>
        <v>272680.21308412153</v>
      </c>
      <c r="Z64" s="82">
        <f t="shared" ref="Z64:Z66" si="95">Y64/X64</f>
        <v>14.542944573004888</v>
      </c>
      <c r="AA64" s="45"/>
      <c r="AB64" s="37">
        <f t="array" ref="AB64">SUM(($F64=BDD!$D$3:$D$215)*(BDD!$B$3:$B$215="CO")*(BDD!$E$3:$E$215="GP")*(BDD!$C$3:$C$215="UC")*(BDD!$A$3:$A$215="MMA")*(BDD!$F$3:$F$215))</f>
        <v>989.26317862393512</v>
      </c>
      <c r="AC64" s="14">
        <f t="shared" si="90"/>
        <v>5.2760702407124098E-2</v>
      </c>
      <c r="AD64" s="44">
        <f>(AB64/Global!$O$3)/(PAT_AGE!X64/Global!$O$2)</f>
        <v>1.3323046898767466</v>
      </c>
      <c r="AE64" s="11"/>
      <c r="AF64" s="37">
        <f t="array" ref="AF64">SUM(($F64=BDD!$D$3:$D$215)*(BDD!$B$3:$B$215="AG")*(BDD!$E$3:$E$215="GP")*(BDD!$C$3:$C$215="UC")*(BDD!$A$3:$A$215="MMA")*(BDD!$H$3:$H$215))</f>
        <v>5165707.1256056614</v>
      </c>
      <c r="AG64" s="37">
        <f t="array" ref="AG64">SUM(($F64=BDD!$D$3:$D$215)*(BDD!$B$3:$B$215="AG")*(BDD!$E$3:$E$215="GP")*(BDD!$C$3:$C$215="UC")*(BDD!$A$3:$A$215="MMA")*(BDD!$G$3:$G$215))</f>
        <v>87930282.22025831</v>
      </c>
      <c r="AH64" s="82">
        <f t="shared" si="91"/>
        <v>17.021925572280441</v>
      </c>
      <c r="AI64" s="91"/>
      <c r="AJ64" s="37">
        <f t="array" ref="AJ64">SUM(($F64=BDD!$D$3:$D$215)*(BDD!$B$3:$B$215="AG")*(BDD!$E$3:$E$215="GP")*(BDD!$C$3:$C$215="UC")*(BDD!$A$3:$A$215="MMA")*(BDD!$F$3:$F$215))</f>
        <v>364496.53406787192</v>
      </c>
      <c r="AK64" s="14">
        <f t="shared" si="92"/>
        <v>7.0560820659211487E-2</v>
      </c>
      <c r="AL64" s="44">
        <f>(AJ64/Global!$O$3)/(PAT_AGE!AF64/Global!$O$2)</f>
        <v>1.7817903855867889</v>
      </c>
      <c r="AM64" s="11"/>
      <c r="AN64" s="37">
        <f t="array" ref="AN64">SUM(($F64=BDD!$D$3:$D$215)*(BDD!$E$3:$E$215="GP")*(BDD!$C$3:$C$215="UC")*(BDD!$A$3:$A$215="MAAF")*(BDD!$H$3:$H$215))</f>
        <v>3273624.9713326045</v>
      </c>
      <c r="AO64" s="37">
        <f t="array" ref="AO64">SUM(($F64=BDD!$D$3:$D$215)*(BDD!$B$3:$B$215="TOTAL")*(BDD!$E$3:$E$215="GP")*(BDD!$C$3:$C$215="UC")*(BDD!$A$3:$A$215="MAAF")*(BDD!$G$3:$G$215))</f>
        <v>46956603.359630592</v>
      </c>
      <c r="AP64" s="82">
        <f t="shared" si="85"/>
        <v>14.343916536204764</v>
      </c>
      <c r="AQ64" s="91"/>
      <c r="AR64" s="37">
        <f t="array" ref="AR64">SUM(($F64=BDD!$D$3:$D$215)*(BDD!$A$3:$A$215="MAAF")*(BDD!$E$3:$E$215="GP")*(BDD!$C$3:$C$215="UC")*(BDD!$F$3:$F$215))</f>
        <v>318082.32914269762</v>
      </c>
      <c r="AS64" s="14">
        <f t="shared" si="93"/>
        <v>9.7165170698589487E-2</v>
      </c>
      <c r="AT64" s="44">
        <f>(AR64/Global!$O$3)/(PAT_AGE!AN64/Global!$O$2)</f>
        <v>2.4535991127541492</v>
      </c>
      <c r="AU64" s="11"/>
      <c r="AV64" s="37">
        <f t="array" ref="AV64">SUM(($F64=BDD!$D$3:$D$215)*(BDD!$A$3:$A$215="GMF")*(BDD!$E$3:$E$215="GP")*(BDD!$C$3:$C$215="UC")*(BDD!$H$3:$H$215))</f>
        <v>6241460.3905366156</v>
      </c>
      <c r="AW64" s="37">
        <f t="array" ref="AW64">SUM(($F64=BDD!$D$3:$D$215)*(BDD!$B$3:$B$215="TOTAL")*(BDD!$E$3:$E$215="GP")*(BDD!$C$3:$C$215="UC")*(BDD!$A$3:$A$215="GMF")*(BDD!$G$3:$G$215))</f>
        <v>113698104.89739545</v>
      </c>
      <c r="AX64" s="82">
        <f t="shared" si="86"/>
        <v>18.21658678949337</v>
      </c>
      <c r="AY64" s="91"/>
      <c r="AZ64" s="37">
        <f t="array" ref="AZ64">SUM(($F64=BDD!$D$3:$D$215)*(BDD!$A$3:$A$215="GMF")*(BDD!$E$3:$E$215="GP")*(BDD!$C$3:$C$215="UC")*(BDD!$F$3:$F$215))</f>
        <v>632415.50530933845</v>
      </c>
      <c r="BA64" s="14">
        <f t="shared" si="94"/>
        <v>0.10132492489549644</v>
      </c>
      <c r="BB64" s="44">
        <f>(AZ64/Global!$O$3)/(PAT_AGE!AV64/Global!$O$2)</f>
        <v>2.5586405502715786</v>
      </c>
      <c r="BC64" s="11"/>
    </row>
    <row r="65" spans="1:55" s="28" customFormat="1" x14ac:dyDescent="0.25">
      <c r="A65" s="11"/>
      <c r="B65" s="67"/>
      <c r="C65" s="11"/>
      <c r="D65" s="67"/>
      <c r="E65" s="11"/>
      <c r="F65" s="41" t="s">
        <v>12</v>
      </c>
      <c r="G65" s="11"/>
      <c r="H65" s="37">
        <f t="array" ref="H65">SUM(($F65=BDD!$D$3:$D$215)*(BDD!$E$3:$E$215="GP")*(BDD!$C$3:$C$215="UC")*(BDD!$A$3:$A$215="MMA")*(BDD!$H$3:$H$215))</f>
        <v>2545379.2418482662</v>
      </c>
      <c r="I65" s="37">
        <f t="array" ref="I65">SUM(($F65=BDD!$D$3:$D$215)*(BDD!$E$3:$E$215="GP")*(BDD!$C$3:$C$215="UC")*(BDD!$A$3:$A$215="MMA")*(BDD!$G$3:$G$215))</f>
        <v>30829554.922980078</v>
      </c>
      <c r="J65" s="82">
        <f t="shared" si="87"/>
        <v>12.111969177761477</v>
      </c>
      <c r="K65" s="45"/>
      <c r="L65" s="37">
        <f t="array" ref="L65">SUM(($F65=BDD!$D$3:$D$215)*(BDD!$E$3:$E$215="GP")*(BDD!$C$3:$C$215="UC")*(BDD!$A$3:$A$215="MMA")*(BDD!$F$3:$F$215))</f>
        <v>104089.96208361219</v>
      </c>
      <c r="M65" s="14">
        <f t="shared" si="88"/>
        <v>4.0893694885336521E-2</v>
      </c>
      <c r="N65" s="44">
        <f>(L65/Global!$O$3)/(PAT_AGE!H65/Global!$O$2)</f>
        <v>1.0326409429068921</v>
      </c>
      <c r="O65" s="11"/>
      <c r="P65" s="37">
        <f t="array" ref="P65">SUM(($F65=BDD!$D$3:$D$215)*(BDD!$B$3:$B$215="BS")*(BDD!$E$3:$E$215="GP")*(BDD!$C$3:$C$215="UC")*(BDD!$A$3:$A$215="MMA")*(BDD!$H$3:$H$215))</f>
        <v>26911.180610987201</v>
      </c>
      <c r="Q65" s="37">
        <f t="array" ref="Q65">SUM(($F65=BDD!$D$3:$D$215)*(BDD!$B$3:$B$215="BS")*(BDD!$E$3:$E$215="GP")*(BDD!$C$3:$C$215="UC")*(BDD!$A$3:$A$215="MMA")*(BDD!$G$3:$G$215))</f>
        <v>350038.94083153532</v>
      </c>
      <c r="R65" s="82">
        <f t="shared" si="84"/>
        <v>13.007193771670599</v>
      </c>
      <c r="S65" s="45"/>
      <c r="T65" s="37">
        <f t="array" ref="T65">SUM(($F65=BDD!$D$3:$D$215)*(BDD!$B$3:$B$215="BS")*(BDD!$E$3:$E$215="GP")*(BDD!$C$3:$C$215="UC")*(BDD!$A$3:$A$215="MMA")*(BDD!$F$3:$F$215))</f>
        <v>695.05492139569787</v>
      </c>
      <c r="U65" s="14">
        <f t="shared" si="89"/>
        <v>2.5827737974153511E-2</v>
      </c>
      <c r="V65" s="44">
        <f>(T65/Global!$O$3)/(PAT_AGE!P65/Global!$O$2)</f>
        <v>0.6521978454029479</v>
      </c>
      <c r="W65" s="11"/>
      <c r="X65" s="37">
        <f t="array" ref="X65">SUM(($F65=BDD!$D$3:$D$215)*(BDD!$B$3:$B$215="CO")*(BDD!$E$3:$E$215="GP")*(BDD!$C$3:$C$215="UC")*(BDD!$A$3:$A$215="MMA")*(BDD!$H$3:$H$215))</f>
        <v>0</v>
      </c>
      <c r="Y65" s="37">
        <f t="array" ref="Y65">SUM(($F65=BDD!$D$3:$D$215)*(BDD!$B$3:$B$215="CO")*(BDD!$E$3:$E$215="GP")*(BDD!$C$3:$C$215="UC")*(BDD!$A$3:$A$215="MMA")*(BDD!$G$3:$G$215))</f>
        <v>0</v>
      </c>
      <c r="Z65" s="82"/>
      <c r="AA65" s="45"/>
      <c r="AB65" s="37">
        <f t="array" ref="AB65">SUM(($F65=BDD!$D$3:$D$215)*(BDD!$B$3:$B$215="CO")*(BDD!$E$3:$E$215="GP")*(BDD!$C$3:$C$215="UC")*(BDD!$A$3:$A$215="MMA")*(BDD!$F$3:$F$215))</f>
        <v>0</v>
      </c>
      <c r="AC65" s="14" t="e">
        <f t="shared" si="90"/>
        <v>#DIV/0!</v>
      </c>
      <c r="AD65" s="44" t="e">
        <f>(AB65/Global!$O$3)/(PAT_AGE!X65/Global!$O$2)</f>
        <v>#DIV/0!</v>
      </c>
      <c r="AE65" s="11"/>
      <c r="AF65" s="37">
        <f t="array" ref="AF65">SUM(($F65=BDD!$D$3:$D$215)*(BDD!$B$3:$B$215="AG")*(BDD!$E$3:$E$215="GP")*(BDD!$C$3:$C$215="UC")*(BDD!$A$3:$A$215="MMA")*(BDD!$H$3:$H$215))</f>
        <v>2518468.0612372789</v>
      </c>
      <c r="AG65" s="37">
        <f t="array" ref="AG65">SUM(($F65=BDD!$D$3:$D$215)*(BDD!$B$3:$B$215="AG")*(BDD!$E$3:$E$215="GP")*(BDD!$C$3:$C$215="UC")*(BDD!$A$3:$A$215="MMA")*(BDD!$G$3:$G$215))</f>
        <v>30479515.982148543</v>
      </c>
      <c r="AH65" s="82">
        <f t="shared" si="91"/>
        <v>12.102403223320806</v>
      </c>
      <c r="AI65" s="91"/>
      <c r="AJ65" s="37">
        <f t="array" ref="AJ65">SUM(($F65=BDD!$D$3:$D$215)*(BDD!$B$3:$B$215="AG")*(BDD!$E$3:$E$215="GP")*(BDD!$C$3:$C$215="UC")*(BDD!$A$3:$A$215="MMA")*(BDD!$F$3:$F$215))</f>
        <v>103394.90716221649</v>
      </c>
      <c r="AK65" s="14">
        <f t="shared" si="92"/>
        <v>4.1054682707161436E-2</v>
      </c>
      <c r="AL65" s="44">
        <f>(AJ65/Global!$O$3)/(PAT_AGE!AF65/Global!$O$2)</f>
        <v>1.0367061812423359</v>
      </c>
      <c r="AM65" s="11"/>
      <c r="AN65" s="37">
        <f t="array" ref="AN65">SUM(($F65=BDD!$D$3:$D$215)*(BDD!$E$3:$E$215="GP")*(BDD!$C$3:$C$215="UC")*(BDD!$A$3:$A$215="MAAF")*(BDD!$H$3:$H$215))</f>
        <v>1621175.9858032323</v>
      </c>
      <c r="AO65" s="37">
        <f t="array" ref="AO65">SUM(($F65=BDD!$D$3:$D$215)*(BDD!$B$3:$B$215="TOTAL")*(BDD!$E$3:$E$215="GP")*(BDD!$C$3:$C$215="UC")*(BDD!$A$3:$A$215="MAAF")*(BDD!$G$3:$G$215))</f>
        <v>20222406.069778975</v>
      </c>
      <c r="AP65" s="82">
        <f t="shared" si="85"/>
        <v>12.473911683165925</v>
      </c>
      <c r="AQ65" s="91"/>
      <c r="AR65" s="37">
        <f t="array" ref="AR65">SUM(($F65=BDD!$D$3:$D$215)*(BDD!$A$3:$A$215="MAAF")*(BDD!$E$3:$E$215="GP")*(BDD!$C$3:$C$215="UC")*(BDD!$F$3:$F$215))</f>
        <v>137404.26954997604</v>
      </c>
      <c r="AS65" s="14">
        <f t="shared" si="93"/>
        <v>8.4755924559231213E-2</v>
      </c>
      <c r="AT65" s="44">
        <f>(AR65/Global!$O$3)/(PAT_AGE!AN65/Global!$O$2)</f>
        <v>2.1402428442623642</v>
      </c>
      <c r="AU65" s="11"/>
      <c r="AV65" s="37">
        <f t="array" ref="AV65">SUM(($F65=BDD!$D$3:$D$215)*(BDD!$A$3:$A$215="GMF")*(BDD!$E$3:$E$215="GP")*(BDD!$C$3:$C$215="UC")*(BDD!$H$3:$H$215))</f>
        <v>2901608.0665969425</v>
      </c>
      <c r="AW65" s="37">
        <f t="array" ref="AW65">SUM(($F65=BDD!$D$3:$D$215)*(BDD!$B$3:$B$215="TOTAL")*(BDD!$E$3:$E$215="GP")*(BDD!$C$3:$C$215="UC")*(BDD!$A$3:$A$215="GMF")*(BDD!$G$3:$G$215))</f>
        <v>41450741.327820599</v>
      </c>
      <c r="AX65" s="82">
        <f t="shared" si="86"/>
        <v>14.285437721585454</v>
      </c>
      <c r="AY65" s="91"/>
      <c r="AZ65" s="37">
        <f t="array" ref="AZ65">SUM(($F65=BDD!$D$3:$D$215)*(BDD!$A$3:$A$215="GMF")*(BDD!$E$3:$E$215="GP")*(BDD!$C$3:$C$215="UC")*(BDD!$F$3:$F$215))</f>
        <v>192304.86449806771</v>
      </c>
      <c r="BA65" s="14">
        <f t="shared" si="94"/>
        <v>6.6275272222966447E-2</v>
      </c>
      <c r="BB65" s="44">
        <f>(AZ65/Global!$O$3)/(PAT_AGE!AV65/Global!$O$2)</f>
        <v>1.6735724123641227</v>
      </c>
      <c r="BC65" s="11"/>
    </row>
    <row r="66" spans="1:55" s="28" customFormat="1" x14ac:dyDescent="0.25">
      <c r="A66" s="11"/>
      <c r="B66" s="68"/>
      <c r="C66" s="11"/>
      <c r="D66" s="68"/>
      <c r="E66" s="11"/>
      <c r="F66" s="48" t="s">
        <v>30</v>
      </c>
      <c r="G66" s="11"/>
      <c r="H66" s="47">
        <f>SUM(H60:H65)</f>
        <v>21648129.130962577</v>
      </c>
      <c r="I66" s="47">
        <f>SUM(I60:I65)</f>
        <v>408064846.62938809</v>
      </c>
      <c r="J66" s="83">
        <f t="shared" si="87"/>
        <v>18.849889713829679</v>
      </c>
      <c r="K66" s="45"/>
      <c r="L66" s="47">
        <f>SUM(L60:L65)</f>
        <v>1377121.8159402157</v>
      </c>
      <c r="M66" s="42">
        <f t="shared" si="88"/>
        <v>6.3613895113484226E-2</v>
      </c>
      <c r="N66" s="43">
        <f>(L66/Global!$O$3)/(PAT_AGE!H66/Global!$O$2)</f>
        <v>1.6063677497511586</v>
      </c>
      <c r="O66" s="11"/>
      <c r="P66" s="47">
        <f>SUM(P60:P65)</f>
        <v>76296.606732226137</v>
      </c>
      <c r="Q66" s="47">
        <f>SUM(Q60:Q65)</f>
        <v>1315581.4737924801</v>
      </c>
      <c r="R66" s="83">
        <f t="shared" si="84"/>
        <v>17.242987993027025</v>
      </c>
      <c r="S66" s="45"/>
      <c r="T66" s="47">
        <f>SUM(T60:T65)</f>
        <v>798.23003988310961</v>
      </c>
      <c r="U66" s="42">
        <f t="shared" si="89"/>
        <v>1.0462195818021268E-2</v>
      </c>
      <c r="V66" s="43">
        <f>(T66/Global!$O$3)/(PAT_AGE!P66/Global!$O$2)</f>
        <v>0.26418966994033999</v>
      </c>
      <c r="W66" s="11"/>
      <c r="X66" s="47">
        <f>SUM(X60:X65)</f>
        <v>18750.000160922009</v>
      </c>
      <c r="Y66" s="47">
        <f>SUM(Y60:Y65)</f>
        <v>272680.21308412153</v>
      </c>
      <c r="Z66" s="83">
        <f t="shared" si="95"/>
        <v>14.542944573004888</v>
      </c>
      <c r="AA66" s="45"/>
      <c r="AB66" s="47">
        <f>SUM(AB60:AB65)</f>
        <v>989.26317862393512</v>
      </c>
      <c r="AC66" s="42">
        <f t="shared" si="90"/>
        <v>5.2760702407124098E-2</v>
      </c>
      <c r="AD66" s="43">
        <f>(AB66/Global!$O$3)/(PAT_AGE!X66/Global!$O$2)</f>
        <v>1.3323046898767466</v>
      </c>
      <c r="AE66" s="11"/>
      <c r="AF66" s="47">
        <f>SUM(AF60:AF65)</f>
        <v>21553082.524069428</v>
      </c>
      <c r="AG66" s="47">
        <f>SUM(AG60:AG65)</f>
        <v>406476584.9425115</v>
      </c>
      <c r="AH66" s="83">
        <f t="shared" si="91"/>
        <v>18.85932485474309</v>
      </c>
      <c r="AI66" s="91"/>
      <c r="AJ66" s="47">
        <f>SUM(AJ60:AJ65)</f>
        <v>1375334.3227217088</v>
      </c>
      <c r="AK66" s="42">
        <f t="shared" si="92"/>
        <v>6.3811490592392189E-2</v>
      </c>
      <c r="AL66" s="43">
        <f>(AJ66/Global!$O$3)/(PAT_AGE!AF66/Global!$O$2)</f>
        <v>1.6113573986988947</v>
      </c>
      <c r="AM66" s="11"/>
      <c r="AN66" s="47">
        <f>SUM(AN60:AN65)</f>
        <v>18126028.841268916</v>
      </c>
      <c r="AO66" s="47">
        <f>SUM(AO60:AO65)</f>
        <v>262841498.02802584</v>
      </c>
      <c r="AP66" s="83">
        <f t="shared" si="85"/>
        <v>14.500776774093755</v>
      </c>
      <c r="AQ66" s="91"/>
      <c r="AR66" s="47">
        <f>SUM(AR60:AR65)</f>
        <v>1535176.8489708544</v>
      </c>
      <c r="AS66" s="42">
        <f t="shared" si="93"/>
        <v>8.4694604781583485E-2</v>
      </c>
      <c r="AT66" s="43">
        <f>(AR66/Global!$O$3)/(PAT_AGE!AN66/Global!$O$2)</f>
        <v>2.1386944071943388</v>
      </c>
      <c r="AU66" s="11"/>
      <c r="AV66" s="47">
        <f>SUM(AV60:AV65)</f>
        <v>19988259.172673337</v>
      </c>
      <c r="AW66" s="47">
        <f>SUM(AW60:AW65)</f>
        <v>374142030.18013471</v>
      </c>
      <c r="AX66" s="83">
        <f t="shared" si="86"/>
        <v>18.718089802019261</v>
      </c>
      <c r="AY66" s="91"/>
      <c r="AZ66" s="47">
        <f>SUM(AZ60:AZ65)</f>
        <v>2143627.6870003934</v>
      </c>
      <c r="BA66" s="42">
        <f t="shared" si="94"/>
        <v>0.1072443412146178</v>
      </c>
      <c r="BB66" s="43">
        <f>(AZ66/Global!$O$3)/(PAT_AGE!AV66/Global!$O$2)</f>
        <v>2.7081166899643936</v>
      </c>
      <c r="BC66" s="11"/>
    </row>
    <row r="67" spans="1:55" x14ac:dyDescent="0.25">
      <c r="A67" s="11"/>
      <c r="B67" s="11"/>
      <c r="C67" s="11"/>
      <c r="D67" s="11"/>
      <c r="E67" s="11"/>
      <c r="F67" s="11"/>
      <c r="G67" s="11"/>
      <c r="H67" s="11"/>
      <c r="I67" s="11"/>
      <c r="J67" s="85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45"/>
      <c r="AB67" s="11"/>
      <c r="AC67" s="11"/>
      <c r="AD67" s="11"/>
      <c r="AE67" s="11"/>
      <c r="AF67" s="11"/>
      <c r="AG67" s="11"/>
      <c r="AH67" s="85"/>
      <c r="AI67" s="91"/>
      <c r="AJ67" s="11"/>
      <c r="AK67" s="11"/>
      <c r="AL67" s="11"/>
      <c r="AM67" s="11"/>
      <c r="AN67" s="11"/>
      <c r="AO67" s="11"/>
      <c r="AP67" s="11"/>
      <c r="AQ67" s="91"/>
      <c r="AR67" s="11"/>
      <c r="AS67" s="11"/>
      <c r="AT67" s="11"/>
      <c r="AU67" s="11"/>
      <c r="AV67" s="11"/>
      <c r="AW67" s="11"/>
      <c r="AX67" s="11"/>
      <c r="AY67" s="91"/>
      <c r="AZ67" s="11"/>
      <c r="BA67" s="11"/>
      <c r="BB67" s="11"/>
      <c r="BC67" s="11"/>
    </row>
    <row r="68" spans="1:55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85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85"/>
      <c r="AI68" s="91"/>
      <c r="AJ68" s="11"/>
      <c r="AK68" s="11"/>
      <c r="AL68" s="11"/>
      <c r="AM68" s="11"/>
      <c r="AN68" s="11"/>
      <c r="AO68" s="11"/>
      <c r="AP68" s="11"/>
      <c r="AQ68" s="91"/>
      <c r="AR68" s="11"/>
      <c r="AS68" s="11"/>
      <c r="AT68" s="11"/>
      <c r="AU68" s="11"/>
      <c r="AV68" s="11"/>
      <c r="AW68" s="11"/>
      <c r="AX68" s="11"/>
      <c r="AY68" s="91"/>
      <c r="AZ68" s="11"/>
      <c r="BA68" s="11"/>
      <c r="BB68" s="11"/>
      <c r="BC68" s="11"/>
    </row>
    <row r="69" spans="1:55" s="28" customFormat="1" x14ac:dyDescent="0.25">
      <c r="A69" s="11"/>
      <c r="B69" s="11"/>
      <c r="C69" s="11"/>
      <c r="D69" s="69" t="s">
        <v>32</v>
      </c>
      <c r="E69" s="11"/>
      <c r="F69" s="40" t="s">
        <v>13</v>
      </c>
      <c r="G69" s="11"/>
      <c r="H69" s="37">
        <f t="array" ref="H69">SUM(($F69=BDD!$D$3:$D$215)*(BDD!$E$3:$E$215="PP")*(BDD!$A$3:$A$215="MMA")*(BDD!$H$3:$H$215))</f>
        <v>571468.10283922742</v>
      </c>
      <c r="I69" s="37">
        <f t="array" ref="I69">SUM(($F69=BDD!$D$3:$D$215)*(BDD!$E$3:$E$215="PP")*(BDD!$A$3:$A$215="MMA")*(BDD!$G$3:$G$215))</f>
        <v>5442188.3220690219</v>
      </c>
      <c r="J69" s="82">
        <f>I69/H69</f>
        <v>9.5231707509668073</v>
      </c>
      <c r="K69" s="86">
        <f>H85/H69</f>
        <v>0.36158904407401787</v>
      </c>
      <c r="L69" s="37">
        <f t="array" ref="L69">SUM(($F69=BDD!$D$3:$D$215)*(BDD!$A$3:$A$215="MMA")*(BDD!$E$3:$E$215="PP")*(BDD!$F$3:$F$215))</f>
        <v>8177.500765524097</v>
      </c>
      <c r="M69" s="14">
        <f>L69/H69</f>
        <v>1.4309636399469691E-2</v>
      </c>
      <c r="N69" s="44">
        <f>(L69/Global!$O$3)/(PAT_AGE!H69/Global!$O$2)</f>
        <v>0.36134461475384405</v>
      </c>
      <c r="O69" s="11"/>
      <c r="P69" s="45"/>
      <c r="Q69" s="45"/>
      <c r="R69" s="45"/>
      <c r="S69" s="45"/>
      <c r="T69" s="45"/>
      <c r="U69" s="16"/>
      <c r="V69" s="46"/>
      <c r="W69" s="11"/>
      <c r="X69" s="45"/>
      <c r="Y69" s="45"/>
      <c r="Z69" s="45"/>
      <c r="AA69" s="45"/>
      <c r="AB69" s="45"/>
      <c r="AC69" s="16"/>
      <c r="AD69" s="46"/>
      <c r="AE69" s="11"/>
      <c r="AF69" s="37">
        <f t="array" ref="AF69">SUM(($F69=BDD!$D$3:$D$215)*(BDD!$B$3:$B$215="AG")*(BDD!$E$3:$E$215="PP")*(BDD!$A$3:$A$215="MMA")*(BDD!$H$3:$H$215))</f>
        <v>571468.10283922742</v>
      </c>
      <c r="AG69" s="37">
        <f t="array" ref="AG69">SUM(($F69=BDD!$D$3:$D$215)*(BDD!$B$3:$B$215="AG")*(BDD!$E$3:$E$215="PP")*(BDD!$A$3:$A$215="MMA")*(BDD!$G$3:$G$215))</f>
        <v>5442188.3220690219</v>
      </c>
      <c r="AH69" s="82">
        <f>AG69/AF69</f>
        <v>9.5231707509668073</v>
      </c>
      <c r="AI69" s="89">
        <f>AF85/AF69</f>
        <v>0.36158904407401787</v>
      </c>
      <c r="AJ69" s="37">
        <f t="array" ref="AJ69">SUM(($F69=BDD!$D$3:$D$215)*(BDD!$B$3:$B$215="AG")*(BDD!$A$3:$A$215="MMA")*(BDD!$E$3:$E$215="PP")*(BDD!$F$3:$F$215))</f>
        <v>8177.500765524097</v>
      </c>
      <c r="AK69" s="14">
        <f>AJ69/AF69</f>
        <v>1.4309636399469691E-2</v>
      </c>
      <c r="AL69" s="44">
        <f>(AJ69/Global!$O$3)/(PAT_AGE!AF69/Global!$O$2)</f>
        <v>0.36134461475384405</v>
      </c>
      <c r="AM69" s="11"/>
      <c r="AN69" s="37">
        <f t="array" ref="AN69">SUM(($F69=BDD!$D$3:$D$215)*(BDD!$A$3:$A$215="MAAF")*(BDD!$E$3:$E$215="PP")*(BDD!$H$3:$H$215))</f>
        <v>2689533.1950295782</v>
      </c>
      <c r="AO69" s="37">
        <f t="array" ref="AO69">SUM(($F69=BDD!$D$3:$D$215)*(BDD!$B$3:$B$215="TOTAL")*(BDD!$E$3:$E$215="PP")*(BDD!$A$3:$A$215="MAAF")*(BDD!$G$3:$G$215))</f>
        <v>38066932.741453514</v>
      </c>
      <c r="AP69" s="82">
        <f t="shared" ref="AP69:AP75" si="96">AO69/AN69</f>
        <v>14.153732258000582</v>
      </c>
      <c r="AQ69" s="89">
        <f>AN85/AN69</f>
        <v>0.19296887519895481</v>
      </c>
      <c r="AR69" s="37">
        <f t="array" ref="AR69">SUM(($F69=BDD!$D$3:$D$215)*(BDD!$A$3:$A$215="MAAF")*(BDD!$E$3:$E$215="PP")*(BDD!$F$3:$F$215))</f>
        <v>60755.115490823366</v>
      </c>
      <c r="AS69" s="14">
        <f>AR69/AN69</f>
        <v>2.2589464819806847E-2</v>
      </c>
      <c r="AT69" s="44">
        <f>(AR69/Global!$O$3)/(PAT_AGE!AN69/Global!$O$2)</f>
        <v>0.570425497541721</v>
      </c>
      <c r="AU69" s="11"/>
      <c r="AV69" s="37">
        <f t="array" ref="AV69">SUM(($F69=BDD!$D$3:$D$215)*(BDD!$A$3:$A$215="GMF")*(BDD!$E$3:$E$215="PP")*(BDD!$H$3:$H$215))</f>
        <v>1083005.291299544</v>
      </c>
      <c r="AW69" s="37">
        <f t="array" ref="AW69">SUM(($F69=BDD!$D$3:$D$215)*(BDD!$B$3:$B$215="TOTAL")*(BDD!$E$3:$E$215="PP")*(BDD!$A$3:$A$215="GMF")*(BDD!$G$3:$G$215))</f>
        <v>16781934.680735614</v>
      </c>
      <c r="AX69" s="82">
        <f t="shared" ref="AX69:AX75" si="97">AW69/AV69</f>
        <v>15.495708853461148</v>
      </c>
      <c r="AY69" s="89">
        <f>AV85/AV69</f>
        <v>0.17328697087421085</v>
      </c>
      <c r="AZ69" s="37">
        <f t="array" ref="AZ69">SUM(($F69=BDD!$D$3:$D$215)*(BDD!$A$3:$A$215="GMF")*(BDD!$E$3:$E$215="PP")*(BDD!$F$3:$F$215))</f>
        <v>40888.003608305968</v>
      </c>
      <c r="BA69" s="14">
        <f>AZ69/AV69</f>
        <v>3.7754204837949328E-2</v>
      </c>
      <c r="BB69" s="44">
        <f>(AZ69/Global!$O$3)/(PAT_AGE!AV69/Global!$O$2)</f>
        <v>0.95336305002215804</v>
      </c>
      <c r="BC69" s="11"/>
    </row>
    <row r="70" spans="1:55" s="28" customFormat="1" x14ac:dyDescent="0.25">
      <c r="A70" s="11"/>
      <c r="B70" s="11"/>
      <c r="C70" s="11"/>
      <c r="D70" s="70"/>
      <c r="E70" s="11"/>
      <c r="F70" s="41" t="s">
        <v>14</v>
      </c>
      <c r="G70" s="11"/>
      <c r="H70" s="37">
        <f t="array" ref="H70">SUM(($F70=BDD!$D$3:$D$215)*(BDD!$E$3:$E$215="PP")*(BDD!$A$3:$A$215="MMA")*(BDD!$H$3:$H$215))</f>
        <v>864412.60276491474</v>
      </c>
      <c r="I70" s="37">
        <f t="array" ref="I70">SUM(($F70=BDD!$D$3:$D$215)*(BDD!$E$3:$E$215="PP")*(BDD!$A$3:$A$215="MMA")*(BDD!$G$3:$G$215))</f>
        <v>15121352.043116769</v>
      </c>
      <c r="J70" s="82">
        <f t="shared" ref="J70:J75" si="98">I70/H70</f>
        <v>17.493210990618984</v>
      </c>
      <c r="K70" s="86">
        <f t="shared" ref="K70:K75" si="99">H86/H70</f>
        <v>0.3031926021605128</v>
      </c>
      <c r="L70" s="37">
        <f t="array" ref="L70">SUM(($F70=BDD!$D$3:$D$215)*(BDD!$A$3:$A$215="MMA")*(BDD!$E$3:$E$215="PP")*(BDD!$F$3:$F$215))</f>
        <v>33539.614544795353</v>
      </c>
      <c r="M70" s="14">
        <f t="shared" ref="M70:M75" si="100">L70/H70</f>
        <v>3.880046917122143E-2</v>
      </c>
      <c r="N70" s="44">
        <f>(L70/Global!$O$3)/(PAT_AGE!H70/Global!$O$2)</f>
        <v>0.97978314707304504</v>
      </c>
      <c r="O70" s="11"/>
      <c r="P70" s="45"/>
      <c r="Q70" s="45"/>
      <c r="R70" s="45"/>
      <c r="S70" s="45"/>
      <c r="T70" s="45"/>
      <c r="U70" s="16"/>
      <c r="V70" s="46"/>
      <c r="W70" s="11"/>
      <c r="X70" s="45"/>
      <c r="Y70" s="45"/>
      <c r="Z70" s="45"/>
      <c r="AA70" s="45"/>
      <c r="AB70" s="45"/>
      <c r="AC70" s="16"/>
      <c r="AD70" s="46"/>
      <c r="AE70" s="11"/>
      <c r="AF70" s="37">
        <f t="array" ref="AF70">SUM(($F70=BDD!$D$3:$D$215)*(BDD!$B$3:$B$215="AG")*(BDD!$E$3:$E$215="PP")*(BDD!$A$3:$A$215="MMA")*(BDD!$H$3:$H$215))</f>
        <v>864412.60276491474</v>
      </c>
      <c r="AG70" s="37">
        <f t="array" ref="AG70">SUM(($F70=BDD!$D$3:$D$215)*(BDD!$B$3:$B$215="AG")*(BDD!$E$3:$E$215="PP")*(BDD!$A$3:$A$215="MMA")*(BDD!$G$3:$G$215))</f>
        <v>15121352.043116769</v>
      </c>
      <c r="AH70" s="82">
        <f t="shared" ref="AH70:AH75" si="101">AG70/AF70</f>
        <v>17.493210990618984</v>
      </c>
      <c r="AI70" s="89">
        <f t="shared" ref="AI70:AI75" si="102">AF86/AF70</f>
        <v>0.3031926021605128</v>
      </c>
      <c r="AJ70" s="37">
        <f t="array" ref="AJ70">SUM(($F70=BDD!$D$3:$D$215)*(BDD!$B$3:$B$215="AG")*(BDD!$A$3:$A$215="MMA")*(BDD!$E$3:$E$215="PP")*(BDD!$F$3:$F$215))</f>
        <v>33539.614544795353</v>
      </c>
      <c r="AK70" s="14">
        <f t="shared" ref="AK70:AK75" si="103">AJ70/AF70</f>
        <v>3.880046917122143E-2</v>
      </c>
      <c r="AL70" s="44">
        <f>(AJ70/Global!$O$3)/(PAT_AGE!AF70/Global!$O$2)</f>
        <v>0.97978314707304504</v>
      </c>
      <c r="AM70" s="11"/>
      <c r="AN70" s="37">
        <f t="array" ref="AN70">SUM(($F70=BDD!$D$3:$D$215)*(BDD!$A$3:$A$215="MAAF")*(BDD!$E$3:$E$215="PP")*(BDD!$H$3:$H$215))</f>
        <v>3610593.9919362874</v>
      </c>
      <c r="AO70" s="37">
        <f t="array" ref="AO70">SUM(($F70=BDD!$D$3:$D$215)*(BDD!$B$3:$B$215="TOTAL")*(BDD!$E$3:$E$215="PP")*(BDD!$A$3:$A$215="MAAF")*(BDD!$G$3:$G$215))</f>
        <v>59371431.92626328</v>
      </c>
      <c r="AP70" s="82">
        <f t="shared" si="96"/>
        <v>16.443674381240413</v>
      </c>
      <c r="AQ70" s="89">
        <f t="shared" ref="AQ70:AQ75" si="104">AN86/AN70</f>
        <v>0.2379735839572768</v>
      </c>
      <c r="AR70" s="37">
        <f t="array" ref="AR70">SUM(($F70=BDD!$D$3:$D$215)*(BDD!$A$3:$A$215="MAAF")*(BDD!$E$3:$E$215="PP")*(BDD!$F$3:$F$215))</f>
        <v>143700.95397695055</v>
      </c>
      <c r="AS70" s="14">
        <f t="shared" ref="AS70:AS75" si="105">AR70/AN70</f>
        <v>3.9799809753709441E-2</v>
      </c>
      <c r="AT70" s="44">
        <f>(AR70/Global!$O$3)/(PAT_AGE!AN70/Global!$O$2)</f>
        <v>1.0050183331886331</v>
      </c>
      <c r="AU70" s="11"/>
      <c r="AV70" s="37">
        <f t="array" ref="AV70">SUM(($F70=BDD!$D$3:$D$215)*(BDD!$A$3:$A$215="GMF")*(BDD!$E$3:$E$215="PP")*(BDD!$H$3:$H$215))</f>
        <v>2809911.5836682282</v>
      </c>
      <c r="AW70" s="37">
        <f t="array" ref="AW70">SUM(($F70=BDD!$D$3:$D$215)*(BDD!$B$3:$B$215="TOTAL")*(BDD!$E$3:$E$215="PP")*(BDD!$A$3:$A$215="GMF")*(BDD!$G$3:$G$215))</f>
        <v>45558963.154950731</v>
      </c>
      <c r="AX70" s="82">
        <f t="shared" si="97"/>
        <v>16.213664308780601</v>
      </c>
      <c r="AY70" s="89">
        <f t="shared" ref="AY70:AY75" si="106">AV86/AV70</f>
        <v>0.13812287316570854</v>
      </c>
      <c r="AZ70" s="37">
        <f t="array" ref="AZ70">SUM(($F70=BDD!$D$3:$D$215)*(BDD!$A$3:$A$215="GMF")*(BDD!$E$3:$E$215="PP")*(BDD!$F$3:$F$215))</f>
        <v>101221.09368129043</v>
      </c>
      <c r="BA70" s="14">
        <f t="shared" ref="BA70:BA75" si="107">AZ70/AV70</f>
        <v>3.6022874979272583E-2</v>
      </c>
      <c r="BB70" s="44">
        <f>(AZ70/Global!$O$3)/(PAT_AGE!AV70/Global!$O$2)</f>
        <v>0.90964378956501868</v>
      </c>
      <c r="BC70" s="11"/>
    </row>
    <row r="71" spans="1:55" s="28" customFormat="1" x14ac:dyDescent="0.25">
      <c r="A71" s="11"/>
      <c r="B71" s="11"/>
      <c r="C71" s="11"/>
      <c r="D71" s="70"/>
      <c r="E71" s="11"/>
      <c r="F71" s="41" t="s">
        <v>15</v>
      </c>
      <c r="G71" s="11"/>
      <c r="H71" s="37">
        <f t="array" ref="H71">SUM(($F71=BDD!$D$3:$D$215)*(BDD!$E$3:$E$215="PP")*(BDD!$A$3:$A$215="MMA")*(BDD!$H$3:$H$215))</f>
        <v>2255295.0185077791</v>
      </c>
      <c r="I71" s="37">
        <f t="array" ref="I71">SUM(($F71=BDD!$D$3:$D$215)*(BDD!$E$3:$E$215="PP")*(BDD!$A$3:$A$215="MMA")*(BDD!$G$3:$G$215))</f>
        <v>41937358.867896266</v>
      </c>
      <c r="J71" s="82">
        <f t="shared" si="98"/>
        <v>18.595065622786773</v>
      </c>
      <c r="K71" s="86">
        <f t="shared" si="99"/>
        <v>0.46843850450541713</v>
      </c>
      <c r="L71" s="37">
        <f t="array" ref="L71">SUM(($F71=BDD!$D$3:$D$215)*(BDD!$A$3:$A$215="MMA")*(BDD!$E$3:$E$215="PP")*(BDD!$F$3:$F$215))</f>
        <v>110202.86247346058</v>
      </c>
      <c r="M71" s="14">
        <f t="shared" si="100"/>
        <v>4.8864056174068325E-2</v>
      </c>
      <c r="N71" s="44">
        <f>(L71/Global!$O$3)/(PAT_AGE!H71/Global!$O$2)</f>
        <v>1.2339072119388907</v>
      </c>
      <c r="O71" s="11"/>
      <c r="P71" s="45"/>
      <c r="Q71" s="45"/>
      <c r="R71" s="45"/>
      <c r="S71" s="45"/>
      <c r="T71" s="45"/>
      <c r="U71" s="16"/>
      <c r="V71" s="46"/>
      <c r="W71" s="11"/>
      <c r="X71" s="45"/>
      <c r="Y71" s="45"/>
      <c r="Z71" s="45"/>
      <c r="AA71" s="45"/>
      <c r="AB71" s="45"/>
      <c r="AC71" s="16"/>
      <c r="AD71" s="46"/>
      <c r="AE71" s="11"/>
      <c r="AF71" s="37">
        <f t="array" ref="AF71">SUM(($F71=BDD!$D$3:$D$215)*(BDD!$B$3:$B$215="AG")*(BDD!$E$3:$E$215="PP")*(BDD!$A$3:$A$215="MMA")*(BDD!$H$3:$H$215))</f>
        <v>2255295.0185077791</v>
      </c>
      <c r="AG71" s="37">
        <f t="array" ref="AG71">SUM(($F71=BDD!$D$3:$D$215)*(BDD!$B$3:$B$215="AG")*(BDD!$E$3:$E$215="PP")*(BDD!$A$3:$A$215="MMA")*(BDD!$G$3:$G$215))</f>
        <v>41937358.867896266</v>
      </c>
      <c r="AH71" s="82">
        <f t="shared" si="101"/>
        <v>18.595065622786773</v>
      </c>
      <c r="AI71" s="89">
        <f t="shared" si="102"/>
        <v>0.46843850450541713</v>
      </c>
      <c r="AJ71" s="37">
        <f t="array" ref="AJ71">SUM(($F71=BDD!$D$3:$D$215)*(BDD!$B$3:$B$215="AG")*(BDD!$A$3:$A$215="MMA")*(BDD!$E$3:$E$215="PP")*(BDD!$F$3:$F$215))</f>
        <v>110202.86247346058</v>
      </c>
      <c r="AK71" s="14">
        <f t="shared" si="103"/>
        <v>4.8864056174068325E-2</v>
      </c>
      <c r="AL71" s="44">
        <f>(AJ71/Global!$O$3)/(PAT_AGE!AF71/Global!$O$2)</f>
        <v>1.2339072119388907</v>
      </c>
      <c r="AM71" s="11"/>
      <c r="AN71" s="37">
        <f t="array" ref="AN71">SUM(($F71=BDD!$D$3:$D$215)*(BDD!$A$3:$A$215="MAAF")*(BDD!$E$3:$E$215="PP")*(BDD!$H$3:$H$215))</f>
        <v>9318032.9798792563</v>
      </c>
      <c r="AO71" s="37">
        <f t="array" ref="AO71">SUM(($F71=BDD!$D$3:$D$215)*(BDD!$B$3:$B$215="TOTAL")*(BDD!$E$3:$E$215="PP")*(BDD!$A$3:$A$215="MAAF")*(BDD!$G$3:$G$215))</f>
        <v>152354296.66264027</v>
      </c>
      <c r="AP71" s="82">
        <f t="shared" si="96"/>
        <v>16.350478367228799</v>
      </c>
      <c r="AQ71" s="89">
        <f t="shared" si="104"/>
        <v>0.22932811956143132</v>
      </c>
      <c r="AR71" s="37">
        <f t="array" ref="AR71">SUM(($F71=BDD!$D$3:$D$215)*(BDD!$A$3:$A$215="MAAF")*(BDD!$E$3:$E$215="PP")*(BDD!$F$3:$F$215))</f>
        <v>390350.43998836819</v>
      </c>
      <c r="AS71" s="14">
        <f t="shared" si="105"/>
        <v>4.1891935865784664E-2</v>
      </c>
      <c r="AT71" s="44">
        <f>(AR71/Global!$O$3)/(PAT_AGE!AN71/Global!$O$2)</f>
        <v>1.0578483620503236</v>
      </c>
      <c r="AU71" s="11"/>
      <c r="AV71" s="37">
        <f t="array" ref="AV71">SUM(($F71=BDD!$D$3:$D$215)*(BDD!$A$3:$A$215="GMF")*(BDD!$E$3:$E$215="PP")*(BDD!$H$3:$H$215))</f>
        <v>6503452.4480411261</v>
      </c>
      <c r="AW71" s="37">
        <f t="array" ref="AW71">SUM(($F71=BDD!$D$3:$D$215)*(BDD!$B$3:$B$215="TOTAL")*(BDD!$E$3:$E$215="PP")*(BDD!$A$3:$A$215="GMF")*(BDD!$G$3:$G$215))</f>
        <v>114276688.22407492</v>
      </c>
      <c r="AX71" s="82">
        <f t="shared" si="97"/>
        <v>17.571695824191909</v>
      </c>
      <c r="AY71" s="89">
        <f t="shared" si="106"/>
        <v>0.12436052198111197</v>
      </c>
      <c r="AZ71" s="37">
        <f t="array" ref="AZ71">SUM(($F71=BDD!$D$3:$D$215)*(BDD!$A$3:$A$215="GMF")*(BDD!$E$3:$E$215="PP")*(BDD!$F$3:$F$215))</f>
        <v>252091.78424669197</v>
      </c>
      <c r="BA71" s="14">
        <f t="shared" si="107"/>
        <v>3.8762762741906931E-2</v>
      </c>
      <c r="BB71" s="44">
        <f>(AZ71/Global!$O$3)/(PAT_AGE!AV71/Global!$O$2)</f>
        <v>0.9788309904427831</v>
      </c>
      <c r="BC71" s="11"/>
    </row>
    <row r="72" spans="1:55" s="28" customFormat="1" x14ac:dyDescent="0.25">
      <c r="A72" s="11"/>
      <c r="B72" s="11"/>
      <c r="C72" s="11"/>
      <c r="D72" s="70"/>
      <c r="E72" s="11"/>
      <c r="F72" s="41" t="s">
        <v>16</v>
      </c>
      <c r="G72" s="11"/>
      <c r="H72" s="37">
        <f t="array" ref="H72">SUM(($F72=BDD!$D$3:$D$215)*(BDD!$E$3:$E$215="PP")*(BDD!$A$3:$A$215="MMA")*(BDD!$H$3:$H$215))</f>
        <v>3725909.3072838262</v>
      </c>
      <c r="I72" s="37">
        <f t="array" ref="I72">SUM(($F72=BDD!$D$3:$D$215)*(BDD!$E$3:$E$215="PP")*(BDD!$A$3:$A$215="MMA")*(BDD!$G$3:$G$215))</f>
        <v>56296697.104617894</v>
      </c>
      <c r="J72" s="82">
        <f t="shared" si="98"/>
        <v>15.109518901751791</v>
      </c>
      <c r="K72" s="86">
        <f t="shared" si="99"/>
        <v>0.26215327405868583</v>
      </c>
      <c r="L72" s="37">
        <f t="array" ref="L72">SUM(($F72=BDD!$D$3:$D$215)*(BDD!$A$3:$A$215="MMA")*(BDD!$E$3:$E$215="PP")*(BDD!$F$3:$F$215))</f>
        <v>123666.43890410189</v>
      </c>
      <c r="M72" s="14">
        <f t="shared" si="100"/>
        <v>3.3190941782277106E-2</v>
      </c>
      <c r="N72" s="44">
        <f>(L72/Global!$O$3)/(PAT_AGE!H72/Global!$O$2)</f>
        <v>0.83813227232514831</v>
      </c>
      <c r="O72" s="11"/>
      <c r="P72" s="45"/>
      <c r="Q72" s="45"/>
      <c r="R72" s="45"/>
      <c r="S72" s="45"/>
      <c r="T72" s="45"/>
      <c r="U72" s="16"/>
      <c r="V72" s="46"/>
      <c r="W72" s="11"/>
      <c r="X72" s="45"/>
      <c r="Y72" s="45"/>
      <c r="Z72" s="45"/>
      <c r="AA72" s="45"/>
      <c r="AB72" s="45"/>
      <c r="AC72" s="16"/>
      <c r="AD72" s="46"/>
      <c r="AE72" s="11"/>
      <c r="AF72" s="37">
        <f t="array" ref="AF72">SUM(($F72=BDD!$D$3:$D$215)*(BDD!$B$3:$B$215="AG")*(BDD!$E$3:$E$215="PP")*(BDD!$A$3:$A$215="MMA")*(BDD!$H$3:$H$215))</f>
        <v>3725909.3072838262</v>
      </c>
      <c r="AG72" s="37">
        <f t="array" ref="AG72">SUM(($F72=BDD!$D$3:$D$215)*(BDD!$B$3:$B$215="AG")*(BDD!$E$3:$E$215="PP")*(BDD!$A$3:$A$215="MMA")*(BDD!$G$3:$G$215))</f>
        <v>56296697.104617894</v>
      </c>
      <c r="AH72" s="82">
        <f t="shared" si="101"/>
        <v>15.109518901751791</v>
      </c>
      <c r="AI72" s="89">
        <f t="shared" si="102"/>
        <v>0.26215327405868583</v>
      </c>
      <c r="AJ72" s="37">
        <f t="array" ref="AJ72">SUM(($F72=BDD!$D$3:$D$215)*(BDD!$B$3:$B$215="AG")*(BDD!$A$3:$A$215="MMA")*(BDD!$E$3:$E$215="PP")*(BDD!$F$3:$F$215))</f>
        <v>123666.43890410189</v>
      </c>
      <c r="AK72" s="14">
        <f t="shared" si="103"/>
        <v>3.3190941782277106E-2</v>
      </c>
      <c r="AL72" s="44">
        <f>(AJ72/Global!$O$3)/(PAT_AGE!AF72/Global!$O$2)</f>
        <v>0.83813227232514831</v>
      </c>
      <c r="AM72" s="11"/>
      <c r="AN72" s="37">
        <f t="array" ref="AN72">SUM(($F72=BDD!$D$3:$D$215)*(BDD!$A$3:$A$215="MAAF")*(BDD!$E$3:$E$215="PP")*(BDD!$H$3:$H$215))</f>
        <v>14426656.969374074</v>
      </c>
      <c r="AO72" s="37">
        <f t="array" ref="AO72">SUM(($F72=BDD!$D$3:$D$215)*(BDD!$B$3:$B$215="TOTAL")*(BDD!$E$3:$E$215="PP")*(BDD!$A$3:$A$215="MAAF")*(BDD!$G$3:$G$215))</f>
        <v>235668722.16791764</v>
      </c>
      <c r="AP72" s="82">
        <f t="shared" si="96"/>
        <v>16.33564329339859</v>
      </c>
      <c r="AQ72" s="89">
        <f t="shared" si="104"/>
        <v>0.22506891086817796</v>
      </c>
      <c r="AR72" s="37">
        <f t="array" ref="AR72">SUM(($F72=BDD!$D$3:$D$215)*(BDD!$A$3:$A$215="MAAF")*(BDD!$E$3:$E$215="PP")*(BDD!$F$3:$F$215))</f>
        <v>587549.52616295672</v>
      </c>
      <c r="AS72" s="14">
        <f t="shared" si="105"/>
        <v>4.072665811700163E-2</v>
      </c>
      <c r="AT72" s="44">
        <f>(AR72/Global!$O$3)/(PAT_AGE!AN72/Global!$O$2)</f>
        <v>1.0284229575564094</v>
      </c>
      <c r="AU72" s="11"/>
      <c r="AV72" s="37">
        <f t="array" ref="AV72">SUM(($F72=BDD!$D$3:$D$215)*(BDD!$A$3:$A$215="GMF")*(BDD!$E$3:$E$215="PP")*(BDD!$H$3:$H$215))</f>
        <v>17402647.846313357</v>
      </c>
      <c r="AW72" s="37">
        <f t="array" ref="AW72">SUM(($F72=BDD!$D$3:$D$215)*(BDD!$B$3:$B$215="TOTAL")*(BDD!$E$3:$E$215="PP")*(BDD!$A$3:$A$215="GMF")*(BDD!$G$3:$G$215))</f>
        <v>331499150.22163296</v>
      </c>
      <c r="AX72" s="82">
        <f t="shared" si="97"/>
        <v>19.04877655108438</v>
      </c>
      <c r="AY72" s="89">
        <f t="shared" si="106"/>
        <v>0.1245848336372485</v>
      </c>
      <c r="AZ72" s="37">
        <f t="array" ref="AZ72">SUM(($F72=BDD!$D$3:$D$215)*(BDD!$A$3:$A$215="GMF")*(BDD!$E$3:$E$215="PP")*(BDD!$F$3:$F$215))</f>
        <v>689901.04377933149</v>
      </c>
      <c r="BA72" s="14">
        <f t="shared" si="107"/>
        <v>3.9643452529293279E-2</v>
      </c>
      <c r="BB72" s="44">
        <f>(AZ72/Global!$O$3)/(PAT_AGE!AV72/Global!$O$2)</f>
        <v>1.0010700259470366</v>
      </c>
      <c r="BC72" s="11"/>
    </row>
    <row r="73" spans="1:55" s="28" customFormat="1" x14ac:dyDescent="0.25">
      <c r="A73" s="11"/>
      <c r="B73" s="11"/>
      <c r="C73" s="11"/>
      <c r="D73" s="70"/>
      <c r="E73" s="11"/>
      <c r="F73" s="41" t="s">
        <v>17</v>
      </c>
      <c r="G73" s="11"/>
      <c r="H73" s="37">
        <f t="array" ref="H73">SUM(($F73=BDD!$D$3:$D$215)*(BDD!$E$3:$E$215="PP")*(BDD!$A$3:$A$215="MMA")*(BDD!$H$3:$H$215))</f>
        <v>2817946.6004523039</v>
      </c>
      <c r="I73" s="37">
        <f t="array" ref="I73">SUM(($F73=BDD!$D$3:$D$215)*(BDD!$E$3:$E$215="PP")*(BDD!$A$3:$A$215="MMA")*(BDD!$G$3:$G$215))</f>
        <v>34542231.817336306</v>
      </c>
      <c r="J73" s="82">
        <f t="shared" si="98"/>
        <v>12.257944068845021</v>
      </c>
      <c r="K73" s="86">
        <f t="shared" si="99"/>
        <v>0.20294160784083079</v>
      </c>
      <c r="L73" s="37">
        <f t="array" ref="L73">SUM(($F73=BDD!$D$3:$D$215)*(BDD!$A$3:$A$215="MMA")*(BDD!$E$3:$E$215="PP")*(BDD!$F$3:$F$215))</f>
        <v>67941.465270871122</v>
      </c>
      <c r="M73" s="14">
        <f t="shared" si="100"/>
        <v>2.4110274218810943E-2</v>
      </c>
      <c r="N73" s="44">
        <f>(L73/Global!$O$3)/(PAT_AGE!H73/Global!$O$2)</f>
        <v>0.60882872953561873</v>
      </c>
      <c r="O73" s="11"/>
      <c r="P73" s="45"/>
      <c r="Q73" s="45"/>
      <c r="R73" s="45"/>
      <c r="S73" s="45"/>
      <c r="T73" s="45"/>
      <c r="U73" s="16"/>
      <c r="V73" s="46"/>
      <c r="W73" s="11"/>
      <c r="X73" s="45"/>
      <c r="Y73" s="45"/>
      <c r="Z73" s="45"/>
      <c r="AA73" s="45"/>
      <c r="AB73" s="45"/>
      <c r="AC73" s="16"/>
      <c r="AD73" s="46"/>
      <c r="AE73" s="11"/>
      <c r="AF73" s="37">
        <f t="array" ref="AF73">SUM(($F73=BDD!$D$3:$D$215)*(BDD!$B$3:$B$215="AG")*(BDD!$E$3:$E$215="PP")*(BDD!$A$3:$A$215="MMA")*(BDD!$H$3:$H$215))</f>
        <v>2817946.6004523039</v>
      </c>
      <c r="AG73" s="37">
        <f t="array" ref="AG73">SUM(($F73=BDD!$D$3:$D$215)*(BDD!$B$3:$B$215="AG")*(BDD!$E$3:$E$215="PP")*(BDD!$A$3:$A$215="MMA")*(BDD!$G$3:$G$215))</f>
        <v>34542231.817336306</v>
      </c>
      <c r="AH73" s="82">
        <f t="shared" si="101"/>
        <v>12.257944068845021</v>
      </c>
      <c r="AI73" s="89">
        <f t="shared" si="102"/>
        <v>0.20294160784083079</v>
      </c>
      <c r="AJ73" s="37">
        <f t="array" ref="AJ73">SUM(($F73=BDD!$D$3:$D$215)*(BDD!$B$3:$B$215="AG")*(BDD!$A$3:$A$215="MMA")*(BDD!$E$3:$E$215="PP")*(BDD!$F$3:$F$215))</f>
        <v>67941.465270871122</v>
      </c>
      <c r="AK73" s="14">
        <f t="shared" si="103"/>
        <v>2.4110274218810943E-2</v>
      </c>
      <c r="AL73" s="44">
        <f>(AJ73/Global!$O$3)/(PAT_AGE!AF73/Global!$O$2)</f>
        <v>0.60882872953561873</v>
      </c>
      <c r="AM73" s="11"/>
      <c r="AN73" s="37">
        <f t="array" ref="AN73">SUM(($F73=BDD!$D$3:$D$215)*(BDD!$A$3:$A$215="MAAF")*(BDD!$E$3:$E$215="PP")*(BDD!$H$3:$H$215))</f>
        <v>11602435.971642276</v>
      </c>
      <c r="AO73" s="37">
        <f t="array" ref="AO73">SUM(($F73=BDD!$D$3:$D$215)*(BDD!$B$3:$B$215="TOTAL")*(BDD!$E$3:$E$215="PP")*(BDD!$A$3:$A$215="MAAF")*(BDD!$G$3:$G$215))</f>
        <v>164336369.36711252</v>
      </c>
      <c r="AP73" s="82">
        <f t="shared" si="96"/>
        <v>14.163953998002661</v>
      </c>
      <c r="AQ73" s="89">
        <f t="shared" si="104"/>
        <v>0.26259330202434733</v>
      </c>
      <c r="AR73" s="37">
        <f t="array" ref="AR73">SUM(($F73=BDD!$D$3:$D$215)*(BDD!$A$3:$A$215="MAAF")*(BDD!$E$3:$E$215="PP")*(BDD!$F$3:$F$215))</f>
        <v>406224.45175254275</v>
      </c>
      <c r="AS73" s="14">
        <f t="shared" si="105"/>
        <v>3.5011996855264127E-2</v>
      </c>
      <c r="AT73" s="44">
        <f>(AR73/Global!$O$3)/(PAT_AGE!AN73/Global!$O$2)</f>
        <v>0.88411725932442764</v>
      </c>
      <c r="AU73" s="11"/>
      <c r="AV73" s="37">
        <f t="array" ref="AV73">SUM(($F73=BDD!$D$3:$D$215)*(BDD!$A$3:$A$215="GMF")*(BDD!$E$3:$E$215="PP")*(BDD!$H$3:$H$215))</f>
        <v>48088621.238261595</v>
      </c>
      <c r="AW73" s="37">
        <f t="array" ref="AW73">SUM(($F73=BDD!$D$3:$D$215)*(BDD!$B$3:$B$215="TOTAL")*(BDD!$E$3:$E$215="PP")*(BDD!$A$3:$A$215="GMF")*(BDD!$G$3:$G$215))</f>
        <v>825784483.58154726</v>
      </c>
      <c r="AX73" s="82">
        <f t="shared" si="97"/>
        <v>17.172138903506632</v>
      </c>
      <c r="AY73" s="89">
        <f t="shared" si="106"/>
        <v>0.12471741798651023</v>
      </c>
      <c r="AZ73" s="37">
        <f t="array" ref="AZ73">SUM(($F73=BDD!$D$3:$D$215)*(BDD!$A$3:$A$215="GMF")*(BDD!$E$3:$E$215="PP")*(BDD!$F$3:$F$215))</f>
        <v>1523861.2910399938</v>
      </c>
      <c r="BA73" s="14">
        <f t="shared" si="107"/>
        <v>3.1688604326786919E-2</v>
      </c>
      <c r="BB73" s="44">
        <f>(AZ73/Global!$O$3)/(PAT_AGE!AV73/Global!$O$2)</f>
        <v>0.80019549084938069</v>
      </c>
      <c r="BC73" s="11"/>
    </row>
    <row r="74" spans="1:55" s="28" customFormat="1" x14ac:dyDescent="0.25">
      <c r="A74" s="11"/>
      <c r="B74" s="11"/>
      <c r="C74" s="11"/>
      <c r="D74" s="70"/>
      <c r="E74" s="11"/>
      <c r="F74" s="41" t="s">
        <v>12</v>
      </c>
      <c r="G74" s="11"/>
      <c r="H74" s="37">
        <f t="array" ref="H74">SUM(($F74=BDD!$D$3:$D$215)*(BDD!$E$3:$E$215="PP")*(BDD!$A$3:$A$215="MMA")*(BDD!$H$3:$H$215))</f>
        <v>1975241.7950657497</v>
      </c>
      <c r="I74" s="37">
        <f t="array" ref="I74">SUM(($F74=BDD!$D$3:$D$215)*(BDD!$E$3:$E$215="PP")*(BDD!$A$3:$A$215="MMA")*(BDD!$G$3:$G$215))</f>
        <v>14081367.2927188</v>
      </c>
      <c r="J74" s="82">
        <f t="shared" si="98"/>
        <v>7.1289334439432892</v>
      </c>
      <c r="K74" s="86">
        <f t="shared" si="99"/>
        <v>0.11521465680915306</v>
      </c>
      <c r="L74" s="37">
        <f t="array" ref="L74">SUM(($F74=BDD!$D$3:$D$215)*(BDD!$A$3:$A$215="MMA")*(BDD!$E$3:$E$215="PP")*(BDD!$F$3:$F$215))</f>
        <v>20524.510571638537</v>
      </c>
      <c r="M74" s="14">
        <f t="shared" si="100"/>
        <v>1.0390885117411836E-2</v>
      </c>
      <c r="N74" s="44">
        <f>(L74/Global!$O$3)/(PAT_AGE!H74/Global!$O$2)</f>
        <v>0.26238894370801613</v>
      </c>
      <c r="O74" s="11"/>
      <c r="P74" s="45"/>
      <c r="Q74" s="45"/>
      <c r="R74" s="45"/>
      <c r="S74" s="45"/>
      <c r="T74" s="45"/>
      <c r="U74" s="16"/>
      <c r="V74" s="46"/>
      <c r="W74" s="11"/>
      <c r="X74" s="45"/>
      <c r="Y74" s="45"/>
      <c r="Z74" s="45"/>
      <c r="AA74" s="45"/>
      <c r="AB74" s="45"/>
      <c r="AC74" s="16"/>
      <c r="AD74" s="46"/>
      <c r="AE74" s="11"/>
      <c r="AF74" s="37">
        <f t="array" ref="AF74">SUM(($F74=BDD!$D$3:$D$215)*(BDD!$B$3:$B$215="AG")*(BDD!$E$3:$E$215="PP")*(BDD!$A$3:$A$215="MMA")*(BDD!$H$3:$H$215))</f>
        <v>1975241.7950657497</v>
      </c>
      <c r="AG74" s="37">
        <f t="array" ref="AG74">SUM(($F74=BDD!$D$3:$D$215)*(BDD!$B$3:$B$215="AG")*(BDD!$E$3:$E$215="PP")*(BDD!$A$3:$A$215="MMA")*(BDD!$G$3:$G$215))</f>
        <v>14081367.2927188</v>
      </c>
      <c r="AH74" s="82">
        <f t="shared" si="101"/>
        <v>7.1289334439432892</v>
      </c>
      <c r="AI74" s="89">
        <f t="shared" si="102"/>
        <v>0.11521465680915306</v>
      </c>
      <c r="AJ74" s="37">
        <f t="array" ref="AJ74">SUM(($F74=BDD!$D$3:$D$215)*(BDD!$B$3:$B$215="AG")*(BDD!$A$3:$A$215="MMA")*(BDD!$E$3:$E$215="PP")*(BDD!$F$3:$F$215))</f>
        <v>20524.510571638537</v>
      </c>
      <c r="AK74" s="14">
        <f t="shared" si="103"/>
        <v>1.0390885117411836E-2</v>
      </c>
      <c r="AL74" s="44">
        <f>(AJ74/Global!$O$3)/(PAT_AGE!AF74/Global!$O$2)</f>
        <v>0.26238894370801613</v>
      </c>
      <c r="AM74" s="11"/>
      <c r="AN74" s="37">
        <f t="array" ref="AN74">SUM(($F74=BDD!$D$3:$D$215)*(BDD!$A$3:$A$215="MAAF")*(BDD!$E$3:$E$215="PP")*(BDD!$H$3:$H$215))</f>
        <v>5929047.9899577312</v>
      </c>
      <c r="AO74" s="37">
        <f t="array" ref="AO74">SUM(($F74=BDD!$D$3:$D$215)*(BDD!$B$3:$B$215="TOTAL")*(BDD!$E$3:$E$215="PP")*(BDD!$A$3:$A$215="MAAF")*(BDD!$G$3:$G$215))</f>
        <v>71443446.950100094</v>
      </c>
      <c r="AP74" s="82">
        <f t="shared" si="96"/>
        <v>12.049733291264761</v>
      </c>
      <c r="AQ74" s="89">
        <f t="shared" si="104"/>
        <v>0.17494292383424567</v>
      </c>
      <c r="AR74" s="37">
        <f t="array" ref="AR74">SUM(($F74=BDD!$D$3:$D$215)*(BDD!$A$3:$A$215="MAAF")*(BDD!$E$3:$E$215="PP")*(BDD!$F$3:$F$215))</f>
        <v>125294.27744494181</v>
      </c>
      <c r="AS74" s="14">
        <f t="shared" si="105"/>
        <v>2.1132275815132176E-2</v>
      </c>
      <c r="AT74" s="44">
        <f>(AR74/Global!$O$3)/(PAT_AGE!AN74/Global!$O$2)</f>
        <v>0.53362879741471969</v>
      </c>
      <c r="AU74" s="11"/>
      <c r="AV74" s="37">
        <f t="array" ref="AV74">SUM(($F74=BDD!$D$3:$D$215)*(BDD!$A$3:$A$215="GMF")*(BDD!$E$3:$E$215="PP")*(BDD!$H$3:$H$215))</f>
        <v>21813714.181911651</v>
      </c>
      <c r="AW74" s="37">
        <f t="array" ref="AW74">SUM(($F74=BDD!$D$3:$D$215)*(BDD!$B$3:$B$215="TOTAL")*(BDD!$E$3:$E$215="PP")*(BDD!$A$3:$A$215="GMF")*(BDD!$G$3:$G$215))</f>
        <v>311423209.4492619</v>
      </c>
      <c r="AX74" s="82">
        <f t="shared" si="97"/>
        <v>14.276487115041601</v>
      </c>
      <c r="AY74" s="89">
        <f t="shared" si="106"/>
        <v>9.5600251363285038E-2</v>
      </c>
      <c r="AZ74" s="37">
        <f t="array" ref="AZ74">SUM(($F74=BDD!$D$3:$D$215)*(BDD!$A$3:$A$215="GMF")*(BDD!$E$3:$E$215="PP")*(BDD!$F$3:$F$215))</f>
        <v>454770.80071895139</v>
      </c>
      <c r="BA74" s="14">
        <f t="shared" si="107"/>
        <v>2.0847930660797601E-2</v>
      </c>
      <c r="BB74" s="44">
        <f>(AZ74/Global!$O$3)/(PAT_AGE!AV74/Global!$O$2)</f>
        <v>0.5264485597495645</v>
      </c>
      <c r="BC74" s="11"/>
    </row>
    <row r="75" spans="1:55" s="28" customFormat="1" x14ac:dyDescent="0.25">
      <c r="A75" s="11"/>
      <c r="B75" s="11"/>
      <c r="C75" s="11"/>
      <c r="D75" s="70"/>
      <c r="E75" s="11"/>
      <c r="F75" s="48" t="s">
        <v>30</v>
      </c>
      <c r="G75" s="11"/>
      <c r="H75" s="47">
        <f>SUM(H69:H74)</f>
        <v>12210273.426913802</v>
      </c>
      <c r="I75" s="47">
        <f>SUM(I69:I74)</f>
        <v>167421195.44775507</v>
      </c>
      <c r="J75" s="83">
        <f t="shared" si="98"/>
        <v>13.711502567888973</v>
      </c>
      <c r="K75" s="87">
        <f t="shared" si="99"/>
        <v>0.27037902959630811</v>
      </c>
      <c r="L75" s="47">
        <f>SUM(L69:L74)</f>
        <v>364052.39253039157</v>
      </c>
      <c r="M75" s="42">
        <f t="shared" si="100"/>
        <v>2.9815253090725205E-2</v>
      </c>
      <c r="N75" s="43">
        <f>(L75/Global!$O$3)/(PAT_AGE!H75/Global!$O$2)</f>
        <v>0.75288992963201506</v>
      </c>
      <c r="O75" s="11"/>
      <c r="P75" s="45"/>
      <c r="Q75" s="45"/>
      <c r="R75" s="45"/>
      <c r="S75" s="45"/>
      <c r="T75" s="45"/>
      <c r="U75" s="16"/>
      <c r="V75" s="46"/>
      <c r="W75" s="11"/>
      <c r="X75" s="45"/>
      <c r="Y75" s="45"/>
      <c r="Z75" s="45"/>
      <c r="AA75" s="45"/>
      <c r="AB75" s="45"/>
      <c r="AC75" s="16"/>
      <c r="AD75" s="46"/>
      <c r="AE75" s="11"/>
      <c r="AF75" s="47">
        <f>SUM(AF69:AF74)</f>
        <v>12210273.426913802</v>
      </c>
      <c r="AG75" s="47">
        <f>SUM(AG69:AG74)</f>
        <v>167421195.44775507</v>
      </c>
      <c r="AH75" s="83">
        <f t="shared" si="101"/>
        <v>13.711502567888973</v>
      </c>
      <c r="AI75" s="90">
        <f t="shared" si="102"/>
        <v>0.27037902959630811</v>
      </c>
      <c r="AJ75" s="47">
        <f>SUM(AJ69:AJ74)</f>
        <v>364052.39253039157</v>
      </c>
      <c r="AK75" s="42">
        <f t="shared" si="103"/>
        <v>2.9815253090725205E-2</v>
      </c>
      <c r="AL75" s="43">
        <f>(AJ75/Global!$O$3)/(PAT_AGE!AF75/Global!$O$2)</f>
        <v>0.75288992963201506</v>
      </c>
      <c r="AM75" s="11"/>
      <c r="AN75" s="47">
        <f>SUM(AN69:AN74)</f>
        <v>47576301.097819209</v>
      </c>
      <c r="AO75" s="47">
        <f>SUM(AO69:AO74)</f>
        <v>721241199.81548727</v>
      </c>
      <c r="AP75" s="83">
        <f t="shared" si="96"/>
        <v>15.159673685698683</v>
      </c>
      <c r="AQ75" s="90">
        <f t="shared" si="104"/>
        <v>0.2279720754818679</v>
      </c>
      <c r="AR75" s="47">
        <f>SUM(AR69:AR74)</f>
        <v>1713874.7648165831</v>
      </c>
      <c r="AS75" s="42">
        <f t="shared" si="105"/>
        <v>3.602370771306438E-2</v>
      </c>
      <c r="AT75" s="43">
        <f>(AR75/Global!$O$3)/(PAT_AGE!AN75/Global!$O$2)</f>
        <v>0.90966481762350926</v>
      </c>
      <c r="AU75" s="11"/>
      <c r="AV75" s="47">
        <f>SUM(AV69:AV74)</f>
        <v>97701352.589495495</v>
      </c>
      <c r="AW75" s="47">
        <f>SUM(AW69:AW74)</f>
        <v>1645324429.3122034</v>
      </c>
      <c r="AX75" s="83">
        <f t="shared" si="97"/>
        <v>16.84034443438302</v>
      </c>
      <c r="AY75" s="90">
        <f t="shared" si="106"/>
        <v>0.1190930055877453</v>
      </c>
      <c r="AZ75" s="47">
        <f>SUM(AZ69:AZ74)</f>
        <v>3062734.0170745649</v>
      </c>
      <c r="BA75" s="42">
        <f t="shared" si="107"/>
        <v>3.1347918282595602E-2</v>
      </c>
      <c r="BB75" s="43">
        <f>(AZ75/Global!$O$3)/(PAT_AGE!AV75/Global!$O$2)</f>
        <v>0.79159254218222341</v>
      </c>
      <c r="BC75" s="11"/>
    </row>
    <row r="76" spans="1:55" s="28" customFormat="1" x14ac:dyDescent="0.25">
      <c r="A76" s="11"/>
      <c r="B76" s="11"/>
      <c r="C76" s="11"/>
      <c r="D76" s="70"/>
      <c r="E76" s="11"/>
      <c r="F76" s="39"/>
      <c r="G76" s="11"/>
      <c r="H76" s="11"/>
      <c r="I76" s="11"/>
      <c r="J76" s="85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85"/>
      <c r="AI76" s="91"/>
      <c r="AJ76" s="11"/>
      <c r="AK76" s="11"/>
      <c r="AL76" s="11"/>
      <c r="AM76" s="11"/>
      <c r="AN76" s="11"/>
      <c r="AO76" s="11"/>
      <c r="AP76" s="11"/>
      <c r="AQ76" s="9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</row>
    <row r="77" spans="1:55" s="28" customFormat="1" x14ac:dyDescent="0.25">
      <c r="A77" s="11"/>
      <c r="B77" s="69" t="s">
        <v>11</v>
      </c>
      <c r="C77" s="11"/>
      <c r="D77" s="70"/>
      <c r="E77" s="11"/>
      <c r="F77" s="40" t="s">
        <v>13</v>
      </c>
      <c r="G77" s="11"/>
      <c r="H77" s="37">
        <f t="array" ref="H77">SUM(($F77=BDD!$D$3:$D$215)*(BDD!$E$3:$E$215="PP")*(BDD!$C$3:$C$215="EURO")*(BDD!$A$3:$A$215="MMA")*(BDD!$H$3:$H$215))</f>
        <v>364831.49781479861</v>
      </c>
      <c r="I77" s="37">
        <f t="array" ref="I77">SUM(($F77=BDD!$D$3:$D$215)*(BDD!$E$3:$E$215="PP")*(BDD!$C$3:$C$215="EURO")*(BDD!$A$3:$A$215="MMA")*(BDD!$G$3:$G$215))</f>
        <v>3135930.3305751905</v>
      </c>
      <c r="J77" s="82">
        <f>I77/H77</f>
        <v>8.5955580846451465</v>
      </c>
      <c r="K77" s="45"/>
      <c r="L77" s="37">
        <f t="array" ref="L77">SUM(($F77=BDD!$D$3:$D$215)*(BDD!$E$3:$E$215="PP")*(BDD!$C$3:$C$215="EURO")*(BDD!$A$3:$A$215="MMA")*(BDD!$F$3:$F$215))</f>
        <v>3206.9795375820472</v>
      </c>
      <c r="M77" s="14">
        <f>L77/H77</f>
        <v>8.7903033504251431E-3</v>
      </c>
      <c r="N77" s="44">
        <f>(L77/Global!$O$3)/(PAT_AGE!H77/Global!$O$2)</f>
        <v>0.22197131283129673</v>
      </c>
      <c r="O77" s="11"/>
      <c r="P77" s="45"/>
      <c r="Q77" s="45"/>
      <c r="R77" s="45"/>
      <c r="S77" s="45"/>
      <c r="T77" s="45"/>
      <c r="U77" s="16"/>
      <c r="V77" s="46"/>
      <c r="W77" s="11"/>
      <c r="X77" s="45"/>
      <c r="Y77" s="45"/>
      <c r="Z77" s="45"/>
      <c r="AA77" s="45"/>
      <c r="AB77" s="45"/>
      <c r="AC77" s="16"/>
      <c r="AD77" s="46"/>
      <c r="AE77" s="11"/>
      <c r="AF77" s="37">
        <f t="array" ref="AF77">SUM(($F77=BDD!$D$3:$D$215)*(BDD!$B$3:$B$215="AG")*(BDD!$E$3:$E$215="PP")*(BDD!$C$3:$C$215="EURO")*(BDD!$A$3:$A$215="MMA")*(BDD!$H$3:$H$215))</f>
        <v>364831.49781479861</v>
      </c>
      <c r="AG77" s="37">
        <f t="array" ref="AG77">SUM(($F77=BDD!$D$3:$D$215)*(BDD!$B$3:$B$215="AG")*(BDD!$E$3:$E$215="PP")*(BDD!$C$3:$C$215="EURO")*(BDD!$A$3:$A$215="MMA")*(BDD!$G$3:$G$215))</f>
        <v>3135930.3305751905</v>
      </c>
      <c r="AH77" s="82">
        <f>AG77/AF77</f>
        <v>8.5955580846451465</v>
      </c>
      <c r="AI77" s="91"/>
      <c r="AJ77" s="37">
        <f t="array" ref="AJ77">SUM(($F77=BDD!$D$3:$D$215)*(BDD!$B$3:$B$215="AG")*(BDD!$E$3:$E$215="PP")*(BDD!$C$3:$C$215="EURO")*(BDD!$A$3:$A$215="MMA")*(BDD!$F$3:$F$215))</f>
        <v>3206.9795375820472</v>
      </c>
      <c r="AK77" s="14">
        <f>AJ77/AF77</f>
        <v>8.7903033504251431E-3</v>
      </c>
      <c r="AL77" s="44">
        <f>(AJ77/Global!$O$3)/(PAT_AGE!AF77/Global!$O$2)</f>
        <v>0.22197131283129673</v>
      </c>
      <c r="AM77" s="11"/>
      <c r="AN77" s="37">
        <f t="array" ref="AN77">SUM(($F77=BDD!$D$3:$D$215)*(BDD!$E$3:$E$215="PP")*(BDD!$C$3:$C$215="EURO")*(BDD!$A$3:$A$215="MAAF")*(BDD!$H$3:$H$215))</f>
        <v>2170536.9995744694</v>
      </c>
      <c r="AO77" s="37">
        <f t="array" ref="AO77">SUM(($F77=BDD!$D$3:$D$215)*(BDD!$B$3:$B$215="TOTAL")*(BDD!$E$3:$E$215="PP")*(BDD!$C$3:$C$215="EURO")*(BDD!$A$3:$A$215="MAAF")*(BDD!$G$3:$G$215))</f>
        <v>31771584.582962789</v>
      </c>
      <c r="AP77" s="82">
        <f t="shared" ref="AP77:AP83" si="108">AO77/AN77</f>
        <v>14.637660905661392</v>
      </c>
      <c r="AQ77" s="91"/>
      <c r="AR77" s="37">
        <f t="array" ref="AR77">SUM(($F77=BDD!$D$3:$D$215)*(BDD!$A$3:$A$215="MAAF")*(BDD!$E$3:$E$215="PP")*(BDD!$C$3:$C$215="EURO")*(BDD!$F$3:$F$215))</f>
        <v>25883.97525415173</v>
      </c>
      <c r="AS77" s="14">
        <f>AR77/AN77</f>
        <v>1.1925148135796001E-2</v>
      </c>
      <c r="AT77" s="44">
        <f>(AR77/Global!$O$3)/(PAT_AGE!AN77/Global!$O$2)</f>
        <v>0.30113190431389436</v>
      </c>
      <c r="AU77" s="11"/>
      <c r="AV77" s="37">
        <f t="array" ref="AV77">SUM(($F77=BDD!$D$3:$D$215)*(BDD!$A$3:$A$215="GMF")*(BDD!$E$3:$E$215="PP")*(BDD!$C$3:$C$215="EURO")*(BDD!$H$3:$H$215))</f>
        <v>895334.58492950373</v>
      </c>
      <c r="AW77" s="37">
        <f t="array" ref="AW77">SUM(($F77=BDD!$D$3:$D$215)*(BDD!$B$3:$B$215="TOTAL")*(BDD!$E$3:$E$215="PP")*(BDD!$C$3:$C$215="EURO")*(BDD!$A$3:$A$215="GMF")*(BDD!$G$3:$G$215))</f>
        <v>13543256.376020527</v>
      </c>
      <c r="AX77" s="82">
        <f t="shared" ref="AX77:AX83" si="109">AW77/AV77</f>
        <v>15.126475179205645</v>
      </c>
      <c r="AY77" s="91"/>
      <c r="AZ77" s="37">
        <f t="array" ref="AZ77">SUM(($F77=BDD!$D$3:$D$215)*(BDD!$A$3:$A$215="GMF")*(BDD!$E$3:$E$215="PP")*(BDD!$C$3:$C$215="EURO")*(BDD!$F$3:$F$215))</f>
        <v>17655.220248120455</v>
      </c>
      <c r="BA77" s="14">
        <f>AZ77/AV77</f>
        <v>1.9719131311687888E-2</v>
      </c>
      <c r="BB77" s="44">
        <f>(AZ77/Global!$O$3)/(PAT_AGE!AV77/Global!$O$2)</f>
        <v>0.49794430188082123</v>
      </c>
      <c r="BC77" s="11"/>
    </row>
    <row r="78" spans="1:55" s="28" customFormat="1" x14ac:dyDescent="0.25">
      <c r="A78" s="11"/>
      <c r="B78" s="70"/>
      <c r="C78" s="11"/>
      <c r="D78" s="70"/>
      <c r="E78" s="11"/>
      <c r="F78" s="41" t="s">
        <v>14</v>
      </c>
      <c r="G78" s="11"/>
      <c r="H78" s="37">
        <f t="array" ref="H78">SUM(($F78=BDD!$D$3:$D$215)*(BDD!$E$3:$E$215="PP")*(BDD!$C$3:$C$215="EURO")*(BDD!$A$3:$A$215="MMA")*(BDD!$H$3:$H$215))</f>
        <v>602329.09639227856</v>
      </c>
      <c r="I78" s="37">
        <f t="array" ref="I78">SUM(($F78=BDD!$D$3:$D$215)*(BDD!$E$3:$E$215="PP")*(BDD!$C$3:$C$215="EURO")*(BDD!$A$3:$A$215="MMA")*(BDD!$G$3:$G$215))</f>
        <v>10690678.907082405</v>
      </c>
      <c r="J78" s="82">
        <f t="shared" ref="J78:J83" si="110">I78/H78</f>
        <v>17.748900013490122</v>
      </c>
      <c r="K78" s="45"/>
      <c r="L78" s="37">
        <f t="array" ref="L78">SUM(($F78=BDD!$D$3:$D$215)*(BDD!$E$3:$E$215="PP")*(BDD!$C$3:$C$215="EURO")*(BDD!$A$3:$A$215="MMA")*(BDD!$F$3:$F$215))</f>
        <v>18970.903744691008</v>
      </c>
      <c r="M78" s="14">
        <f t="shared" ref="M78:M83" si="111">L78/H78</f>
        <v>3.1495911219164875E-2</v>
      </c>
      <c r="N78" s="44">
        <f>(L78/Global!$O$3)/(PAT_AGE!H78/Global!$O$2)</f>
        <v>0.79532963578530724</v>
      </c>
      <c r="O78" s="11"/>
      <c r="P78" s="45"/>
      <c r="Q78" s="45"/>
      <c r="R78" s="45"/>
      <c r="S78" s="45"/>
      <c r="T78" s="45"/>
      <c r="U78" s="16"/>
      <c r="V78" s="46"/>
      <c r="W78" s="11"/>
      <c r="X78" s="45"/>
      <c r="Y78" s="45"/>
      <c r="Z78" s="45"/>
      <c r="AA78" s="45"/>
      <c r="AB78" s="45"/>
      <c r="AC78" s="16"/>
      <c r="AD78" s="46"/>
      <c r="AE78" s="11"/>
      <c r="AF78" s="37">
        <f t="array" ref="AF78">SUM(($F78=BDD!$D$3:$D$215)*(BDD!$B$3:$B$215="AG")*(BDD!$E$3:$E$215="PP")*(BDD!$C$3:$C$215="EURO")*(BDD!$A$3:$A$215="MMA")*(BDD!$H$3:$H$215))</f>
        <v>602329.09639227856</v>
      </c>
      <c r="AG78" s="37">
        <f t="array" ref="AG78">SUM(($F78=BDD!$D$3:$D$215)*(BDD!$B$3:$B$215="AG")*(BDD!$E$3:$E$215="PP")*(BDD!$C$3:$C$215="EURO")*(BDD!$A$3:$A$215="MMA")*(BDD!$G$3:$G$215))</f>
        <v>10690678.907082405</v>
      </c>
      <c r="AH78" s="82">
        <f t="shared" ref="AH78:AH83" si="112">AG78/AF78</f>
        <v>17.748900013490122</v>
      </c>
      <c r="AI78" s="91"/>
      <c r="AJ78" s="37">
        <f t="array" ref="AJ78">SUM(($F78=BDD!$D$3:$D$215)*(BDD!$B$3:$B$215="AG")*(BDD!$E$3:$E$215="PP")*(BDD!$C$3:$C$215="EURO")*(BDD!$A$3:$A$215="MMA")*(BDD!$F$3:$F$215))</f>
        <v>18970.903744691008</v>
      </c>
      <c r="AK78" s="14">
        <f t="shared" ref="AK78:AK83" si="113">AJ78/AF78</f>
        <v>3.1495911219164875E-2</v>
      </c>
      <c r="AL78" s="44">
        <f>(AJ78/Global!$O$3)/(PAT_AGE!AF78/Global!$O$2)</f>
        <v>0.79532963578530724</v>
      </c>
      <c r="AM78" s="11"/>
      <c r="AN78" s="37">
        <f t="array" ref="AN78">SUM(($F78=BDD!$D$3:$D$215)*(BDD!$E$3:$E$215="PP")*(BDD!$C$3:$C$215="EURO")*(BDD!$A$3:$A$215="MAAF")*(BDD!$H$3:$H$215))</f>
        <v>2751367.999460598</v>
      </c>
      <c r="AO78" s="37">
        <f t="array" ref="AO78">SUM(($F78=BDD!$D$3:$D$215)*(BDD!$B$3:$B$215="TOTAL")*(BDD!$E$3:$E$215="PP")*(BDD!$C$3:$C$215="EURO")*(BDD!$A$3:$A$215="MAAF")*(BDD!$G$3:$G$215))</f>
        <v>48041889.736779533</v>
      </c>
      <c r="AP78" s="82">
        <f t="shared" si="108"/>
        <v>17.461091989947576</v>
      </c>
      <c r="AQ78" s="91"/>
      <c r="AR78" s="37">
        <f t="array" ref="AR78">SUM(($F78=BDD!$D$3:$D$215)*(BDD!$A$3:$A$215="MAAF")*(BDD!$E$3:$E$215="PP")*(BDD!$C$3:$C$215="EURO")*(BDD!$F$3:$F$215))</f>
        <v>67281.639055261112</v>
      </c>
      <c r="AS78" s="14">
        <f t="shared" ref="AS78:AS83" si="114">AR78/AN78</f>
        <v>2.445388587366415E-2</v>
      </c>
      <c r="AT78" s="44">
        <f>(AR78/Global!$O$3)/(PAT_AGE!AN78/Global!$O$2)</f>
        <v>0.6175055552481481</v>
      </c>
      <c r="AU78" s="11"/>
      <c r="AV78" s="37">
        <f t="array" ref="AV78">SUM(($F78=BDD!$D$3:$D$215)*(BDD!$A$3:$A$215="GMF")*(BDD!$E$3:$E$215="PP")*(BDD!$C$3:$C$215="EURO")*(BDD!$H$3:$H$215))</f>
        <v>2421798.5223903665</v>
      </c>
      <c r="AW78" s="37">
        <f t="array" ref="AW78">SUM(($F78=BDD!$D$3:$D$215)*(BDD!$B$3:$B$215="TOTAL")*(BDD!$E$3:$E$215="PP")*(BDD!$C$3:$C$215="EURO")*(BDD!$A$3:$A$215="GMF")*(BDD!$G$3:$G$215))</f>
        <v>38391605.706129603</v>
      </c>
      <c r="AX78" s="82">
        <f t="shared" si="109"/>
        <v>15.852518428426603</v>
      </c>
      <c r="AY78" s="91"/>
      <c r="AZ78" s="37">
        <f t="array" ref="AZ78">SUM(($F78=BDD!$D$3:$D$215)*(BDD!$A$3:$A$215="GMF")*(BDD!$E$3:$E$215="PP")*(BDD!$C$3:$C$215="EURO")*(BDD!$F$3:$F$215))</f>
        <v>53583.102999860457</v>
      </c>
      <c r="BA78" s="14">
        <f t="shared" ref="BA78:BA83" si="115">AZ78/AV78</f>
        <v>2.2125334747901654E-2</v>
      </c>
      <c r="BB78" s="44">
        <f>(AZ78/Global!$O$3)/(PAT_AGE!AV78/Global!$O$2)</f>
        <v>0.55870536033163287</v>
      </c>
      <c r="BC78" s="11"/>
    </row>
    <row r="79" spans="1:55" s="28" customFormat="1" x14ac:dyDescent="0.25">
      <c r="A79" s="11"/>
      <c r="B79" s="70"/>
      <c r="C79" s="11"/>
      <c r="D79" s="70"/>
      <c r="E79" s="11"/>
      <c r="F79" s="41" t="s">
        <v>15</v>
      </c>
      <c r="G79" s="11"/>
      <c r="H79" s="37">
        <f t="array" ref="H79">SUM(($F79=BDD!$D$3:$D$215)*(BDD!$E$3:$E$215="PP")*(BDD!$C$3:$C$215="EURO")*(BDD!$A$3:$A$215="MMA")*(BDD!$H$3:$H$215))</f>
        <v>1198827.992819478</v>
      </c>
      <c r="I79" s="37">
        <f t="array" ref="I79">SUM(($F79=BDD!$D$3:$D$215)*(BDD!$E$3:$E$215="PP")*(BDD!$C$3:$C$215="EURO")*(BDD!$A$3:$A$215="MMA")*(BDD!$G$3:$G$215))</f>
        <v>22635538.753409408</v>
      </c>
      <c r="J79" s="82">
        <f t="shared" si="110"/>
        <v>18.881389898290365</v>
      </c>
      <c r="K79" s="45"/>
      <c r="L79" s="37">
        <f t="array" ref="L79">SUM(($F79=BDD!$D$3:$D$215)*(BDD!$E$3:$E$215="PP")*(BDD!$C$3:$C$215="EURO")*(BDD!$A$3:$A$215="MMA")*(BDD!$F$3:$F$215))</f>
        <v>39826.530426253878</v>
      </c>
      <c r="M79" s="14">
        <f t="shared" si="111"/>
        <v>3.3221221613775775E-2</v>
      </c>
      <c r="N79" s="44">
        <f>(L79/Global!$O$3)/(PAT_AGE!H79/Global!$O$2)</f>
        <v>0.83889689371329934</v>
      </c>
      <c r="O79" s="11"/>
      <c r="P79" s="45"/>
      <c r="Q79" s="45"/>
      <c r="R79" s="45"/>
      <c r="S79" s="45"/>
      <c r="T79" s="45"/>
      <c r="U79" s="16"/>
      <c r="V79" s="46"/>
      <c r="W79" s="11"/>
      <c r="X79" s="45"/>
      <c r="Y79" s="45"/>
      <c r="Z79" s="45"/>
      <c r="AA79" s="45"/>
      <c r="AB79" s="45"/>
      <c r="AC79" s="16"/>
      <c r="AD79" s="46"/>
      <c r="AE79" s="11"/>
      <c r="AF79" s="37">
        <f t="array" ref="AF79">SUM(($F79=BDD!$D$3:$D$215)*(BDD!$B$3:$B$215="AG")*(BDD!$E$3:$E$215="PP")*(BDD!$C$3:$C$215="EURO")*(BDD!$A$3:$A$215="MMA")*(BDD!$H$3:$H$215))</f>
        <v>1198827.992819478</v>
      </c>
      <c r="AG79" s="37">
        <f t="array" ref="AG79">SUM(($F79=BDD!$D$3:$D$215)*(BDD!$B$3:$B$215="AG")*(BDD!$E$3:$E$215="PP")*(BDD!$C$3:$C$215="EURO")*(BDD!$A$3:$A$215="MMA")*(BDD!$G$3:$G$215))</f>
        <v>22635538.753409408</v>
      </c>
      <c r="AH79" s="82">
        <f t="shared" si="112"/>
        <v>18.881389898290365</v>
      </c>
      <c r="AI79" s="91"/>
      <c r="AJ79" s="37">
        <f t="array" ref="AJ79">SUM(($F79=BDD!$D$3:$D$215)*(BDD!$B$3:$B$215="AG")*(BDD!$E$3:$E$215="PP")*(BDD!$C$3:$C$215="EURO")*(BDD!$A$3:$A$215="MMA")*(BDD!$F$3:$F$215))</f>
        <v>39826.530426253878</v>
      </c>
      <c r="AK79" s="14">
        <f t="shared" si="113"/>
        <v>3.3221221613775775E-2</v>
      </c>
      <c r="AL79" s="44">
        <f>(AJ79/Global!$O$3)/(PAT_AGE!AF79/Global!$O$2)</f>
        <v>0.83889689371329934</v>
      </c>
      <c r="AM79" s="11"/>
      <c r="AN79" s="37">
        <f t="array" ref="AN79">SUM(($F79=BDD!$D$3:$D$215)*(BDD!$E$3:$E$215="PP")*(BDD!$C$3:$C$215="EURO")*(BDD!$A$3:$A$215="MAAF")*(BDD!$H$3:$H$215))</f>
        <v>7181145.9985921467</v>
      </c>
      <c r="AO79" s="37">
        <f t="array" ref="AO79">SUM(($F79=BDD!$D$3:$D$215)*(BDD!$B$3:$B$215="TOTAL")*(BDD!$E$3:$E$215="PP")*(BDD!$C$3:$C$215="EURO")*(BDD!$A$3:$A$215="MAAF")*(BDD!$G$3:$G$215))</f>
        <v>122225530.82552889</v>
      </c>
      <c r="AP79" s="82">
        <f t="shared" si="108"/>
        <v>17.020337819268821</v>
      </c>
      <c r="AQ79" s="91"/>
      <c r="AR79" s="37">
        <f t="array" ref="AR79">SUM(($F79=BDD!$D$3:$D$215)*(BDD!$A$3:$A$215="MAAF")*(BDD!$E$3:$E$215="PP")*(BDD!$C$3:$C$215="EURO")*(BDD!$F$3:$F$215))</f>
        <v>176156.73462192167</v>
      </c>
      <c r="AS79" s="14">
        <f t="shared" si="114"/>
        <v>2.4530448852656241E-2</v>
      </c>
      <c r="AT79" s="44">
        <f>(AR79/Global!$O$3)/(PAT_AGE!AN79/Global!$O$2)</f>
        <v>0.61943891116132332</v>
      </c>
      <c r="AU79" s="11"/>
      <c r="AV79" s="37">
        <f t="array" ref="AV79">SUM(($F79=BDD!$D$3:$D$215)*(BDD!$A$3:$A$215="GMF")*(BDD!$E$3:$E$215="PP")*(BDD!$C$3:$C$215="EURO")*(BDD!$H$3:$H$215))</f>
        <v>5694679.7069233907</v>
      </c>
      <c r="AW79" s="37">
        <f t="array" ref="AW79">SUM(($F79=BDD!$D$3:$D$215)*(BDD!$B$3:$B$215="TOTAL")*(BDD!$E$3:$E$215="PP")*(BDD!$C$3:$C$215="EURO")*(BDD!$A$3:$A$215="GMF")*(BDD!$G$3:$G$215))</f>
        <v>97845515.256329313</v>
      </c>
      <c r="AX79" s="82">
        <f t="shared" si="109"/>
        <v>17.181917209034985</v>
      </c>
      <c r="AY79" s="91"/>
      <c r="AZ79" s="37">
        <f t="array" ref="AZ79">SUM(($F79=BDD!$D$3:$D$215)*(BDD!$A$3:$A$215="GMF")*(BDD!$E$3:$E$215="PP")*(BDD!$C$3:$C$215="EURO")*(BDD!$F$3:$F$215))</f>
        <v>142893.7423949306</v>
      </c>
      <c r="BA79" s="14">
        <f t="shared" si="115"/>
        <v>2.5092498568656182E-2</v>
      </c>
      <c r="BB79" s="44">
        <f>(AZ79/Global!$O$3)/(PAT_AGE!AV79/Global!$O$2)</f>
        <v>0.63363169932385366</v>
      </c>
      <c r="BC79" s="11"/>
    </row>
    <row r="80" spans="1:55" s="28" customFormat="1" x14ac:dyDescent="0.25">
      <c r="A80" s="11"/>
      <c r="B80" s="70"/>
      <c r="C80" s="11"/>
      <c r="D80" s="70"/>
      <c r="E80" s="11"/>
      <c r="F80" s="41" t="s">
        <v>16</v>
      </c>
      <c r="G80" s="11"/>
      <c r="H80" s="37">
        <f t="array" ref="H80">SUM(($F80=BDD!$D$3:$D$215)*(BDD!$E$3:$E$215="PP")*(BDD!$C$3:$C$215="EURO")*(BDD!$A$3:$A$215="MMA")*(BDD!$H$3:$H$215))</f>
        <v>2749149.9835336409</v>
      </c>
      <c r="I80" s="37">
        <f t="array" ref="I80">SUM(($F80=BDD!$D$3:$D$215)*(BDD!$E$3:$E$215="PP")*(BDD!$C$3:$C$215="EURO")*(BDD!$A$3:$A$215="MMA")*(BDD!$G$3:$G$215))</f>
        <v>38817895.824711002</v>
      </c>
      <c r="J80" s="82">
        <f t="shared" si="110"/>
        <v>14.119962918434927</v>
      </c>
      <c r="K80" s="45"/>
      <c r="L80" s="37">
        <f t="array" ref="L80">SUM(($F80=BDD!$D$3:$D$215)*(BDD!$E$3:$E$215="PP")*(BDD!$C$3:$C$215="EURO")*(BDD!$A$3:$A$215="MMA")*(BDD!$F$3:$F$215))</f>
        <v>60654.759918377102</v>
      </c>
      <c r="M80" s="14">
        <f t="shared" si="111"/>
        <v>2.2063095968454235E-2</v>
      </c>
      <c r="N80" s="44">
        <f>(L80/Global!$O$3)/(PAT_AGE!H80/Global!$O$2)</f>
        <v>0.55713371677938917</v>
      </c>
      <c r="O80" s="11"/>
      <c r="P80" s="45"/>
      <c r="Q80" s="45"/>
      <c r="R80" s="45"/>
      <c r="S80" s="45"/>
      <c r="T80" s="45"/>
      <c r="U80" s="16"/>
      <c r="V80" s="46"/>
      <c r="W80" s="11"/>
      <c r="X80" s="45"/>
      <c r="Y80" s="45"/>
      <c r="Z80" s="45"/>
      <c r="AA80" s="45"/>
      <c r="AB80" s="45"/>
      <c r="AC80" s="16"/>
      <c r="AD80" s="46"/>
      <c r="AE80" s="11"/>
      <c r="AF80" s="37">
        <f t="array" ref="AF80">SUM(($F80=BDD!$D$3:$D$215)*(BDD!$B$3:$B$215="AG")*(BDD!$E$3:$E$215="PP")*(BDD!$C$3:$C$215="EURO")*(BDD!$A$3:$A$215="MMA")*(BDD!$H$3:$H$215))</f>
        <v>2749149.9835336409</v>
      </c>
      <c r="AG80" s="37">
        <f t="array" ref="AG80">SUM(($F80=BDD!$D$3:$D$215)*(BDD!$B$3:$B$215="AG")*(BDD!$E$3:$E$215="PP")*(BDD!$C$3:$C$215="EURO")*(BDD!$A$3:$A$215="MMA")*(BDD!$G$3:$G$215))</f>
        <v>38817895.824711002</v>
      </c>
      <c r="AH80" s="82">
        <f t="shared" si="112"/>
        <v>14.119962918434927</v>
      </c>
      <c r="AI80" s="91"/>
      <c r="AJ80" s="37">
        <f t="array" ref="AJ80">SUM(($F80=BDD!$D$3:$D$215)*(BDD!$B$3:$B$215="AG")*(BDD!$E$3:$E$215="PP")*(BDD!$C$3:$C$215="EURO")*(BDD!$A$3:$A$215="MMA")*(BDD!$F$3:$F$215))</f>
        <v>60654.759918377102</v>
      </c>
      <c r="AK80" s="14">
        <f t="shared" si="113"/>
        <v>2.2063095968454235E-2</v>
      </c>
      <c r="AL80" s="44">
        <f>(AJ80/Global!$O$3)/(PAT_AGE!AF80/Global!$O$2)</f>
        <v>0.55713371677938917</v>
      </c>
      <c r="AM80" s="11"/>
      <c r="AN80" s="37">
        <f t="array" ref="AN80">SUM(($F80=BDD!$D$3:$D$215)*(BDD!$E$3:$E$215="PP")*(BDD!$C$3:$C$215="EURO")*(BDD!$A$3:$A$215="MAAF")*(BDD!$H$3:$H$215))</f>
        <v>11179664.997808242</v>
      </c>
      <c r="AO80" s="37">
        <f t="array" ref="AO80">SUM(($F80=BDD!$D$3:$D$215)*(BDD!$B$3:$B$215="TOTAL")*(BDD!$E$3:$E$215="PP")*(BDD!$C$3:$C$215="EURO")*(BDD!$A$3:$A$215="MAAF")*(BDD!$G$3:$G$215))</f>
        <v>187412480.59914431</v>
      </c>
      <c r="AP80" s="82">
        <f t="shared" si="108"/>
        <v>16.76369378115411</v>
      </c>
      <c r="AQ80" s="91"/>
      <c r="AR80" s="37">
        <f t="array" ref="AR80">SUM(($F80=BDD!$D$3:$D$215)*(BDD!$A$3:$A$215="MAAF")*(BDD!$E$3:$E$215="PP")*(BDD!$C$3:$C$215="EURO")*(BDD!$F$3:$F$215))</f>
        <v>245259.31487711819</v>
      </c>
      <c r="AS80" s="14">
        <f t="shared" si="114"/>
        <v>2.193798427101357E-2</v>
      </c>
      <c r="AT80" s="44">
        <f>(AR80/Global!$O$3)/(PAT_AGE!AN80/Global!$O$2)</f>
        <v>0.55397441651131452</v>
      </c>
      <c r="AU80" s="11"/>
      <c r="AV80" s="37">
        <f t="array" ref="AV80">SUM(($F80=BDD!$D$3:$D$215)*(BDD!$A$3:$A$215="GMF")*(BDD!$E$3:$E$215="PP")*(BDD!$C$3:$C$215="EURO")*(BDD!$H$3:$H$215))</f>
        <v>15234541.859532788</v>
      </c>
      <c r="AW80" s="37">
        <f t="array" ref="AW80">SUM(($F80=BDD!$D$3:$D$215)*(BDD!$B$3:$B$215="TOTAL")*(BDD!$E$3:$E$215="PP")*(BDD!$C$3:$C$215="EURO")*(BDD!$A$3:$A$215="GMF")*(BDD!$G$3:$G$215))</f>
        <v>287912919.59175664</v>
      </c>
      <c r="AX80" s="82">
        <f t="shared" si="109"/>
        <v>18.89869234312415</v>
      </c>
      <c r="AY80" s="91"/>
      <c r="AZ80" s="37">
        <f t="array" ref="AZ80">SUM(($F80=BDD!$D$3:$D$215)*(BDD!$A$3:$A$215="GMF")*(BDD!$E$3:$E$215="PP")*(BDD!$C$3:$C$215="EURO")*(BDD!$F$3:$F$215))</f>
        <v>412519.28874604963</v>
      </c>
      <c r="BA80" s="14">
        <f t="shared" si="115"/>
        <v>2.70778926304188E-2</v>
      </c>
      <c r="BB80" s="44">
        <f>(AZ80/Global!$O$3)/(PAT_AGE!AV80/Global!$O$2)</f>
        <v>0.68376654778225121</v>
      </c>
      <c r="BC80" s="11"/>
    </row>
    <row r="81" spans="1:55" s="28" customFormat="1" x14ac:dyDescent="0.25">
      <c r="A81" s="11"/>
      <c r="B81" s="70"/>
      <c r="C81" s="11"/>
      <c r="D81" s="70"/>
      <c r="E81" s="11"/>
      <c r="F81" s="41" t="s">
        <v>17</v>
      </c>
      <c r="G81" s="11"/>
      <c r="H81" s="37">
        <f t="array" ref="H81">SUM(($F81=BDD!$D$3:$D$215)*(BDD!$E$3:$E$215="PP")*(BDD!$C$3:$C$215="EURO")*(BDD!$A$3:$A$215="MMA")*(BDD!$H$3:$H$215))</f>
        <v>2246067.9865469099</v>
      </c>
      <c r="I81" s="37">
        <f t="array" ref="I81">SUM(($F81=BDD!$D$3:$D$215)*(BDD!$E$3:$E$215="PP")*(BDD!$C$3:$C$215="EURO")*(BDD!$A$3:$A$215="MMA")*(BDD!$G$3:$G$215))</f>
        <v>26500695.146750469</v>
      </c>
      <c r="J81" s="82">
        <f t="shared" si="110"/>
        <v>11.798705696122967</v>
      </c>
      <c r="K81" s="45"/>
      <c r="L81" s="37">
        <f t="array" ref="L81">SUM(($F81=BDD!$D$3:$D$215)*(BDD!$E$3:$E$215="PP")*(BDD!$C$3:$C$215="EURO")*(BDD!$A$3:$A$215="MMA")*(BDD!$F$3:$F$215))</f>
        <v>37459.9123152791</v>
      </c>
      <c r="M81" s="14">
        <f t="shared" si="111"/>
        <v>1.6677995741736083E-2</v>
      </c>
      <c r="N81" s="44">
        <f>(L81/Global!$O$3)/(PAT_AGE!H81/Global!$O$2)</f>
        <v>0.42115004028943848</v>
      </c>
      <c r="O81" s="11"/>
      <c r="P81" s="45"/>
      <c r="Q81" s="45"/>
      <c r="R81" s="45"/>
      <c r="S81" s="45"/>
      <c r="T81" s="45"/>
      <c r="U81" s="16"/>
      <c r="V81" s="46"/>
      <c r="W81" s="11"/>
      <c r="X81" s="45"/>
      <c r="Y81" s="45"/>
      <c r="Z81" s="45"/>
      <c r="AA81" s="45"/>
      <c r="AB81" s="45"/>
      <c r="AC81" s="16"/>
      <c r="AD81" s="46"/>
      <c r="AE81" s="11"/>
      <c r="AF81" s="37">
        <f t="array" ref="AF81">SUM(($F81=BDD!$D$3:$D$215)*(BDD!$B$3:$B$215="AG")*(BDD!$E$3:$E$215="PP")*(BDD!$C$3:$C$215="EURO")*(BDD!$A$3:$A$215="MMA")*(BDD!$H$3:$H$215))</f>
        <v>2246067.9865469099</v>
      </c>
      <c r="AG81" s="37">
        <f t="array" ref="AG81">SUM(($F81=BDD!$D$3:$D$215)*(BDD!$B$3:$B$215="AG")*(BDD!$E$3:$E$215="PP")*(BDD!$C$3:$C$215="EURO")*(BDD!$A$3:$A$215="MMA")*(BDD!$G$3:$G$215))</f>
        <v>26500695.146750469</v>
      </c>
      <c r="AH81" s="82">
        <f t="shared" si="112"/>
        <v>11.798705696122967</v>
      </c>
      <c r="AI81" s="91"/>
      <c r="AJ81" s="37">
        <f t="array" ref="AJ81">SUM(($F81=BDD!$D$3:$D$215)*(BDD!$B$3:$B$215="AG")*(BDD!$E$3:$E$215="PP")*(BDD!$C$3:$C$215="EURO")*(BDD!$A$3:$A$215="MMA")*(BDD!$F$3:$F$215))</f>
        <v>37459.9123152791</v>
      </c>
      <c r="AK81" s="14">
        <f t="shared" si="113"/>
        <v>1.6677995741736083E-2</v>
      </c>
      <c r="AL81" s="44">
        <f>(AJ81/Global!$O$3)/(PAT_AGE!AF81/Global!$O$2)</f>
        <v>0.42115004028943848</v>
      </c>
      <c r="AM81" s="11"/>
      <c r="AN81" s="37">
        <f t="array" ref="AN81">SUM(($F81=BDD!$D$3:$D$215)*(BDD!$E$3:$E$215="PP")*(BDD!$C$3:$C$215="EURO")*(BDD!$A$3:$A$215="MAAF")*(BDD!$H$3:$H$215))</f>
        <v>8555713.9983226638</v>
      </c>
      <c r="AO81" s="37">
        <f t="array" ref="AO81">SUM(($F81=BDD!$D$3:$D$215)*(BDD!$B$3:$B$215="TOTAL")*(BDD!$E$3:$E$215="PP")*(BDD!$C$3:$C$215="EURO")*(BDD!$A$3:$A$215="MAAF")*(BDD!$G$3:$G$215))</f>
        <v>124262623.00595437</v>
      </c>
      <c r="AP81" s="82">
        <f t="shared" si="108"/>
        <v>14.523933716147582</v>
      </c>
      <c r="AQ81" s="91"/>
      <c r="AR81" s="37">
        <f t="array" ref="AR81">SUM(($F81=BDD!$D$3:$D$215)*(BDD!$A$3:$A$215="MAAF")*(BDD!$E$3:$E$215="PP")*(BDD!$C$3:$C$215="EURO")*(BDD!$F$3:$F$215))</f>
        <v>128029.15726453847</v>
      </c>
      <c r="AS81" s="14">
        <f t="shared" si="114"/>
        <v>1.4964169827280157E-2</v>
      </c>
      <c r="AT81" s="44">
        <f>(AR81/Global!$O$3)/(PAT_AGE!AN81/Global!$O$2)</f>
        <v>0.3778727865894646</v>
      </c>
      <c r="AU81" s="11"/>
      <c r="AV81" s="37">
        <f t="array" ref="AV81">SUM(($F81=BDD!$D$3:$D$215)*(BDD!$A$3:$A$215="GMF")*(BDD!$E$3:$E$215="PP")*(BDD!$C$3:$C$215="EURO")*(BDD!$H$3:$H$215))</f>
        <v>42091132.562894352</v>
      </c>
      <c r="AW81" s="37">
        <f t="array" ref="AW81">SUM(($F81=BDD!$D$3:$D$215)*(BDD!$B$3:$B$215="TOTAL")*(BDD!$E$3:$E$215="PP")*(BDD!$C$3:$C$215="EURO")*(BDD!$A$3:$A$215="GMF")*(BDD!$G$3:$G$215))</f>
        <v>720077717.24510157</v>
      </c>
      <c r="AX81" s="82">
        <f t="shared" si="109"/>
        <v>17.107587118715109</v>
      </c>
      <c r="AY81" s="91"/>
      <c r="AZ81" s="37">
        <f t="array" ref="AZ81">SUM(($F81=BDD!$D$3:$D$215)*(BDD!$A$3:$A$215="GMF")*(BDD!$E$3:$E$215="PP")*(BDD!$C$3:$C$215="EURO")*(BDD!$F$3:$F$215))</f>
        <v>896331.42243168293</v>
      </c>
      <c r="BA81" s="14">
        <f t="shared" si="115"/>
        <v>2.1295017925505963E-2</v>
      </c>
      <c r="BB81" s="44">
        <f>(AZ81/Global!$O$3)/(PAT_AGE!AV81/Global!$O$2)</f>
        <v>0.53773833475973731</v>
      </c>
      <c r="BC81" s="11"/>
    </row>
    <row r="82" spans="1:55" s="28" customFormat="1" x14ac:dyDescent="0.25">
      <c r="A82" s="11"/>
      <c r="B82" s="70"/>
      <c r="C82" s="11"/>
      <c r="D82" s="70"/>
      <c r="E82" s="11"/>
      <c r="F82" s="41" t="s">
        <v>12</v>
      </c>
      <c r="G82" s="11"/>
      <c r="H82" s="37">
        <f t="array" ref="H82">SUM(($F82=BDD!$D$3:$D$215)*(BDD!$E$3:$E$215="PP")*(BDD!$C$3:$C$215="EURO")*(BDD!$A$3:$A$215="MMA")*(BDD!$H$3:$H$215))</f>
        <v>1747664.9895321538</v>
      </c>
      <c r="I82" s="37">
        <f t="array" ref="I82">SUM(($F82=BDD!$D$3:$D$215)*(BDD!$E$3:$E$215="PP")*(BDD!$C$3:$C$215="EURO")*(BDD!$A$3:$A$215="MMA")*(BDD!$G$3:$G$215))</f>
        <v>11762734.013011863</v>
      </c>
      <c r="J82" s="82">
        <f t="shared" si="110"/>
        <v>6.7305428005173473</v>
      </c>
      <c r="K82" s="45"/>
      <c r="L82" s="37">
        <f t="array" ref="L82">SUM(($F82=BDD!$D$3:$D$215)*(BDD!$E$3:$E$215="PP")*(BDD!$C$3:$C$215="EURO")*(BDD!$A$3:$A$215="MMA")*(BDD!$F$3:$F$215))</f>
        <v>12832.548173495201</v>
      </c>
      <c r="M82" s="14">
        <f t="shared" si="111"/>
        <v>7.3426819501204556E-3</v>
      </c>
      <c r="N82" s="44">
        <f>(L82/Global!$O$3)/(PAT_AGE!H82/Global!$O$2)</f>
        <v>0.18541621229625432</v>
      </c>
      <c r="O82" s="11"/>
      <c r="P82" s="45"/>
      <c r="Q82" s="45"/>
      <c r="R82" s="45"/>
      <c r="S82" s="45"/>
      <c r="T82" s="45"/>
      <c r="U82" s="16"/>
      <c r="V82" s="46"/>
      <c r="W82" s="11"/>
      <c r="X82" s="45"/>
      <c r="Y82" s="45"/>
      <c r="Z82" s="45"/>
      <c r="AA82" s="45"/>
      <c r="AB82" s="45"/>
      <c r="AC82" s="16"/>
      <c r="AD82" s="46"/>
      <c r="AE82" s="11"/>
      <c r="AF82" s="37">
        <f t="array" ref="AF82">SUM(($F82=BDD!$D$3:$D$215)*(BDD!$B$3:$B$215="AG")*(BDD!$E$3:$E$215="PP")*(BDD!$C$3:$C$215="EURO")*(BDD!$A$3:$A$215="MMA")*(BDD!$H$3:$H$215))</f>
        <v>1747664.9895321538</v>
      </c>
      <c r="AG82" s="37">
        <f t="array" ref="AG82">SUM(($F82=BDD!$D$3:$D$215)*(BDD!$B$3:$B$215="AG")*(BDD!$E$3:$E$215="PP")*(BDD!$C$3:$C$215="EURO")*(BDD!$A$3:$A$215="MMA")*(BDD!$G$3:$G$215))</f>
        <v>11762734.013011863</v>
      </c>
      <c r="AH82" s="82">
        <f t="shared" si="112"/>
        <v>6.7305428005173473</v>
      </c>
      <c r="AI82" s="91"/>
      <c r="AJ82" s="37">
        <f t="array" ref="AJ82">SUM(($F82=BDD!$D$3:$D$215)*(BDD!$B$3:$B$215="AG")*(BDD!$E$3:$E$215="PP")*(BDD!$C$3:$C$215="EURO")*(BDD!$A$3:$A$215="MMA")*(BDD!$F$3:$F$215))</f>
        <v>12832.548173495201</v>
      </c>
      <c r="AK82" s="14">
        <f t="shared" si="113"/>
        <v>7.3426819501204556E-3</v>
      </c>
      <c r="AL82" s="44">
        <f>(AJ82/Global!$O$3)/(PAT_AGE!AF82/Global!$O$2)</f>
        <v>0.18541621229625432</v>
      </c>
      <c r="AM82" s="11"/>
      <c r="AN82" s="37">
        <f t="array" ref="AN82">SUM(($F82=BDD!$D$3:$D$215)*(BDD!$E$3:$E$215="PP")*(BDD!$C$3:$C$215="EURO")*(BDD!$A$3:$A$215="MAAF")*(BDD!$H$3:$H$215))</f>
        <v>4891802.9990409687</v>
      </c>
      <c r="AO82" s="37">
        <f t="array" ref="AO82">SUM(($F82=BDD!$D$3:$D$215)*(BDD!$B$3:$B$215="TOTAL")*(BDD!$E$3:$E$215="PP")*(BDD!$C$3:$C$215="EURO")*(BDD!$A$3:$A$215="MAAF")*(BDD!$G$3:$G$215))</f>
        <v>60088959.550541848</v>
      </c>
      <c r="AP82" s="82">
        <f t="shared" si="108"/>
        <v>12.283601682717437</v>
      </c>
      <c r="AQ82" s="91"/>
      <c r="AR82" s="37">
        <f t="array" ref="AR82">SUM(($F82=BDD!$D$3:$D$215)*(BDD!$A$3:$A$215="MAAF")*(BDD!$E$3:$E$215="PP")*(BDD!$C$3:$C$215="EURO")*(BDD!$F$3:$F$215))</f>
        <v>50901.253518077669</v>
      </c>
      <c r="AS82" s="14">
        <f t="shared" si="114"/>
        <v>1.0405417701419454E-2</v>
      </c>
      <c r="AT82" s="44">
        <f>(AR82/Global!$O$3)/(PAT_AGE!AN82/Global!$O$2)</f>
        <v>0.26275591815956861</v>
      </c>
      <c r="AU82" s="11"/>
      <c r="AV82" s="37">
        <f t="array" ref="AV82">SUM(($F82=BDD!$D$3:$D$215)*(BDD!$A$3:$A$215="GMF")*(BDD!$E$3:$E$215="PP")*(BDD!$C$3:$C$215="EURO")*(BDD!$H$3:$H$215))</f>
        <v>19728317.622954041</v>
      </c>
      <c r="AW82" s="37">
        <f t="array" ref="AW82">SUM(($F82=BDD!$D$3:$D$215)*(BDD!$B$3:$B$215="TOTAL")*(BDD!$E$3:$E$215="PP")*(BDD!$C$3:$C$215="EURO")*(BDD!$A$3:$A$215="GMF")*(BDD!$G$3:$G$215))</f>
        <v>280450875.75436598</v>
      </c>
      <c r="AX82" s="82">
        <f t="shared" si="109"/>
        <v>14.21565087881895</v>
      </c>
      <c r="AY82" s="91"/>
      <c r="AZ82" s="37">
        <f t="array" ref="AZ82">SUM(($F82=BDD!$D$3:$D$215)*(BDD!$A$3:$A$215="GMF")*(BDD!$E$3:$E$215="PP")*(BDD!$C$3:$C$215="EURO")*(BDD!$F$3:$F$215))</f>
        <v>291884.95700650482</v>
      </c>
      <c r="BA82" s="14">
        <f t="shared" si="115"/>
        <v>1.4795227985730245E-2</v>
      </c>
      <c r="BB82" s="44">
        <f>(AZ82/Global!$O$3)/(PAT_AGE!AV82/Global!$O$2)</f>
        <v>0.3736066946395028</v>
      </c>
      <c r="BC82" s="11"/>
    </row>
    <row r="83" spans="1:55" s="28" customFormat="1" x14ac:dyDescent="0.25">
      <c r="A83" s="11"/>
      <c r="B83" s="71"/>
      <c r="C83" s="11"/>
      <c r="D83" s="70"/>
      <c r="E83" s="11"/>
      <c r="F83" s="48" t="s">
        <v>30</v>
      </c>
      <c r="G83" s="11"/>
      <c r="H83" s="47">
        <f>SUM(H77:H82)</f>
        <v>8908871.5466392599</v>
      </c>
      <c r="I83" s="47">
        <f>SUM(I77:I82)</f>
        <v>113543472.97554034</v>
      </c>
      <c r="J83" s="83">
        <f t="shared" si="110"/>
        <v>12.744989349226046</v>
      </c>
      <c r="K83" s="45"/>
      <c r="L83" s="47">
        <f>SUM(L77:L82)</f>
        <v>172951.63411567832</v>
      </c>
      <c r="M83" s="42">
        <f t="shared" si="111"/>
        <v>1.9413416526464763E-2</v>
      </c>
      <c r="N83" s="43">
        <f>(L83/Global!$O$3)/(PAT_AGE!H83/Global!$O$2)</f>
        <v>0.49022444176647911</v>
      </c>
      <c r="O83" s="11"/>
      <c r="P83" s="45"/>
      <c r="Q83" s="45"/>
      <c r="R83" s="45"/>
      <c r="S83" s="45"/>
      <c r="T83" s="45"/>
      <c r="U83" s="16"/>
      <c r="V83" s="46"/>
      <c r="W83" s="11"/>
      <c r="X83" s="45"/>
      <c r="Y83" s="45"/>
      <c r="Z83" s="45"/>
      <c r="AA83" s="45"/>
      <c r="AB83" s="45"/>
      <c r="AC83" s="16"/>
      <c r="AD83" s="46"/>
      <c r="AE83" s="11"/>
      <c r="AF83" s="47">
        <f>SUM(AF77:AF82)</f>
        <v>8908871.5466392599</v>
      </c>
      <c r="AG83" s="47">
        <f>SUM(AG77:AG82)</f>
        <v>113543472.97554034</v>
      </c>
      <c r="AH83" s="83">
        <f t="shared" si="112"/>
        <v>12.744989349226046</v>
      </c>
      <c r="AI83" s="91"/>
      <c r="AJ83" s="47">
        <f>SUM(AJ77:AJ82)</f>
        <v>172951.63411567832</v>
      </c>
      <c r="AK83" s="42">
        <f t="shared" si="113"/>
        <v>1.9413416526464763E-2</v>
      </c>
      <c r="AL83" s="43">
        <f>(AJ83/Global!$O$3)/(PAT_AGE!AF83/Global!$O$2)</f>
        <v>0.49022444176647911</v>
      </c>
      <c r="AM83" s="11"/>
      <c r="AN83" s="47">
        <f>SUM(AN77:AN82)</f>
        <v>36730232.992799088</v>
      </c>
      <c r="AO83" s="47">
        <f>SUM(AO77:AO82)</f>
        <v>573803068.30091178</v>
      </c>
      <c r="AP83" s="83">
        <f t="shared" si="108"/>
        <v>15.622091708849359</v>
      </c>
      <c r="AQ83" s="91"/>
      <c r="AR83" s="47">
        <f>SUM(AR77:AR82)</f>
        <v>693512.07459106878</v>
      </c>
      <c r="AS83" s="42">
        <f t="shared" si="114"/>
        <v>1.8881232654501017E-2</v>
      </c>
      <c r="AT83" s="43">
        <f>(AR83/Global!$O$3)/(PAT_AGE!AN83/Global!$O$2)</f>
        <v>0.47678582104792083</v>
      </c>
      <c r="AU83" s="11"/>
      <c r="AV83" s="47">
        <f>SUM(AV77:AV82)</f>
        <v>86065804.859624445</v>
      </c>
      <c r="AW83" s="47">
        <f>SUM(AW77:AW82)</f>
        <v>1438221889.9297037</v>
      </c>
      <c r="AX83" s="83">
        <f t="shared" si="109"/>
        <v>16.710723756961094</v>
      </c>
      <c r="AY83" s="91"/>
      <c r="AZ83" s="47">
        <f>SUM(AZ77:AZ82)</f>
        <v>1814867.7338271488</v>
      </c>
      <c r="BA83" s="42">
        <f t="shared" si="115"/>
        <v>2.108697800232328E-2</v>
      </c>
      <c r="BB83" s="43">
        <f>(AZ83/Global!$O$3)/(PAT_AGE!AV83/Global!$O$2)</f>
        <v>0.53248494440115002</v>
      </c>
      <c r="BC83" s="11"/>
    </row>
    <row r="84" spans="1:55" s="28" customFormat="1" x14ac:dyDescent="0.25">
      <c r="A84" s="11"/>
      <c r="B84" s="11"/>
      <c r="C84" s="11"/>
      <c r="D84" s="70"/>
      <c r="E84" s="11"/>
      <c r="F84" s="11"/>
      <c r="G84" s="11"/>
      <c r="H84" s="11"/>
      <c r="I84" s="11"/>
      <c r="J84" s="85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85"/>
      <c r="AI84" s="91"/>
      <c r="AJ84" s="11"/>
      <c r="AK84" s="11"/>
      <c r="AL84" s="11"/>
      <c r="AM84" s="11"/>
      <c r="AN84" s="11"/>
      <c r="AO84" s="11"/>
      <c r="AP84" s="11"/>
      <c r="AQ84" s="9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</row>
    <row r="85" spans="1:55" s="28" customFormat="1" x14ac:dyDescent="0.25">
      <c r="A85" s="11"/>
      <c r="B85" s="69" t="s">
        <v>18</v>
      </c>
      <c r="C85" s="11"/>
      <c r="D85" s="70"/>
      <c r="E85" s="11"/>
      <c r="F85" s="40" t="s">
        <v>13</v>
      </c>
      <c r="G85" s="11"/>
      <c r="H85" s="37">
        <f t="array" ref="H85">SUM(($F85=BDD!$D$3:$D$215)*(BDD!$E$3:$E$215="PP")*(BDD!$C$3:$C$215="UC")*(BDD!$A$3:$A$215="MMA")*(BDD!$H$3:$H$215))</f>
        <v>206636.60502442878</v>
      </c>
      <c r="I85" s="37">
        <f t="array" ref="I85">SUM(($F85=BDD!$D$3:$D$215)*(BDD!$E$3:$E$215="PP")*(BDD!$C$3:$C$215="UC")*(BDD!$A$3:$A$215="MMA")*(BDD!$G$3:$G$215))</f>
        <v>2306257.9914938314</v>
      </c>
      <c r="J85" s="82">
        <f>I85/H85</f>
        <v>11.160936326945476</v>
      </c>
      <c r="K85" s="45"/>
      <c r="L85" s="37">
        <f t="array" ref="L85">SUM(($F85=BDD!$D$3:$D$215)*(BDD!$E$3:$E$215="PP")*(BDD!$C$3:$C$215="UC")*(BDD!$A$3:$A$215="MMA")*(BDD!$F$3:$F$215))</f>
        <v>4970.5212279420502</v>
      </c>
      <c r="M85" s="14">
        <f>L85/H85</f>
        <v>2.4054408111062561E-2</v>
      </c>
      <c r="N85" s="44">
        <f>(L85/Global!$O$3)/(PAT_AGE!H85/Global!$O$2)</f>
        <v>0.60741800765432186</v>
      </c>
      <c r="O85" s="11"/>
      <c r="P85" s="45"/>
      <c r="Q85" s="45"/>
      <c r="R85" s="45"/>
      <c r="S85" s="45"/>
      <c r="T85" s="45"/>
      <c r="U85" s="16"/>
      <c r="V85" s="46"/>
      <c r="W85" s="11"/>
      <c r="X85" s="45"/>
      <c r="Y85" s="45"/>
      <c r="Z85" s="45"/>
      <c r="AA85" s="45"/>
      <c r="AB85" s="45"/>
      <c r="AC85" s="16"/>
      <c r="AD85" s="46"/>
      <c r="AE85" s="11"/>
      <c r="AF85" s="37">
        <f t="array" ref="AF85">SUM(($F85=BDD!$D$3:$D$215)*(BDD!$B$3:$B$215="AG")*(BDD!$E$3:$E$215="PP")*(BDD!$C$3:$C$215="UC")*(BDD!$A$3:$A$215="MMA")*(BDD!$H$3:$H$215))</f>
        <v>206636.60502442878</v>
      </c>
      <c r="AG85" s="37">
        <f t="array" ref="AG85">SUM(($F85=BDD!$D$3:$D$215)*(BDD!$B$3:$B$215="AG")*(BDD!$E$3:$E$215="PP")*(BDD!$C$3:$C$215="UC")*(BDD!$A$3:$A$215="MMA")*(BDD!$G$3:$G$215))</f>
        <v>2306257.9914938314</v>
      </c>
      <c r="AH85" s="82">
        <f>AG85/AF85</f>
        <v>11.160936326945476</v>
      </c>
      <c r="AI85" s="91"/>
      <c r="AJ85" s="37">
        <f t="array" ref="AJ85">SUM(($F85=BDD!$D$3:$D$215)*(BDD!$B$3:$B$215="AG")*(BDD!$E$3:$E$215="PP")*(BDD!$C$3:$C$215="UC")*(BDD!$A$3:$A$215="MMA")*(BDD!$F$3:$F$215))</f>
        <v>4970.5212279420502</v>
      </c>
      <c r="AK85" s="14">
        <f>AJ85/AF85</f>
        <v>2.4054408111062561E-2</v>
      </c>
      <c r="AL85" s="44">
        <f>(AJ85/Global!$O$3)/(PAT_AGE!AF85/Global!$O$2)</f>
        <v>0.60741800765432186</v>
      </c>
      <c r="AM85" s="11"/>
      <c r="AN85" s="37">
        <f t="array" ref="AN85">SUM(($F85=BDD!$D$3:$D$215)*(BDD!$E$3:$E$215="PP")*(BDD!$C$3:$C$215="UC")*(BDD!$A$3:$A$215="MAAF")*(BDD!$H$3:$H$215))</f>
        <v>518996.19545510883</v>
      </c>
      <c r="AO85" s="37">
        <f t="array" ref="AO85">SUM(($F85=BDD!$D$3:$D$215)*(BDD!$B$3:$B$215="TOTAL")*(BDD!$E$3:$E$215="PP")*(BDD!$C$3:$C$215="UC")*(BDD!$A$3:$A$215="MAAF")*(BDD!$G$3:$G$215))</f>
        <v>6295348.158490723</v>
      </c>
      <c r="AP85" s="82">
        <f t="shared" ref="AP85:AP91" si="116">AO85/AN85</f>
        <v>12.129854156195345</v>
      </c>
      <c r="AQ85" s="91"/>
      <c r="AR85" s="37">
        <f t="array" ref="AR85">SUM(($F85=BDD!$D$3:$D$215)*(BDD!$A$3:$A$215="MAAF")*(BDD!$E$3:$E$215="PP")*(BDD!$C$3:$C$215="UC")*(BDD!$F$3:$F$215))</f>
        <v>34871.140236671636</v>
      </c>
      <c r="AS85" s="14">
        <f>AR85/AN85</f>
        <v>6.7189587403609113E-2</v>
      </c>
      <c r="AT85" s="44">
        <f>(AR85/Global!$O$3)/(PAT_AGE!AN85/Global!$O$2)</f>
        <v>1.6966605508387778</v>
      </c>
      <c r="AU85" s="11"/>
      <c r="AV85" s="37">
        <f t="array" ref="AV85">SUM(($F85=BDD!$D$3:$D$215)*(BDD!$A$3:$A$215="GMF")*(BDD!$E$3:$E$215="PP")*(BDD!$C$3:$C$215="UC")*(BDD!$H$3:$H$215))</f>
        <v>187670.70637004034</v>
      </c>
      <c r="AW85" s="37">
        <f t="array" ref="AW85">SUM(($F85=BDD!$D$3:$D$215)*(BDD!$B$3:$B$215="TOTAL")*(BDD!$E$3:$E$215="PP")*(BDD!$C$3:$C$215="UC")*(BDD!$A$3:$A$215="GMF")*(BDD!$G$3:$G$215))</f>
        <v>3238678.3047150862</v>
      </c>
      <c r="AX85" s="82">
        <f t="shared" ref="AX85:AX91" si="117">AW85/AV85</f>
        <v>17.257239381457921</v>
      </c>
      <c r="AY85" s="91"/>
      <c r="AZ85" s="37">
        <f t="array" ref="AZ85">SUM(($F85=BDD!$D$3:$D$215)*(BDD!$A$3:$A$215="GMF")*(BDD!$E$3:$E$215="PP")*(BDD!$C$3:$C$215="UC")*(BDD!$F$3:$F$215))</f>
        <v>23232.783360185516</v>
      </c>
      <c r="BA85" s="14">
        <f>AZ85/AV85</f>
        <v>0.12379547031903955</v>
      </c>
      <c r="BB85" s="44">
        <f>(AZ85/Global!$O$3)/(PAT_AGE!AV85/Global!$O$2)</f>
        <v>3.1260631145290358</v>
      </c>
      <c r="BC85" s="11"/>
    </row>
    <row r="86" spans="1:55" s="28" customFormat="1" x14ac:dyDescent="0.25">
      <c r="A86" s="11"/>
      <c r="B86" s="70"/>
      <c r="C86" s="11"/>
      <c r="D86" s="70"/>
      <c r="E86" s="11"/>
      <c r="F86" s="41" t="s">
        <v>14</v>
      </c>
      <c r="G86" s="11"/>
      <c r="H86" s="37">
        <f t="array" ref="H86">SUM(($F86=BDD!$D$3:$D$215)*(BDD!$E$3:$E$215="PP")*(BDD!$C$3:$C$215="UC")*(BDD!$A$3:$A$215="MMA")*(BDD!$H$3:$H$215))</f>
        <v>262083.50637263618</v>
      </c>
      <c r="I86" s="37">
        <f t="array" ref="I86">SUM(($F86=BDD!$D$3:$D$215)*(BDD!$E$3:$E$215="PP")*(BDD!$C$3:$C$215="UC")*(BDD!$A$3:$A$215="MMA")*(BDD!$G$3:$G$215))</f>
        <v>4430673.1360343639</v>
      </c>
      <c r="J86" s="82">
        <f t="shared" ref="J86:J91" si="118">I86/H86</f>
        <v>16.905577910479927</v>
      </c>
      <c r="K86" s="45"/>
      <c r="L86" s="37">
        <f t="array" ref="L86">SUM(($F86=BDD!$D$3:$D$215)*(BDD!$E$3:$E$215="PP")*(BDD!$C$3:$C$215="UC")*(BDD!$A$3:$A$215="MMA")*(BDD!$F$3:$F$215))</f>
        <v>14568.710800104343</v>
      </c>
      <c r="M86" s="14">
        <f t="shared" ref="M86:M91" si="119">L86/H86</f>
        <v>5.5588049022017527E-2</v>
      </c>
      <c r="N86" s="44">
        <f>(L86/Global!$O$3)/(PAT_AGE!H86/Global!$O$2)</f>
        <v>1.4037003874901472</v>
      </c>
      <c r="O86" s="11"/>
      <c r="P86" s="45"/>
      <c r="Q86" s="45"/>
      <c r="R86" s="45"/>
      <c r="S86" s="45"/>
      <c r="T86" s="45"/>
      <c r="U86" s="16"/>
      <c r="V86" s="46"/>
      <c r="W86" s="11"/>
      <c r="X86" s="45"/>
      <c r="Y86" s="45"/>
      <c r="Z86" s="45"/>
      <c r="AA86" s="45"/>
      <c r="AB86" s="45"/>
      <c r="AC86" s="16"/>
      <c r="AD86" s="46"/>
      <c r="AE86" s="11"/>
      <c r="AF86" s="37">
        <f t="array" ref="AF86">SUM(($F86=BDD!$D$3:$D$215)*(BDD!$B$3:$B$215="AG")*(BDD!$E$3:$E$215="PP")*(BDD!$C$3:$C$215="UC")*(BDD!$A$3:$A$215="MMA")*(BDD!$H$3:$H$215))</f>
        <v>262083.50637263618</v>
      </c>
      <c r="AG86" s="37">
        <f t="array" ref="AG86">SUM(($F86=BDD!$D$3:$D$215)*(BDD!$B$3:$B$215="AG")*(BDD!$E$3:$E$215="PP")*(BDD!$C$3:$C$215="UC")*(BDD!$A$3:$A$215="MMA")*(BDD!$G$3:$G$215))</f>
        <v>4430673.1360343639</v>
      </c>
      <c r="AH86" s="82">
        <f t="shared" ref="AH86:AH91" si="120">AG86/AF86</f>
        <v>16.905577910479927</v>
      </c>
      <c r="AI86" s="91"/>
      <c r="AJ86" s="37">
        <f t="array" ref="AJ86">SUM(($F86=BDD!$D$3:$D$215)*(BDD!$B$3:$B$215="AG")*(BDD!$E$3:$E$215="PP")*(BDD!$C$3:$C$215="UC")*(BDD!$A$3:$A$215="MMA")*(BDD!$F$3:$F$215))</f>
        <v>14568.710800104343</v>
      </c>
      <c r="AK86" s="14">
        <f t="shared" ref="AK86:AK91" si="121">AJ86/AF86</f>
        <v>5.5588049022017527E-2</v>
      </c>
      <c r="AL86" s="44">
        <f>(AJ86/Global!$O$3)/(PAT_AGE!AF86/Global!$O$2)</f>
        <v>1.4037003874901472</v>
      </c>
      <c r="AM86" s="11"/>
      <c r="AN86" s="37">
        <f t="array" ref="AN86">SUM(($F86=BDD!$D$3:$D$215)*(BDD!$E$3:$E$215="PP")*(BDD!$C$3:$C$215="UC")*(BDD!$A$3:$A$215="MAAF")*(BDD!$H$3:$H$215))</f>
        <v>859225.99247568927</v>
      </c>
      <c r="AO86" s="37">
        <f t="array" ref="AO86">SUM(($F86=BDD!$D$3:$D$215)*(BDD!$B$3:$B$215="TOTAL")*(BDD!$E$3:$E$215="PP")*(BDD!$C$3:$C$215="UC")*(BDD!$A$3:$A$215="MAAF")*(BDD!$G$3:$G$215))</f>
        <v>11329542.189483747</v>
      </c>
      <c r="AP86" s="82">
        <f t="shared" si="116"/>
        <v>13.185753560410712</v>
      </c>
      <c r="AQ86" s="91"/>
      <c r="AR86" s="37">
        <f t="array" ref="AR86">SUM(($F86=BDD!$D$3:$D$215)*(BDD!$A$3:$A$215="MAAF")*(BDD!$E$3:$E$215="PP")*(BDD!$C$3:$C$215="UC")*(BDD!$F$3:$F$215))</f>
        <v>76419.314921689453</v>
      </c>
      <c r="AS86" s="14">
        <f t="shared" ref="AS86:AS91" si="122">AR86/AN86</f>
        <v>8.8939715035275355E-2</v>
      </c>
      <c r="AT86" s="44">
        <f>(AR86/Global!$O$3)/(PAT_AGE!AN86/Global!$O$2)</f>
        <v>2.2458912419975436</v>
      </c>
      <c r="AU86" s="11"/>
      <c r="AV86" s="37">
        <f t="array" ref="AV86">SUM(($F86=BDD!$D$3:$D$215)*(BDD!$A$3:$A$215="GMF")*(BDD!$E$3:$E$215="PP")*(BDD!$C$3:$C$215="UC")*(BDD!$H$3:$H$215))</f>
        <v>388113.06127786194</v>
      </c>
      <c r="AW86" s="37">
        <f t="array" ref="AW86">SUM(($F86=BDD!$D$3:$D$215)*(BDD!$B$3:$B$215="TOTAL")*(BDD!$E$3:$E$215="PP")*(BDD!$C$3:$C$215="UC")*(BDD!$A$3:$A$215="GMF")*(BDD!$G$3:$G$215))</f>
        <v>7167357.4488211256</v>
      </c>
      <c r="AX86" s="82">
        <f t="shared" si="117"/>
        <v>18.467189496850754</v>
      </c>
      <c r="AY86" s="91"/>
      <c r="AZ86" s="37">
        <f t="array" ref="AZ86">SUM(($F86=BDD!$D$3:$D$215)*(BDD!$A$3:$A$215="GMF")*(BDD!$E$3:$E$215="PP")*(BDD!$C$3:$C$215="UC")*(BDD!$F$3:$F$215))</f>
        <v>47637.990681429961</v>
      </c>
      <c r="BA86" s="14">
        <f t="shared" ref="BA86:BA91" si="123">AZ86/AV86</f>
        <v>0.12274255992463103</v>
      </c>
      <c r="BB86" s="44">
        <f>(AZ86/Global!$O$3)/(PAT_AGE!AV86/Global!$O$2)</f>
        <v>3.0994751922215222</v>
      </c>
      <c r="BC86" s="11"/>
    </row>
    <row r="87" spans="1:55" s="28" customFormat="1" x14ac:dyDescent="0.25">
      <c r="A87" s="11"/>
      <c r="B87" s="70"/>
      <c r="C87" s="11"/>
      <c r="D87" s="70"/>
      <c r="E87" s="11"/>
      <c r="F87" s="41" t="s">
        <v>15</v>
      </c>
      <c r="G87" s="11"/>
      <c r="H87" s="37">
        <f t="array" ref="H87">SUM(($F87=BDD!$D$3:$D$215)*(BDD!$E$3:$E$215="PP")*(BDD!$C$3:$C$215="UC")*(BDD!$A$3:$A$215="MMA")*(BDD!$H$3:$H$215))</f>
        <v>1056467.0256883011</v>
      </c>
      <c r="I87" s="37">
        <f t="array" ref="I87">SUM(($F87=BDD!$D$3:$D$215)*(BDD!$E$3:$E$215="PP")*(BDD!$C$3:$C$215="UC")*(BDD!$A$3:$A$215="MMA")*(BDD!$G$3:$G$215))</f>
        <v>19301820.114486858</v>
      </c>
      <c r="J87" s="82">
        <f t="shared" si="118"/>
        <v>18.270158599518513</v>
      </c>
      <c r="K87" s="45"/>
      <c r="L87" s="37">
        <f t="array" ref="L87">SUM(($F87=BDD!$D$3:$D$215)*(BDD!$E$3:$E$215="PP")*(BDD!$C$3:$C$215="UC")*(BDD!$A$3:$A$215="MMA")*(BDD!$F$3:$F$215))</f>
        <v>70376.332047206713</v>
      </c>
      <c r="M87" s="14">
        <f t="shared" si="119"/>
        <v>6.6614792829294112E-2</v>
      </c>
      <c r="N87" s="44">
        <f>(L87/Global!$O$3)/(PAT_AGE!H87/Global!$O$2)</f>
        <v>1.6821459315835914</v>
      </c>
      <c r="O87" s="11"/>
      <c r="P87" s="45"/>
      <c r="Q87" s="45"/>
      <c r="R87" s="45"/>
      <c r="S87" s="45"/>
      <c r="T87" s="45"/>
      <c r="U87" s="16"/>
      <c r="V87" s="46"/>
      <c r="W87" s="11"/>
      <c r="X87" s="45"/>
      <c r="Y87" s="45"/>
      <c r="Z87" s="45"/>
      <c r="AA87" s="45"/>
      <c r="AB87" s="45"/>
      <c r="AC87" s="16"/>
      <c r="AD87" s="46"/>
      <c r="AE87" s="11"/>
      <c r="AF87" s="37">
        <f t="array" ref="AF87">SUM(($F87=BDD!$D$3:$D$215)*(BDD!$B$3:$B$215="AG")*(BDD!$E$3:$E$215="PP")*(BDD!$C$3:$C$215="UC")*(BDD!$A$3:$A$215="MMA")*(BDD!$H$3:$H$215))</f>
        <v>1056467.0256883011</v>
      </c>
      <c r="AG87" s="37">
        <f t="array" ref="AG87">SUM(($F87=BDD!$D$3:$D$215)*(BDD!$B$3:$B$215="AG")*(BDD!$E$3:$E$215="PP")*(BDD!$C$3:$C$215="UC")*(BDD!$A$3:$A$215="MMA")*(BDD!$G$3:$G$215))</f>
        <v>19301820.114486858</v>
      </c>
      <c r="AH87" s="82">
        <f t="shared" si="120"/>
        <v>18.270158599518513</v>
      </c>
      <c r="AI87" s="91"/>
      <c r="AJ87" s="37">
        <f t="array" ref="AJ87">SUM(($F87=BDD!$D$3:$D$215)*(BDD!$B$3:$B$215="AG")*(BDD!$E$3:$E$215="PP")*(BDD!$C$3:$C$215="UC")*(BDD!$A$3:$A$215="MMA")*(BDD!$F$3:$F$215))</f>
        <v>70376.332047206713</v>
      </c>
      <c r="AK87" s="14">
        <f t="shared" si="121"/>
        <v>6.6614792829294112E-2</v>
      </c>
      <c r="AL87" s="44">
        <f>(AJ87/Global!$O$3)/(PAT_AGE!AF87/Global!$O$2)</f>
        <v>1.6821459315835914</v>
      </c>
      <c r="AM87" s="11"/>
      <c r="AN87" s="37">
        <f t="array" ref="AN87">SUM(($F87=BDD!$D$3:$D$215)*(BDD!$E$3:$E$215="PP")*(BDD!$C$3:$C$215="UC")*(BDD!$A$3:$A$215="MAAF")*(BDD!$H$3:$H$215))</f>
        <v>2136886.9812871101</v>
      </c>
      <c r="AO87" s="37">
        <f t="array" ref="AO87">SUM(($F87=BDD!$D$3:$D$215)*(BDD!$B$3:$B$215="TOTAL")*(BDD!$E$3:$E$215="PP")*(BDD!$C$3:$C$215="UC")*(BDD!$A$3:$A$215="MAAF")*(BDD!$G$3:$G$215))</f>
        <v>30128765.837111399</v>
      </c>
      <c r="AP87" s="82">
        <f t="shared" si="116"/>
        <v>14.099372639241759</v>
      </c>
      <c r="AQ87" s="91"/>
      <c r="AR87" s="37">
        <f t="array" ref="AR87">SUM(($F87=BDD!$D$3:$D$215)*(BDD!$A$3:$A$215="MAAF")*(BDD!$E$3:$E$215="PP")*(BDD!$C$3:$C$215="UC")*(BDD!$F$3:$F$215))</f>
        <v>214193.70536644655</v>
      </c>
      <c r="AS87" s="14">
        <f t="shared" si="122"/>
        <v>0.10023632847322199</v>
      </c>
      <c r="AT87" s="44">
        <f>(AR87/Global!$O$3)/(PAT_AGE!AN87/Global!$O$2)</f>
        <v>2.5311514901831087</v>
      </c>
      <c r="AU87" s="11"/>
      <c r="AV87" s="37">
        <f t="array" ref="AV87">SUM(($F87=BDD!$D$3:$D$215)*(BDD!$A$3:$A$215="GMF")*(BDD!$E$3:$E$215="PP")*(BDD!$C$3:$C$215="UC")*(BDD!$H$3:$H$215))</f>
        <v>808772.74111773493</v>
      </c>
      <c r="AW87" s="37">
        <f t="array" ref="AW87">SUM(($F87=BDD!$D$3:$D$215)*(BDD!$B$3:$B$215="TOTAL")*(BDD!$E$3:$E$215="PP")*(BDD!$C$3:$C$215="UC")*(BDD!$A$3:$A$215="GMF")*(BDD!$G$3:$G$215))</f>
        <v>16431172.967745606</v>
      </c>
      <c r="AX87" s="82">
        <f t="shared" si="117"/>
        <v>20.316180469976647</v>
      </c>
      <c r="AY87" s="91"/>
      <c r="AZ87" s="37">
        <f t="array" ref="AZ87">SUM(($F87=BDD!$D$3:$D$215)*(BDD!$A$3:$A$215="GMF")*(BDD!$E$3:$E$215="PP")*(BDD!$C$3:$C$215="UC")*(BDD!$F$3:$F$215))</f>
        <v>109198.04185176137</v>
      </c>
      <c r="BA87" s="14">
        <f t="shared" si="123"/>
        <v>0.13501696620097284</v>
      </c>
      <c r="BB87" s="44">
        <f>(AZ87/Global!$O$3)/(PAT_AGE!AV87/Global!$O$2)</f>
        <v>3.4094265063877764</v>
      </c>
      <c r="BC87" s="11"/>
    </row>
    <row r="88" spans="1:55" s="28" customFormat="1" x14ac:dyDescent="0.25">
      <c r="A88" s="11"/>
      <c r="B88" s="70"/>
      <c r="C88" s="11"/>
      <c r="D88" s="70"/>
      <c r="E88" s="11"/>
      <c r="F88" s="41" t="s">
        <v>16</v>
      </c>
      <c r="G88" s="11"/>
      <c r="H88" s="37">
        <f t="array" ref="H88">SUM(($F88=BDD!$D$3:$D$215)*(BDD!$E$3:$E$215="PP")*(BDD!$C$3:$C$215="UC")*(BDD!$A$3:$A$215="MMA")*(BDD!$H$3:$H$215))</f>
        <v>976759.3237501852</v>
      </c>
      <c r="I88" s="37">
        <f t="array" ref="I88">SUM(($F88=BDD!$D$3:$D$215)*(BDD!$E$3:$E$215="PP")*(BDD!$C$3:$C$215="UC")*(BDD!$A$3:$A$215="MMA")*(BDD!$G$3:$G$215))</f>
        <v>17478801.279906895</v>
      </c>
      <c r="J88" s="82">
        <f t="shared" si="118"/>
        <v>17.894685881060759</v>
      </c>
      <c r="K88" s="45"/>
      <c r="L88" s="37">
        <f t="array" ref="L88">SUM(($F88=BDD!$D$3:$D$215)*(BDD!$E$3:$E$215="PP")*(BDD!$C$3:$C$215="UC")*(BDD!$A$3:$A$215="MMA")*(BDD!$F$3:$F$215))</f>
        <v>63011.678985724786</v>
      </c>
      <c r="M88" s="14">
        <f t="shared" si="119"/>
        <v>6.4510957257921789E-2</v>
      </c>
      <c r="N88" s="44">
        <f>(L88/Global!$O$3)/(PAT_AGE!H88/Global!$O$2)</f>
        <v>1.6290202173571184</v>
      </c>
      <c r="O88" s="11"/>
      <c r="P88" s="45"/>
      <c r="Q88" s="45"/>
      <c r="R88" s="45"/>
      <c r="S88" s="45"/>
      <c r="T88" s="45"/>
      <c r="U88" s="16"/>
      <c r="V88" s="46"/>
      <c r="W88" s="11"/>
      <c r="X88" s="45"/>
      <c r="Y88" s="45"/>
      <c r="Z88" s="45"/>
      <c r="AA88" s="45"/>
      <c r="AB88" s="45"/>
      <c r="AC88" s="16"/>
      <c r="AD88" s="46"/>
      <c r="AE88" s="11"/>
      <c r="AF88" s="37">
        <f t="array" ref="AF88">SUM(($F88=BDD!$D$3:$D$215)*(BDD!$B$3:$B$215="AG")*(BDD!$E$3:$E$215="PP")*(BDD!$C$3:$C$215="UC")*(BDD!$A$3:$A$215="MMA")*(BDD!$H$3:$H$215))</f>
        <v>976759.3237501852</v>
      </c>
      <c r="AG88" s="37">
        <f t="array" ref="AG88">SUM(($F88=BDD!$D$3:$D$215)*(BDD!$B$3:$B$215="AG")*(BDD!$E$3:$E$215="PP")*(BDD!$C$3:$C$215="UC")*(BDD!$A$3:$A$215="MMA")*(BDD!$G$3:$G$215))</f>
        <v>17478801.279906895</v>
      </c>
      <c r="AH88" s="82">
        <f t="shared" si="120"/>
        <v>17.894685881060759</v>
      </c>
      <c r="AI88" s="91"/>
      <c r="AJ88" s="37">
        <f t="array" ref="AJ88">SUM(($F88=BDD!$D$3:$D$215)*(BDD!$B$3:$B$215="AG")*(BDD!$E$3:$E$215="PP")*(BDD!$C$3:$C$215="UC")*(BDD!$A$3:$A$215="MMA")*(BDD!$F$3:$F$215))</f>
        <v>63011.678985724786</v>
      </c>
      <c r="AK88" s="14">
        <f t="shared" si="121"/>
        <v>6.4510957257921789E-2</v>
      </c>
      <c r="AL88" s="44">
        <f>(AJ88/Global!$O$3)/(PAT_AGE!AF88/Global!$O$2)</f>
        <v>1.6290202173571184</v>
      </c>
      <c r="AM88" s="11"/>
      <c r="AN88" s="37">
        <f t="array" ref="AN88">SUM(($F88=BDD!$D$3:$D$215)*(BDD!$E$3:$E$215="PP")*(BDD!$C$3:$C$215="UC")*(BDD!$A$3:$A$215="MAAF")*(BDD!$H$3:$H$215))</f>
        <v>3246991.9715658319</v>
      </c>
      <c r="AO88" s="37">
        <f t="array" ref="AO88">SUM(($F88=BDD!$D$3:$D$215)*(BDD!$B$3:$B$215="TOTAL")*(BDD!$E$3:$E$215="PP")*(BDD!$C$3:$C$215="UC")*(BDD!$A$3:$A$215="MAAF")*(BDD!$G$3:$G$215))</f>
        <v>48256241.568773322</v>
      </c>
      <c r="AP88" s="82">
        <f t="shared" si="116"/>
        <v>14.861829653832558</v>
      </c>
      <c r="AQ88" s="91"/>
      <c r="AR88" s="37">
        <f t="array" ref="AR88">SUM(($F88=BDD!$D$3:$D$215)*(BDD!$A$3:$A$215="MAAF")*(BDD!$E$3:$E$215="PP")*(BDD!$C$3:$C$215="UC")*(BDD!$F$3:$F$215))</f>
        <v>342290.21128583857</v>
      </c>
      <c r="AS88" s="14">
        <f t="shared" si="122"/>
        <v>0.10541763400812237</v>
      </c>
      <c r="AT88" s="44">
        <f>(AR88/Global!$O$3)/(PAT_AGE!AN88/Global!$O$2)</f>
        <v>2.6619889762075566</v>
      </c>
      <c r="AU88" s="11"/>
      <c r="AV88" s="37">
        <f t="array" ref="AV88">SUM(($F88=BDD!$D$3:$D$215)*(BDD!$A$3:$A$215="GMF")*(BDD!$E$3:$E$215="PP")*(BDD!$C$3:$C$215="UC")*(BDD!$H$3:$H$215))</f>
        <v>2168105.9867805704</v>
      </c>
      <c r="AW88" s="37">
        <f t="array" ref="AW88">SUM(($F88=BDD!$D$3:$D$215)*(BDD!$B$3:$B$215="TOTAL")*(BDD!$E$3:$E$215="PP")*(BDD!$C$3:$C$215="UC")*(BDD!$A$3:$A$215="GMF")*(BDD!$G$3:$G$215))</f>
        <v>43586230.629876293</v>
      </c>
      <c r="AX88" s="82">
        <f t="shared" si="117"/>
        <v>20.103367130403836</v>
      </c>
      <c r="AY88" s="91"/>
      <c r="AZ88" s="37">
        <f t="array" ref="AZ88">SUM(($F88=BDD!$D$3:$D$215)*(BDD!$A$3:$A$215="GMF")*(BDD!$E$3:$E$215="PP")*(BDD!$C$3:$C$215="UC")*(BDD!$F$3:$F$215))</f>
        <v>277381.75503328192</v>
      </c>
      <c r="BA88" s="14">
        <f t="shared" si="123"/>
        <v>0.12793735948544069</v>
      </c>
      <c r="BB88" s="44">
        <f>(AZ88/Global!$O$3)/(PAT_AGE!AV88/Global!$O$2)</f>
        <v>3.2306534271970642</v>
      </c>
      <c r="BC88" s="11"/>
    </row>
    <row r="89" spans="1:55" s="28" customFormat="1" x14ac:dyDescent="0.25">
      <c r="A89" s="11"/>
      <c r="B89" s="70"/>
      <c r="C89" s="11"/>
      <c r="D89" s="70"/>
      <c r="E89" s="11"/>
      <c r="F89" s="41" t="s">
        <v>17</v>
      </c>
      <c r="G89" s="11"/>
      <c r="H89" s="37">
        <f t="array" ref="H89">SUM(($F89=BDD!$D$3:$D$215)*(BDD!$E$3:$E$215="PP")*(BDD!$C$3:$C$215="UC")*(BDD!$A$3:$A$215="MMA")*(BDD!$H$3:$H$215))</f>
        <v>571878.61390539375</v>
      </c>
      <c r="I89" s="37">
        <f t="array" ref="I89">SUM(($F89=BDD!$D$3:$D$215)*(BDD!$E$3:$E$215="PP")*(BDD!$C$3:$C$215="UC")*(BDD!$A$3:$A$215="MMA")*(BDD!$G$3:$G$215))</f>
        <v>8041536.6705858391</v>
      </c>
      <c r="J89" s="82">
        <f t="shared" si="118"/>
        <v>14.061614606760161</v>
      </c>
      <c r="K89" s="45"/>
      <c r="L89" s="37">
        <f t="array" ref="L89">SUM(($F89=BDD!$D$3:$D$215)*(BDD!$E$3:$E$215="PP")*(BDD!$C$3:$C$215="UC")*(BDD!$A$3:$A$215="MMA")*(BDD!$F$3:$F$215))</f>
        <v>30481.552955592026</v>
      </c>
      <c r="M89" s="14">
        <f t="shared" si="119"/>
        <v>5.3300739377945348E-2</v>
      </c>
      <c r="N89" s="44">
        <f>(L89/Global!$O$3)/(PAT_AGE!H89/Global!$O$2)</f>
        <v>1.3459416157724644</v>
      </c>
      <c r="O89" s="11"/>
      <c r="P89" s="45"/>
      <c r="Q89" s="45"/>
      <c r="R89" s="45"/>
      <c r="S89" s="45"/>
      <c r="T89" s="45"/>
      <c r="U89" s="16"/>
      <c r="V89" s="46"/>
      <c r="W89" s="11"/>
      <c r="X89" s="45"/>
      <c r="Y89" s="45"/>
      <c r="Z89" s="45"/>
      <c r="AA89" s="45"/>
      <c r="AB89" s="45"/>
      <c r="AC89" s="16"/>
      <c r="AD89" s="46"/>
      <c r="AE89" s="11"/>
      <c r="AF89" s="37">
        <f t="array" ref="AF89">SUM(($F89=BDD!$D$3:$D$215)*(BDD!$B$3:$B$215="AG")*(BDD!$E$3:$E$215="PP")*(BDD!$C$3:$C$215="UC")*(BDD!$A$3:$A$215="MMA")*(BDD!$H$3:$H$215))</f>
        <v>571878.61390539375</v>
      </c>
      <c r="AG89" s="37">
        <f t="array" ref="AG89">SUM(($F89=BDD!$D$3:$D$215)*(BDD!$B$3:$B$215="AG")*(BDD!$E$3:$E$215="PP")*(BDD!$C$3:$C$215="UC")*(BDD!$A$3:$A$215="MMA")*(BDD!$G$3:$G$215))</f>
        <v>8041536.6705858391</v>
      </c>
      <c r="AH89" s="82">
        <f t="shared" si="120"/>
        <v>14.061614606760161</v>
      </c>
      <c r="AI89" s="91"/>
      <c r="AJ89" s="37">
        <f t="array" ref="AJ89">SUM(($F89=BDD!$D$3:$D$215)*(BDD!$B$3:$B$215="AG")*(BDD!$E$3:$E$215="PP")*(BDD!$C$3:$C$215="UC")*(BDD!$A$3:$A$215="MMA")*(BDD!$F$3:$F$215))</f>
        <v>30481.552955592026</v>
      </c>
      <c r="AK89" s="14">
        <f t="shared" si="121"/>
        <v>5.3300739377945348E-2</v>
      </c>
      <c r="AL89" s="44">
        <f>(AJ89/Global!$O$3)/(PAT_AGE!AF89/Global!$O$2)</f>
        <v>1.3459416157724644</v>
      </c>
      <c r="AM89" s="11"/>
      <c r="AN89" s="37">
        <f t="array" ref="AN89">SUM(($F89=BDD!$D$3:$D$215)*(BDD!$E$3:$E$215="PP")*(BDD!$C$3:$C$215="UC")*(BDD!$A$3:$A$215="MAAF")*(BDD!$H$3:$H$215))</f>
        <v>3046721.973319612</v>
      </c>
      <c r="AO89" s="37">
        <f t="array" ref="AO89">SUM(($F89=BDD!$D$3:$D$215)*(BDD!$B$3:$B$215="TOTAL")*(BDD!$E$3:$E$215="PP")*(BDD!$C$3:$C$215="UC")*(BDD!$A$3:$A$215="MAAF")*(BDD!$G$3:$G$215))</f>
        <v>40073746.361158155</v>
      </c>
      <c r="AP89" s="82">
        <f t="shared" si="116"/>
        <v>13.153069663752438</v>
      </c>
      <c r="AQ89" s="91"/>
      <c r="AR89" s="37">
        <f t="array" ref="AR89">SUM(($F89=BDD!$D$3:$D$215)*(BDD!$A$3:$A$215="MAAF")*(BDD!$E$3:$E$215="PP")*(BDD!$C$3:$C$215="UC")*(BDD!$F$3:$F$215))</f>
        <v>278195.29448800429</v>
      </c>
      <c r="AS89" s="14">
        <f t="shared" si="122"/>
        <v>9.1309708245183752E-2</v>
      </c>
      <c r="AT89" s="44">
        <f>(AR89/Global!$O$3)/(PAT_AGE!AN89/Global!$O$2)</f>
        <v>2.305737925693526</v>
      </c>
      <c r="AU89" s="11"/>
      <c r="AV89" s="37">
        <f t="array" ref="AV89">SUM(($F89=BDD!$D$3:$D$215)*(BDD!$A$3:$A$215="GMF")*(BDD!$E$3:$E$215="PP")*(BDD!$C$3:$C$215="UC")*(BDD!$H$3:$H$215))</f>
        <v>5997488.6753672445</v>
      </c>
      <c r="AW89" s="37">
        <f t="array" ref="AW89">SUM(($F89=BDD!$D$3:$D$215)*(BDD!$B$3:$B$215="TOTAL")*(BDD!$E$3:$E$215="PP")*(BDD!$C$3:$C$215="UC")*(BDD!$A$3:$A$215="GMF")*(BDD!$G$3:$G$215))</f>
        <v>105706766.3364457</v>
      </c>
      <c r="AX89" s="82">
        <f t="shared" si="117"/>
        <v>17.625171477288859</v>
      </c>
      <c r="AY89" s="91"/>
      <c r="AZ89" s="37">
        <f t="array" ref="AZ89">SUM(($F89=BDD!$D$3:$D$215)*(BDD!$A$3:$A$215="GMF")*(BDD!$E$3:$E$215="PP")*(BDD!$C$3:$C$215="UC")*(BDD!$F$3:$F$215))</f>
        <v>627529.86860831082</v>
      </c>
      <c r="BA89" s="14">
        <f t="shared" si="123"/>
        <v>0.10463210563209363</v>
      </c>
      <c r="BB89" s="44">
        <f>(AZ89/Global!$O$3)/(PAT_AGE!AV89/Global!$O$2)</f>
        <v>2.6421529412105498</v>
      </c>
      <c r="BC89" s="11"/>
    </row>
    <row r="90" spans="1:55" s="28" customFormat="1" x14ac:dyDescent="0.25">
      <c r="A90" s="11"/>
      <c r="B90" s="70"/>
      <c r="C90" s="11"/>
      <c r="D90" s="70"/>
      <c r="E90" s="11"/>
      <c r="F90" s="41" t="s">
        <v>12</v>
      </c>
      <c r="G90" s="11"/>
      <c r="H90" s="37">
        <f t="array" ref="H90">SUM(($F90=BDD!$D$3:$D$215)*(BDD!$E$3:$E$215="PP")*(BDD!$C$3:$C$215="UC")*(BDD!$A$3:$A$215="MMA")*(BDD!$H$3:$H$215))</f>
        <v>227576.80553359579</v>
      </c>
      <c r="I90" s="37">
        <f t="array" ref="I90">SUM(($F90=BDD!$D$3:$D$215)*(BDD!$E$3:$E$215="PP")*(BDD!$C$3:$C$215="UC")*(BDD!$A$3:$A$215="MMA")*(BDD!$G$3:$G$215))</f>
        <v>2318633.2797069368</v>
      </c>
      <c r="J90" s="82">
        <f t="shared" si="118"/>
        <v>10.1883549787531</v>
      </c>
      <c r="K90" s="45"/>
      <c r="L90" s="37">
        <f t="array" ref="L90">SUM(($F90=BDD!$D$3:$D$215)*(BDD!$E$3:$E$215="PP")*(BDD!$C$3:$C$215="UC")*(BDD!$A$3:$A$215="MMA")*(BDD!$F$3:$F$215))</f>
        <v>7691.9623981433342</v>
      </c>
      <c r="M90" s="14">
        <f t="shared" si="119"/>
        <v>3.3799412818490485E-2</v>
      </c>
      <c r="N90" s="44">
        <f>(L90/Global!$O$3)/(PAT_AGE!H90/Global!$O$2)</f>
        <v>0.85349728412779224</v>
      </c>
      <c r="O90" s="11"/>
      <c r="P90" s="45"/>
      <c r="Q90" s="45"/>
      <c r="R90" s="45"/>
      <c r="S90" s="45"/>
      <c r="T90" s="45"/>
      <c r="U90" s="16"/>
      <c r="V90" s="46"/>
      <c r="W90" s="11"/>
      <c r="X90" s="45"/>
      <c r="Y90" s="45"/>
      <c r="Z90" s="45"/>
      <c r="AA90" s="45"/>
      <c r="AB90" s="45"/>
      <c r="AC90" s="16"/>
      <c r="AD90" s="46"/>
      <c r="AE90" s="11"/>
      <c r="AF90" s="37">
        <f t="array" ref="AF90">SUM(($F90=BDD!$D$3:$D$215)*(BDD!$B$3:$B$215="AG")*(BDD!$E$3:$E$215="PP")*(BDD!$C$3:$C$215="UC")*(BDD!$A$3:$A$215="MMA")*(BDD!$H$3:$H$215))</f>
        <v>227576.80553359579</v>
      </c>
      <c r="AG90" s="37">
        <f t="array" ref="AG90">SUM(($F90=BDD!$D$3:$D$215)*(BDD!$B$3:$B$215="AG")*(BDD!$E$3:$E$215="PP")*(BDD!$C$3:$C$215="UC")*(BDD!$A$3:$A$215="MMA")*(BDD!$G$3:$G$215))</f>
        <v>2318633.2797069368</v>
      </c>
      <c r="AH90" s="82">
        <f t="shared" si="120"/>
        <v>10.1883549787531</v>
      </c>
      <c r="AI90" s="91"/>
      <c r="AJ90" s="37">
        <f t="array" ref="AJ90">SUM(($F90=BDD!$D$3:$D$215)*(BDD!$B$3:$B$215="AG")*(BDD!$E$3:$E$215="PP")*(BDD!$C$3:$C$215="UC")*(BDD!$A$3:$A$215="MMA")*(BDD!$F$3:$F$215))</f>
        <v>7691.9623981433342</v>
      </c>
      <c r="AK90" s="14">
        <f t="shared" si="121"/>
        <v>3.3799412818490485E-2</v>
      </c>
      <c r="AL90" s="44">
        <f>(AJ90/Global!$O$3)/(PAT_AGE!AF90/Global!$O$2)</f>
        <v>0.85349728412779224</v>
      </c>
      <c r="AM90" s="11"/>
      <c r="AN90" s="37">
        <f t="array" ref="AN90">SUM(($F90=BDD!$D$3:$D$215)*(BDD!$E$3:$E$215="PP")*(BDD!$C$3:$C$215="UC")*(BDD!$A$3:$A$215="MAAF")*(BDD!$H$3:$H$215))</f>
        <v>1037244.9909167627</v>
      </c>
      <c r="AO90" s="37">
        <f t="array" ref="AO90">SUM(($F90=BDD!$D$3:$D$215)*(BDD!$B$3:$B$215="TOTAL")*(BDD!$E$3:$E$215="PP")*(BDD!$C$3:$C$215="UC")*(BDD!$A$3:$A$215="MAAF")*(BDD!$G$3:$G$215))</f>
        <v>11354487.399558252</v>
      </c>
      <c r="AP90" s="82">
        <f t="shared" si="116"/>
        <v>10.946774868994698</v>
      </c>
      <c r="AQ90" s="91"/>
      <c r="AR90" s="37">
        <f t="array" ref="AR90">SUM(($F90=BDD!$D$3:$D$215)*(BDD!$A$3:$A$215="MAAF")*(BDD!$E$3:$E$215="PP")*(BDD!$C$3:$C$215="UC")*(BDD!$F$3:$F$215))</f>
        <v>74393.023926864145</v>
      </c>
      <c r="AS90" s="14">
        <f t="shared" si="122"/>
        <v>7.172174807141013E-2</v>
      </c>
      <c r="AT90" s="44">
        <f>(AR90/Global!$O$3)/(PAT_AGE!AN90/Global!$O$2)</f>
        <v>1.811105936087684</v>
      </c>
      <c r="AU90" s="11"/>
      <c r="AV90" s="37">
        <f t="array" ref="AV90">SUM(($F90=BDD!$D$3:$D$215)*(BDD!$A$3:$A$215="GMF")*(BDD!$E$3:$E$215="PP")*(BDD!$C$3:$C$215="UC")*(BDD!$H$3:$H$215))</f>
        <v>2085396.5589576093</v>
      </c>
      <c r="AW90" s="37">
        <f t="array" ref="AW90">SUM(($F90=BDD!$D$3:$D$215)*(BDD!$B$3:$B$215="TOTAL")*(BDD!$E$3:$E$215="PP")*(BDD!$C$3:$C$215="UC")*(BDD!$A$3:$A$215="GMF")*(BDD!$G$3:$G$215))</f>
        <v>30972333.694895893</v>
      </c>
      <c r="AX90" s="82">
        <f t="shared" si="117"/>
        <v>14.852011509205468</v>
      </c>
      <c r="AY90" s="91"/>
      <c r="AZ90" s="37">
        <f t="array" ref="AZ90">SUM(($F90=BDD!$D$3:$D$215)*(BDD!$A$3:$A$215="GMF")*(BDD!$E$3:$E$215="PP")*(BDD!$C$3:$C$215="UC")*(BDD!$F$3:$F$215))</f>
        <v>162885.84371244654</v>
      </c>
      <c r="BA90" s="14">
        <f t="shared" si="123"/>
        <v>7.8107851004542483E-2</v>
      </c>
      <c r="BB90" s="44">
        <f>(AZ90/Global!$O$3)/(PAT_AGE!AV90/Global!$O$2)</f>
        <v>1.9723667703767105</v>
      </c>
      <c r="BC90" s="11"/>
    </row>
    <row r="91" spans="1:55" s="28" customFormat="1" x14ac:dyDescent="0.25">
      <c r="A91" s="11"/>
      <c r="B91" s="71"/>
      <c r="C91" s="11"/>
      <c r="D91" s="71"/>
      <c r="E91" s="11"/>
      <c r="F91" s="48" t="s">
        <v>30</v>
      </c>
      <c r="G91" s="11"/>
      <c r="H91" s="47">
        <f>SUM(H85:H90)</f>
        <v>3301401.8802745412</v>
      </c>
      <c r="I91" s="47">
        <f>SUM(I85:I90)</f>
        <v>53877722.472214729</v>
      </c>
      <c r="J91" s="83">
        <f t="shared" si="118"/>
        <v>16.319649780939216</v>
      </c>
      <c r="K91" s="45"/>
      <c r="L91" s="47">
        <f>SUM(L85:L90)</f>
        <v>191100.75841471326</v>
      </c>
      <c r="M91" s="42">
        <f t="shared" si="119"/>
        <v>5.7884730591727149E-2</v>
      </c>
      <c r="N91" s="43">
        <f>(L91/Global!$O$3)/(PAT_AGE!H91/Global!$O$2)</f>
        <v>1.461695817552209</v>
      </c>
      <c r="O91" s="11"/>
      <c r="P91" s="45"/>
      <c r="Q91" s="45"/>
      <c r="R91" s="45"/>
      <c r="S91" s="45"/>
      <c r="T91" s="45"/>
      <c r="U91" s="16"/>
      <c r="V91" s="46"/>
      <c r="W91" s="11"/>
      <c r="X91" s="45"/>
      <c r="Y91" s="45"/>
      <c r="Z91" s="45"/>
      <c r="AA91" s="45"/>
      <c r="AB91" s="45"/>
      <c r="AC91" s="16"/>
      <c r="AD91" s="46"/>
      <c r="AE91" s="11"/>
      <c r="AF91" s="47">
        <f>SUM(AF85:AF90)</f>
        <v>3301401.8802745412</v>
      </c>
      <c r="AG91" s="47">
        <f>SUM(AG85:AG90)</f>
        <v>53877722.472214729</v>
      </c>
      <c r="AH91" s="83">
        <f t="shared" si="120"/>
        <v>16.319649780939216</v>
      </c>
      <c r="AI91" s="91"/>
      <c r="AJ91" s="47">
        <f>SUM(AJ85:AJ90)</f>
        <v>191100.75841471326</v>
      </c>
      <c r="AK91" s="42">
        <f t="shared" si="121"/>
        <v>5.7884730591727149E-2</v>
      </c>
      <c r="AL91" s="43">
        <f>(AJ91/Global!$O$3)/(PAT_AGE!AF91/Global!$O$2)</f>
        <v>1.461695817552209</v>
      </c>
      <c r="AM91" s="11"/>
      <c r="AN91" s="47">
        <f>SUM(AN85:AN90)</f>
        <v>10846068.105020115</v>
      </c>
      <c r="AO91" s="47">
        <f>SUM(AO85:AO90)</f>
        <v>147438131.5145756</v>
      </c>
      <c r="AP91" s="83">
        <f t="shared" si="116"/>
        <v>13.593694054560997</v>
      </c>
      <c r="AQ91" s="91"/>
      <c r="AR91" s="47">
        <f>SUM(AR85:AR90)</f>
        <v>1020362.6902255147</v>
      </c>
      <c r="AS91" s="42">
        <f t="shared" si="122"/>
        <v>9.4076736412270795E-2</v>
      </c>
      <c r="AT91" s="43">
        <f>(AR91/Global!$O$3)/(PAT_AGE!AN91/Global!$O$2)</f>
        <v>2.3756104716574575</v>
      </c>
      <c r="AU91" s="11"/>
      <c r="AV91" s="47">
        <f>SUM(AV85:AV90)</f>
        <v>11635547.729871061</v>
      </c>
      <c r="AW91" s="47">
        <f>SUM(AW85:AW90)</f>
        <v>207102539.38249972</v>
      </c>
      <c r="AX91" s="83">
        <f t="shared" si="117"/>
        <v>17.799122498618701</v>
      </c>
      <c r="AY91" s="91"/>
      <c r="AZ91" s="47">
        <f>SUM(AZ85:AZ90)</f>
        <v>1247866.2832474161</v>
      </c>
      <c r="BA91" s="42">
        <f t="shared" si="123"/>
        <v>0.10724602848251513</v>
      </c>
      <c r="BB91" s="43">
        <f>(AZ91/Global!$O$3)/(PAT_AGE!AV91/Global!$O$2)</f>
        <v>2.7081592965793582</v>
      </c>
      <c r="BC91" s="11"/>
    </row>
    <row r="92" spans="1:55" x14ac:dyDescent="0.2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</row>
    <row r="93" spans="1:55" x14ac:dyDescent="0.2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</row>
    <row r="94" spans="1:55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</row>
    <row r="95" spans="1:55" ht="16.149999999999999" customHeight="1" x14ac:dyDescent="0.2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</row>
  </sheetData>
  <mergeCells count="15">
    <mergeCell ref="D18:D41"/>
    <mergeCell ref="B26:B32"/>
    <mergeCell ref="AN5:AT5"/>
    <mergeCell ref="AV5:BB5"/>
    <mergeCell ref="B35:B41"/>
    <mergeCell ref="H5:N5"/>
    <mergeCell ref="P5:V5"/>
    <mergeCell ref="X5:AD5"/>
    <mergeCell ref="AF5:AL5"/>
    <mergeCell ref="B52:B58"/>
    <mergeCell ref="B60:B66"/>
    <mergeCell ref="D44:D66"/>
    <mergeCell ref="D69:D91"/>
    <mergeCell ref="B77:B83"/>
    <mergeCell ref="B85:B91"/>
  </mergeCell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2" sqref="A12"/>
    </sheetView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F10"/>
  <sheetViews>
    <sheetView workbookViewId="0">
      <selection activeCell="A12" sqref="A12"/>
    </sheetView>
  </sheetViews>
  <sheetFormatPr baseColWidth="10" defaultRowHeight="15" x14ac:dyDescent="0.25"/>
  <sheetData>
    <row r="6" spans="4:6" x14ac:dyDescent="0.3">
      <c r="D6" s="28"/>
      <c r="F6" s="28"/>
    </row>
    <row r="7" spans="4:6" x14ac:dyDescent="0.3">
      <c r="D7" s="28"/>
      <c r="E7" s="28"/>
      <c r="F7" s="28"/>
    </row>
    <row r="8" spans="4:6" x14ac:dyDescent="0.3">
      <c r="D8" s="28"/>
      <c r="E8" s="28"/>
      <c r="F8" s="28"/>
    </row>
    <row r="9" spans="4:6" x14ac:dyDescent="0.3">
      <c r="F9" s="28"/>
    </row>
    <row r="10" spans="4:6" x14ac:dyDescent="0.3">
      <c r="F10" s="2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opLeftCell="B1" workbookViewId="0">
      <selection activeCell="C19" sqref="C19"/>
    </sheetView>
  </sheetViews>
  <sheetFormatPr baseColWidth="10" defaultRowHeight="15" x14ac:dyDescent="0.25"/>
  <cols>
    <col min="2" max="3" width="11.42578125" style="28"/>
    <col min="6" max="7" width="11.42578125" style="28"/>
    <col min="10" max="10" width="11.42578125" style="28"/>
    <col min="12" max="13" width="11.42578125" style="28"/>
    <col min="14" max="15" width="12.85546875" style="28" bestFit="1" customWidth="1"/>
    <col min="16" max="17" width="11.42578125" style="28"/>
  </cols>
  <sheetData>
    <row r="1" spans="1:20" x14ac:dyDescent="0.25">
      <c r="Q1" s="28" t="s">
        <v>80</v>
      </c>
      <c r="R1">
        <f>Global!O3</f>
        <v>105165748.7497948</v>
      </c>
    </row>
    <row r="2" spans="1:20" x14ac:dyDescent="0.25">
      <c r="Q2" s="28" t="s">
        <v>81</v>
      </c>
      <c r="R2">
        <f>Global!O2</f>
        <v>2655628410.5655165</v>
      </c>
    </row>
    <row r="4" spans="1:20" x14ac:dyDescent="0.25">
      <c r="B4" s="28" t="s">
        <v>0</v>
      </c>
      <c r="C4" s="28" t="s">
        <v>27</v>
      </c>
    </row>
    <row r="5" spans="1:20" x14ac:dyDescent="0.25">
      <c r="B5" s="28" t="s">
        <v>10</v>
      </c>
      <c r="C5" s="28" t="s">
        <v>28</v>
      </c>
    </row>
    <row r="6" spans="1:20" x14ac:dyDescent="0.25">
      <c r="E6" t="s">
        <v>36</v>
      </c>
      <c r="F6" s="28" t="s">
        <v>74</v>
      </c>
      <c r="G6" s="28" t="s">
        <v>73</v>
      </c>
      <c r="H6" t="s">
        <v>35</v>
      </c>
      <c r="I6" t="s">
        <v>69</v>
      </c>
      <c r="J6" s="28" t="s">
        <v>79</v>
      </c>
      <c r="K6" t="s">
        <v>65</v>
      </c>
      <c r="M6" s="28" t="s">
        <v>76</v>
      </c>
      <c r="N6" s="28" t="s">
        <v>78</v>
      </c>
      <c r="O6" s="28" t="s">
        <v>77</v>
      </c>
      <c r="P6" s="28" t="s">
        <v>62</v>
      </c>
      <c r="Q6" s="28" t="s">
        <v>75</v>
      </c>
      <c r="R6" t="s">
        <v>70</v>
      </c>
      <c r="S6" t="s">
        <v>71</v>
      </c>
      <c r="T6" t="s">
        <v>72</v>
      </c>
    </row>
    <row r="7" spans="1:20" x14ac:dyDescent="0.25">
      <c r="A7" s="28"/>
      <c r="D7" t="s">
        <v>31</v>
      </c>
      <c r="E7" s="93">
        <f t="array" ref="E7">SUM((BDD!$A$3:$A$215=Reporting!$C$5)*($D7=BDD!$E$3:$E$215)*(Reporting!$B$5=BDD!$B$3:$B$215)*(BDD!$F$3:$F$215))</f>
        <v>14134317.613718713</v>
      </c>
      <c r="F7" s="93">
        <f t="array" ref="F7">SUM((BDD!$A$3:$A$215=Reporting!$C$5)*($D7=BDD!$E$3:$E$215)*(Reporting!$B$5=BDD!$B$3:$B$215)*(BDD!$C$3:$C$215="UC")*(BDD!$F$3:$F$215))</f>
        <v>7352703.8390626181</v>
      </c>
      <c r="G7" s="93">
        <f t="array" ref="G7">SUM((BDD!$A$3:$A$215=Reporting!$C$5)*($D7=BDD!$E$3:$E$215)*(Reporting!$B$5=BDD!$B$3:$B$215)*(BDD!$C$3:$C$215="EURO")*(BDD!$F$3:$F$215))</f>
        <v>6781613.7746560937</v>
      </c>
      <c r="H7" s="93">
        <f t="array" ref="H7">SUM((BDD!$A$3:$A$215=Reporting!$C$5)*($D7=BDD!$E$3:$E$215)*(Reporting!$B$5=BDD!$B$3:$B$215)*(BDD!$H$3:$H$215))</f>
        <v>330556274.15174055</v>
      </c>
      <c r="I7" s="93">
        <f t="array" ref="I7">SUM((BDD!$A$3:$A$215=Reporting!$C$5)*($D7=BDD!$E$3:$E$215)*(Reporting!$B$5=BDD!$B$3:$B$215)*(BDD!$C$3:$C$215="UC")*(BDD!$H$3:$H$215))</f>
        <v>70339977.710336879</v>
      </c>
      <c r="J7" s="93">
        <f t="array" ref="J7">SUM((BDD!$A$3:$A$215=Reporting!$C$5)*($D7=BDD!$E$3:$E$215)*(Reporting!$B$5=BDD!$B$3:$B$215)*(BDD!$C$3:$C$215="EURO")*(BDD!$H$3:$H$215))</f>
        <v>260216296.44140372</v>
      </c>
      <c r="K7" s="93">
        <f t="array" ref="K7">SUM((BDD!$A$3:$A$215=Reporting!$C$5)*($D7=BDD!$E$3:$E$215)*(Reporting!$B$5=BDD!$B$3:$B$215)*(BDD!$G$3:$G$215))</f>
        <v>5372213625.8181477</v>
      </c>
      <c r="L7" s="93"/>
      <c r="M7" s="3">
        <f>E7/H7</f>
        <v>4.2759187221569447E-2</v>
      </c>
      <c r="N7" s="3">
        <f t="shared" ref="N7:O12" si="0">F7/I7</f>
        <v>0.10453093785928361</v>
      </c>
      <c r="O7" s="3">
        <f t="shared" si="0"/>
        <v>2.6061449138267932E-2</v>
      </c>
      <c r="P7" s="78">
        <f>K7/H7</f>
        <v>16.252039504027245</v>
      </c>
      <c r="Q7" s="81">
        <f>I7/H7</f>
        <v>0.21279274728891576</v>
      </c>
      <c r="R7" s="81">
        <f>H7/$H$12</f>
        <v>0.65995345237678038</v>
      </c>
      <c r="S7" s="81">
        <f>E7/$E$12</f>
        <v>0.74833191494130558</v>
      </c>
      <c r="T7">
        <f>(E7/$R$1)/(H7/$R$2)</f>
        <v>1.0797480524619132</v>
      </c>
    </row>
    <row r="8" spans="1:20" x14ac:dyDescent="0.25">
      <c r="A8" s="28"/>
      <c r="D8" t="s">
        <v>32</v>
      </c>
      <c r="E8" s="93">
        <f t="array" ref="E8">SUM((BDD!$A$3:$A$215=Reporting!$C$5)*($D8=BDD!$E$3:$E$215)*(Reporting!$B$5=BDD!$B$3:$B$215)*(BDD!$F$3:$F$215))</f>
        <v>364052.39253039163</v>
      </c>
      <c r="F8" s="93">
        <f t="array" ref="F8">SUM((BDD!$A$3:$A$215=Reporting!$C$5)*($D8=BDD!$E$3:$E$215)*(Reporting!$B$5=BDD!$B$3:$B$215)*(BDD!$C$3:$C$215="UC")*(BDD!$F$3:$F$215))</f>
        <v>191100.75841471326</v>
      </c>
      <c r="G8" s="93">
        <f t="array" ref="G8">SUM((BDD!$A$3:$A$215=Reporting!$C$5)*($D8=BDD!$E$3:$E$215)*(Reporting!$B$5=BDD!$B$3:$B$215)*(BDD!$C$3:$C$215="EURO")*(BDD!$F$3:$F$215))</f>
        <v>172951.63411567832</v>
      </c>
      <c r="H8" s="93">
        <f t="array" ref="H8">SUM((BDD!$A$3:$A$215=Reporting!$C$5)*($D8=BDD!$E$3:$E$215)*(Reporting!$B$5=BDD!$B$3:$B$215)*(BDD!$H$3:$H$215))</f>
        <v>12210273.426913802</v>
      </c>
      <c r="I8" s="93">
        <f t="array" ref="I8">SUM((BDD!$A$3:$A$215=Reporting!$C$5)*($D8=BDD!$E$3:$E$215)*(Reporting!$B$5=BDD!$B$3:$B$215)*(BDD!$C$3:$C$215="UC")*(BDD!$H$3:$H$215))</f>
        <v>3301401.8802745407</v>
      </c>
      <c r="J8" s="93">
        <f t="array" ref="J8">SUM((BDD!$A$3:$A$215=Reporting!$C$5)*($D8=BDD!$E$3:$E$215)*(Reporting!$B$5=BDD!$B$3:$B$215)*(BDD!$C$3:$C$215="EURO")*(BDD!$H$3:$H$215))</f>
        <v>8908871.5466392599</v>
      </c>
      <c r="K8" s="93">
        <f t="array" ref="K8">SUM((BDD!$A$3:$A$215=Reporting!$C$5)*($D8=BDD!$E$3:$E$215)*(Reporting!$B$5=BDD!$B$3:$B$215)*(BDD!$G$3:$G$215))</f>
        <v>167421195.44775507</v>
      </c>
      <c r="L8" s="93"/>
      <c r="M8" s="3">
        <f>E8/H8</f>
        <v>2.9815253090725212E-2</v>
      </c>
      <c r="N8" s="3">
        <f t="shared" si="0"/>
        <v>5.7884730591727156E-2</v>
      </c>
      <c r="O8" s="3">
        <f t="shared" si="0"/>
        <v>1.9413416526464763E-2</v>
      </c>
      <c r="P8" s="78">
        <f t="shared" ref="P8:P12" si="1">K8/H8</f>
        <v>13.711502567888973</v>
      </c>
      <c r="Q8" s="81">
        <f t="shared" ref="Q8:Q12" si="2">I8/H8</f>
        <v>0.27037902959630805</v>
      </c>
      <c r="R8" s="81">
        <f t="shared" ref="R8:R12" si="3">H8/$H$12</f>
        <v>2.4377731517076374E-2</v>
      </c>
      <c r="S8" s="81">
        <f t="shared" ref="S8:S12" si="4">E8/$E$12</f>
        <v>1.9274508433064389E-2</v>
      </c>
      <c r="T8" s="28">
        <f t="shared" ref="T8:T10" si="5">(E8/$R$1)/(H8/$R$2)</f>
        <v>0.75288992963201529</v>
      </c>
    </row>
    <row r="9" spans="1:20" x14ac:dyDescent="0.25">
      <c r="A9" s="28"/>
      <c r="D9" t="s">
        <v>23</v>
      </c>
      <c r="E9" s="93">
        <f t="array" ref="E9">SUM((BDD!$A$3:$A$215=Reporting!$C$5)*($D9=BDD!$E$3:$E$215)*(Reporting!$B$5=BDD!$B$3:$B$215)*(BDD!$F$3:$F$215))</f>
        <v>3829369.8376665334</v>
      </c>
      <c r="F9" s="93">
        <f t="array" ref="F9">SUM((BDD!$A$3:$A$215=Reporting!$C$5)*($D9=BDD!$E$3:$E$215)*(Reporting!$B$5=BDD!$B$3:$B$215)*(BDD!$C$3:$C$215="UC")*(BDD!$F$3:$F$215))</f>
        <v>1375334.3227217088</v>
      </c>
      <c r="G9" s="93">
        <f t="array" ref="G9">SUM((BDD!$A$3:$A$215=Reporting!$C$5)*($D9=BDD!$E$3:$E$215)*(Reporting!$B$5=BDD!$B$3:$B$215)*(BDD!$C$3:$C$215="EURO")*(BDD!$F$3:$F$215))</f>
        <v>2454035.5149448249</v>
      </c>
      <c r="H9" s="93">
        <f t="array" ref="H9">SUM((BDD!$A$3:$A$215=Reporting!$C$5)*($D9=BDD!$E$3:$E$215)*(Reporting!$B$5=BDD!$B$3:$B$215)*(BDD!$H$3:$H$215))</f>
        <v>144488760.78773165</v>
      </c>
      <c r="I9" s="93">
        <f t="array" ref="I9">SUM((BDD!$A$3:$A$215=Reporting!$C$5)*($D9=BDD!$E$3:$E$215)*(Reporting!$B$5=BDD!$B$3:$B$215)*(BDD!$C$3:$C$215="UC")*(BDD!$H$3:$H$215))</f>
        <v>21553082.524069428</v>
      </c>
      <c r="J9" s="93">
        <f t="array" ref="J9">SUM((BDD!$A$3:$A$215=Reporting!$C$5)*($D9=BDD!$E$3:$E$215)*(Reporting!$B$5=BDD!$B$3:$B$215)*(BDD!$C$3:$C$215="EURO")*(BDD!$H$3:$H$215))</f>
        <v>122935678.26366222</v>
      </c>
      <c r="K9" s="93">
        <f t="array" ref="K9">SUM((BDD!$A$3:$A$215=Reporting!$C$5)*($D9=BDD!$E$3:$E$215)*(Reporting!$B$5=BDD!$B$3:$B$215)*(BDD!$G$3:$G$215))</f>
        <v>2213300348.1958098</v>
      </c>
      <c r="L9" s="93"/>
      <c r="M9" s="3">
        <f>E9/H9</f>
        <v>2.6502890721668369E-2</v>
      </c>
      <c r="N9" s="3">
        <f t="shared" si="0"/>
        <v>6.3811490592392189E-2</v>
      </c>
      <c r="O9" s="3">
        <f t="shared" si="0"/>
        <v>1.9961947171118329E-2</v>
      </c>
      <c r="P9" s="78">
        <f t="shared" si="1"/>
        <v>15.318148872820412</v>
      </c>
      <c r="Q9" s="81">
        <f t="shared" si="2"/>
        <v>0.14916788272364692</v>
      </c>
      <c r="R9" s="81">
        <f t="shared" si="3"/>
        <v>0.28847087158216678</v>
      </c>
      <c r="S9" s="81">
        <f t="shared" si="4"/>
        <v>0.2027434038172522</v>
      </c>
      <c r="T9" s="28">
        <f t="shared" si="5"/>
        <v>0.66924669295156869</v>
      </c>
    </row>
    <row r="10" spans="1:20" s="28" customFormat="1" x14ac:dyDescent="0.25">
      <c r="D10" s="28" t="s">
        <v>48</v>
      </c>
      <c r="E10" s="93">
        <f t="array" ref="E10">SUM((BDD!$A$3:$A$215=Reporting!$C$5)*($D10=BDD!$E$3:$E$215)*(Reporting!$B$5=BDD!$B$3:$B$215)*(BDD!$F$3:$F$215))</f>
        <v>0</v>
      </c>
      <c r="F10" s="93">
        <f t="array" ref="F10">SUM((BDD!$A$3:$A$215=Reporting!$C$5)*($D10=BDD!$E$3:$E$215)*(Reporting!$B$5=BDD!$B$3:$B$215)*(BDD!$C$3:$C$215="UC")*(BDD!$F$3:$F$215))</f>
        <v>0</v>
      </c>
      <c r="G10" s="93">
        <f t="array" ref="G10">SUM((BDD!$A$3:$A$215=Reporting!$C$5)*($D10=BDD!$E$3:$E$215)*(Reporting!$B$5=BDD!$B$3:$B$215)*(BDD!$C$3:$C$215="EURO")*(BDD!$F$3:$F$215))</f>
        <v>0</v>
      </c>
      <c r="H10" s="93">
        <f t="array" ref="H10">SUM((BDD!$A$3:$A$215=Reporting!$C$5)*($D10=BDD!$E$3:$E$215)*(Reporting!$B$5=BDD!$B$3:$B$215)*(BDD!$H$3:$H$215))</f>
        <v>0</v>
      </c>
      <c r="I10" s="93">
        <f t="array" ref="I10">SUM((BDD!$A$3:$A$215=Reporting!$C$5)*($D10=BDD!$E$3:$E$215)*(Reporting!$B$5=BDD!$B$3:$B$215)*(BDD!$C$3:$C$215="UC")*(BDD!$H$3:$H$215))</f>
        <v>0</v>
      </c>
      <c r="J10" s="93">
        <f t="array" ref="J10">SUM((BDD!$A$3:$A$215=Reporting!$C$5)*($D10=BDD!$E$3:$E$215)*(Reporting!$B$5=BDD!$B$3:$B$215)*(BDD!$C$3:$C$215="EURO")*(BDD!$H$3:$H$215))</f>
        <v>0</v>
      </c>
      <c r="K10" s="93">
        <f t="array" ref="K10">SUM((BDD!$A$3:$A$215=Reporting!$C$5)*($D10=BDD!$E$3:$E$215)*(Reporting!$B$5=BDD!$B$3:$B$215)*(BDD!$G$3:$G$215))</f>
        <v>0</v>
      </c>
      <c r="L10" s="93"/>
      <c r="M10" s="3" t="e">
        <f>E10/H10</f>
        <v>#DIV/0!</v>
      </c>
      <c r="N10" s="3" t="e">
        <f t="shared" ref="N10:N11" si="6">F10/I10</f>
        <v>#DIV/0!</v>
      </c>
      <c r="O10" s="3" t="e">
        <f t="shared" ref="O10:O11" si="7">G10/J10</f>
        <v>#DIV/0!</v>
      </c>
      <c r="P10" s="78" t="e">
        <f t="shared" si="1"/>
        <v>#DIV/0!</v>
      </c>
      <c r="Q10" s="81" t="e">
        <f t="shared" si="2"/>
        <v>#DIV/0!</v>
      </c>
      <c r="R10" s="81">
        <f t="shared" si="3"/>
        <v>0</v>
      </c>
      <c r="S10" s="81">
        <f t="shared" si="4"/>
        <v>0</v>
      </c>
      <c r="T10" s="28" t="e">
        <f t="shared" si="5"/>
        <v>#DIV/0!</v>
      </c>
    </row>
    <row r="11" spans="1:20" s="28" customFormat="1" x14ac:dyDescent="0.25">
      <c r="D11" s="28" t="s">
        <v>25</v>
      </c>
      <c r="E11" s="93">
        <f t="array" ref="E11">SUM((BDD!$A$3:$A$215=Reporting!$C$5)*($D11=BDD!$E$3:$E$215)*(Reporting!$B$5=BDD!$B$3:$B$215)*(BDD!$F$3:$F$215))</f>
        <v>560025.50660709059</v>
      </c>
      <c r="F11" s="93">
        <f t="array" ref="F11">SUM((BDD!$A$3:$A$215=Reporting!$C$5)*($D11=BDD!$E$3:$E$215)*(Reporting!$B$5=BDD!$B$3:$B$215)*(BDD!$C$3:$C$215="UC")*(BDD!$F$3:$F$215))</f>
        <v>0</v>
      </c>
      <c r="G11" s="93">
        <f t="array" ref="G11">SUM((BDD!$A$3:$A$215=Reporting!$C$5)*($D11=BDD!$E$3:$E$215)*(Reporting!$B$5=BDD!$B$3:$B$215)*(BDD!$C$3:$C$215="EURO")*(BDD!$F$3:$F$215))</f>
        <v>0</v>
      </c>
      <c r="H11" s="93">
        <f t="array" ref="H11">SUM((BDD!$A$3:$A$215=Reporting!$C$5)*($D11=BDD!$E$3:$E$215)*(Reporting!$B$5=BDD!$B$3:$B$215)*(BDD!$H$3:$H$215))</f>
        <v>13622856.542461999</v>
      </c>
      <c r="I11" s="93">
        <f t="array" ref="I11">SUM((BDD!$A$3:$A$215=Reporting!$C$5)*($D11=BDD!$E$3:$E$215)*(Reporting!$B$5=BDD!$B$3:$B$215)*(BDD!$C$3:$C$215="UC")*(BDD!$H$3:$H$215))</f>
        <v>0</v>
      </c>
      <c r="J11" s="93">
        <f t="array" ref="J11">SUM((BDD!$A$3:$A$215=Reporting!$C$5)*($D11=BDD!$E$3:$E$215)*(Reporting!$B$5=BDD!$B$3:$B$215)*(BDD!$C$3:$C$215="EURO")*(BDD!$H$3:$H$215))</f>
        <v>0</v>
      </c>
      <c r="K11" s="93">
        <f t="array" ref="K11">SUM((BDD!$A$3:$A$215=Reporting!$C$5)*($D11=BDD!$E$3:$E$215)*(Reporting!$B$5=BDD!$B$3:$B$215)*(BDD!$G$3:$G$215))</f>
        <v>0</v>
      </c>
      <c r="L11" s="93"/>
      <c r="M11" s="3">
        <f>E11/H11</f>
        <v>4.1109256701155839E-2</v>
      </c>
      <c r="N11" s="3"/>
      <c r="O11" s="3"/>
      <c r="P11" s="78"/>
      <c r="Q11" s="81"/>
    </row>
    <row r="12" spans="1:20" x14ac:dyDescent="0.25">
      <c r="A12" s="28"/>
      <c r="E12" s="93">
        <f>SUM(E7:E11)</f>
        <v>18887765.350522727</v>
      </c>
      <c r="F12" s="93">
        <f t="shared" ref="F12:K12" si="8">SUM(F7:F11)</f>
        <v>8919138.9201990403</v>
      </c>
      <c r="G12" s="93">
        <f t="shared" si="8"/>
        <v>9408600.9237165973</v>
      </c>
      <c r="H12" s="93">
        <f t="shared" si="8"/>
        <v>500878164.90884799</v>
      </c>
      <c r="I12" s="93">
        <f t="shared" si="8"/>
        <v>95194462.114680842</v>
      </c>
      <c r="J12" s="93">
        <f t="shared" si="8"/>
        <v>392060846.25170517</v>
      </c>
      <c r="K12" s="93">
        <f t="shared" si="8"/>
        <v>7752935169.4617119</v>
      </c>
      <c r="L12" s="93"/>
      <c r="M12" s="3">
        <f>E12/H12</f>
        <v>3.7709300731765788E-2</v>
      </c>
      <c r="N12" s="3">
        <f t="shared" si="0"/>
        <v>9.3693884308670677E-2</v>
      </c>
      <c r="O12" s="3">
        <f t="shared" si="0"/>
        <v>2.3997808028186077E-2</v>
      </c>
      <c r="P12" s="78">
        <f t="shared" si="1"/>
        <v>15.478684663510187</v>
      </c>
      <c r="Q12" s="81">
        <f t="shared" si="2"/>
        <v>0.190055124746763</v>
      </c>
      <c r="R12" s="28">
        <f t="shared" si="3"/>
        <v>1</v>
      </c>
      <c r="S12" s="28">
        <f t="shared" si="4"/>
        <v>1</v>
      </c>
      <c r="T12" s="28">
        <f t="shared" ref="T8:T12" si="9">S12/R12</f>
        <v>1</v>
      </c>
    </row>
    <row r="13" spans="1:20" x14ac:dyDescent="0.25">
      <c r="A13" s="28"/>
    </row>
    <row r="17" spans="3:20" s="28" customFormat="1" x14ac:dyDescent="0.25">
      <c r="C17" s="28" t="s">
        <v>27</v>
      </c>
    </row>
    <row r="18" spans="3:20" s="28" customFormat="1" x14ac:dyDescent="0.25">
      <c r="C18" s="28" t="s">
        <v>33</v>
      </c>
    </row>
    <row r="19" spans="3:20" s="28" customFormat="1" x14ac:dyDescent="0.25">
      <c r="E19" s="28" t="s">
        <v>36</v>
      </c>
      <c r="F19" s="28" t="s">
        <v>74</v>
      </c>
      <c r="G19" s="28" t="s">
        <v>73</v>
      </c>
      <c r="H19" s="28" t="s">
        <v>35</v>
      </c>
      <c r="I19" s="28" t="s">
        <v>69</v>
      </c>
      <c r="J19" s="28" t="s">
        <v>79</v>
      </c>
      <c r="K19" s="28" t="s">
        <v>65</v>
      </c>
      <c r="M19" s="28" t="s">
        <v>76</v>
      </c>
      <c r="N19" s="28" t="s">
        <v>78</v>
      </c>
      <c r="O19" s="28" t="s">
        <v>77</v>
      </c>
      <c r="P19" s="28" t="s">
        <v>62</v>
      </c>
      <c r="Q19" s="28" t="s">
        <v>75</v>
      </c>
      <c r="R19" s="28" t="s">
        <v>70</v>
      </c>
      <c r="S19" s="28" t="s">
        <v>71</v>
      </c>
      <c r="T19" s="28" t="s">
        <v>72</v>
      </c>
    </row>
    <row r="20" spans="3:20" s="28" customFormat="1" x14ac:dyDescent="0.25">
      <c r="D20" s="28" t="s">
        <v>31</v>
      </c>
      <c r="E20" s="93">
        <f t="array" ref="E20">SUM((BDD!$A$3:$A$215=Reporting!$C$18)*($D20=BDD!$E$3:$E$215)*(BDD!$F$3:$F$215))</f>
        <v>21830155.140432753</v>
      </c>
      <c r="F20" s="93">
        <f t="array" ref="F20">SUM((BDD!$A$3:$A$215=Reporting!$C$18)*($D20=BDD!$E$3:$E$215)*(BDD!$C$3:$C$215="UC")*(BDD!$F$3:$F$215))</f>
        <v>9868745.0577886645</v>
      </c>
      <c r="G20" s="93">
        <f t="array" ref="G20">SUM((BDD!$A$3:$A$215=Reporting!$C$18)*($D20=BDD!$E$3:$E$215)*(BDD!$C$3:$C$215="EURO")*(BDD!$F$3:$F$215))</f>
        <v>11961410.082644088</v>
      </c>
      <c r="H20" s="93">
        <f t="array" ref="H20">SUM((BDD!$A$3:$A$215=Reporting!$C$18)*($D20=BDD!$E$3:$E$215)*(BDD!$H$3:$H$215))</f>
        <v>538722456.59867835</v>
      </c>
      <c r="I20" s="93">
        <f t="array" ref="I20">SUM((BDD!$A$3:$A$215=Reporting!$C$18)*($D20=BDD!$E$3:$E$215)*(BDD!$C$3:$C$215="UC")*(BDD!$H$3:$H$215))</f>
        <v>65246875.569801822</v>
      </c>
      <c r="J20" s="93">
        <f t="array" ref="J20">SUM((BDD!$A$3:$A$215=Reporting!$C$18)*($D20=BDD!$E$3:$E$215)*(BDD!$C$3:$C$215="EURO")*(BDD!$H$3:$H$215))</f>
        <v>473475581.02887648</v>
      </c>
      <c r="K20" s="93">
        <f t="array" ref="K20">SUM((BDD!$A$3:$A$215=Reporting!$C$18)*($D20=BDD!$E$3:$E$215)*(BDD!$G$3:$G$215))</f>
        <v>10077661218.091412</v>
      </c>
      <c r="L20" s="93"/>
      <c r="M20" s="3">
        <f>E20/H20</f>
        <v>4.0522081218335289E-2</v>
      </c>
      <c r="N20" s="3">
        <f t="shared" ref="N20:N25" si="10">F20/I20</f>
        <v>0.15125237755225493</v>
      </c>
      <c r="O20" s="3">
        <f t="shared" ref="O20:O25" si="11">G20/J20</f>
        <v>2.526299256373811E-2</v>
      </c>
      <c r="P20" s="78">
        <f>K20/H20</f>
        <v>18.706592039467871</v>
      </c>
      <c r="Q20" s="81">
        <f>I20/H20</f>
        <v>0.12111408160289024</v>
      </c>
      <c r="R20" s="81">
        <f>H20/$H$25</f>
        <v>0.56016018021502445</v>
      </c>
      <c r="S20" s="81">
        <f>E20/$E$25</f>
        <v>0.63439235326446464</v>
      </c>
      <c r="T20" s="28">
        <f>(E20/$R$1)/(H20/$R$2)</f>
        <v>1.0232570149305811</v>
      </c>
    </row>
    <row r="21" spans="3:20" s="28" customFormat="1" x14ac:dyDescent="0.25">
      <c r="D21" s="28" t="s">
        <v>32</v>
      </c>
      <c r="E21" s="93">
        <f t="array" ref="E21">SUM((BDD!$A$3:$A$215=Reporting!$C$18)*($D21=BDD!$E$3:$E$215)*(BDD!$F$3:$F$215))</f>
        <v>3062734.0170745654</v>
      </c>
      <c r="F21" s="93">
        <f t="array" ref="F21">SUM((BDD!$A$3:$A$215=Reporting!$C$18)*($D21=BDD!$E$3:$E$215)*(BDD!$C$3:$C$215="UC")*(BDD!$F$3:$F$215))</f>
        <v>1247866.2832474161</v>
      </c>
      <c r="G21" s="93">
        <f t="array" ref="G21">SUM((BDD!$A$3:$A$215=Reporting!$C$18)*($D21=BDD!$E$3:$E$215)*(BDD!$C$3:$C$215="EURO")*(BDD!$F$3:$F$215))</f>
        <v>1814867.733827149</v>
      </c>
      <c r="H21" s="93">
        <f t="array" ref="H21">SUM((BDD!$A$3:$A$215=Reporting!$C$18)*($D21=BDD!$E$3:$E$215)*(BDD!$H$3:$H$215))</f>
        <v>97701352.58949551</v>
      </c>
      <c r="I21" s="93">
        <f t="array" ref="I21">SUM((BDD!$A$3:$A$215=Reporting!$C$18)*($D21=BDD!$E$3:$E$215)*(BDD!$C$3:$C$215="UC")*(BDD!$H$3:$H$215))</f>
        <v>11635547.729871061</v>
      </c>
      <c r="J21" s="93">
        <f t="array" ref="J21">SUM((BDD!$A$3:$A$215=Reporting!$C$18)*($D21=BDD!$E$3:$E$215)*(BDD!$C$3:$C$215="EURO")*(BDD!$H$3:$H$215))</f>
        <v>86065804.859624445</v>
      </c>
      <c r="K21" s="93">
        <f t="array" ref="K21">SUM((BDD!$A$3:$A$215=Reporting!$C$18)*($D21=BDD!$E$3:$E$215)*(BDD!$G$3:$G$215))</f>
        <v>1645324429.3122036</v>
      </c>
      <c r="L21" s="93"/>
      <c r="M21" s="3">
        <f>E21/H21</f>
        <v>3.1347918282595602E-2</v>
      </c>
      <c r="N21" s="3">
        <f t="shared" si="10"/>
        <v>0.10724602848251513</v>
      </c>
      <c r="O21" s="3">
        <f t="shared" si="11"/>
        <v>2.1086978002323283E-2</v>
      </c>
      <c r="P21" s="78">
        <f t="shared" ref="P21:P25" si="12">K21/H21</f>
        <v>16.84034443438302</v>
      </c>
      <c r="Q21" s="81">
        <f t="shared" ref="Q21:Q25" si="13">I21/H21</f>
        <v>0.11909300558774528</v>
      </c>
      <c r="R21" s="81">
        <f t="shared" ref="R21:R23" si="14">H21/$H$25</f>
        <v>0.1015892443380236</v>
      </c>
      <c r="S21" s="81">
        <f t="shared" ref="S21:S23" si="15">E21/$E$25</f>
        <v>8.9004179219797516E-2</v>
      </c>
      <c r="T21" s="28">
        <f t="shared" ref="T21:T23" si="16">(E21/$R$1)/(H21/$R$2)</f>
        <v>0.79159254218222341</v>
      </c>
    </row>
    <row r="22" spans="3:20" s="28" customFormat="1" x14ac:dyDescent="0.25">
      <c r="D22" s="28" t="s">
        <v>23</v>
      </c>
      <c r="E22" s="93">
        <f t="array" ref="E22">SUM((BDD!$A$3:$A$215=Reporting!$C$18)*($D22=BDD!$E$3:$E$215)*(BDD!$F$3:$F$215))</f>
        <v>7733500.9772601221</v>
      </c>
      <c r="F22" s="93">
        <f t="array" ref="F22">SUM((BDD!$A$3:$A$215=Reporting!$C$18)*($D22=BDD!$E$3:$E$215)*(BDD!$C$3:$C$215="UC")*(BDD!$F$3:$F$215))</f>
        <v>2143627.6870003939</v>
      </c>
      <c r="G22" s="93">
        <f t="array" ref="G22">SUM((BDD!$A$3:$A$215=Reporting!$C$18)*($D22=BDD!$E$3:$E$215)*(BDD!$C$3:$C$215="EURO")*(BDD!$F$3:$F$215))</f>
        <v>5589873.2902597282</v>
      </c>
      <c r="H22" s="93">
        <f t="array" ref="H22">SUM((BDD!$A$3:$A$215=Reporting!$C$18)*($D22=BDD!$E$3:$E$215)*(BDD!$H$3:$H$215))</f>
        <v>296559039.92111582</v>
      </c>
      <c r="I22" s="93">
        <f t="array" ref="I22">SUM((BDD!$A$3:$A$215=Reporting!$C$18)*($D22=BDD!$E$3:$E$215)*(BDD!$C$3:$C$215="UC")*(BDD!$H$3:$H$215))</f>
        <v>19988259.172673337</v>
      </c>
      <c r="J22" s="93">
        <f t="array" ref="J22">SUM((BDD!$A$3:$A$215=Reporting!$C$18)*($D22=BDD!$E$3:$E$215)*(BDD!$C$3:$C$215="EURO")*(BDD!$H$3:$H$215))</f>
        <v>276570780.74844247</v>
      </c>
      <c r="K22" s="93">
        <f t="array" ref="K22">SUM((BDD!$A$3:$A$215=Reporting!$C$18)*($D22=BDD!$E$3:$E$215)*(BDD!$G$3:$G$215))</f>
        <v>4741126573.9827528</v>
      </c>
      <c r="L22" s="93"/>
      <c r="M22" s="3">
        <f>E22/H22</f>
        <v>2.6077441373283442E-2</v>
      </c>
      <c r="N22" s="3">
        <f t="shared" si="10"/>
        <v>0.10724434121461782</v>
      </c>
      <c r="O22" s="3">
        <f t="shared" si="11"/>
        <v>2.0211366056575766E-2</v>
      </c>
      <c r="P22" s="78">
        <f t="shared" si="12"/>
        <v>15.987125448085765</v>
      </c>
      <c r="Q22" s="81">
        <f t="shared" si="13"/>
        <v>6.740060656384031E-2</v>
      </c>
      <c r="R22" s="81">
        <f t="shared" si="14"/>
        <v>0.30836020145779536</v>
      </c>
      <c r="S22" s="81">
        <f t="shared" si="15"/>
        <v>0.22473838836125787</v>
      </c>
      <c r="T22" s="28">
        <f t="shared" si="16"/>
        <v>0.65850331509082016</v>
      </c>
    </row>
    <row r="23" spans="3:20" s="28" customFormat="1" x14ac:dyDescent="0.25">
      <c r="D23" s="28" t="s">
        <v>48</v>
      </c>
      <c r="E23" s="93">
        <f t="array" ref="E23">SUM((BDD!$A$3:$A$215=Reporting!$C$18)*($D23=BDD!$E$3:$E$215)*(BDD!$F$3:$F$215))</f>
        <v>0</v>
      </c>
      <c r="F23" s="93">
        <f t="array" ref="F23">SUM((BDD!$A$3:$A$215=Reporting!$C$18)*($D23=BDD!$E$3:$E$215)*(BDD!$C$3:$C$215="UC")*(BDD!$F$3:$F$215))</f>
        <v>0</v>
      </c>
      <c r="G23" s="93">
        <f t="array" ref="G23">SUM((BDD!$A$3:$A$215=Reporting!$C$18)*($D23=BDD!$E$3:$E$215)*(BDD!$C$3:$C$215="EURO")*(BDD!$F$3:$F$215))</f>
        <v>0</v>
      </c>
      <c r="H23" s="93">
        <f t="array" ref="H23">SUM((BDD!$A$3:$A$215=Reporting!$C$18)*($D23=BDD!$E$3:$E$215)*(BDD!$H$3:$H$215))</f>
        <v>0</v>
      </c>
      <c r="I23" s="93">
        <f t="array" ref="I23">SUM((BDD!$A$3:$A$215=Reporting!$C$18)*($D23=BDD!$E$3:$E$215)*(BDD!$C$3:$C$215="UC")*(BDD!$H$3:$H$215))</f>
        <v>0</v>
      </c>
      <c r="J23" s="93">
        <f t="array" ref="J23">SUM((BDD!$A$3:$A$215=Reporting!$C$18)*($D23=BDD!$E$3:$E$215)*(BDD!$C$3:$C$215="EURO")*(BDD!$H$3:$H$215))</f>
        <v>0</v>
      </c>
      <c r="K23" s="93">
        <f t="array" ref="K23">SUM((BDD!$A$3:$A$215=Reporting!$C$18)*($D23=BDD!$E$3:$E$215)*(BDD!$G$3:$G$215))</f>
        <v>0</v>
      </c>
      <c r="L23" s="93"/>
      <c r="M23" s="3" t="e">
        <f>E23/H23</f>
        <v>#DIV/0!</v>
      </c>
      <c r="N23" s="3" t="e">
        <f t="shared" si="10"/>
        <v>#DIV/0!</v>
      </c>
      <c r="O23" s="3" t="e">
        <f t="shared" si="11"/>
        <v>#DIV/0!</v>
      </c>
      <c r="P23" s="78" t="e">
        <f t="shared" si="12"/>
        <v>#DIV/0!</v>
      </c>
      <c r="Q23" s="81" t="e">
        <f t="shared" si="13"/>
        <v>#DIV/0!</v>
      </c>
      <c r="R23" s="81">
        <f t="shared" si="14"/>
        <v>0</v>
      </c>
      <c r="S23" s="81">
        <f t="shared" si="15"/>
        <v>0</v>
      </c>
      <c r="T23" s="28" t="e">
        <f t="shared" si="16"/>
        <v>#DIV/0!</v>
      </c>
    </row>
    <row r="24" spans="3:20" s="28" customFormat="1" x14ac:dyDescent="0.25">
      <c r="D24" s="28" t="s">
        <v>25</v>
      </c>
      <c r="E24" s="93">
        <f t="array" ref="E24">SUM((BDD!$A$3:$A$215=Reporting!$C$18)*($D24=BDD!$E$3:$E$215)*(BDD!$F$3:$F$215))</f>
        <v>1784735.7687823819</v>
      </c>
      <c r="F24" s="93">
        <f t="array" ref="F24">SUM((BDD!$A$3:$A$215=Reporting!$C$18)*($D24=BDD!$E$3:$E$215)*(BDD!$C$3:$C$215="UC")*(BDD!$F$3:$F$215))</f>
        <v>0</v>
      </c>
      <c r="G24" s="93">
        <f t="array" ref="G24">SUM((BDD!$A$3:$A$215=Reporting!$C$18)*($D24=BDD!$E$3:$E$215)*(BDD!$C$3:$C$215="EURO")*(BDD!$F$3:$F$215))</f>
        <v>0</v>
      </c>
      <c r="H24" s="93">
        <f t="array" ref="H24">SUM((BDD!$A$3:$A$215=Reporting!$C$18)*($D24=BDD!$E$3:$E$215)*(BDD!$H$3:$H$215))</f>
        <v>28746448.378230847</v>
      </c>
      <c r="I24" s="93">
        <f t="array" ref="I24">SUM((BDD!$A$3:$A$215=Reporting!$C$18)*($D24=BDD!$E$3:$E$215)*(BDD!$C$3:$C$215="UC")*(BDD!$H$3:$H$215))</f>
        <v>0</v>
      </c>
      <c r="J24" s="93">
        <f t="array" ref="J24">SUM((BDD!$A$3:$A$215=Reporting!$C$18)*($D24=BDD!$E$3:$E$215)*(BDD!$C$3:$C$215="EURO")*(BDD!$H$3:$H$215))</f>
        <v>0</v>
      </c>
      <c r="K24" s="93">
        <f t="array" ref="K24">SUM((BDD!$A$3:$A$215=Reporting!$C$18)*($D24=BDD!$E$3:$E$215)*(BDD!$G$3:$G$215))</f>
        <v>0</v>
      </c>
      <c r="L24" s="93"/>
      <c r="M24" s="3">
        <f>E24/H24</f>
        <v>6.2085435574501413E-2</v>
      </c>
      <c r="N24" s="3"/>
      <c r="O24" s="3"/>
      <c r="P24" s="78"/>
      <c r="Q24" s="81"/>
      <c r="R24" s="81">
        <f t="shared" ref="R24" si="17">H24/$H$25</f>
        <v>2.9890373989156616E-2</v>
      </c>
      <c r="S24" s="81">
        <f t="shared" ref="S24" si="18">E24/$E$25</f>
        <v>5.1865079154479798E-2</v>
      </c>
    </row>
    <row r="25" spans="3:20" s="28" customFormat="1" x14ac:dyDescent="0.25">
      <c r="E25" s="93">
        <f>SUM(E20:E24)</f>
        <v>34411125.903549828</v>
      </c>
      <c r="F25" s="93">
        <f t="shared" ref="F25" si="19">SUM(F20:F24)</f>
        <v>13260239.028036475</v>
      </c>
      <c r="G25" s="93">
        <f t="shared" ref="G25" si="20">SUM(G20:G24)</f>
        <v>19366151.106730968</v>
      </c>
      <c r="H25" s="93">
        <f t="shared" ref="H25" si="21">SUM(H20:H24)</f>
        <v>961729297.48752046</v>
      </c>
      <c r="I25" s="93">
        <f t="shared" ref="I25" si="22">SUM(I20:I24)</f>
        <v>96870682.472346216</v>
      </c>
      <c r="J25" s="93">
        <f t="shared" ref="J25" si="23">SUM(J20:J24)</f>
        <v>836112166.63694334</v>
      </c>
      <c r="K25" s="93">
        <f t="shared" ref="K25" si="24">SUM(K20:K24)</f>
        <v>16464112221.386368</v>
      </c>
      <c r="L25" s="93"/>
      <c r="M25" s="3">
        <f>E25/H25</f>
        <v>3.5780469611820631E-2</v>
      </c>
      <c r="N25" s="3">
        <f t="shared" ref="N25" si="25">F25/I25</f>
        <v>0.13688598747946151</v>
      </c>
      <c r="O25" s="3">
        <f t="shared" ref="O25" si="26">G25/J25</f>
        <v>2.3162144840717453E-2</v>
      </c>
      <c r="P25" s="78">
        <f t="shared" ref="P25" si="27">K25/H25</f>
        <v>17.11927905742105</v>
      </c>
      <c r="Q25" s="81">
        <f t="shared" ref="Q25" si="28">I25/H25</f>
        <v>0.10072551883925863</v>
      </c>
      <c r="T25" s="28" t="e">
        <f t="shared" ref="T25" si="29">S25/R25</f>
        <v>#DIV/0!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BDD</vt:lpstr>
      <vt:lpstr>Global</vt:lpstr>
      <vt:lpstr>PAT_AGE</vt:lpstr>
      <vt:lpstr>Feuil4</vt:lpstr>
      <vt:lpstr>Feuil5</vt:lpstr>
      <vt:lpstr>Reporting</vt:lpstr>
    </vt:vector>
  </TitlesOfParts>
  <Company>COVEA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A020685</dc:creator>
  <cp:lastModifiedBy>A020685</cp:lastModifiedBy>
  <dcterms:created xsi:type="dcterms:W3CDTF">2021-08-11T12:50:30Z</dcterms:created>
  <dcterms:modified xsi:type="dcterms:W3CDTF">2021-08-13T13:32:02Z</dcterms:modified>
</cp:coreProperties>
</file>