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pruette/Desktop/UNC Class/"/>
    </mc:Choice>
  </mc:AlternateContent>
  <xr:revisionPtr revIDLastSave="0" documentId="13_ncr:1_{0A114BB2-EE87-1F42-BFD0-60B3F8972CD9}" xr6:coauthVersionLast="47" xr6:coauthVersionMax="47" xr10:uidLastSave="{00000000-0000-0000-0000-000000000000}"/>
  <bookViews>
    <workbookView xWindow="30720" yWindow="3040" windowWidth="26760" windowHeight="13580" firstSheet="2" activeTab="6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ff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I3" i="12"/>
  <c r="I4" i="12"/>
  <c r="I5" i="12"/>
  <c r="I6" i="12"/>
  <c r="I7" i="12"/>
  <c r="I8" i="12"/>
  <c r="I9" i="12"/>
  <c r="I10" i="12"/>
  <c r="I11" i="12"/>
  <c r="I12" i="12"/>
  <c r="I13" i="12"/>
  <c r="I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F5" i="12" s="1"/>
  <c r="D4" i="12"/>
  <c r="D3" i="12"/>
  <c r="D2" i="12"/>
  <c r="C13" i="12"/>
  <c r="C12" i="12"/>
  <c r="C11" i="12"/>
  <c r="C10" i="12"/>
  <c r="C9" i="12"/>
  <c r="C8" i="12"/>
  <c r="C7" i="12"/>
  <c r="C6" i="12"/>
  <c r="F6" i="12" s="1"/>
  <c r="C5" i="12"/>
  <c r="C4" i="12"/>
  <c r="C3" i="12"/>
  <c r="F3" i="12" s="1"/>
  <c r="C2" i="12"/>
  <c r="F7" i="12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8" i="12" l="1"/>
  <c r="F4" i="12"/>
  <c r="F9" i="12"/>
  <c r="F2" i="12"/>
  <c r="F11" i="12"/>
  <c r="F12" i="12"/>
  <c r="F13" i="12"/>
  <c r="F10" i="12"/>
</calcChain>
</file>

<file path=xl/sharedStrings.xml><?xml version="1.0" encoding="utf-8"?>
<sst xmlns="http://schemas.openxmlformats.org/spreadsheetml/2006/main" count="33036" uniqueCount="8405">
  <si>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</si>
  <si>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</si>
  <si>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</si>
  <si>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</si>
  <si>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</si>
  <si>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</si>
  <si>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</si>
  <si>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</si>
  <si>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</si>
  <si>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</si>
  <si>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</si>
  <si>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</si>
  <si>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</si>
  <si>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</si>
  <si>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</si>
  <si>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</si>
  <si>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</si>
  <si>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</si>
  <si>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</si>
  <si>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</si>
  <si>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</si>
  <si>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</si>
  <si>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</si>
  <si>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</si>
  <si>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</si>
  <si>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</si>
  <si>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</si>
  <si>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</si>
  <si>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</si>
  <si>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</si>
  <si>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</si>
  <si>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</si>
  <si>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</si>
  <si>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</si>
  <si>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</si>
  <si>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</si>
  <si>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</si>
  <si>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</si>
  <si>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</si>
  <si>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</si>
  <si>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</si>
  <si>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</si>
  <si>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</si>
  <si>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</si>
  <si>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</si>
  <si>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</si>
  <si>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</si>
  <si>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</si>
  <si>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</si>
  <si>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</si>
  <si>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</si>
  <si>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</si>
  <si>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</si>
  <si>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</si>
  <si>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</si>
  <si>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</si>
  <si>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</si>
  <si>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</si>
  <si>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</si>
  <si>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</si>
  <si>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</si>
  <si>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</si>
  <si>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</si>
  <si>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</si>
  <si>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</si>
  <si>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</si>
  <si>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</si>
  <si>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</si>
  <si>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</si>
  <si>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</si>
  <si>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</si>
  <si>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</si>
  <si>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</si>
  <si>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</si>
  <si>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</si>
  <si>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</si>
  <si>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</si>
  <si>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</si>
  <si>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</si>
  <si>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</si>
  <si>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</si>
  <si>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</si>
  <si>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</si>
  <si>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</si>
  <si>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</si>
  <si>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</si>
  <si>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</si>
  <si>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</si>
  <si>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</si>
  <si>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</si>
  <si>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</si>
  <si>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</si>
  <si>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</si>
  <si>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</si>
  <si>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</si>
  <si>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</si>
  <si>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</si>
  <si>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</si>
  <si>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</si>
  <si>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</si>
  <si>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</si>
  <si>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</si>
  <si>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</si>
  <si>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</si>
  <si>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</si>
  <si>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</si>
  <si>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</si>
  <si>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</si>
  <si>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</si>
  <si>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</si>
  <si>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</si>
  <si>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</si>
  <si>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</si>
  <si>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</si>
  <si>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</si>
  <si>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</si>
  <si>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</si>
  <si>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</si>
  <si>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</si>
  <si>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</si>
  <si>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</si>
  <si>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</si>
  <si>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</si>
  <si>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</si>
  <si>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</si>
  <si>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</si>
  <si>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</si>
  <si>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</si>
  <si>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</si>
  <si>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</si>
  <si>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</si>
  <si>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</si>
  <si>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</si>
  <si>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</si>
  <si>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</si>
  <si>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</si>
  <si>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</si>
  <si>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</si>
  <si>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</si>
  <si>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</si>
  <si>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</si>
  <si>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</si>
  <si>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</si>
  <si>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</si>
  <si>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</si>
  <si>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</si>
  <si>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</si>
  <si>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</si>
  <si>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</si>
  <si>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</si>
  <si>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</si>
  <si>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</si>
  <si>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</si>
  <si>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</si>
  <si>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</si>
  <si>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</si>
  <si>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</si>
  <si>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</si>
  <si>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</si>
  <si>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</si>
  <si>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</si>
  <si>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</si>
  <si>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</si>
  <si>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</si>
  <si>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</si>
  <si>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</si>
  <si>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</si>
  <si>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</si>
  <si>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</si>
  <si>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</si>
  <si>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</si>
  <si>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</si>
  <si>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</si>
  <si>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</si>
  <si>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</si>
  <si>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</si>
  <si>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</si>
  <si>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</si>
  <si>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</si>
  <si>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</si>
  <si>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</si>
  <si>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</si>
  <si>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</si>
  <si>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</si>
  <si>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</si>
  <si>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</si>
  <si>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</si>
  <si>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</si>
  <si>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</si>
  <si>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</si>
  <si>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</si>
  <si>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</si>
  <si>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</si>
  <si>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</si>
  <si>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</si>
  <si>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</si>
  <si>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</si>
  <si>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</si>
  <si>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</si>
  <si>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</si>
  <si>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</si>
  <si>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</si>
  <si>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</si>
  <si>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</si>
  <si>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</si>
  <si>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</si>
  <si>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</si>
  <si>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</si>
  <si>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</si>
  <si>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</si>
  <si>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</si>
  <si>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</si>
  <si>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</si>
  <si>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</si>
  <si>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</si>
  <si>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</si>
  <si>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</si>
  <si>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</si>
  <si>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</si>
  <si>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</si>
  <si>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</si>
  <si>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</si>
  <si>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</si>
  <si>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</si>
  <si>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</si>
  <si>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</si>
  <si>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</si>
  <si>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</si>
  <si>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</si>
  <si>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</si>
  <si>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</si>
  <si>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</si>
  <si>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</si>
  <si>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</si>
  <si>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</si>
  <si>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</si>
  <si>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</si>
  <si>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</si>
  <si>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</si>
  <si>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</si>
  <si>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</si>
  <si>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</si>
  <si>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</si>
  <si>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</si>
  <si>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</si>
  <si>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</si>
  <si>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</si>
  <si>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</si>
  <si>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</si>
  <si>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</si>
  <si>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</si>
  <si>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</si>
  <si>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</si>
  <si>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</si>
  <si>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</si>
  <si>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</si>
  <si>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</si>
  <si>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</si>
  <si>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</si>
  <si>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</si>
  <si>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</si>
  <si>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</si>
  <si>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</si>
  <si>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</si>
  <si>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</si>
  <si>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</si>
  <si>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</si>
  <si>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</si>
  <si>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</si>
  <si>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</si>
  <si>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</si>
  <si>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</si>
  <si>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</si>
  <si>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</si>
  <si>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</si>
  <si>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</si>
  <si>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</si>
  <si>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</si>
  <si>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</si>
  <si>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</si>
  <si>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</si>
  <si>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</si>
  <si>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</si>
  <si>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</si>
  <si>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</si>
  <si>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</si>
  <si>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</si>
  <si>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</si>
  <si>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</si>
  <si>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</si>
  <si>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</si>
  <si>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</si>
  <si>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</si>
  <si>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</si>
  <si>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</si>
  <si>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</si>
  <si>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</si>
  <si>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</si>
  <si>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</si>
  <si>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</si>
  <si>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</si>
  <si>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</si>
  <si>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</si>
  <si>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</si>
  <si>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</si>
  <si>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</si>
  <si>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</si>
  <si>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</si>
  <si>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</si>
  <si>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</si>
  <si>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</si>
  <si>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</si>
  <si>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</si>
  <si>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</si>
  <si>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</si>
  <si>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</si>
  <si>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</si>
  <si>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</si>
  <si>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</si>
  <si>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</si>
  <si>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</si>
  <si>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</si>
  <si>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</si>
  <si>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</si>
  <si>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</si>
  <si>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</si>
  <si>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</si>
  <si>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</si>
  <si>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</si>
  <si>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</si>
  <si>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</si>
  <si>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</si>
  <si>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</si>
  <si>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</si>
  <si>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</si>
  <si>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</si>
  <si>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</si>
  <si>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</si>
  <si>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</si>
  <si>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</si>
  <si>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</si>
  <si>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</si>
  <si>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</si>
  <si>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</si>
  <si>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</si>
  <si>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</si>
  <si>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</si>
  <si>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</si>
  <si>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</si>
  <si>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</si>
  <si>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</si>
  <si>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</si>
  <si>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</si>
  <si>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</si>
  <si>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</si>
  <si>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</si>
  <si>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</si>
  <si>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</si>
  <si>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</si>
  <si>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</si>
  <si>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</si>
  <si>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</si>
  <si>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</si>
  <si>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</si>
  <si>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</si>
  <si>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</si>
  <si>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</si>
  <si>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</si>
  <si>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</si>
  <si>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</si>
  <si>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</si>
  <si>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</si>
  <si>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</si>
  <si>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</si>
  <si>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</si>
  <si>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</si>
  <si>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</si>
  <si>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</si>
  <si>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</si>
  <si>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</si>
  <si>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</si>
  <si>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</si>
  <si>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</si>
  <si>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</si>
  <si>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</si>
  <si>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</si>
  <si>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</si>
  <si>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</si>
  <si>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</si>
  <si>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</si>
  <si>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</si>
  <si>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</si>
  <si>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</si>
  <si>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</si>
  <si>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</si>
  <si>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</si>
  <si>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</si>
  <si>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</si>
  <si>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</si>
  <si>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</si>
  <si>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</si>
  <si>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</si>
  <si>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</si>
  <si>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</si>
  <si>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</si>
  <si>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</si>
  <si>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</si>
  <si>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</si>
  <si>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</si>
  <si>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</si>
  <si>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</si>
  <si>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</si>
  <si>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</si>
  <si>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</si>
  <si>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</si>
  <si>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</si>
  <si>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</si>
  <si>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</si>
  <si>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</si>
  <si>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</si>
  <si>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</si>
  <si>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</si>
  <si>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</si>
  <si>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</si>
  <si>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</si>
  <si>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</si>
  <si>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</si>
  <si>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</si>
  <si>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</si>
  <si>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</si>
  <si>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</si>
  <si>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</si>
  <si>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</si>
  <si>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</si>
  <si>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</si>
  <si>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</si>
  <si>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</si>
  <si>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</si>
  <si>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</si>
  <si>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</si>
  <si>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</si>
  <si>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</si>
  <si>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</si>
  <si>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</si>
  <si>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</si>
  <si>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</si>
  <si>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</si>
  <si>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</si>
  <si>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</si>
  <si>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</si>
  <si>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</si>
  <si>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</si>
  <si>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</si>
  <si>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</si>
  <si>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</si>
  <si>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</si>
  <si>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</si>
  <si>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</si>
  <si>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</si>
  <si>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</si>
  <si>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</si>
  <si>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</si>
  <si>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</si>
  <si>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</si>
  <si>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</si>
  <si>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</si>
  <si>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</si>
  <si>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</si>
  <si>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</si>
  <si>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</si>
  <si>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</si>
  <si>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</si>
  <si>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</si>
  <si>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</si>
  <si>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</si>
  <si>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</si>
  <si>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</si>
  <si>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</si>
  <si>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</si>
  <si>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</si>
  <si>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</si>
  <si>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</si>
  <si>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</si>
  <si>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</si>
  <si>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</si>
  <si>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</si>
  <si>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</si>
  <si>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</si>
  <si>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</si>
  <si>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</si>
  <si>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</si>
  <si>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</si>
  <si>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</si>
  <si>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</si>
  <si>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</si>
  <si>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</si>
  <si>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</si>
  <si>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</si>
  <si>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</si>
  <si>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</si>
  <si>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</si>
  <si>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</si>
  <si>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</si>
  <si>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</si>
  <si>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</si>
  <si>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</si>
  <si>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</si>
  <si>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</si>
  <si>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</si>
  <si>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</si>
  <si>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</si>
  <si>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</si>
  <si>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</si>
  <si>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</si>
  <si>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</si>
  <si>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</si>
  <si>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</si>
  <si>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</si>
  <si>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</si>
  <si>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</si>
  <si>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</si>
  <si>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</si>
  <si>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</si>
  <si>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</si>
  <si>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</si>
  <si>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</si>
  <si>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</si>
  <si>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</si>
  <si>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</si>
  <si>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</si>
  <si>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</si>
  <si>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</si>
  <si>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</si>
  <si>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</si>
  <si>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</si>
  <si>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</si>
  <si>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</si>
  <si>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</si>
  <si>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</si>
  <si>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</si>
  <si>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</si>
  <si>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</si>
  <si>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</si>
  <si>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</si>
  <si>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</si>
  <si>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</si>
  <si>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</si>
  <si>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</si>
  <si>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</si>
  <si>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</si>
  <si>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</si>
  <si>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</si>
  <si>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</si>
  <si>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</si>
  <si>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</si>
  <si>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</si>
  <si>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</si>
  <si>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</si>
  <si>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</si>
  <si>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</si>
  <si>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</si>
  <si>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</si>
  <si>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</si>
  <si>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</si>
  <si>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</si>
  <si>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</si>
  <si>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</si>
  <si>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</si>
  <si>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</si>
  <si>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</si>
  <si>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</si>
  <si>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</si>
  <si>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</si>
  <si>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</si>
  <si>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</si>
  <si>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</si>
  <si>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</si>
  <si>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</si>
  <si>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</si>
  <si>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</si>
  <si>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</si>
  <si>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</si>
  <si>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</si>
  <si>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</si>
  <si>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</si>
  <si>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</si>
  <si>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</si>
  <si>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</si>
  <si>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</si>
  <si>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</si>
  <si>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</si>
  <si>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</si>
  <si>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</si>
  <si>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</si>
  <si>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</si>
  <si>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</si>
  <si>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</si>
  <si>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</si>
  <si>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</si>
  <si>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</si>
  <si>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</si>
  <si>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</si>
  <si>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</si>
  <si>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</si>
  <si>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</si>
  <si>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</si>
  <si>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</si>
  <si>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</si>
  <si>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</si>
  <si>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</si>
  <si>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</si>
  <si>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</si>
  <si>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</si>
  <si>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</si>
  <si>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</si>
  <si>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</si>
  <si>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</si>
  <si>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</si>
  <si>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</si>
  <si>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</si>
  <si>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</si>
  <si>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</si>
  <si>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</si>
  <si>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</si>
  <si>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</si>
  <si>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</si>
  <si>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</si>
  <si>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</si>
  <si>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</si>
  <si>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</si>
  <si>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</si>
  <si>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</si>
  <si>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</si>
  <si>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</si>
  <si>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</si>
  <si>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</si>
  <si>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</si>
  <si>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</si>
  <si>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</si>
  <si>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</si>
  <si>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</si>
  <si>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</si>
  <si>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</si>
  <si>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</si>
  <si>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</si>
  <si>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</si>
  <si>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</si>
  <si>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</si>
  <si>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</si>
  <si>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</si>
  <si>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</si>
  <si>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</si>
  <si>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</si>
  <si>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</si>
  <si>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</si>
  <si>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</si>
  <si>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</si>
  <si>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</si>
  <si>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</si>
  <si>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</si>
  <si>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</si>
  <si>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</si>
  <si>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</si>
  <si>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</si>
  <si>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</si>
  <si>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</si>
  <si>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</si>
  <si>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</si>
  <si>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</si>
  <si>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</si>
  <si>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</si>
  <si>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</si>
  <si>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</si>
  <si>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</si>
  <si>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</si>
  <si>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</si>
  <si>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</si>
  <si>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</si>
  <si>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</si>
  <si>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</si>
  <si>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</si>
  <si>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</si>
  <si>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</si>
  <si>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</si>
  <si>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</si>
  <si>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</si>
  <si>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</si>
  <si>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</si>
  <si>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</si>
  <si>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</si>
  <si>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</si>
  <si>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</si>
  <si>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</si>
  <si>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</si>
  <si>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</si>
  <si>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</si>
  <si>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</si>
  <si>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</si>
  <si>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</si>
  <si>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</si>
  <si>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</si>
  <si>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</si>
  <si>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</si>
  <si>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</si>
  <si>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</si>
  <si>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</si>
  <si>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</si>
  <si>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</si>
  <si>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</si>
  <si>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</si>
  <si>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</si>
  <si>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</si>
  <si>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</si>
  <si>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</si>
  <si>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</si>
  <si>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</si>
  <si>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</si>
  <si>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</si>
  <si>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</si>
  <si>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</si>
  <si>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</si>
  <si>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</si>
  <si>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</si>
  <si>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</si>
  <si>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</si>
  <si>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</si>
  <si>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</si>
  <si>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</si>
  <si>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</si>
  <si>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</si>
  <si>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</si>
  <si>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</si>
  <si>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</si>
  <si>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</si>
  <si>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</si>
  <si>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</si>
  <si>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</si>
  <si>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</si>
  <si>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</si>
  <si>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</si>
  <si>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</si>
  <si>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</si>
  <si>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</si>
  <si>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</si>
  <si>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</si>
  <si>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</si>
  <si>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</si>
  <si>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</si>
  <si>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</si>
  <si>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</si>
  <si>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</si>
  <si>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</si>
  <si>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</si>
  <si>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</si>
  <si>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</si>
  <si>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</si>
  <si>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</si>
  <si>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</si>
  <si>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</si>
  <si>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</si>
  <si>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</si>
  <si>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</si>
  <si>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</si>
  <si>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</si>
  <si>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</si>
  <si>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</si>
  <si>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</si>
  <si>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</si>
  <si>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</si>
  <si>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</si>
  <si>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</si>
  <si>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</si>
  <si>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</si>
  <si>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</si>
  <si>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</si>
  <si>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</si>
  <si>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</si>
  <si>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</si>
  <si>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</si>
  <si>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</si>
  <si>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</si>
  <si>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</si>
  <si>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</si>
  <si>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</si>
  <si>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</si>
  <si>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</si>
  <si>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</si>
  <si>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</si>
  <si>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</si>
  <si>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</si>
  <si>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</si>
  <si>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</si>
  <si>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</si>
  <si>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</si>
  <si>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</si>
  <si>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</si>
  <si>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</si>
  <si>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</si>
  <si>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</si>
  <si>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</si>
  <si>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</si>
  <si>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</si>
  <si>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</si>
  <si>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</si>
  <si>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</si>
  <si>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</si>
  <si>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</si>
  <si>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</si>
  <si>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</si>
  <si>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</si>
  <si>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</si>
  <si>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</si>
  <si>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</si>
  <si>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</si>
  <si>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</si>
  <si>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</si>
  <si>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</si>
  <si>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</si>
  <si>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</si>
  <si>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</si>
  <si>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</si>
  <si>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</si>
  <si>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</si>
  <si>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</si>
  <si>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</si>
  <si>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</si>
  <si>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</si>
  <si>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</si>
  <si>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</si>
  <si>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</si>
  <si>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</si>
  <si>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</si>
  <si>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</si>
  <si>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</si>
  <si>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</si>
  <si>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</si>
  <si>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</si>
  <si>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</si>
  <si>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</si>
  <si>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</si>
  <si>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</si>
  <si>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</si>
  <si>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</si>
  <si>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</si>
  <si>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</si>
  <si>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</si>
  <si>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</si>
  <si>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</si>
  <si>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</si>
  <si>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</si>
  <si>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</si>
  <si>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</si>
  <si>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</si>
  <si>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</si>
  <si>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</si>
  <si>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</si>
  <si>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</si>
  <si>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</si>
  <si>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</si>
  <si>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</si>
  <si>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</si>
  <si>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</si>
  <si>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</si>
  <si>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</si>
  <si>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</si>
  <si>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</si>
  <si>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</si>
  <si>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</si>
  <si>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</si>
  <si>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</si>
  <si>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</si>
  <si>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</si>
  <si>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</si>
  <si>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</si>
  <si>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</si>
  <si>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</si>
  <si>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</si>
  <si>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</si>
  <si>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</si>
  <si>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</si>
  <si>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</si>
  <si>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</si>
  <si>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</si>
  <si>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</si>
  <si>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</si>
  <si>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</si>
  <si>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</si>
  <si>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</si>
  <si>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</si>
  <si>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</si>
  <si>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</si>
  <si>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</si>
  <si>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</si>
  <si>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</si>
  <si>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</si>
  <si>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</si>
  <si>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</si>
  <si>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</si>
  <si>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</si>
  <si>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</si>
  <si>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</si>
  <si>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</si>
  <si>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</si>
  <si>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</si>
  <si>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</si>
  <si>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</si>
  <si>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</si>
  <si>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</si>
  <si>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</si>
  <si>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</si>
  <si>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</si>
  <si>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</si>
  <si>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</si>
  <si>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</si>
  <si>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</si>
  <si>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</si>
  <si>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</si>
  <si>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</si>
  <si>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</si>
  <si>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</si>
  <si>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</si>
  <si>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</si>
  <si>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</si>
  <si>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</si>
  <si>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</si>
  <si>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</si>
  <si>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</si>
  <si>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</si>
  <si>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</si>
  <si>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</si>
  <si>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</si>
  <si>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</si>
  <si>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</si>
  <si>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</si>
  <si>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</si>
  <si>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</si>
  <si>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</si>
  <si>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</si>
  <si>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</si>
  <si>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</si>
  <si>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</si>
  <si>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</si>
  <si>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</si>
  <si>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</si>
  <si>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</si>
  <si>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</si>
  <si>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</si>
  <si>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</si>
  <si>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</si>
  <si>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</si>
  <si>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</si>
  <si>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</si>
  <si>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</si>
  <si>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</si>
  <si>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</si>
  <si>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</si>
  <si>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</si>
  <si>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</si>
  <si>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</si>
  <si>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</si>
  <si>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</si>
  <si>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</si>
  <si>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</si>
  <si>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</si>
  <si>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</si>
  <si>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</si>
  <si>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</si>
  <si>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</si>
  <si>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</si>
  <si>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</si>
  <si>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</si>
  <si>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</si>
  <si>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</si>
  <si>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</si>
  <si>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</si>
  <si>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</si>
  <si>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</si>
  <si>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</si>
  <si>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</si>
  <si>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</si>
  <si>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</si>
  <si>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</si>
  <si>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</si>
  <si>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</si>
  <si>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</si>
  <si>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</si>
  <si>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</si>
  <si>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</si>
  <si>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</si>
  <si>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</si>
  <si>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</si>
  <si>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</si>
  <si>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</si>
  <si>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</si>
  <si>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</si>
  <si>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</si>
  <si>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</si>
  <si>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</si>
  <si>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</si>
  <si>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</si>
  <si>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</si>
  <si>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</si>
  <si>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</si>
  <si>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</si>
  <si>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</si>
  <si>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</si>
  <si>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</si>
  <si>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</si>
  <si>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</si>
  <si>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</si>
  <si>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</si>
  <si>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</si>
  <si>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</si>
  <si>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</si>
  <si>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</si>
  <si>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</si>
  <si>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</si>
  <si>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</si>
  <si>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</si>
  <si>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</si>
  <si>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</si>
  <si>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</si>
  <si>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</si>
  <si>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</si>
  <si>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</si>
  <si>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</si>
  <si>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</si>
  <si>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</si>
  <si>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</si>
  <si>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</si>
  <si>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</si>
  <si>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</si>
  <si>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</si>
  <si>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</si>
  <si>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</si>
  <si>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</si>
  <si>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</si>
  <si>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</si>
  <si>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</si>
  <si>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</si>
  <si>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</si>
  <si>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</si>
  <si>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</si>
  <si>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</si>
  <si>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</si>
  <si>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</si>
  <si>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</si>
  <si>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</si>
  <si>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</si>
  <si>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</si>
  <si>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</si>
  <si>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</si>
  <si>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</si>
  <si>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</si>
  <si>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</si>
  <si>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</si>
  <si>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</si>
  <si>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</si>
  <si>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</si>
  <si>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</si>
  <si>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</si>
  <si>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</si>
  <si>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</si>
  <si>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</si>
  <si>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</si>
  <si>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</si>
  <si>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</si>
  <si>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</si>
  <si>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</si>
  <si>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</si>
  <si>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</si>
  <si>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</si>
  <si>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</si>
  <si>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</si>
  <si>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</si>
  <si>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</si>
  <si>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</si>
  <si>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</si>
  <si>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</si>
  <si>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</si>
  <si>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</si>
  <si>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</si>
  <si>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</si>
  <si>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</si>
  <si>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</si>
  <si>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</si>
  <si>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</si>
  <si>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</si>
  <si>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</si>
  <si>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</si>
  <si>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</si>
  <si>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</si>
  <si>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</si>
  <si>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</si>
  <si>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</si>
  <si>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</si>
  <si>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</si>
  <si>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</si>
  <si>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</si>
  <si>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</si>
  <si>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</si>
  <si>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</si>
  <si>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</si>
  <si>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</si>
  <si>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</si>
  <si>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</si>
  <si>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</si>
  <si>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</si>
  <si>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</si>
  <si>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</si>
  <si>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</si>
  <si>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</si>
  <si>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</si>
  <si>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</si>
  <si>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</si>
  <si>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</si>
  <si>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</si>
  <si>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</si>
  <si>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</si>
  <si>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</si>
  <si>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</si>
  <si>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</si>
  <si>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</si>
  <si>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</si>
  <si>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</si>
  <si>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</si>
  <si>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</si>
  <si>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</si>
  <si>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</si>
  <si>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</si>
  <si>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</si>
  <si>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</si>
  <si>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</si>
  <si>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</si>
  <si>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</si>
  <si>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</si>
  <si>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</si>
  <si>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</si>
  <si>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</si>
  <si>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</si>
  <si>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</si>
  <si>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</si>
  <si>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</si>
  <si>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</si>
  <si>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</si>
  <si>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</si>
  <si>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</si>
  <si>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</si>
  <si>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</si>
  <si>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</si>
  <si>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</si>
  <si>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</si>
  <si>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</si>
  <si>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</si>
  <si>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</si>
  <si>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</si>
  <si>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</si>
  <si>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</si>
  <si>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</si>
  <si>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</si>
  <si>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</si>
  <si>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</si>
  <si>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</si>
  <si>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</si>
  <si>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</si>
  <si>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</si>
  <si>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</si>
  <si>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</si>
  <si>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</si>
  <si>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</si>
  <si>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</si>
  <si>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</si>
  <si>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</si>
  <si>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</si>
  <si>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</si>
  <si>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</si>
  <si>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</si>
  <si>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</si>
  <si>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</si>
  <si>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</si>
  <si>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</si>
  <si>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</si>
  <si>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</si>
  <si>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</si>
  <si>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</si>
  <si>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</si>
  <si>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</si>
  <si>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</si>
  <si>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</si>
  <si>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</si>
  <si>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</si>
  <si>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</si>
  <si>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</si>
  <si>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</si>
  <si>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</si>
  <si>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</si>
  <si>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</si>
  <si>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</si>
  <si>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</si>
  <si>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</si>
  <si>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</si>
  <si>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</si>
  <si>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</si>
  <si>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</si>
  <si>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</si>
  <si>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</si>
  <si>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</si>
  <si>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</si>
  <si>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</si>
  <si>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</si>
  <si>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</si>
  <si>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</si>
  <si>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</si>
  <si>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</si>
  <si>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</si>
  <si>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</si>
  <si>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</si>
  <si>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</si>
  <si>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</si>
  <si>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</si>
  <si>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</si>
  <si>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</si>
  <si>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</si>
  <si>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</si>
  <si>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</si>
  <si>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</si>
  <si>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</si>
  <si>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</si>
  <si>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</si>
  <si>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</si>
  <si>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</si>
  <si>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</si>
  <si>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</si>
  <si>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</si>
  <si>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</si>
  <si>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</si>
  <si>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</si>
  <si>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</si>
  <si>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</si>
  <si>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</si>
  <si>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</si>
  <si>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</si>
  <si>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</si>
  <si>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</si>
  <si>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</si>
  <si>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</si>
  <si>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</si>
  <si>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</si>
  <si>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</si>
  <si>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</si>
  <si>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</si>
  <si>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</si>
  <si>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</si>
  <si>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</si>
  <si>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</si>
  <si>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</si>
  <si>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</si>
  <si>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</si>
  <si>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</si>
  <si>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</si>
  <si>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</si>
  <si>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</si>
  <si>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</si>
  <si>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</si>
  <si>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</si>
  <si>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</si>
  <si>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</si>
  <si>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</si>
  <si>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</si>
  <si>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</si>
  <si>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</si>
  <si>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</si>
  <si>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</si>
  <si>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</si>
  <si>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</si>
  <si>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</si>
  <si>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</si>
  <si>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</si>
  <si>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</si>
  <si>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</si>
  <si>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</si>
  <si>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</si>
  <si>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</si>
  <si>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</si>
  <si>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</si>
  <si>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</si>
  <si>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</si>
  <si>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</si>
  <si>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</si>
  <si>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</si>
  <si>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</si>
  <si>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</si>
  <si>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</si>
  <si>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</si>
  <si>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</si>
  <si>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</si>
  <si>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</si>
  <si>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</si>
  <si>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</si>
  <si>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</si>
  <si>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</si>
  <si>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</si>
  <si>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</si>
  <si>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</si>
  <si>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</si>
  <si>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</si>
  <si>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</si>
  <si>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</si>
  <si>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</si>
  <si>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</si>
  <si>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</si>
  <si>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</si>
  <si>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</si>
  <si>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</si>
  <si>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</si>
  <si>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</si>
  <si>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</si>
  <si>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</si>
  <si>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</si>
  <si>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</si>
  <si>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</si>
  <si>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</si>
  <si>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</si>
  <si>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</si>
  <si>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</si>
  <si>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</si>
  <si>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</si>
  <si>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</si>
  <si>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</si>
  <si>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</si>
  <si>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</si>
  <si>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</si>
  <si>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</si>
  <si>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</si>
  <si>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</si>
  <si>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</si>
  <si>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</si>
  <si>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</si>
  <si>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</si>
  <si>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</si>
  <si>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</si>
  <si>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</si>
  <si>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</si>
  <si>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</si>
  <si>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</si>
  <si>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</si>
  <si>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</si>
  <si>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</si>
  <si>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</si>
  <si>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</si>
  <si>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</si>
  <si>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</si>
  <si>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</si>
  <si>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</si>
  <si>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</si>
  <si>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</si>
  <si>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</si>
  <si>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</si>
  <si>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</si>
  <si>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</si>
  <si>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</si>
  <si>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</si>
  <si>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</si>
  <si>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</si>
  <si>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</si>
  <si>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</si>
  <si>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</si>
  <si>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</si>
  <si>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</si>
  <si>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</si>
  <si>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</si>
  <si>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</si>
  <si>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</si>
  <si>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</si>
  <si>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</si>
  <si>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</si>
  <si>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</si>
  <si>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</si>
  <si>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</si>
  <si>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</si>
  <si>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</si>
  <si>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</si>
  <si>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</si>
  <si>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</si>
  <si>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</si>
  <si>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</si>
  <si>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</si>
  <si>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</si>
  <si>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</si>
  <si>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</si>
  <si>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</si>
  <si>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</si>
  <si>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</si>
  <si>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</si>
  <si>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</si>
  <si>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</si>
  <si>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</si>
  <si>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</si>
  <si>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</si>
  <si>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</si>
  <si>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</si>
  <si>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</si>
  <si>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</si>
  <si>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</si>
  <si>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</si>
  <si>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</si>
  <si>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</si>
  <si>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</si>
  <si>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</si>
  <si>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</si>
  <si>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</si>
  <si>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</si>
  <si>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</si>
  <si>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</si>
  <si>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</si>
  <si>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</si>
  <si>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</si>
  <si>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</si>
  <si>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</si>
  <si>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</si>
  <si>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</si>
  <si>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</si>
  <si>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</si>
  <si>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</si>
  <si>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</si>
  <si>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</si>
  <si>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</si>
  <si>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</si>
  <si>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</si>
  <si>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</si>
  <si>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</si>
  <si>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</si>
  <si>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</si>
  <si>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</si>
  <si>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</si>
  <si>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</si>
  <si>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</si>
  <si>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</si>
  <si>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</si>
  <si>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</si>
  <si>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</si>
  <si>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</si>
  <si>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</si>
  <si>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</si>
  <si>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</si>
  <si>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</si>
  <si>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</si>
  <si>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</si>
  <si>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</si>
  <si>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</si>
  <si>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</si>
  <si>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</si>
  <si>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</si>
  <si>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</si>
  <si>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</si>
  <si>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</si>
  <si>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</si>
  <si>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</si>
  <si>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</si>
  <si>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</si>
  <si>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</si>
  <si>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</si>
  <si>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</si>
  <si>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</si>
  <si>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</si>
  <si>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</si>
  <si>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</si>
  <si>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</si>
  <si>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</si>
  <si>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</si>
  <si>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</si>
  <si>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</si>
  <si>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</si>
  <si>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</si>
  <si>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</si>
  <si>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</si>
  <si>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</si>
  <si>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</si>
  <si>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</si>
  <si>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</si>
  <si>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</si>
  <si>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</si>
  <si>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</si>
  <si>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</si>
  <si>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</si>
  <si>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</si>
  <si>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</si>
  <si>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</si>
  <si>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</si>
  <si>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</si>
  <si>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</si>
  <si>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</si>
  <si>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</si>
  <si>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</si>
  <si>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</si>
  <si>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</si>
  <si>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</si>
  <si>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</si>
  <si>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</si>
  <si>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</si>
  <si>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</si>
  <si>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</si>
  <si>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</si>
  <si>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</si>
  <si>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</si>
  <si>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</si>
  <si>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</si>
  <si>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</si>
  <si>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</si>
  <si>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</si>
  <si>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</si>
  <si>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</si>
  <si>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</si>
  <si>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</si>
  <si>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</si>
  <si>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</si>
  <si>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</si>
  <si>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</si>
  <si>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</si>
  <si>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</si>
  <si>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</si>
  <si>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</si>
  <si>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</si>
  <si>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</si>
  <si>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</si>
  <si>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</si>
  <si>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</si>
  <si>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</si>
  <si>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</si>
  <si>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</si>
  <si>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</si>
  <si>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</si>
  <si>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</si>
  <si>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</si>
  <si>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</si>
  <si>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</si>
  <si>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</si>
  <si>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</si>
  <si>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</si>
  <si>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</si>
  <si>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</si>
  <si>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</si>
  <si>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</si>
  <si>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</si>
  <si>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</si>
  <si>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</si>
  <si>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</si>
  <si>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</si>
  <si>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</si>
  <si>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</si>
  <si>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</si>
  <si>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</si>
  <si>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</si>
  <si>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</si>
  <si>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</si>
  <si>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</si>
  <si>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</si>
  <si>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</si>
  <si>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</si>
  <si>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</si>
  <si>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</si>
  <si>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</si>
  <si>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</si>
  <si>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</si>
  <si>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</si>
  <si>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</si>
  <si>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</si>
  <si>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</si>
  <si>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</si>
  <si>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</si>
  <si>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</si>
  <si>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</si>
  <si>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</si>
  <si>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</si>
  <si>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</si>
  <si>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</si>
  <si>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</si>
  <si>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</si>
  <si>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</si>
  <si>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</si>
  <si>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</si>
  <si>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</si>
  <si>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</si>
  <si>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</si>
  <si>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</si>
  <si>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</si>
  <si>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</si>
  <si>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</si>
  <si>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</si>
  <si>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</si>
  <si>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</si>
  <si>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</si>
  <si>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</si>
  <si>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</si>
  <si>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</si>
  <si>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</si>
  <si>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</si>
  <si>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</si>
  <si>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</si>
  <si>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</si>
  <si>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</si>
  <si>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</si>
  <si>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</si>
  <si>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</si>
  <si>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</si>
  <si>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</si>
  <si>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</si>
  <si>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</si>
  <si>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</si>
  <si>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</si>
  <si>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</si>
  <si>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</si>
  <si>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</si>
  <si>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</si>
  <si>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</si>
  <si>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</si>
  <si>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</si>
  <si>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</si>
  <si>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</si>
  <si>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</si>
  <si>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</si>
  <si>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</si>
  <si>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</si>
  <si>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</si>
  <si>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</si>
  <si>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</si>
  <si>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</si>
  <si>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</si>
  <si>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</si>
  <si>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</si>
  <si>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</si>
  <si>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</si>
  <si>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</si>
  <si>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</si>
  <si>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</si>
  <si>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</si>
  <si>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</si>
  <si>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</si>
  <si>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</si>
  <si>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</si>
  <si>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</si>
  <si>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</si>
  <si>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</si>
  <si>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</si>
  <si>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</si>
  <si>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</si>
  <si>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</si>
  <si>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</si>
  <si>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</si>
  <si>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</si>
  <si>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</si>
  <si>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</si>
  <si>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</si>
  <si>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</si>
  <si>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</si>
  <si>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</si>
  <si>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</si>
  <si>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</si>
  <si>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</si>
  <si>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</si>
  <si>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</si>
  <si>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</si>
  <si>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</si>
  <si>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</si>
  <si>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</si>
  <si>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</si>
  <si>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</si>
  <si>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</si>
  <si>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</si>
  <si>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</si>
  <si>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</si>
  <si>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</si>
  <si>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</si>
  <si>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</si>
  <si>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</si>
  <si>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</si>
  <si>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</si>
  <si>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</si>
  <si>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</si>
  <si>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</si>
  <si>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</si>
  <si>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</si>
  <si>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</si>
  <si>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</si>
  <si>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</si>
  <si>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</si>
  <si>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</si>
  <si>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</si>
  <si>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</si>
  <si>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</si>
  <si>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</si>
  <si>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</si>
  <si>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</si>
  <si>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</si>
  <si>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</si>
  <si>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</si>
  <si>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</si>
  <si>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</si>
  <si>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</si>
  <si>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</si>
  <si>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</si>
  <si>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</si>
  <si>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</si>
  <si>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</si>
  <si>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</si>
  <si>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</si>
  <si>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</si>
  <si>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</si>
  <si>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</si>
  <si>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</si>
  <si>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</si>
  <si>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</si>
  <si>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</si>
  <si>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</si>
  <si>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</si>
  <si>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</si>
  <si>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</si>
  <si>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</si>
  <si>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</si>
  <si>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</si>
  <si>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</si>
  <si>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</si>
  <si>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</si>
  <si>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</si>
  <si>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</si>
  <si>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</si>
  <si>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</si>
  <si>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</si>
  <si>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</si>
  <si>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</si>
  <si>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</si>
  <si>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</si>
  <si>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</si>
  <si>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</si>
  <si>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</si>
  <si>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</si>
  <si>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</si>
  <si>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</si>
  <si>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</si>
  <si>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</si>
  <si>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</si>
  <si>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</si>
  <si>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</si>
  <si>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</si>
  <si>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</si>
  <si>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</si>
  <si>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</si>
  <si>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</si>
  <si>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</si>
  <si>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</si>
  <si>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</si>
  <si>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</si>
  <si>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</si>
  <si>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</si>
  <si>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</si>
  <si>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</si>
  <si>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</si>
  <si>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</si>
  <si>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</si>
  <si>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</si>
  <si>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</si>
  <si>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</si>
  <si>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</si>
  <si>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</si>
  <si>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</si>
  <si>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</si>
  <si>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</si>
  <si>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</si>
  <si>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</si>
  <si>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</si>
  <si>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</si>
  <si>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</si>
  <si>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</si>
  <si>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</si>
  <si>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</si>
  <si>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</si>
  <si>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</si>
  <si>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</si>
  <si>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</si>
  <si>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</si>
  <si>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</si>
  <si>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</si>
  <si>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</si>
  <si>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</si>
  <si>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</si>
  <si>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</si>
  <si>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</si>
  <si>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</si>
  <si>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</si>
  <si>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</si>
  <si>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</si>
  <si>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</si>
  <si>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</si>
  <si>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</si>
  <si>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</si>
  <si>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</si>
  <si>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</si>
  <si>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</si>
  <si>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</si>
  <si>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</si>
  <si>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</si>
  <si>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</si>
  <si>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</si>
  <si>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</si>
  <si>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</si>
  <si>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</si>
  <si>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</si>
  <si>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</si>
  <si>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</si>
  <si>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</si>
  <si>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</si>
  <si>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</si>
  <si>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</si>
  <si>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</si>
  <si>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</si>
  <si>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</si>
  <si>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</si>
  <si>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</si>
  <si>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</si>
  <si>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</si>
  <si>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</si>
  <si>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</si>
  <si>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</si>
  <si>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</si>
  <si>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</si>
  <si>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</si>
  <si>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</si>
  <si>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</si>
  <si>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</si>
  <si>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</si>
  <si>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</si>
  <si>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</si>
  <si>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</si>
  <si>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</si>
  <si>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</si>
  <si>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</si>
  <si>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</si>
  <si>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</si>
  <si>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</si>
  <si>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</si>
  <si>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</si>
  <si>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</si>
  <si>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</si>
  <si>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</si>
  <si>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</si>
  <si>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</si>
  <si>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</si>
  <si>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</si>
  <si>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</si>
  <si>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</si>
  <si>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</si>
  <si>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</si>
  <si>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</si>
  <si>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</si>
  <si>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</si>
  <si>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</si>
  <si>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</si>
  <si>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</si>
  <si>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</si>
  <si>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</si>
  <si>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</si>
  <si>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</si>
  <si>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</si>
  <si>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</si>
  <si>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</si>
  <si>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</si>
  <si>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</si>
  <si>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</si>
  <si>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</si>
  <si>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</si>
  <si>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</si>
  <si>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</si>
  <si>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</si>
  <si>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</si>
  <si>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</si>
  <si>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</si>
  <si>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</si>
  <si>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</si>
  <si>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</si>
  <si>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</si>
  <si>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</si>
  <si>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</si>
  <si>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</si>
  <si>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</si>
  <si>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</si>
  <si>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</si>
  <si>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</si>
  <si>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</si>
  <si>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</si>
  <si>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</si>
  <si>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</si>
  <si>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</si>
  <si>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</si>
  <si>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</si>
  <si>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</si>
  <si>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</si>
  <si>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</si>
  <si>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</si>
  <si>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</si>
  <si>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</si>
  <si>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</si>
  <si>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</si>
  <si>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</si>
  <si>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</si>
  <si>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</si>
  <si>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</si>
  <si>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</si>
  <si>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</si>
  <si>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</si>
  <si>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</si>
  <si>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</si>
  <si>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</si>
  <si>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</si>
  <si>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</si>
  <si>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</si>
  <si>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</si>
  <si>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</si>
  <si>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</si>
  <si>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</si>
  <si>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</si>
  <si>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</si>
  <si>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</si>
  <si>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</si>
  <si>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</si>
  <si>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</si>
  <si>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</si>
  <si>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</si>
  <si>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</si>
  <si>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</si>
  <si>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</si>
  <si>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</si>
  <si>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</si>
  <si>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</si>
  <si>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</si>
  <si>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</si>
  <si>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</si>
  <si>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</si>
  <si>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</si>
  <si>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</si>
  <si>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</si>
  <si>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</si>
  <si>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</si>
  <si>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</si>
  <si>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</si>
  <si>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</si>
  <si>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</si>
  <si>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</si>
  <si>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</si>
  <si>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</si>
  <si>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</si>
  <si>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</si>
  <si>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</si>
  <si>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</si>
  <si>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</si>
  <si>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</si>
  <si>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</si>
  <si>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</si>
  <si>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</si>
  <si>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</si>
  <si>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</si>
  <si>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</si>
  <si>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</si>
  <si>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</si>
  <si>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</si>
  <si>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</si>
  <si>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</si>
  <si>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</si>
  <si>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</si>
  <si>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</si>
  <si>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</si>
  <si>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</si>
  <si>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</si>
  <si>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</si>
  <si>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</si>
  <si>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</si>
  <si>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</si>
  <si>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</si>
  <si>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</si>
  <si>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</si>
  <si>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</si>
  <si>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</si>
  <si>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</si>
  <si>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</si>
  <si>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</si>
  <si>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</si>
  <si>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</si>
  <si>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</si>
  <si>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</si>
  <si>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</si>
  <si>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</si>
  <si>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</si>
  <si>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</si>
  <si>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</si>
  <si>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</si>
  <si>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</si>
  <si>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</si>
  <si>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</si>
  <si>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</si>
  <si>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</si>
  <si>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</si>
  <si>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</si>
  <si>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</si>
  <si>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</si>
  <si>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</si>
  <si>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</si>
  <si>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</si>
  <si>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</si>
  <si>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</si>
  <si>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</si>
  <si>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</si>
  <si>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</si>
  <si>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</si>
  <si>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</si>
  <si>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</si>
  <si>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</si>
  <si>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</si>
  <si>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</si>
  <si>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</si>
  <si>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</si>
  <si>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</si>
  <si>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</si>
  <si>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</si>
  <si>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</si>
  <si>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</si>
  <si>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</si>
  <si>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</si>
  <si>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</si>
  <si>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</si>
  <si>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</si>
  <si>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</si>
  <si>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</si>
  <si>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</si>
  <si>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</si>
  <si>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</si>
  <si>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</si>
  <si>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</si>
  <si>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</si>
  <si>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</si>
  <si>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</si>
  <si>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</si>
  <si>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</si>
  <si>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</si>
  <si>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</si>
  <si>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</si>
  <si>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</si>
  <si>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</si>
  <si>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</si>
  <si>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</si>
  <si>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</si>
  <si>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</si>
  <si>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</si>
  <si>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</si>
  <si>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</si>
  <si>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</si>
  <si>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</si>
  <si>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</si>
  <si>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</si>
  <si>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</si>
  <si>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</si>
  <si>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</si>
  <si>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</si>
  <si>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</si>
  <si>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</si>
  <si>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</si>
  <si>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</si>
  <si>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</si>
  <si>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</si>
  <si>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</si>
  <si>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</si>
  <si>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</si>
  <si>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</si>
  <si>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</si>
  <si>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</si>
  <si>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</si>
  <si>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</si>
  <si>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</si>
  <si>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</si>
  <si>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</si>
  <si>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</si>
  <si>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</si>
  <si>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</si>
  <si>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</si>
  <si>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</si>
  <si>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</si>
  <si>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</si>
  <si>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</si>
  <si>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</si>
  <si>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</si>
  <si>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</si>
  <si>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</si>
  <si>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</si>
  <si>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</si>
  <si>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</si>
  <si>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</si>
  <si>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</si>
  <si>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</si>
  <si>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</si>
  <si>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</si>
  <si>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</si>
  <si>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</si>
  <si>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</si>
  <si>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</si>
  <si>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</si>
  <si>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</si>
  <si>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</si>
  <si>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</si>
  <si>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</si>
  <si>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</si>
  <si>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</si>
  <si>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</si>
  <si>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</si>
  <si>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</si>
  <si>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</si>
  <si>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</si>
  <si>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</si>
  <si>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</si>
  <si>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</si>
  <si>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</si>
  <si>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</si>
  <si>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</si>
  <si>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</si>
  <si>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</si>
  <si>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</si>
  <si>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</si>
  <si>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</si>
  <si>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</si>
  <si>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</si>
  <si>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</si>
  <si>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</si>
  <si>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</si>
  <si>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</si>
  <si>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</si>
  <si>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</si>
  <si>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</si>
  <si>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</si>
  <si>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</si>
  <si>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</si>
  <si>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</si>
  <si>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</si>
  <si>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</si>
  <si>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</si>
  <si>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</si>
  <si>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</si>
  <si>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</si>
  <si>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</si>
  <si>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</si>
  <si>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</si>
  <si>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</si>
  <si>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</si>
  <si>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</si>
  <si>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</si>
  <si>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</si>
  <si>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</si>
  <si>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</si>
  <si>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</si>
  <si>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</si>
  <si>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</si>
  <si>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</si>
  <si>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</si>
  <si>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</si>
  <si>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</si>
  <si>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</si>
  <si>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</si>
  <si>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</si>
  <si>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</si>
  <si>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</si>
  <si>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</si>
  <si>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</si>
  <si>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</si>
  <si>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</si>
  <si>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</si>
  <si>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</si>
  <si>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</si>
  <si>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</si>
  <si>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</si>
  <si>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</si>
  <si>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</si>
  <si>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</si>
  <si>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</si>
  <si>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</si>
  <si>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</si>
  <si>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</si>
  <si>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</si>
  <si>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</si>
  <si>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</si>
  <si>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</si>
  <si>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</si>
  <si>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</si>
  <si>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</si>
  <si>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</si>
  <si>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</si>
  <si>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</si>
  <si>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</si>
  <si>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</si>
  <si>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</si>
  <si>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</si>
  <si>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</si>
  <si>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</si>
  <si>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</si>
  <si>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</si>
  <si>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</si>
  <si>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</si>
  <si>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</si>
  <si>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</si>
  <si>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</si>
  <si>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</si>
  <si>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</si>
  <si>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</si>
  <si>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</si>
  <si>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</si>
  <si>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</si>
  <si>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</si>
  <si>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</si>
  <si>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</si>
  <si>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</si>
  <si>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</si>
  <si>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</si>
  <si>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</si>
  <si>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</si>
  <si>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</si>
  <si>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</si>
  <si>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</si>
  <si>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</si>
  <si>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</si>
  <si>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</si>
  <si>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</si>
  <si>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</si>
  <si>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</si>
  <si>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</si>
  <si>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</si>
  <si>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</si>
  <si>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</si>
  <si>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</si>
  <si>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</si>
  <si>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</si>
  <si>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</si>
  <si>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</si>
  <si>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</si>
  <si>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</si>
  <si>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</si>
  <si>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</si>
  <si>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</si>
  <si>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</si>
  <si>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</si>
  <si>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</si>
  <si>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</si>
  <si>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</si>
  <si>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</si>
  <si>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</si>
  <si>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</si>
  <si>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</si>
  <si>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</si>
  <si>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</si>
  <si>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</si>
  <si>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</si>
  <si>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</si>
  <si>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</si>
  <si>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</si>
  <si>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</si>
  <si>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</si>
  <si>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</si>
  <si>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</si>
  <si>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</si>
  <si>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</si>
  <si>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</si>
  <si>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</si>
  <si>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</si>
  <si>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</si>
  <si>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</si>
  <si>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</si>
  <si>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</si>
  <si>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</si>
  <si>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</si>
  <si>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</si>
  <si>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</si>
  <si>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</si>
  <si>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</si>
  <si>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</si>
  <si>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</si>
  <si>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</si>
  <si>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</si>
  <si>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</si>
  <si>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</si>
  <si>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</si>
  <si>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</si>
  <si>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</si>
  <si>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</si>
  <si>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</si>
  <si>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</si>
  <si>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</si>
  <si>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</si>
  <si>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</si>
  <si>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</si>
  <si>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</si>
  <si>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</si>
  <si>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</si>
  <si>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</si>
  <si>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</si>
  <si>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</si>
  <si>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</si>
  <si>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</si>
  <si>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</si>
  <si>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</si>
  <si>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</si>
  <si>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</si>
  <si>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</si>
  <si>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</si>
  <si>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</si>
  <si>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</si>
  <si>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</si>
  <si>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</si>
  <si>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</si>
  <si>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</si>
  <si>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</si>
  <si>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</si>
  <si>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</si>
  <si>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</si>
  <si>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</si>
  <si>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</si>
  <si>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</si>
  <si>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</si>
  <si>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</si>
  <si>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</si>
  <si>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</si>
  <si>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</si>
  <si>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</si>
  <si>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</si>
  <si>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</si>
  <si>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</si>
  <si>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</si>
  <si>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</si>
  <si>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</si>
  <si>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</si>
  <si>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</si>
  <si>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</si>
  <si>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</si>
  <si>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</si>
  <si>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</si>
  <si>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</si>
  <si>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</si>
  <si>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</si>
  <si>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</si>
  <si>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</si>
  <si>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</si>
  <si>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</si>
  <si>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</si>
  <si>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</si>
  <si>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</si>
  <si>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</si>
  <si>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</si>
  <si>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</si>
  <si>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</si>
  <si>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</si>
  <si>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</si>
  <si>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</si>
  <si>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</si>
  <si>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</si>
  <si>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</si>
  <si>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</si>
  <si>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</si>
  <si>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</si>
  <si>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</si>
  <si>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</si>
  <si>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</si>
  <si>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</si>
  <si>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</si>
  <si>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</si>
  <si>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</si>
  <si>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</si>
  <si>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</si>
  <si>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</si>
  <si>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</si>
  <si>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</si>
  <si>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</si>
  <si>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</si>
  <si>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</si>
  <si>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</si>
  <si>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</si>
  <si>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</si>
  <si>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</si>
  <si>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</si>
  <si>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</si>
  <si>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</si>
  <si>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</si>
  <si>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</si>
  <si>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</si>
  <si>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</si>
  <si>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</si>
  <si>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</si>
  <si>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</si>
  <si>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</si>
  <si>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</si>
  <si>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</si>
  <si>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</si>
  <si>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</si>
  <si>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</si>
  <si>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</si>
  <si>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</si>
  <si>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</si>
  <si>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</si>
  <si>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</si>
  <si>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</si>
  <si>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</si>
  <si>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</si>
  <si>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</si>
  <si>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</si>
  <si>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</si>
  <si>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</si>
  <si>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</si>
  <si>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</si>
  <si>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</si>
  <si>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</si>
  <si>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</si>
  <si>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</si>
  <si>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</si>
  <si>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</si>
  <si>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</si>
  <si>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</si>
  <si>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</si>
  <si>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</si>
  <si>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</si>
  <si>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</si>
  <si>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</si>
  <si>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</si>
  <si>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</si>
  <si>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</si>
  <si>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</si>
  <si>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</si>
  <si>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</si>
  <si>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</si>
  <si>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</si>
  <si>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</si>
  <si>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</si>
  <si>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</si>
  <si>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</si>
  <si>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</si>
  <si>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</si>
  <si>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</si>
  <si>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</si>
  <si>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</si>
  <si>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</si>
  <si>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</si>
  <si>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</si>
  <si>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</si>
  <si>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</si>
  <si>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</si>
  <si>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</si>
  <si>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</si>
  <si>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</si>
  <si>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</si>
  <si>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</si>
  <si>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</si>
  <si>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</si>
  <si>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</si>
  <si>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</si>
  <si>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</si>
  <si>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</si>
  <si>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</si>
  <si>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</si>
  <si>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</si>
  <si>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</si>
  <si>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</si>
  <si>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</si>
  <si>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</si>
  <si>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</si>
  <si>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</si>
  <si>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</si>
  <si>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</si>
  <si>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</si>
  <si>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</si>
  <si>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</si>
  <si>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</si>
  <si>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</si>
  <si>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</si>
  <si>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</si>
  <si>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</si>
  <si>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</si>
  <si>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</si>
  <si>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</si>
  <si>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</si>
  <si>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</si>
  <si>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</si>
  <si>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</si>
  <si>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</si>
  <si>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</si>
  <si>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</si>
  <si>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</si>
  <si>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</si>
  <si>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</si>
  <si>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</si>
  <si>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</si>
  <si>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</si>
  <si>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</si>
  <si>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</si>
  <si>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</si>
  <si>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</si>
  <si>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</si>
  <si>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</si>
  <si>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</si>
  <si>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</si>
  <si>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</si>
  <si>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</si>
  <si>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</si>
  <si>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</si>
  <si>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</si>
  <si>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</si>
  <si>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</si>
  <si>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</si>
  <si>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</si>
  <si>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</si>
  <si>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</si>
  <si>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</si>
  <si>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</si>
  <si>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</si>
  <si>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</si>
  <si>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</si>
  <si>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</si>
  <si>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</si>
  <si>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</si>
  <si>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</si>
  <si>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</si>
  <si>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</si>
  <si>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</si>
  <si>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</si>
  <si>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</si>
  <si>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</si>
  <si>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</si>
  <si>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</si>
  <si>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</si>
  <si>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</si>
  <si>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</si>
  <si>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</si>
  <si>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</si>
  <si>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</si>
  <si>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</si>
  <si>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</si>
  <si>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</si>
  <si>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</si>
  <si>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</si>
  <si>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</si>
  <si>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</si>
  <si>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</si>
  <si>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</si>
  <si>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</si>
  <si>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</si>
  <si>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</si>
  <si>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</si>
  <si>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</si>
  <si>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</si>
  <si>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</si>
  <si>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</si>
  <si>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</si>
  <si>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</si>
  <si>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</si>
  <si>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</si>
  <si>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</si>
  <si>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</si>
  <si>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</si>
  <si>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</si>
  <si>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</si>
  <si>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</si>
  <si>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</si>
  <si>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</si>
  <si>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</si>
  <si>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</si>
  <si>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</si>
  <si>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</si>
  <si>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</si>
  <si>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</si>
  <si>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</si>
  <si>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</si>
  <si>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</si>
  <si>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</si>
  <si>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</si>
  <si>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</si>
  <si>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</si>
  <si>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</si>
  <si>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</si>
  <si>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</si>
  <si>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</si>
  <si>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</si>
  <si>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</si>
  <si>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</si>
  <si>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</si>
  <si>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</si>
  <si>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</si>
  <si>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</si>
  <si>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</si>
  <si>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</si>
  <si>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</si>
  <si>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</si>
  <si>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</si>
  <si>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</si>
  <si>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</si>
  <si>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</si>
  <si>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</si>
  <si>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</si>
  <si>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</si>
  <si>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</si>
  <si>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</si>
  <si>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</si>
  <si>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</si>
  <si>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</si>
  <si>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</si>
  <si>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</si>
  <si>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</si>
  <si>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</si>
  <si>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</si>
  <si>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</si>
  <si>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</si>
  <si>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</si>
  <si>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</si>
  <si>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</si>
  <si>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</si>
  <si>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</si>
  <si>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</si>
  <si>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</si>
  <si>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</si>
  <si>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</si>
  <si>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</si>
  <si>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</si>
  <si>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</si>
  <si>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</si>
  <si>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</si>
  <si>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</si>
  <si>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</si>
  <si>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</si>
  <si>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</si>
  <si>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</si>
  <si>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</si>
  <si>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</si>
  <si>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</si>
  <si>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</si>
  <si>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</si>
  <si>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</si>
  <si>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</si>
  <si>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</si>
  <si>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</si>
  <si>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</si>
  <si>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</si>
  <si>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</si>
  <si>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</si>
  <si>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</si>
  <si>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</si>
  <si>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</si>
  <si>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</si>
  <si>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</si>
  <si>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</si>
  <si>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</si>
  <si>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</si>
  <si>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</si>
  <si>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</si>
  <si>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</si>
  <si>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</si>
  <si>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</si>
  <si>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</si>
  <si>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</si>
  <si>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</si>
  <si>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</si>
  <si>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</si>
  <si>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</si>
  <si>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</si>
  <si>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</si>
  <si>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</si>
  <si>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</si>
  <si>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</si>
  <si>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</si>
  <si>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</si>
  <si>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</si>
  <si>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</si>
  <si>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</si>
  <si>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</si>
  <si>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</si>
  <si>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</si>
  <si>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</si>
  <si>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</si>
  <si>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</si>
  <si>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</si>
  <si>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</si>
  <si>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</si>
  <si>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</si>
  <si>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</si>
  <si>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</si>
  <si>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</si>
  <si>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</si>
  <si>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</si>
  <si>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</si>
  <si>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</si>
  <si>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</si>
  <si>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</si>
  <si>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</si>
  <si>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</si>
  <si>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</si>
  <si>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</si>
  <si>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</si>
  <si>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</si>
  <si>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</si>
  <si>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</si>
  <si>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</si>
  <si>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</si>
  <si>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</si>
  <si>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</si>
  <si>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</si>
  <si>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</si>
  <si>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</si>
  <si>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</si>
  <si>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</si>
  <si>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</si>
  <si>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</si>
  <si>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</si>
  <si>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</si>
  <si>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</si>
  <si>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</si>
  <si>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</si>
  <si>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</si>
  <si>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</si>
  <si>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</si>
  <si>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</si>
  <si>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</si>
  <si>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</si>
  <si>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</si>
  <si>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</si>
  <si>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</si>
  <si>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</si>
  <si>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</si>
  <si>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</si>
  <si>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</si>
  <si>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</si>
  <si>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</si>
  <si>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</si>
  <si>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</si>
  <si>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</si>
  <si>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</si>
  <si>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</si>
  <si>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</si>
  <si>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</si>
  <si>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</si>
  <si>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</si>
  <si>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</si>
  <si>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</si>
  <si>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</si>
  <si>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</si>
  <si>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</si>
  <si>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</si>
  <si>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</si>
  <si>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</si>
  <si>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</si>
  <si>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</si>
  <si>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</si>
  <si>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</si>
  <si>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</si>
  <si>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</si>
  <si>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</si>
  <si>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</si>
  <si>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</si>
  <si>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</si>
  <si>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</si>
  <si>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</si>
  <si>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</si>
  <si>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</si>
  <si>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</si>
  <si>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</si>
  <si>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</si>
  <si>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</si>
  <si>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</si>
  <si>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</si>
  <si>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</si>
  <si>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</si>
  <si>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</si>
  <si>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</si>
  <si>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</si>
  <si>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</si>
  <si>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</si>
  <si>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</si>
  <si>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</si>
  <si>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</si>
  <si>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</si>
  <si>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</si>
  <si>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</si>
  <si>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</si>
  <si>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</si>
  <si>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</si>
  <si>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</si>
  <si>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</si>
  <si>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</si>
  <si>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</si>
  <si>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</si>
  <si>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</si>
  <si>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</si>
  <si>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</si>
  <si>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</si>
  <si>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</si>
  <si>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</si>
  <si>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</si>
  <si>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</si>
  <si>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</si>
  <si>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</si>
  <si>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</si>
  <si>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</si>
  <si>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</si>
  <si>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</si>
  <si>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</si>
  <si>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</si>
  <si>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</si>
  <si>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</si>
  <si>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</si>
  <si>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</si>
  <si>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</si>
  <si>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</si>
  <si>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</si>
  <si>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</si>
  <si>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</si>
  <si>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</si>
  <si>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</si>
  <si>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</si>
  <si>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</si>
  <si>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</si>
  <si>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</si>
  <si>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</si>
  <si>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</si>
  <si>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</si>
  <si>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</si>
  <si>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</si>
  <si>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</si>
  <si>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</si>
  <si>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</si>
  <si>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</si>
  <si>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</si>
  <si>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</si>
  <si>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</si>
  <si>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</si>
  <si>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</si>
  <si>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</si>
  <si>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</si>
  <si>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</si>
  <si>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</si>
  <si>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</si>
  <si>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</si>
  <si>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</si>
  <si>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</si>
  <si>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</si>
  <si>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</si>
  <si>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</si>
  <si>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</si>
  <si>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</si>
  <si>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</si>
  <si>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</si>
  <si>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</si>
  <si>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</si>
  <si>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</si>
  <si>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</si>
  <si>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</si>
  <si>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</si>
  <si>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</si>
  <si>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</si>
  <si>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</si>
  <si>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</si>
  <si>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</si>
  <si>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</si>
  <si>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</si>
  <si>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</si>
  <si>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</si>
  <si>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</si>
  <si>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</si>
  <si>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</si>
  <si>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</si>
  <si>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</si>
  <si>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</si>
  <si>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</si>
  <si>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</si>
  <si>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</si>
  <si>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</si>
  <si>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</si>
  <si>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</si>
  <si>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</si>
  <si>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</si>
  <si>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</si>
  <si>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</si>
  <si>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</si>
  <si>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</si>
  <si>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</si>
  <si>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</si>
  <si>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</si>
  <si>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</si>
  <si>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</si>
  <si>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</si>
  <si>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</si>
  <si>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</si>
  <si>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</si>
  <si>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</si>
  <si>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</si>
  <si>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</si>
  <si>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</si>
  <si>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</si>
  <si>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</si>
  <si>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</si>
  <si>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</si>
  <si>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</si>
  <si>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</si>
  <si>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</si>
  <si>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</si>
  <si>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</si>
  <si>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</si>
  <si>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</si>
  <si>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</si>
  <si>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</si>
  <si>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</si>
  <si>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</si>
  <si>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</si>
  <si>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</si>
  <si>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</si>
  <si>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</si>
  <si>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</si>
  <si>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</si>
  <si>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</si>
  <si>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</si>
  <si>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</si>
  <si>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</si>
  <si>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</si>
  <si>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</si>
  <si>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</si>
  <si>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</si>
  <si>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</si>
  <si>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</si>
  <si>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</si>
  <si>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</si>
  <si>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</si>
  <si>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</si>
  <si>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</si>
  <si>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</si>
  <si>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</si>
  <si>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</si>
  <si>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</si>
  <si>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</si>
  <si>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</si>
  <si>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</si>
  <si>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</si>
  <si>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</si>
  <si>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</si>
  <si>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</si>
  <si>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</si>
  <si>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</si>
  <si>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</si>
  <si>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</si>
  <si>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</si>
  <si>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</si>
  <si>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</si>
  <si>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</si>
  <si>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</si>
  <si>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</si>
  <si>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</si>
  <si>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</si>
  <si>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</si>
  <si>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</si>
  <si>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</si>
  <si>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</si>
  <si>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</si>
  <si>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</si>
  <si>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</si>
  <si>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</si>
  <si>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</si>
  <si>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</si>
  <si>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</si>
  <si>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</si>
  <si>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</si>
  <si>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</si>
  <si>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</si>
  <si>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</si>
  <si>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</si>
  <si>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</si>
  <si>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</si>
  <si>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</si>
  <si>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</si>
  <si>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</si>
  <si>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</si>
  <si>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</si>
  <si>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</si>
  <si>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</si>
  <si>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</si>
  <si>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</si>
  <si>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</si>
  <si>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</si>
  <si>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</si>
  <si>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</si>
  <si>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</si>
  <si>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</si>
  <si>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</si>
  <si>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</si>
  <si>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</si>
  <si>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</si>
  <si>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</si>
  <si>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</si>
  <si>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</si>
  <si>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</si>
  <si>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</si>
  <si>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</si>
  <si>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</si>
  <si>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</si>
  <si>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</si>
  <si>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</si>
  <si>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</si>
  <si>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</si>
  <si>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</si>
  <si>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</si>
  <si>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</si>
  <si>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</si>
  <si>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</si>
  <si>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</si>
  <si>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</si>
  <si>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</si>
  <si>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</si>
  <si>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</si>
  <si>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</si>
  <si>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</si>
  <si>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</si>
  <si>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</si>
  <si>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</si>
  <si>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</si>
  <si>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</si>
  <si>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</si>
  <si>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</si>
  <si>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</si>
  <si>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</si>
  <si>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</si>
  <si>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</si>
  <si>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</si>
  <si>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</si>
  <si>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</si>
  <si>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</si>
  <si>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</si>
  <si>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</si>
  <si>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</si>
  <si>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</si>
  <si>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</si>
  <si>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</si>
  <si>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</si>
  <si>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</si>
  <si>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</si>
  <si>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</si>
  <si>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</si>
  <si>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</si>
  <si>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</si>
  <si>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</si>
  <si>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</si>
  <si>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</si>
  <si>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</si>
  <si>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</si>
  <si>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</si>
  <si>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</si>
  <si>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</si>
  <si>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</si>
  <si>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</si>
  <si>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</si>
  <si>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</si>
  <si>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</si>
  <si>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</si>
  <si>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</si>
  <si>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</si>
  <si>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</si>
  <si>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</si>
  <si>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</si>
  <si>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</si>
  <si>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</si>
  <si>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</si>
  <si>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</si>
  <si>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</si>
  <si>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</si>
  <si>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</si>
  <si>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</si>
  <si>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</si>
  <si>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</si>
  <si>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</si>
  <si>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</si>
  <si>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</si>
  <si>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</si>
  <si>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</si>
  <si>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</si>
  <si>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</si>
  <si>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</si>
  <si>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</si>
  <si>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</si>
  <si>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</si>
  <si>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</si>
  <si>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</si>
  <si>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</si>
  <si>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</si>
  <si>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</si>
  <si>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</si>
  <si>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</si>
  <si>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</si>
  <si>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</si>
  <si>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</si>
  <si>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</si>
  <si>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</si>
  <si>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</si>
  <si>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</si>
  <si>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</si>
  <si>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</si>
  <si>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</si>
  <si>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</si>
  <si>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</si>
  <si>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</si>
  <si>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</si>
  <si>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</si>
  <si>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</si>
  <si>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</si>
  <si>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</si>
  <si>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</si>
  <si>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</si>
  <si>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</si>
  <si>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</si>
  <si>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</si>
  <si>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</si>
  <si>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</si>
  <si>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</si>
  <si>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</si>
  <si>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</si>
  <si>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</si>
  <si>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</si>
  <si>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</si>
  <si>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</si>
  <si>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</si>
  <si>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</si>
  <si>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</si>
  <si>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</si>
  <si>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</si>
  <si>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</si>
  <si>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</si>
  <si>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</si>
  <si>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</si>
  <si>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</si>
  <si>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</si>
  <si>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</si>
  <si>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</si>
  <si>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</si>
  <si>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</si>
  <si>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</si>
  <si>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</si>
  <si>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</si>
  <si>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</si>
  <si>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</si>
  <si>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</si>
  <si>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</si>
  <si>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</si>
  <si>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</si>
  <si>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</si>
  <si>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</si>
  <si>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</si>
  <si>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</si>
  <si>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</si>
  <si>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</si>
  <si>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</si>
  <si>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</si>
  <si>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</si>
  <si>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</si>
  <si>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</si>
  <si>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</si>
  <si>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</si>
  <si>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</si>
  <si>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</si>
  <si>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</si>
  <si>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</si>
  <si>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</si>
  <si>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</si>
  <si>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</si>
  <si>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</si>
  <si>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</si>
  <si>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</si>
  <si>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</si>
  <si>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</si>
  <si>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</si>
  <si>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</si>
  <si>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</si>
  <si>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</si>
  <si>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</si>
  <si>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</si>
  <si>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</si>
  <si>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</si>
  <si>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</si>
  <si>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</si>
  <si>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</si>
  <si>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</si>
  <si>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</si>
  <si>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</si>
  <si>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</si>
  <si>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</si>
  <si>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</si>
  <si>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</si>
  <si>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</si>
  <si>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</si>
  <si>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</si>
  <si>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</si>
  <si>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</si>
  <si>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</si>
  <si>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</si>
  <si>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</si>
  <si>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</si>
  <si>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</si>
  <si>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</si>
  <si>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</si>
  <si>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</si>
  <si>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</si>
  <si>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</si>
  <si>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</si>
  <si>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</si>
  <si>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</si>
  <si>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</si>
  <si>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</si>
  <si>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</si>
  <si>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</si>
  <si>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</si>
  <si>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</si>
  <si>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</si>
  <si>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</si>
  <si>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</si>
  <si>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</si>
  <si>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</si>
  <si>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</si>
  <si>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</si>
  <si>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</si>
  <si>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</si>
  <si>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</si>
  <si>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</si>
  <si>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</si>
  <si>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</si>
  <si>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</si>
  <si>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</si>
  <si>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</si>
  <si>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</si>
  <si>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</si>
  <si>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</si>
  <si>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</si>
  <si>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</si>
  <si>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</si>
  <si>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</si>
  <si>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</si>
  <si>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</si>
  <si>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</si>
  <si>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</si>
  <si>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</si>
  <si>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</si>
  <si>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</si>
  <si>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</si>
  <si>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</si>
  <si>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</si>
  <si>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</si>
  <si>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</si>
  <si>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</si>
  <si>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</si>
  <si>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</si>
  <si>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</si>
  <si>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</si>
  <si>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</si>
  <si>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</si>
  <si>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</si>
  <si>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</si>
  <si>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</si>
  <si>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</si>
  <si>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</si>
  <si>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</si>
  <si>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</si>
  <si>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</si>
  <si>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</si>
  <si>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</si>
  <si>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</si>
  <si>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</si>
  <si>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</si>
  <si>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</si>
  <si>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</si>
  <si>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</si>
  <si>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</si>
  <si>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</si>
  <si>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</si>
  <si>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</si>
  <si>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</si>
  <si>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</si>
  <si>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</si>
  <si>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</si>
  <si>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</si>
  <si>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</si>
  <si>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</si>
  <si>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</si>
  <si>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</si>
  <si>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</si>
  <si>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</si>
  <si>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</si>
  <si>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</si>
  <si>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</si>
  <si>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</si>
  <si>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</si>
  <si>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</si>
  <si>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</si>
  <si>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</si>
  <si>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</si>
  <si>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</si>
  <si>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</si>
  <si>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</si>
  <si>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</si>
  <si>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</si>
  <si>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</si>
  <si>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</si>
  <si>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</si>
  <si>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</si>
  <si>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</si>
  <si>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</si>
  <si>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</si>
  <si>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</si>
  <si>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</si>
  <si>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</si>
  <si>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</si>
  <si>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</si>
  <si>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</si>
  <si>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</si>
  <si>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</si>
  <si>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</si>
  <si>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</si>
  <si>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</si>
  <si>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</si>
  <si>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</si>
  <si>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</si>
  <si>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</si>
  <si>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</si>
  <si>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</si>
  <si>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</si>
  <si>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</si>
  <si>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</si>
  <si>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</si>
  <si>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</si>
  <si>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</si>
  <si>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</si>
  <si>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</si>
  <si>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</si>
  <si>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</si>
  <si>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</si>
  <si>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</si>
  <si>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</si>
  <si>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</si>
  <si>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</si>
  <si>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</si>
  <si>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</si>
  <si>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</si>
  <si>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</si>
  <si>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</si>
  <si>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</si>
  <si>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</si>
  <si>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</si>
  <si>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</si>
  <si>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</si>
  <si>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</si>
  <si>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</si>
  <si>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</si>
  <si>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</si>
  <si>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</si>
  <si>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</si>
  <si>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</si>
  <si>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</si>
  <si>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</si>
  <si>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</si>
  <si>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</si>
  <si>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</si>
  <si>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</si>
  <si>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</si>
  <si>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</si>
  <si>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</si>
  <si>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</si>
  <si>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</si>
  <si>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</si>
  <si>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</si>
  <si>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</si>
  <si>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</si>
  <si>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</si>
  <si>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</si>
  <si>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</si>
  <si>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</si>
  <si>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</si>
  <si>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</si>
  <si>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</si>
  <si>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</si>
  <si>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</si>
  <si>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</si>
  <si>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</si>
  <si>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</si>
  <si>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</si>
  <si>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</si>
  <si>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</si>
  <si>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</si>
  <si>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</si>
  <si>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</si>
  <si>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</si>
  <si>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</si>
  <si>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</si>
  <si>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</si>
  <si>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</si>
  <si>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</si>
  <si>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</si>
  <si>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</si>
  <si>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</si>
  <si>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</si>
  <si>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</si>
  <si>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</si>
  <si>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</si>
  <si>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</si>
  <si>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</si>
  <si>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</si>
  <si>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</si>
  <si>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</si>
  <si>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</si>
  <si>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</si>
  <si>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</si>
  <si>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</si>
  <si>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</si>
  <si>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</si>
  <si>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</si>
  <si>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</si>
  <si>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</si>
  <si>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</si>
  <si>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</si>
  <si>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</si>
  <si>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</si>
  <si>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</si>
  <si>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</si>
  <si>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</si>
  <si>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</si>
  <si>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</si>
  <si>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</si>
  <si>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</si>
  <si>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</si>
  <si>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</si>
  <si>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</si>
  <si>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</si>
  <si>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</si>
  <si>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</si>
  <si>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</si>
  <si>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</si>
  <si>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</si>
  <si>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</si>
  <si>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</si>
  <si>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</si>
  <si>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</si>
  <si>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</si>
  <si>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</si>
  <si>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</si>
  <si>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</si>
  <si>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</si>
  <si>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</si>
  <si>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</si>
  <si>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</si>
  <si>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</si>
  <si>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</si>
  <si>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</si>
  <si>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</si>
  <si>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</si>
  <si>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</si>
  <si>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</si>
  <si>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</si>
  <si>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</si>
  <si>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</si>
  <si>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</si>
  <si>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</si>
  <si>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</si>
  <si>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</si>
  <si>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</si>
  <si>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</si>
  <si>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</si>
  <si>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</si>
  <si>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</si>
  <si>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</si>
  <si>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</si>
  <si>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</si>
  <si>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</si>
  <si>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</si>
  <si>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</si>
  <si>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</si>
  <si>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</si>
  <si>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</si>
  <si>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</si>
  <si>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</si>
  <si>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</si>
  <si>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</si>
  <si>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</si>
  <si>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</si>
  <si>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</si>
  <si>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</si>
  <si>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</si>
  <si>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</si>
  <si>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</si>
  <si>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</si>
  <si>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</si>
  <si>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</si>
  <si>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</si>
  <si>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</si>
  <si>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</si>
  <si>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</si>
  <si>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</si>
  <si>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</si>
  <si>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</si>
  <si>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</si>
  <si>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</si>
  <si>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</si>
  <si>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</si>
  <si>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</si>
  <si>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</si>
  <si>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</si>
  <si>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</si>
  <si>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</si>
  <si>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</si>
  <si>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</si>
  <si>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</si>
  <si>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</si>
  <si>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</si>
  <si>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</si>
  <si>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</si>
  <si>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</si>
  <si>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</si>
  <si>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</si>
  <si>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</si>
  <si>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</si>
  <si>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</si>
  <si>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</si>
  <si>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</si>
  <si>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</si>
  <si>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</si>
  <si>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</si>
  <si>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</si>
  <si>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</si>
  <si>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</si>
  <si>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</si>
  <si>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</si>
  <si>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</si>
  <si>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</si>
  <si>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</si>
  <si>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</si>
  <si>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</si>
  <si>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</si>
  <si>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</si>
  <si>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</si>
  <si>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</si>
  <si>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</si>
  <si>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</si>
  <si>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</si>
  <si>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</si>
  <si>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</si>
  <si>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</si>
  <si>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</si>
  <si>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</si>
  <si>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</si>
  <si>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</si>
  <si>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</si>
  <si>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</si>
  <si>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</si>
  <si>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</si>
  <si>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</si>
  <si>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</si>
  <si>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</si>
  <si>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</si>
  <si>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</si>
  <si>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</si>
  <si>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</si>
  <si>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</si>
  <si>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</si>
  <si>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</si>
  <si>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</si>
  <si>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</si>
  <si>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</si>
  <si>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</si>
  <si>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</si>
  <si>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</si>
  <si>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</si>
  <si>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</si>
  <si>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</si>
  <si>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</si>
  <si>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</si>
  <si>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</si>
  <si>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</si>
  <si>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</si>
  <si>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</si>
  <si>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</si>
  <si>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</si>
  <si>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</si>
  <si>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</si>
  <si>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</si>
  <si>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</si>
  <si>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</si>
  <si>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</si>
  <si>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</si>
  <si>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</si>
  <si>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</si>
  <si>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</si>
  <si>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</si>
  <si>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</si>
  <si>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</si>
  <si>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</si>
  <si>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</si>
  <si>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</si>
  <si>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</si>
  <si>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</si>
  <si>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</si>
  <si>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</si>
  <si>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</si>
  <si>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</si>
  <si>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</si>
  <si>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</si>
  <si>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</si>
  <si>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</si>
  <si>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</si>
  <si>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</si>
  <si>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</si>
  <si>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</si>
  <si>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</si>
  <si>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</si>
  <si>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</si>
  <si>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</si>
  <si>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</si>
  <si>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</si>
  <si>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</si>
  <si>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</si>
  <si>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</si>
  <si>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</si>
  <si>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</si>
  <si>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</si>
  <si>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</si>
  <si>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</si>
  <si>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</si>
  <si>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</si>
  <si>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</si>
  <si>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</si>
  <si>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</si>
  <si>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</si>
  <si>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</si>
  <si>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</si>
  <si>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</si>
  <si>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</si>
  <si>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</si>
  <si>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</si>
  <si>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</si>
  <si>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</si>
  <si>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</si>
  <si>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</si>
  <si>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</si>
  <si>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</si>
  <si>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</si>
  <si>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</si>
  <si>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</si>
  <si>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</si>
  <si>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</si>
  <si>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</si>
  <si>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</si>
  <si>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</si>
  <si>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</si>
  <si>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</si>
  <si>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</si>
  <si>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</si>
  <si>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</si>
  <si>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</si>
  <si>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</si>
  <si>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</si>
  <si>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</si>
  <si>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</si>
  <si>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</si>
  <si>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</si>
  <si>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</si>
  <si>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</si>
  <si>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</si>
  <si>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</si>
  <si>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</si>
  <si>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</si>
  <si>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</si>
  <si>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</si>
  <si>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</si>
  <si>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</si>
  <si>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</si>
  <si>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</si>
  <si>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</si>
  <si>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</si>
  <si>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</si>
  <si>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</si>
  <si>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</si>
  <si>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</si>
  <si>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</si>
  <si>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</si>
  <si>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</si>
  <si>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</si>
  <si>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</si>
  <si>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</si>
  <si>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</si>
  <si>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</si>
  <si>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</si>
  <si>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</si>
  <si>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</si>
  <si>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</si>
  <si>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</si>
  <si>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</si>
  <si>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</si>
  <si>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</si>
  <si>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</si>
  <si>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</si>
  <si>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</si>
  <si>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</si>
  <si>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</si>
  <si>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</si>
  <si>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</si>
  <si>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</si>
  <si>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</si>
  <si>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</si>
  <si>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</si>
  <si>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</si>
  <si>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</si>
  <si>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</si>
  <si>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</si>
  <si>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</si>
  <si>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</si>
  <si>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</si>
  <si>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</si>
  <si>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</si>
  <si>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</si>
  <si>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</si>
  <si>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</si>
  <si>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</si>
  <si>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</si>
  <si>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</si>
  <si>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</si>
  <si>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</si>
  <si>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</si>
  <si>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</si>
  <si>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</si>
  <si>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</si>
  <si>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</si>
  <si>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</si>
  <si>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</si>
  <si>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</si>
  <si>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</si>
  <si>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</si>
  <si>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</si>
  <si>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</si>
  <si>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</si>
  <si>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</si>
  <si>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</si>
  <si>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</si>
  <si>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</si>
  <si>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</si>
  <si>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</si>
  <si>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</si>
  <si>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</si>
  <si>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</si>
  <si>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</si>
  <si>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</si>
  <si>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</si>
  <si>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</si>
  <si>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</si>
  <si>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</si>
  <si>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</si>
  <si>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</si>
  <si>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</si>
  <si>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</si>
  <si>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</si>
  <si>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</si>
  <si>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</si>
  <si>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</si>
  <si>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</si>
  <si>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</si>
  <si>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</si>
  <si>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</si>
  <si>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</si>
  <si>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</si>
  <si>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</si>
  <si>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</si>
  <si>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</si>
  <si>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</si>
  <si>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</si>
  <si>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</si>
  <si>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</si>
  <si>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</si>
  <si>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</si>
  <si>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</si>
  <si>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</si>
  <si>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</si>
  <si>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</si>
  <si>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</si>
  <si>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</si>
  <si>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</si>
  <si>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</si>
  <si>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</si>
  <si>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</si>
  <si>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</si>
  <si>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</si>
  <si>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</si>
  <si>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</si>
  <si>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</si>
  <si>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</si>
  <si>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</si>
  <si>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</si>
  <si>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</si>
  <si>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</si>
  <si>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</si>
  <si>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</si>
  <si>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</si>
  <si>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</si>
  <si>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</si>
  <si>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</si>
  <si>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</si>
  <si>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</si>
  <si>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</si>
  <si>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</si>
  <si>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</si>
  <si>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</si>
  <si>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</si>
  <si>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</si>
  <si>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</si>
  <si>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</si>
  <si>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</si>
  <si>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</si>
  <si>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</si>
  <si>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</si>
  <si>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</si>
  <si>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</si>
  <si>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</si>
  <si>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</si>
  <si>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</si>
  <si>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</si>
  <si>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</si>
  <si>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</si>
  <si>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</si>
  <si>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</si>
  <si>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</si>
  <si>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</si>
  <si>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</si>
  <si>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</si>
  <si>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</si>
  <si>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</si>
  <si>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</si>
  <si>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</si>
  <si>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</si>
  <si>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</si>
  <si>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</si>
  <si>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</si>
  <si>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</si>
  <si>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</si>
  <si>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</si>
  <si>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</si>
  <si>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</si>
  <si>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</si>
  <si>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</si>
  <si>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</si>
  <si>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</si>
  <si>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</si>
  <si>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</si>
  <si>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</si>
  <si>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</si>
  <si>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</si>
  <si>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</si>
  <si>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</si>
  <si>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</si>
  <si>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</si>
  <si>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</si>
  <si>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</si>
  <si>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</si>
  <si>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</si>
  <si>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</si>
  <si>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</si>
  <si>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</si>
  <si>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</si>
  <si>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</si>
  <si>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</si>
  <si>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</si>
  <si>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</si>
  <si>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</si>
  <si>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</si>
  <si>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</si>
  <si>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</si>
  <si>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</si>
  <si>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</si>
  <si>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</si>
  <si>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</si>
  <si>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</si>
  <si>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</si>
  <si>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</si>
  <si>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</si>
  <si>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</si>
  <si>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</si>
  <si>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</si>
  <si>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</si>
  <si>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</si>
  <si>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</si>
  <si>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</si>
  <si>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</si>
  <si>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</si>
  <si>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</si>
  <si>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</si>
  <si>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</si>
  <si>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</si>
  <si>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</si>
  <si>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</si>
  <si>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</si>
  <si>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</si>
  <si>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</si>
  <si>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</si>
  <si>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</si>
  <si>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</si>
  <si>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</si>
  <si>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</si>
  <si>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</si>
  <si>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</si>
  <si>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</si>
  <si>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</si>
  <si>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</si>
  <si>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</si>
  <si>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</si>
  <si>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</si>
  <si>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</si>
  <si>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</si>
  <si>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</si>
  <si>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</si>
  <si>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</si>
  <si>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</si>
  <si>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</si>
  <si>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</si>
  <si>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</si>
  <si>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</si>
  <si>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</si>
  <si>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</si>
  <si>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</si>
  <si>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</si>
  <si>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</si>
  <si>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</si>
  <si>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</si>
  <si>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</si>
  <si>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</si>
  <si>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</si>
  <si>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</si>
  <si>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</si>
  <si>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</si>
  <si>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</si>
  <si>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</si>
  <si>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</si>
  <si>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</si>
  <si>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</si>
  <si>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</si>
  <si>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</si>
  <si>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</si>
  <si>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</si>
  <si>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</si>
  <si>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</si>
  <si>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</si>
  <si>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</si>
  <si>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</si>
  <si>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</si>
  <si>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</si>
  <si>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</si>
  <si>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</si>
  <si>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</si>
  <si>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</si>
  <si>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</si>
  <si>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</si>
  <si>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</si>
  <si>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</si>
  <si>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</si>
  <si>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</si>
  <si>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</si>
  <si>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</si>
  <si>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</si>
  <si>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</si>
  <si>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</si>
  <si>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</si>
  <si>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</si>
  <si>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</si>
  <si>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</si>
  <si>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</si>
  <si>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</si>
  <si>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</si>
  <si>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</si>
  <si>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</si>
  <si>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</si>
  <si>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</si>
  <si>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</si>
  <si>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</si>
  <si>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</si>
  <si>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</si>
  <si>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</si>
  <si>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</si>
  <si>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</si>
  <si>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</si>
  <si>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</si>
  <si>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</si>
  <si>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</si>
  <si>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</si>
  <si>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</si>
  <si>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</si>
  <si>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</si>
  <si>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</si>
  <si>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</si>
  <si>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</si>
  <si>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</si>
  <si>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</si>
  <si>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</si>
  <si>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</si>
  <si>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</si>
  <si>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</si>
  <si>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</si>
  <si>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</si>
  <si>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</si>
  <si>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</si>
  <si>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</si>
  <si>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</si>
  <si>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</si>
  <si>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</si>
  <si>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</si>
  <si>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</si>
  <si>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</si>
  <si>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</si>
  <si>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</si>
  <si>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</si>
  <si>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</si>
  <si>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</si>
  <si>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</si>
  <si>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</si>
  <si>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</si>
  <si>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</si>
  <si>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</si>
  <si>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</si>
  <si>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</si>
  <si>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</si>
  <si>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</si>
  <si>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</si>
  <si>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</si>
  <si>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</si>
  <si>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</si>
  <si>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</si>
  <si>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</si>
  <si>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</si>
  <si>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</si>
  <si>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</si>
  <si>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</si>
  <si>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</si>
  <si>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</si>
  <si>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</si>
  <si>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</si>
  <si>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</si>
  <si>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</si>
  <si>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</si>
  <si>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</si>
  <si>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</si>
  <si>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</si>
  <si>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</si>
  <si>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</si>
  <si>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</si>
  <si>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</si>
  <si>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</si>
  <si>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</si>
  <si>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</si>
  <si>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</si>
  <si>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</si>
  <si>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</si>
  <si>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</si>
  <si>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</si>
  <si>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</si>
  <si>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</si>
  <si>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</si>
  <si>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</si>
  <si>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</si>
  <si>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</si>
  <si>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</si>
  <si>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</si>
  <si>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</si>
  <si>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</si>
  <si>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</si>
  <si>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</si>
  <si>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</si>
  <si>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</si>
  <si>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</si>
  <si>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</si>
  <si>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</si>
  <si>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</si>
  <si>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</si>
  <si>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</si>
  <si>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</si>
  <si>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</si>
  <si>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</si>
  <si>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</si>
  <si>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</si>
  <si>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</si>
  <si>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</si>
  <si>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</si>
  <si>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</si>
  <si>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</si>
  <si>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</si>
  <si>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</si>
  <si>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</si>
  <si>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</si>
  <si>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</si>
  <si>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</si>
  <si>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</si>
  <si>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</si>
  <si>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</si>
  <si>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</si>
  <si>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</si>
  <si>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</si>
  <si>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</si>
  <si>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</si>
  <si>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</si>
  <si>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</si>
  <si>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</si>
  <si>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</si>
  <si>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</si>
  <si>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</si>
  <si>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</si>
  <si>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</si>
  <si>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</si>
  <si>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</si>
  <si>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</si>
  <si>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</si>
  <si>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</si>
  <si>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</si>
  <si>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</si>
  <si>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</si>
  <si>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</si>
  <si>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</si>
  <si>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</si>
  <si>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</si>
  <si>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</si>
  <si>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</si>
  <si>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</si>
  <si>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</si>
  <si>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</si>
  <si>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</si>
  <si>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</si>
  <si>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</si>
  <si>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</si>
  <si>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</si>
  <si>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</si>
  <si>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</si>
  <si>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</si>
  <si>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</si>
  <si>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</si>
  <si>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</si>
  <si>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</si>
  <si>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</si>
  <si>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</si>
  <si>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</si>
  <si>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</si>
  <si>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</si>
  <si>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</si>
  <si>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</si>
  <si>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</si>
  <si>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</si>
  <si>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</si>
  <si>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</si>
  <si>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</si>
  <si>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</si>
  <si>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</si>
  <si>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</si>
  <si>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</si>
  <si>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</si>
  <si>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</si>
  <si>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</si>
  <si>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</si>
  <si>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</si>
  <si>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</si>
  <si>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</si>
  <si>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</si>
  <si>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</si>
  <si>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</si>
  <si>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</si>
  <si>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</si>
  <si>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</si>
  <si>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</si>
  <si>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</si>
  <si>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</si>
  <si>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</si>
  <si>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</si>
  <si>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</si>
  <si>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</si>
  <si>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</si>
  <si>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</si>
  <si>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</si>
  <si>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</si>
  <si>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</si>
  <si>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</si>
  <si>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</si>
  <si>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</si>
  <si>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</si>
  <si>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</si>
  <si>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</si>
  <si>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</si>
  <si>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</si>
  <si>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</si>
  <si>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</si>
  <si>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</si>
  <si>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</si>
  <si>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</si>
  <si>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</si>
  <si>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</si>
  <si>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</si>
  <si>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</si>
  <si>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</si>
  <si>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</si>
  <si>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</si>
  <si>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</si>
  <si>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</si>
  <si>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</si>
  <si>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</si>
  <si>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</si>
  <si>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</si>
  <si>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</si>
  <si>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</si>
  <si>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</si>
  <si>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</si>
  <si>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</si>
  <si>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</si>
  <si>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</si>
  <si>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</si>
  <si>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</si>
  <si>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</si>
  <si>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</si>
  <si>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</si>
  <si>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</si>
  <si>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</si>
  <si>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</si>
  <si>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</si>
  <si>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</si>
  <si>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</si>
  <si>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</si>
  <si>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</si>
  <si>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</si>
  <si>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</si>
  <si>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</si>
  <si>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</si>
  <si>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</si>
  <si>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</si>
  <si>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</si>
  <si>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</si>
  <si>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</si>
  <si>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</si>
  <si>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</si>
  <si>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</si>
  <si>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</si>
  <si>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</si>
  <si>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</si>
  <si>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</si>
  <si>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</si>
  <si>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</si>
  <si>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</si>
  <si>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</si>
  <si>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</si>
  <si>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</si>
  <si>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</si>
  <si>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</si>
  <si>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</si>
  <si>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</si>
  <si>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</si>
  <si>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</si>
  <si>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</si>
  <si>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</si>
  <si>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</si>
  <si>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</si>
  <si>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</si>
  <si>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</si>
  <si>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</si>
  <si>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</si>
  <si>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</si>
  <si>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</si>
  <si>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</si>
  <si>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</si>
  <si>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</si>
  <si>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</si>
  <si>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</si>
  <si>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</si>
  <si>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</si>
  <si>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</si>
  <si>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</si>
  <si>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</si>
  <si>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</si>
  <si>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</si>
  <si>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</si>
  <si>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</si>
  <si>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</si>
  <si>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</si>
  <si>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</si>
  <si>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</si>
  <si>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</si>
  <si>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</si>
  <si>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</si>
  <si>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</si>
  <si>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</si>
  <si>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</si>
  <si>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</si>
  <si>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</si>
  <si>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</si>
  <si>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</si>
  <si>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</si>
  <si>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</si>
  <si>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</si>
  <si>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</si>
  <si>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</si>
  <si>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</si>
  <si>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</si>
  <si>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</si>
  <si>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</si>
  <si>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</si>
  <si>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</si>
  <si>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</si>
  <si>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</si>
  <si>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</si>
  <si>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</si>
  <si>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</si>
  <si>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</si>
  <si>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</si>
  <si>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</si>
  <si>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</si>
  <si>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</si>
  <si>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</si>
  <si>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</si>
  <si>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</si>
  <si>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</si>
  <si>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</si>
  <si>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</si>
  <si>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</si>
  <si>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</si>
  <si>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</si>
  <si>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</si>
  <si>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</si>
  <si>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</si>
  <si>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</si>
  <si>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</si>
  <si>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</si>
  <si>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</si>
  <si>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</si>
  <si>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</si>
  <si>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</si>
  <si>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</si>
  <si>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</si>
  <si>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</si>
  <si>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</si>
  <si>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</si>
  <si>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</si>
  <si>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</si>
  <si>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</si>
  <si>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</si>
  <si>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</si>
  <si>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</si>
  <si>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</si>
  <si>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</si>
  <si>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</si>
  <si>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</si>
  <si>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</si>
  <si>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</si>
  <si>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</si>
  <si>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</si>
  <si>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</si>
  <si>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</si>
  <si>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</si>
  <si>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</si>
  <si>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</si>
  <si>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</si>
  <si>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</si>
  <si>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</si>
  <si>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</si>
  <si>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</si>
  <si>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</si>
  <si>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</si>
  <si>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</si>
  <si>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</si>
  <si>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</si>
  <si>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</si>
  <si>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</si>
  <si>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</si>
  <si>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</si>
  <si>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</si>
  <si>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</si>
  <si>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</si>
  <si>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</si>
  <si>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</si>
  <si>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</si>
  <si>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</si>
  <si>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</si>
  <si>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</si>
  <si>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</si>
  <si>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</si>
  <si>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</si>
  <si>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</si>
  <si>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</si>
  <si>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</si>
  <si>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</si>
  <si>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</si>
  <si>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</si>
  <si>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</si>
  <si>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</si>
  <si>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</si>
  <si>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</si>
  <si>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</si>
  <si>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</si>
  <si>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</si>
  <si>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</si>
  <si>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</si>
  <si>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</si>
  <si>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</si>
  <si>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</si>
  <si>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</si>
  <si>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</si>
  <si>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</si>
  <si>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</si>
  <si>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</si>
  <si>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</si>
  <si>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</si>
  <si>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</si>
  <si>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</si>
  <si>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</si>
  <si>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</si>
  <si>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</si>
  <si>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</si>
  <si>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</si>
  <si>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</si>
  <si>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</si>
  <si>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</si>
  <si>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</si>
  <si>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</si>
  <si>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</si>
  <si>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</si>
  <si>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</si>
  <si>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</si>
  <si>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</si>
  <si>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</si>
  <si>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</si>
  <si>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</si>
  <si>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</si>
  <si>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</si>
  <si>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</si>
  <si>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</si>
  <si>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</si>
  <si>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</si>
  <si>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</si>
  <si>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</si>
  <si>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</si>
  <si>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</si>
  <si>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</si>
  <si>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</si>
  <si>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</si>
  <si>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</si>
  <si>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</si>
  <si>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</si>
  <si>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</si>
  <si>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</si>
  <si>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</si>
  <si>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</si>
  <si>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</si>
  <si>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</si>
  <si>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</si>
  <si>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</si>
  <si>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</si>
  <si>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</si>
  <si>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</si>
  <si>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</si>
  <si>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</si>
  <si>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</si>
  <si>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</si>
  <si>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</si>
  <si>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</si>
  <si>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</si>
  <si>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</si>
  <si>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</si>
  <si>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</si>
  <si>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</si>
  <si>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</si>
  <si>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</si>
  <si>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</si>
  <si>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</si>
  <si>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</si>
  <si>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</si>
  <si>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</si>
  <si>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</si>
  <si>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</si>
  <si>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</si>
  <si>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</si>
  <si>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</si>
  <si>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</si>
  <si>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</si>
  <si>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</si>
  <si>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</si>
  <si>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</si>
  <si>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</si>
  <si>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</si>
  <si>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</si>
  <si>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</si>
  <si>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</si>
  <si>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</si>
  <si>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</si>
  <si>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</si>
  <si>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</si>
  <si>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</si>
  <si>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</si>
  <si>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</si>
  <si>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</si>
  <si>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</si>
  <si>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</si>
  <si>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</si>
  <si>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</si>
  <si>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</si>
  <si>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</si>
  <si>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</si>
  <si>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</si>
  <si>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</si>
  <si>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</si>
  <si>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</si>
  <si>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</si>
  <si>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</si>
  <si>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</si>
  <si>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</si>
  <si>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</si>
  <si>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</si>
  <si>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</si>
  <si>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</si>
  <si>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</si>
  <si>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</si>
  <si>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</si>
  <si>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</si>
  <si>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</si>
  <si>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</si>
  <si>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</si>
  <si>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</si>
  <si>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</si>
  <si>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</si>
  <si>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</si>
  <si>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</si>
  <si>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</si>
  <si>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</si>
  <si>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</si>
  <si>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</si>
  <si>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</si>
  <si>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</si>
  <si>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</si>
  <si>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</si>
  <si>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</si>
  <si>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</si>
  <si>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</si>
  <si>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</si>
  <si>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</si>
  <si>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</si>
  <si>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</si>
  <si>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</si>
  <si>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</si>
  <si>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</si>
  <si>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</si>
  <si>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</si>
  <si>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</si>
  <si>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</si>
  <si>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</si>
  <si>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</si>
  <si>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</si>
  <si>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</si>
  <si>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</si>
  <si>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</si>
  <si>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</si>
  <si>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</si>
  <si>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</si>
  <si>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</si>
  <si>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</si>
  <si>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</si>
  <si>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</si>
  <si>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</si>
  <si>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</si>
  <si>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</si>
  <si>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</si>
  <si>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</si>
  <si>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</si>
  <si>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</si>
  <si>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</si>
  <si>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</si>
  <si>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</si>
  <si>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</si>
  <si>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</si>
  <si>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</si>
  <si>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</si>
  <si>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</si>
  <si>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</si>
  <si>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</si>
  <si>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</si>
  <si>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</si>
  <si>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</si>
  <si>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</si>
  <si>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</si>
  <si>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</si>
  <si>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</si>
  <si>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</si>
  <si>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</si>
  <si>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</si>
  <si>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</si>
  <si>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</si>
  <si>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</si>
  <si>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</si>
  <si>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</si>
  <si>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</si>
  <si>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</si>
  <si>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</si>
  <si>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</si>
  <si>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</si>
  <si>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</si>
  <si>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</si>
  <si>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</si>
  <si>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</si>
  <si>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</si>
  <si>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</si>
  <si>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</si>
  <si>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</si>
  <si>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</si>
  <si>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</si>
  <si>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</si>
  <si>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</si>
  <si>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</si>
  <si>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</si>
  <si>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</si>
  <si>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</si>
  <si>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</si>
  <si>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</si>
  <si>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</si>
  <si>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</si>
  <si>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</si>
  <si>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</si>
  <si>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</si>
  <si>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</si>
  <si>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</si>
  <si>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</si>
  <si>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</si>
  <si>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</si>
  <si>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</si>
  <si>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</si>
  <si>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</si>
  <si>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</si>
  <si>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</si>
  <si>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</si>
  <si>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</si>
  <si>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</si>
  <si>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</si>
  <si>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</si>
  <si>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</si>
  <si>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</si>
  <si>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</si>
  <si>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</si>
  <si>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</si>
  <si>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</si>
  <si>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</si>
  <si>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</si>
  <si>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</si>
  <si>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</si>
  <si>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</si>
  <si>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</si>
  <si>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</si>
  <si>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</si>
  <si>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</si>
  <si>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</si>
  <si>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</si>
  <si>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</si>
  <si>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</si>
  <si>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</si>
  <si>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</si>
  <si>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</si>
  <si>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</si>
  <si>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</si>
  <si>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</si>
  <si>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</si>
  <si>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</si>
  <si>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</si>
  <si>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</si>
  <si>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</si>
  <si>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</si>
  <si>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</si>
  <si>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</si>
  <si>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</si>
  <si>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</si>
  <si>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</si>
  <si>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</si>
  <si>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</si>
  <si>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</si>
  <si>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</si>
  <si>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</si>
  <si>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</si>
  <si>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</si>
  <si>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</si>
  <si>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</si>
  <si>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</si>
  <si>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</si>
  <si>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</si>
  <si>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</si>
  <si>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</si>
  <si>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</si>
  <si>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</si>
  <si>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</si>
  <si>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</si>
  <si>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</si>
  <si>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</si>
  <si>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</si>
  <si>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</si>
  <si>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</si>
  <si>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</si>
  <si>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</si>
  <si>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</si>
  <si>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</si>
  <si>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</si>
  <si>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</si>
  <si>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</si>
  <si>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</si>
  <si>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</si>
  <si>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</si>
  <si>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</si>
  <si>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</si>
  <si>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</si>
  <si>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</si>
  <si>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</si>
  <si>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</si>
  <si>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</si>
  <si>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</si>
  <si>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</si>
  <si>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</si>
  <si>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</si>
  <si>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</si>
  <si>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</si>
  <si>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</si>
  <si>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</si>
  <si>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</si>
  <si>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</si>
  <si>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</si>
  <si>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</si>
  <si>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</si>
  <si>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</si>
  <si>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</si>
  <si>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</si>
  <si>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</si>
  <si>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</si>
  <si>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</si>
  <si>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</si>
  <si>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</si>
  <si>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</si>
  <si>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</si>
  <si>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</si>
  <si>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</si>
  <si>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</si>
  <si>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</si>
  <si>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</si>
  <si>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</si>
  <si>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</si>
  <si>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</si>
  <si>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</si>
  <si>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</si>
  <si>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</si>
  <si>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</si>
  <si>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</si>
  <si>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</si>
  <si>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</si>
  <si>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</si>
  <si>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</si>
  <si>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</si>
  <si>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</si>
  <si>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</si>
  <si>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</si>
  <si>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</si>
  <si>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</si>
  <si>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</si>
  <si>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</si>
  <si>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</si>
  <si>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</si>
  <si>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</si>
  <si>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</si>
  <si>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</si>
  <si>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</si>
  <si>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</si>
  <si>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</si>
  <si>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</si>
  <si>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</si>
  <si>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</si>
  <si>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</si>
  <si>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</si>
  <si>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</si>
  <si>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</si>
  <si>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</si>
  <si>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</si>
  <si>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</si>
  <si>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</si>
  <si>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</si>
  <si>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</si>
  <si>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</si>
  <si>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</si>
  <si>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</si>
  <si>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</si>
  <si>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</si>
  <si>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</si>
  <si>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</si>
  <si>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</si>
  <si>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</si>
  <si>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</si>
  <si>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</si>
  <si>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</si>
  <si>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</si>
  <si>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</si>
  <si>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</si>
  <si>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</si>
  <si>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</si>
  <si>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</si>
  <si>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</si>
  <si>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</si>
  <si>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</si>
  <si>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</si>
  <si>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</si>
  <si>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</si>
  <si>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</si>
  <si>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</si>
  <si>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</si>
  <si>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</si>
  <si>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</si>
  <si>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</si>
  <si>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</si>
  <si>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</si>
  <si>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</si>
  <si>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</si>
  <si>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</si>
  <si>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</si>
  <si>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</si>
  <si>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</si>
  <si>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</si>
  <si>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</si>
  <si>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</si>
  <si>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</si>
  <si>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</si>
  <si>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</si>
  <si>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</si>
  <si>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</si>
  <si>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</si>
  <si>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</si>
  <si>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</si>
  <si>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</si>
  <si>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</si>
  <si>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</si>
  <si>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</si>
  <si>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</si>
  <si>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</si>
  <si>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</si>
  <si>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</si>
  <si>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</si>
  <si>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</si>
  <si>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</si>
  <si>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</si>
  <si>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</si>
  <si>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</si>
  <si>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</si>
  <si>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</si>
  <si>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</si>
  <si>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</si>
  <si>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</si>
  <si>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</si>
  <si>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</si>
  <si>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</si>
  <si>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</si>
  <si>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</si>
  <si>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</si>
  <si>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</si>
  <si>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</si>
  <si>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</si>
  <si>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</si>
  <si>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</si>
  <si>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</si>
  <si>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</si>
  <si>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</si>
  <si>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</si>
  <si>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</si>
  <si>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</si>
  <si>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</si>
  <si>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</si>
  <si>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</si>
  <si>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</si>
  <si>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</si>
  <si>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</si>
  <si>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</si>
  <si>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</si>
  <si>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</si>
  <si>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</si>
  <si>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</si>
  <si>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</si>
  <si>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</si>
  <si>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</si>
  <si>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</si>
  <si>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</si>
  <si>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</si>
  <si>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</si>
  <si>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</si>
  <si>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</si>
  <si>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</si>
  <si>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</si>
  <si>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</si>
  <si>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</si>
  <si>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</si>
  <si>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</si>
  <si>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</si>
  <si>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</si>
  <si>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</si>
  <si>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</si>
  <si>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</si>
  <si>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</si>
  <si>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</si>
  <si>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</si>
  <si>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</si>
  <si>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</si>
  <si>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</si>
  <si>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</si>
  <si>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</si>
  <si>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</si>
  <si>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</si>
  <si>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</si>
  <si>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</si>
  <si>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</si>
  <si>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</si>
  <si>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</si>
  <si>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</si>
  <si>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</si>
  <si>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</si>
  <si>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</si>
  <si>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</si>
  <si>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</si>
  <si>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</si>
  <si>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</si>
  <si>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</si>
  <si>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</si>
  <si>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</si>
  <si>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</si>
  <si>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</si>
  <si>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</si>
  <si>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</si>
  <si>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</si>
  <si>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</si>
  <si>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</si>
  <si>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</si>
  <si>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</si>
  <si>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</si>
  <si>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</si>
  <si>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</si>
  <si>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</si>
  <si>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</si>
  <si>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</si>
  <si>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</si>
  <si>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</si>
  <si>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</si>
  <si>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</si>
  <si>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</si>
  <si>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</si>
  <si>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</si>
  <si>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</si>
  <si>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</si>
  <si>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</si>
  <si>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</si>
  <si>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</si>
  <si>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</si>
  <si>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</si>
  <si>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</si>
  <si>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</si>
  <si>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</si>
  <si>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</si>
  <si>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</si>
  <si>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</si>
  <si>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</si>
  <si>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</si>
  <si>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</si>
  <si>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</si>
  <si>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</si>
  <si>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</si>
  <si>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</si>
  <si>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</si>
  <si>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</si>
  <si>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</si>
  <si>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</si>
  <si>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</si>
  <si>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</si>
  <si>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</si>
  <si>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</si>
  <si>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</si>
  <si>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</si>
  <si>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</si>
  <si>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</si>
  <si>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</si>
  <si>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</si>
  <si>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</si>
  <si>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</si>
  <si>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</si>
  <si>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</si>
  <si>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</si>
  <si>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</si>
  <si>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</si>
  <si>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</si>
  <si>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</si>
  <si>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</si>
  <si>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</si>
  <si>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</si>
  <si>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</si>
  <si>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</si>
  <si>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</si>
  <si>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</si>
  <si>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</si>
  <si>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</si>
  <si>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</si>
  <si>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</si>
  <si>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</si>
  <si>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</si>
  <si>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</si>
  <si>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</si>
  <si>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</si>
  <si>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</si>
  <si>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</si>
  <si>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</si>
  <si>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</si>
  <si>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</si>
  <si>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</si>
  <si>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</si>
  <si>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</si>
  <si>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</si>
  <si>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</si>
  <si>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</si>
  <si>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</si>
  <si>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</si>
  <si>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</si>
  <si>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</si>
  <si>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</si>
  <si>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</si>
  <si>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</si>
  <si>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</si>
  <si>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</si>
  <si>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</si>
  <si>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</si>
  <si>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</si>
  <si>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</si>
  <si>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</si>
  <si>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</si>
  <si>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</si>
  <si>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</si>
  <si>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</si>
  <si>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</si>
  <si>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</si>
  <si>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</si>
  <si>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</si>
  <si>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</si>
  <si>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</si>
  <si>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</si>
  <si>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</si>
  <si>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</si>
  <si>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</si>
  <si>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</si>
  <si>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</si>
  <si>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</si>
  <si>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</si>
  <si>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</si>
  <si>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</si>
  <si>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</si>
  <si>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</si>
  <si>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</si>
  <si>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</si>
  <si>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</si>
  <si>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</si>
  <si>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</si>
  <si>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</si>
  <si>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</si>
  <si>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</si>
  <si>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</si>
  <si>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</si>
  <si>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</si>
  <si>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</si>
  <si>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</si>
  <si>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</si>
  <si>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</si>
  <si>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</si>
  <si>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</si>
  <si>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</si>
  <si>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</si>
  <si>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</si>
  <si>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</si>
  <si>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</si>
  <si>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</si>
  <si>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</si>
  <si>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</si>
  <si>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</si>
  <si>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</si>
  <si>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</si>
  <si>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</si>
  <si>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</si>
  <si>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</si>
  <si>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</si>
  <si>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</si>
  <si>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</si>
  <si>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</si>
  <si>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</si>
  <si>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</si>
  <si>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</si>
  <si>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</si>
  <si>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</si>
  <si>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</si>
  <si>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</si>
  <si>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</si>
  <si>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</si>
  <si>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</si>
  <si>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</si>
  <si>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</si>
  <si>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</si>
  <si>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</si>
  <si>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</si>
  <si>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</si>
  <si>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</si>
  <si>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</si>
  <si>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</si>
  <si>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</si>
  <si>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</si>
  <si>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</si>
  <si>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</si>
  <si>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</si>
  <si>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</si>
  <si>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</si>
  <si>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</si>
  <si>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</si>
  <si>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</si>
  <si>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</si>
  <si>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</si>
  <si>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</si>
  <si>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</si>
  <si>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</si>
  <si>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</si>
  <si>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</si>
  <si>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</si>
  <si>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</si>
  <si>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</si>
  <si>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</si>
  <si>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</si>
  <si>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</si>
  <si>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</si>
  <si>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</si>
  <si>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</si>
  <si>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</si>
  <si>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</si>
  <si>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</si>
  <si>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</si>
  <si>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</si>
  <si>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</si>
  <si>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</si>
  <si>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</si>
  <si>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</si>
  <si>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</si>
  <si>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</si>
  <si>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</si>
  <si>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</si>
  <si>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</si>
  <si>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</si>
  <si>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</si>
  <si>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</si>
  <si>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</si>
  <si>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</si>
  <si>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</si>
  <si>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</si>
  <si>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</si>
  <si>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</si>
  <si>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</si>
  <si>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</si>
  <si>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</si>
  <si>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</si>
  <si>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</si>
  <si>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</si>
  <si>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</si>
  <si>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</si>
  <si>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</si>
  <si>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</si>
  <si>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</si>
  <si>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</si>
  <si>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</si>
  <si>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</si>
  <si>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</si>
  <si>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</si>
  <si>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</si>
  <si>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</si>
  <si>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</si>
  <si>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</si>
  <si>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</si>
  <si>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</si>
  <si>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</si>
  <si>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</si>
  <si>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</si>
  <si>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</si>
  <si>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</si>
  <si>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</si>
  <si>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</si>
  <si>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</si>
  <si>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</si>
  <si>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</si>
  <si>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</si>
  <si>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</si>
  <si>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</si>
  <si>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</si>
  <si>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</si>
  <si>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</si>
  <si>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</si>
  <si>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</si>
  <si>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</si>
  <si>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</si>
  <si>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</si>
  <si>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</si>
  <si>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</si>
  <si>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</si>
  <si>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</si>
  <si>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</si>
  <si>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</si>
  <si>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</si>
  <si>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</si>
  <si>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</si>
  <si>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</si>
  <si>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</si>
  <si>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</si>
  <si>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</si>
  <si>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</si>
  <si>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</si>
  <si>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</si>
  <si>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</si>
  <si>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</si>
  <si>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</si>
  <si>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</si>
  <si>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</si>
  <si>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</si>
  <si>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</si>
  <si>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</si>
  <si>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</si>
  <si>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</si>
  <si>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</si>
  <si>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</si>
  <si>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</si>
  <si>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</si>
  <si>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</si>
  <si>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</si>
  <si>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</si>
  <si>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</si>
  <si>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</si>
  <si>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</si>
  <si>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</si>
  <si>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</si>
  <si>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</si>
  <si>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</si>
  <si>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</si>
  <si>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</si>
  <si>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</si>
  <si>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</si>
  <si>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</si>
  <si>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</si>
  <si>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</si>
  <si>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</si>
  <si>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</si>
  <si>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</si>
  <si>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</si>
  <si>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</si>
  <si>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</si>
  <si>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</si>
  <si>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</si>
  <si>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</si>
  <si>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</si>
  <si>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</si>
  <si>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</si>
  <si>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</si>
  <si>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</si>
  <si>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</si>
  <si>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</si>
  <si>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</si>
  <si>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</si>
  <si>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</si>
  <si>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</si>
  <si>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</si>
  <si>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</si>
  <si>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</si>
  <si>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</si>
  <si>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</si>
  <si>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</si>
  <si>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</si>
  <si>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</si>
  <si>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</si>
  <si>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</si>
  <si>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</si>
  <si>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</si>
  <si>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</si>
  <si>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</si>
  <si>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</si>
  <si>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</si>
  <si>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</si>
  <si>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</si>
  <si>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</si>
  <si>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</si>
  <si>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</si>
  <si>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</si>
  <si>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</si>
  <si>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</si>
  <si>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</si>
  <si>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</si>
  <si>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</si>
  <si>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</si>
  <si>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</si>
  <si>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</si>
  <si>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</si>
  <si>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</si>
  <si>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</si>
  <si>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</si>
  <si>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</si>
  <si>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</si>
  <si>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</si>
  <si>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</si>
  <si>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</si>
  <si>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</si>
  <si>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</si>
  <si>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</si>
  <si>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</si>
  <si>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</si>
  <si>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</si>
  <si>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</si>
  <si>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</si>
  <si>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</si>
  <si>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</si>
  <si>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</si>
  <si>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</si>
  <si>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</si>
  <si>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</si>
  <si>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</si>
  <si>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</si>
  <si>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</si>
  <si>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</si>
  <si>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</si>
  <si>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</si>
  <si>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</si>
  <si>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</si>
  <si>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</si>
  <si>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</si>
  <si>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</si>
  <si>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</si>
  <si>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</si>
  <si>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</si>
  <si>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</si>
  <si>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</si>
  <si>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</si>
  <si>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</si>
  <si>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</si>
  <si>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</si>
  <si>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</si>
  <si>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</si>
  <si>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</si>
  <si>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</si>
  <si>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</si>
  <si>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</si>
  <si>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</si>
  <si>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</si>
  <si>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</si>
  <si>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</si>
  <si>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</si>
  <si>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</si>
  <si>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</si>
  <si>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</si>
  <si>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</si>
  <si>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</si>
  <si>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</si>
  <si>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</si>
  <si>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</si>
  <si>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</si>
  <si>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</si>
  <si>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</si>
  <si>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</si>
  <si>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</si>
  <si>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</si>
  <si>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</si>
  <si>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</si>
  <si>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</si>
  <si>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</si>
  <si>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</si>
  <si>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</si>
  <si>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</si>
  <si>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</si>
  <si>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</si>
  <si>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</si>
  <si>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</si>
  <si>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</si>
  <si>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</si>
  <si>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</si>
  <si>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</si>
  <si>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</si>
  <si>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</si>
  <si>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</si>
  <si>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</si>
  <si>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</si>
  <si>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</si>
  <si>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</si>
  <si>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</si>
  <si>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</si>
  <si>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</si>
  <si>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</si>
  <si>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</si>
  <si>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</si>
  <si>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</si>
  <si>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</si>
  <si>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</si>
  <si>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</si>
  <si>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</si>
  <si>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</si>
  <si>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</si>
  <si>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</si>
  <si>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</si>
  <si>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</si>
  <si>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</si>
  <si>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</si>
  <si>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</si>
  <si>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</si>
  <si>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</si>
  <si>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</si>
  <si>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</si>
  <si>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</si>
  <si>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</si>
  <si>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</si>
  <si>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</si>
  <si>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</si>
  <si>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</si>
  <si>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</si>
  <si>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</si>
  <si>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</si>
  <si>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</si>
  <si>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</si>
  <si>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</si>
  <si>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</si>
  <si>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</si>
  <si>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</si>
  <si>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</si>
  <si>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</si>
  <si>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</si>
  <si>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</si>
  <si>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</si>
  <si>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</si>
  <si>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</si>
  <si>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</si>
  <si>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</si>
  <si>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</si>
  <si>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</si>
  <si>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</si>
  <si>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</si>
  <si>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</si>
  <si>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</si>
  <si>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</si>
  <si>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</si>
  <si>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</si>
  <si>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</si>
  <si>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</si>
  <si>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</si>
  <si>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</si>
  <si>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</si>
  <si>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</si>
  <si>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</si>
  <si>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</si>
  <si>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</si>
  <si>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</si>
  <si>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</si>
  <si>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</si>
  <si>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</si>
  <si>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</si>
  <si>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</si>
  <si>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</si>
  <si>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</si>
  <si>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</si>
  <si>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</si>
  <si>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</si>
  <si>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</si>
  <si>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</si>
  <si>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</si>
  <si>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</si>
  <si>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</si>
  <si>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</si>
  <si>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</si>
  <si>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</si>
  <si>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</si>
  <si>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</si>
  <si>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</si>
  <si>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</si>
  <si>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</si>
  <si>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</si>
  <si>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</si>
  <si>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</si>
  <si>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</si>
  <si>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</si>
  <si>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</si>
  <si>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</si>
  <si>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</si>
  <si>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</si>
  <si>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</si>
  <si>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</si>
  <si>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</si>
  <si>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</si>
  <si>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</si>
  <si>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</si>
  <si>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</si>
  <si>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</si>
  <si>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</si>
  <si>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</si>
  <si>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</si>
  <si>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</si>
  <si>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</si>
  <si>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</si>
  <si>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</si>
  <si>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</si>
  <si>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</si>
  <si>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</si>
  <si>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</si>
  <si>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</si>
  <si>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</si>
  <si>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</si>
  <si>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</si>
  <si>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</si>
  <si>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</si>
  <si>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</si>
  <si>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</si>
  <si>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</si>
  <si>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</si>
  <si>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</si>
  <si>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</si>
  <si>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</si>
  <si>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</si>
  <si>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</si>
  <si>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</si>
  <si>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</si>
  <si>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</si>
  <si>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</si>
  <si>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</si>
  <si>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</si>
  <si>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</si>
  <si>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</si>
  <si>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</si>
  <si>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</si>
  <si>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</si>
  <si>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</si>
  <si>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</si>
  <si>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</si>
  <si>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</si>
  <si>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</si>
  <si>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</si>
  <si>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</si>
  <si>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</si>
  <si>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</si>
  <si>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</si>
  <si>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</si>
  <si>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</si>
  <si>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</si>
  <si>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</si>
  <si>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</si>
  <si>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</si>
  <si>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</si>
  <si>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</si>
  <si>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</si>
  <si>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</si>
  <si>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</si>
  <si>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</si>
  <si>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</si>
  <si>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</si>
  <si>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</si>
  <si>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</si>
  <si>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</si>
  <si>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</si>
  <si>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</si>
  <si>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</si>
  <si>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</si>
  <si>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</si>
  <si>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</si>
  <si>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</si>
  <si>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</si>
  <si>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</si>
  <si>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</si>
  <si>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</si>
  <si>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</si>
  <si>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</si>
  <si>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</si>
  <si>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</si>
  <si>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</si>
  <si>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</si>
  <si>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</si>
  <si>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</si>
  <si>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</si>
  <si>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</si>
  <si>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</si>
  <si>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</si>
  <si>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</si>
  <si>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</si>
  <si>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</si>
  <si>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</si>
  <si>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</si>
  <si>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</si>
  <si>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</si>
  <si>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</si>
  <si>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</si>
  <si>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</si>
  <si>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</si>
  <si>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</si>
  <si>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</si>
  <si>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</si>
  <si>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</si>
  <si>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</si>
  <si>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</si>
  <si>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</si>
  <si>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</si>
  <si>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</si>
  <si>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</si>
  <si>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</si>
  <si>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</si>
  <si>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</si>
  <si>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</si>
  <si>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</si>
  <si>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</si>
  <si>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</si>
  <si>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</si>
  <si>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</si>
  <si>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</si>
  <si>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</si>
  <si>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</si>
  <si>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</si>
  <si>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</si>
  <si>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</si>
  <si>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</si>
  <si>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</si>
  <si>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</si>
  <si>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</si>
  <si>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</si>
  <si>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</si>
  <si>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</si>
  <si>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</si>
  <si>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</si>
  <si>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</si>
  <si>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</si>
  <si>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</si>
  <si>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</si>
  <si>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</si>
  <si>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</si>
  <si>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</si>
  <si>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</si>
  <si>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</si>
  <si>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</si>
  <si>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</si>
  <si>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</si>
  <si>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</si>
  <si>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</si>
  <si>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</si>
  <si>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</si>
  <si>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</si>
  <si>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</si>
  <si>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</si>
  <si>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</si>
  <si>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</si>
  <si>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</si>
  <si>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</si>
  <si>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</si>
  <si>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</si>
  <si>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</si>
  <si>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</si>
  <si>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</si>
  <si>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</si>
  <si>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</si>
  <si>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</si>
  <si>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</si>
  <si>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</si>
  <si>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</si>
  <si>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</si>
  <si>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</si>
  <si>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</si>
  <si>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</si>
  <si>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</si>
  <si>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</si>
  <si>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</si>
  <si>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</si>
  <si>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</si>
  <si>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</si>
  <si>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</si>
  <si>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</si>
  <si>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</si>
  <si>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</si>
  <si>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</si>
  <si>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</si>
  <si>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</si>
  <si>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</si>
  <si>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</si>
  <si>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</si>
  <si>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</si>
  <si>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</si>
  <si>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</si>
  <si>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</si>
  <si>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</si>
  <si>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</si>
  <si>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</si>
  <si>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</si>
  <si>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</si>
  <si>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</si>
  <si>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</si>
  <si>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</si>
  <si>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</si>
  <si>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</si>
  <si>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</si>
  <si>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</si>
  <si>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</si>
  <si>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</si>
  <si>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</si>
  <si>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</si>
  <si>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</si>
  <si>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</si>
  <si>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</si>
  <si>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</si>
  <si>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</si>
  <si>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</si>
  <si>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</si>
  <si>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</si>
  <si>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</si>
  <si>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</si>
  <si>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</si>
  <si>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</si>
  <si>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</si>
  <si>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</si>
  <si>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</si>
  <si>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</si>
  <si>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</si>
  <si>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</si>
  <si>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</si>
  <si>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</si>
  <si>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</si>
  <si>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</si>
  <si>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</si>
  <si>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</si>
  <si>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</si>
  <si>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</si>
  <si>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</si>
  <si>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</si>
  <si>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</si>
  <si>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</si>
  <si>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</si>
  <si>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</si>
  <si>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</si>
  <si>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</si>
  <si>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</si>
  <si>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</si>
  <si>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</si>
  <si>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</si>
  <si>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</si>
  <si>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</si>
  <si>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</si>
  <si>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</si>
  <si>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</si>
  <si>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</si>
  <si>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</si>
  <si>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</si>
  <si>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</si>
  <si>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</si>
  <si>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</si>
  <si>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</si>
  <si>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</si>
  <si>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</si>
  <si>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</si>
  <si>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</si>
  <si>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</si>
  <si>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</si>
  <si>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</si>
  <si>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</si>
  <si>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</si>
  <si>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</si>
  <si>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</si>
  <si>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</si>
  <si>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</si>
  <si>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</si>
  <si>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</si>
  <si>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</si>
  <si>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</si>
  <si>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</si>
  <si>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</si>
  <si>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</si>
  <si>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</si>
  <si>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</si>
  <si>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</si>
  <si>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</si>
  <si>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</si>
  <si>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</si>
  <si>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</si>
  <si>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</si>
  <si>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</si>
  <si>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</si>
  <si>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</si>
  <si>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</si>
  <si>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</si>
  <si>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</si>
  <si>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</si>
  <si>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</si>
  <si>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</si>
  <si>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</si>
  <si>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</si>
  <si>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</si>
  <si>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</si>
  <si>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</si>
  <si>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</si>
  <si>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</si>
  <si>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</si>
  <si>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</si>
  <si>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</si>
  <si>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</si>
  <si>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</si>
  <si>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</si>
  <si>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</si>
  <si>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</si>
  <si>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</si>
  <si>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</si>
  <si>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</si>
  <si>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</si>
  <si>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</si>
  <si>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</si>
  <si>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</si>
  <si>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</si>
  <si>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</si>
  <si>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</si>
  <si>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</si>
  <si>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</si>
  <si>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</si>
  <si>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</si>
  <si>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</si>
  <si>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</si>
  <si>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</si>
  <si>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</si>
  <si>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</si>
  <si>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</si>
  <si>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</si>
  <si>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</si>
  <si>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</si>
  <si>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</si>
  <si>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</si>
  <si>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</si>
  <si>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</si>
  <si>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</si>
  <si>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</si>
  <si>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</si>
  <si>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</si>
  <si>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</si>
  <si>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</si>
  <si>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</si>
  <si>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</si>
  <si>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</si>
  <si>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</si>
  <si>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</si>
  <si>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</si>
  <si>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</si>
  <si>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</si>
  <si>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</si>
  <si>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</si>
  <si>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</si>
  <si>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</si>
  <si>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</si>
  <si>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</si>
  <si>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</si>
  <si>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</si>
  <si>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</si>
  <si>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</si>
  <si>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</si>
  <si>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</si>
  <si>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</si>
  <si>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</si>
  <si>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</si>
  <si>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</si>
  <si>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</si>
  <si>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</si>
  <si>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</si>
  <si>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</si>
  <si>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</si>
  <si>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</si>
  <si>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</si>
  <si>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</si>
  <si>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</si>
  <si>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</si>
  <si>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</si>
  <si>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</si>
  <si>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</si>
  <si>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</si>
  <si>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</si>
  <si>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</si>
  <si>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</si>
  <si>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</si>
  <si>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</si>
  <si>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</si>
  <si>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</si>
  <si>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</si>
  <si>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</si>
  <si>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</si>
  <si>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</si>
  <si>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</si>
  <si>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</si>
  <si>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</si>
  <si>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</si>
  <si>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</si>
  <si>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</si>
  <si>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</si>
  <si>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</si>
  <si>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</si>
  <si>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</si>
  <si>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</si>
  <si>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</si>
  <si>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</si>
  <si>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</si>
  <si>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</si>
  <si>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</si>
  <si>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</si>
  <si>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</si>
  <si>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</si>
  <si>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</si>
  <si>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</si>
  <si>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</si>
  <si>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</si>
  <si>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</si>
  <si>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</si>
  <si>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</si>
  <si>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</si>
  <si>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</si>
  <si>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</si>
  <si>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</si>
  <si>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</si>
  <si>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</si>
  <si>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</si>
  <si>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</si>
  <si>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</si>
  <si>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</si>
  <si>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</si>
  <si>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</si>
  <si>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</si>
  <si>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</si>
  <si>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</si>
  <si>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</si>
  <si>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</si>
  <si>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</si>
  <si>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</si>
  <si>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</si>
  <si>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</si>
  <si>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</si>
  <si>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</si>
  <si>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</si>
  <si>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</si>
  <si>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</si>
  <si>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</si>
  <si>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</si>
  <si>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</si>
  <si>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</si>
  <si>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</si>
  <si>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</si>
  <si>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</si>
  <si>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</si>
  <si>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</si>
  <si>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</si>
  <si>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</si>
  <si>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</si>
  <si>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</si>
  <si>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</si>
  <si>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</si>
  <si>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</si>
  <si>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</si>
  <si>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</si>
  <si>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</si>
  <si>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</si>
  <si>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</si>
  <si>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</si>
  <si>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</si>
  <si>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</si>
  <si>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</si>
  <si>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</si>
  <si>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</si>
  <si>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</si>
  <si>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</si>
  <si>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</si>
  <si>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</si>
  <si>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</si>
  <si>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</si>
  <si>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</si>
  <si>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</si>
  <si>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</si>
  <si>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</si>
  <si>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</si>
  <si>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</si>
  <si>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</si>
  <si>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</si>
  <si>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</si>
  <si>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</si>
  <si>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</si>
  <si>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</si>
  <si>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</si>
  <si>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</si>
  <si>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</si>
  <si>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</si>
  <si>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</si>
  <si>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</si>
  <si>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</si>
  <si>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</si>
  <si>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</si>
  <si>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</si>
  <si>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</si>
  <si>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</si>
  <si>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</si>
  <si>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</si>
  <si>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</si>
  <si>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</si>
  <si>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</si>
  <si>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</si>
  <si>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</si>
  <si>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</si>
  <si>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</si>
  <si>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</si>
  <si>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</si>
  <si>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</si>
  <si>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</si>
  <si>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</si>
  <si>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</si>
  <si>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</si>
  <si>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</si>
  <si>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</si>
  <si>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</si>
  <si>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</si>
  <si>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</si>
  <si>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</si>
  <si>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</si>
  <si>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</si>
  <si>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</si>
  <si>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</si>
  <si>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</si>
  <si>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</si>
  <si>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</si>
  <si>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</si>
  <si>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</si>
  <si>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</si>
  <si>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</si>
  <si>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</si>
  <si>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</si>
  <si>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</si>
  <si>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</si>
  <si>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</si>
  <si>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</si>
  <si>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</si>
  <si>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</si>
  <si>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</si>
  <si>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</si>
  <si>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</si>
  <si>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</si>
  <si>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</si>
  <si>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</si>
  <si>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</si>
  <si>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</si>
  <si>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</si>
  <si>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</si>
  <si>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</si>
  <si>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</si>
  <si>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</si>
  <si>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</si>
  <si>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</si>
  <si>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</si>
  <si>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</si>
  <si>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</si>
  <si>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</si>
  <si>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</si>
  <si>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</si>
  <si>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</si>
  <si>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</si>
  <si>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</si>
  <si>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</si>
  <si>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</si>
  <si>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</si>
  <si>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</si>
  <si>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</si>
  <si>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</si>
  <si>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</si>
  <si>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</si>
  <si>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</si>
  <si>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</si>
  <si>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</si>
  <si>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</si>
  <si>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</si>
  <si>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</si>
  <si>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</si>
  <si>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</si>
  <si>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</si>
  <si>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</si>
  <si>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</si>
  <si>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</si>
  <si>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</si>
  <si>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</si>
  <si>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</si>
  <si>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</si>
  <si>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</si>
  <si>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</si>
  <si>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</si>
  <si>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</si>
  <si>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</si>
  <si>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</si>
  <si>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</si>
  <si>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</si>
  <si>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</si>
  <si>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</si>
  <si>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</si>
  <si>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</si>
  <si>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</si>
  <si>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</si>
  <si>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</si>
  <si>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</si>
  <si>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</si>
  <si>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</si>
  <si>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</si>
  <si>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</si>
  <si>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</si>
  <si>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</si>
  <si>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</si>
  <si>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</si>
  <si>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</si>
  <si>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</si>
  <si>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</si>
  <si>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</si>
  <si>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</si>
  <si>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</si>
  <si>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</si>
  <si>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</si>
  <si>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</si>
  <si>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</si>
  <si>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</si>
  <si>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</si>
  <si>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</si>
  <si>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</si>
  <si>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</si>
  <si>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</si>
  <si>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</si>
  <si>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</si>
  <si>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</si>
  <si>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</si>
  <si>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</si>
  <si>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</si>
  <si>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</si>
  <si>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</si>
  <si>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</si>
  <si>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</si>
  <si>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</si>
  <si>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</si>
  <si>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</si>
  <si>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</si>
  <si>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</si>
  <si>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</si>
  <si>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</si>
  <si>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</si>
  <si>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</si>
  <si>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</si>
  <si>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</si>
  <si>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</si>
  <si>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</si>
  <si>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</si>
  <si>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</si>
  <si>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</si>
  <si>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</si>
  <si>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</si>
  <si>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</si>
  <si>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</si>
  <si>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</si>
  <si>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</si>
  <si>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</si>
  <si>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</si>
  <si>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</si>
  <si>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</si>
  <si>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</si>
  <si>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</si>
  <si>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</si>
  <si>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</si>
  <si>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</si>
  <si>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</si>
  <si>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</si>
  <si>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</si>
  <si>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</si>
  <si>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</si>
  <si>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</si>
  <si>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</si>
  <si>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</si>
  <si>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</si>
  <si>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</si>
  <si>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</si>
  <si>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</si>
  <si>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</si>
  <si>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</si>
  <si>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</si>
  <si>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</si>
  <si>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</si>
  <si>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</si>
  <si>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</si>
  <si>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</si>
  <si>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</si>
  <si>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</si>
  <si>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</si>
  <si>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</si>
  <si>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</si>
  <si>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</si>
  <si>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</si>
  <si>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</si>
  <si>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</si>
  <si>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</si>
  <si>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</si>
  <si>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</si>
  <si>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</si>
  <si>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</si>
  <si>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</si>
  <si>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</si>
  <si>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</si>
  <si>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</si>
  <si>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</si>
  <si>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</si>
  <si>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</si>
  <si>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</si>
  <si>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</si>
  <si>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</si>
  <si>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</si>
  <si>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</si>
  <si>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</si>
  <si>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</si>
  <si>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</si>
  <si>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</si>
  <si>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</si>
  <si>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</si>
  <si>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</si>
  <si>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</si>
  <si>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</si>
  <si>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</si>
  <si>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</si>
  <si>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</si>
  <si>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</si>
  <si>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</si>
  <si>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</si>
  <si>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</si>
  <si>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</si>
  <si>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</si>
  <si>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</si>
  <si>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</si>
  <si>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</si>
  <si>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</si>
  <si>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</si>
  <si>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</si>
  <si>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</si>
  <si>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</si>
  <si>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</si>
  <si>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</si>
  <si>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</si>
  <si>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</si>
  <si>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</si>
  <si>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</si>
  <si>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</si>
  <si>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</si>
  <si>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</si>
  <si>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</si>
  <si>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</si>
  <si>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</si>
  <si>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</si>
  <si>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</si>
  <si>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</si>
  <si>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</si>
  <si>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</si>
  <si>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</si>
  <si>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</si>
  <si>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</si>
  <si>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</si>
  <si>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</si>
  <si>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</si>
  <si>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</si>
  <si>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</si>
  <si>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</si>
  <si>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</si>
  <si>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</si>
  <si>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</si>
  <si>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</si>
  <si>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</si>
  <si>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</si>
  <si>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</si>
  <si>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</si>
  <si>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</si>
  <si>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</si>
  <si>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</si>
  <si>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</si>
  <si>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</si>
  <si>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</si>
  <si>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</si>
  <si>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</si>
  <si>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</si>
  <si>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</si>
  <si>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</si>
  <si>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</si>
  <si>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</si>
  <si>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</si>
  <si>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</si>
  <si>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</si>
  <si>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</si>
  <si>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</si>
  <si>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</si>
  <si>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</si>
  <si>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</si>
  <si>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</si>
  <si>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</si>
  <si>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</si>
  <si>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</si>
  <si>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</si>
  <si>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</si>
  <si>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</si>
  <si>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</si>
  <si>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</si>
  <si>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</si>
  <si>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</si>
  <si>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</si>
  <si>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</si>
  <si>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</si>
  <si>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</si>
  <si>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</si>
  <si>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</si>
  <si>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</si>
  <si>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</si>
  <si>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</si>
  <si>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</si>
  <si>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</si>
  <si>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</si>
  <si>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</si>
  <si>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</si>
  <si>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</si>
  <si>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</si>
  <si>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</si>
  <si>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</si>
  <si>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</si>
  <si>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</si>
  <si>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</si>
  <si>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</si>
  <si>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</si>
  <si>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</si>
  <si>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</si>
  <si>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</si>
  <si>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</si>
  <si>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</si>
  <si>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</si>
  <si>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</si>
  <si>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</si>
  <si>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</si>
  <si>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</si>
  <si>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</si>
  <si>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</si>
  <si>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</si>
  <si>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</si>
  <si>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</si>
  <si>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</si>
  <si>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</si>
  <si>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</si>
  <si>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</si>
  <si>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</si>
  <si>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</si>
  <si>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</si>
  <si>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</si>
  <si>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</si>
  <si>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</si>
  <si>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</si>
  <si>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</si>
  <si>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</si>
  <si>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</si>
  <si>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</si>
  <si>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</si>
  <si>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</si>
  <si>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</si>
  <si>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</si>
  <si>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</si>
  <si>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</si>
  <si>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</si>
  <si>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</si>
  <si>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</si>
  <si>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</si>
  <si>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</si>
  <si>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</si>
  <si>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</si>
  <si>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</si>
  <si>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</si>
  <si>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</si>
  <si>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</si>
  <si>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</si>
  <si>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</si>
  <si>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</si>
  <si>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</si>
  <si>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</si>
  <si>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</si>
  <si>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</si>
  <si>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</si>
  <si>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</si>
  <si>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</si>
  <si>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</si>
  <si>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</si>
  <si>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</si>
  <si>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</si>
  <si>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</si>
  <si>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</si>
  <si>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</si>
  <si>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</si>
  <si>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</si>
  <si>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</si>
  <si>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</si>
  <si>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</si>
  <si>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</si>
  <si>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</si>
  <si>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</si>
  <si>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</si>
  <si>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</si>
  <si>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</si>
  <si>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</si>
  <si>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</si>
  <si>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</si>
  <si>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</si>
  <si>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</si>
  <si>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</si>
  <si>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</si>
  <si>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</si>
  <si>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</si>
  <si>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</si>
  <si>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</si>
  <si>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</si>
  <si>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</si>
  <si>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</si>
  <si>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</si>
  <si>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</si>
  <si>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</si>
  <si>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</si>
  <si>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</si>
  <si>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</si>
  <si>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</si>
  <si>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</si>
  <si>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</si>
  <si>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</si>
  <si>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</si>
  <si>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</si>
  <si>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</si>
  <si>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</si>
  <si>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</si>
  <si>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</si>
  <si>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</si>
  <si>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</si>
  <si>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</si>
  <si>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</si>
  <si>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</si>
  <si>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</si>
  <si>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</si>
  <si>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</si>
  <si>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</si>
  <si>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</si>
  <si>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</si>
  <si>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</si>
  <si>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</si>
  <si>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</si>
  <si>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</si>
  <si>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</si>
  <si>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</si>
  <si>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</si>
  <si>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</si>
  <si>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</si>
  <si>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</si>
  <si>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</si>
  <si>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</si>
  <si>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</si>
  <si>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</si>
  <si>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</si>
  <si>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</si>
  <si>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</si>
  <si>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</si>
  <si>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</si>
  <si>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</si>
  <si>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</si>
  <si>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</si>
  <si>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</si>
  <si>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</si>
  <si>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</si>
  <si>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</si>
  <si>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</si>
  <si>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</si>
  <si>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</si>
  <si>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</si>
  <si>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</si>
  <si>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</si>
  <si>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</si>
  <si>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</si>
  <si>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</si>
  <si>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</si>
  <si>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</si>
  <si>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</si>
  <si>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</si>
  <si>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</si>
  <si>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</si>
  <si>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</si>
  <si>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</si>
  <si>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</si>
  <si>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</si>
  <si>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</si>
  <si>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</si>
  <si>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</si>
  <si>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</si>
  <si>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</si>
  <si>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</si>
  <si>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</si>
  <si>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</si>
  <si>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</si>
  <si>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</si>
  <si>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</si>
  <si>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</si>
  <si>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</si>
  <si>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</si>
  <si>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</si>
  <si>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</si>
  <si>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</si>
  <si>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</si>
  <si>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</si>
  <si>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</si>
  <si>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</si>
  <si>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</si>
  <si>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</si>
  <si>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</si>
  <si>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</si>
  <si>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</si>
  <si>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</si>
  <si>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</si>
  <si>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</si>
  <si>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</si>
  <si>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</si>
  <si>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</si>
  <si>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</si>
  <si>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</si>
  <si>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</si>
  <si>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</si>
  <si>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</si>
  <si>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</si>
  <si>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</si>
  <si>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</si>
  <si>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</si>
  <si>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</si>
  <si>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</si>
  <si>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</si>
  <si>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</si>
  <si>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</si>
  <si>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</si>
  <si>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</si>
  <si>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</si>
  <si>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</si>
  <si>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</si>
  <si>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</si>
  <si>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</si>
  <si>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</si>
  <si>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</si>
  <si>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</si>
  <si>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</si>
  <si>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</si>
  <si>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</si>
  <si>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</si>
  <si>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</si>
  <si>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</si>
  <si>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</si>
  <si>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</si>
  <si>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</si>
  <si>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</si>
  <si>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</si>
  <si>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</si>
  <si>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</si>
  <si>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</si>
  <si>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</si>
  <si>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</si>
  <si>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</si>
  <si>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</si>
  <si>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</si>
  <si>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</si>
  <si>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</si>
  <si>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</si>
  <si>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</si>
  <si>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</si>
  <si>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</si>
  <si>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</si>
  <si>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</si>
  <si>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</si>
  <si>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</si>
  <si>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</si>
  <si>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</si>
  <si>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</si>
  <si>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</si>
  <si>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</si>
  <si>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</si>
  <si>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</si>
  <si>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</si>
  <si>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</si>
  <si>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</si>
  <si>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</si>
  <si>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</si>
  <si>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</si>
  <si>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</si>
  <si>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</si>
  <si>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</si>
  <si>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</si>
  <si>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</si>
  <si>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</si>
  <si>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</si>
  <si>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</si>
  <si>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</si>
  <si>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</si>
  <si>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</si>
  <si>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</si>
  <si>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</si>
  <si>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</si>
  <si>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</si>
  <si>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</si>
  <si>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</si>
  <si>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</si>
  <si>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</si>
  <si>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</si>
  <si>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</si>
  <si>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</si>
  <si>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</si>
  <si>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</si>
  <si>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</si>
  <si>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</si>
  <si>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</si>
  <si>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</si>
  <si>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</si>
  <si>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</si>
  <si>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</si>
  <si>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</si>
  <si>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</si>
  <si>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</si>
  <si>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</si>
  <si>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</si>
  <si>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</si>
  <si>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</si>
  <si>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</si>
  <si>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</si>
  <si>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</si>
  <si>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</si>
  <si>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</si>
  <si>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</si>
  <si>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</si>
  <si>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</si>
  <si>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</si>
  <si>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</si>
  <si>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</si>
  <si>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</si>
  <si>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</si>
  <si>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</si>
  <si>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</si>
  <si>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</si>
  <si>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</si>
  <si>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</si>
  <si>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</si>
  <si>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</si>
  <si>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</si>
  <si>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</si>
  <si>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</si>
  <si>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</si>
  <si>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</si>
  <si>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</si>
  <si>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</si>
  <si>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</si>
  <si>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</si>
  <si>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</si>
  <si>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</si>
  <si>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</si>
  <si>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</si>
  <si>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</si>
  <si>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</si>
  <si>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</si>
  <si>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</si>
  <si>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</si>
  <si>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</si>
  <si>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</si>
  <si>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</si>
  <si>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</si>
  <si>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</si>
  <si>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</si>
  <si>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</si>
  <si>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</si>
  <si>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</si>
  <si>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</si>
  <si>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</si>
  <si>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</si>
  <si>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</si>
  <si>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</si>
  <si>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</si>
  <si>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</si>
  <si>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</si>
  <si>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</si>
  <si>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</si>
  <si>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</si>
  <si>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</si>
  <si>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</si>
  <si>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</si>
  <si>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</si>
  <si>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</si>
  <si>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</si>
  <si>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</si>
  <si>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</si>
  <si>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</si>
  <si>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</si>
  <si>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</si>
  <si>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</si>
  <si>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</si>
  <si>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</si>
  <si>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</si>
  <si>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</si>
  <si>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</si>
  <si>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</si>
  <si>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</si>
  <si>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</si>
  <si>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</si>
  <si>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</si>
  <si>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</si>
  <si>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</si>
  <si>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</si>
  <si>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</si>
  <si>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</si>
  <si>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</si>
  <si>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</si>
  <si>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</si>
  <si>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</si>
  <si>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</si>
  <si>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</si>
  <si>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</si>
  <si>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</si>
  <si>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</si>
  <si>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</si>
  <si>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</si>
  <si>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</si>
  <si>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</si>
  <si>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</si>
  <si>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</si>
  <si>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</si>
  <si>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</si>
  <si>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</si>
  <si>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</si>
  <si>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</si>
  <si>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</si>
  <si>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</si>
  <si>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</si>
  <si>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</si>
  <si>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</si>
  <si>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</si>
  <si>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</si>
  <si>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</si>
  <si>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</si>
  <si>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</si>
  <si>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</si>
  <si>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</si>
  <si>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</si>
  <si>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</si>
  <si>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</si>
  <si>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</si>
  <si>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</si>
  <si>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</si>
  <si>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</si>
  <si>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</si>
  <si>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</si>
  <si>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</si>
  <si>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</si>
  <si>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</si>
  <si>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</si>
  <si>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</si>
  <si>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</si>
  <si>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</si>
  <si>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</si>
  <si>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</si>
  <si>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</si>
  <si>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</si>
  <si>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</si>
  <si>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</si>
  <si>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</si>
  <si>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</si>
  <si>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</si>
  <si>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</si>
  <si>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</si>
  <si>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</si>
  <si>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</si>
  <si>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</si>
  <si>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</si>
  <si>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</si>
  <si>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</si>
  <si>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</si>
  <si>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</si>
  <si>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</si>
  <si>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</si>
  <si>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</si>
  <si>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</si>
  <si>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</si>
  <si>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</si>
  <si>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</si>
  <si>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</si>
  <si>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</si>
  <si>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</si>
  <si>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</si>
  <si>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</si>
  <si>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</si>
  <si>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</si>
  <si>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</si>
  <si>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</si>
  <si>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</si>
  <si>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</si>
  <si>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</si>
  <si>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</si>
  <si>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</si>
  <si>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</si>
  <si>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</si>
  <si>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</si>
  <si>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</si>
  <si>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</si>
  <si>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</si>
  <si>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</si>
  <si>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</si>
  <si>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</si>
  <si>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</si>
  <si>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</si>
  <si>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</si>
  <si>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</si>
  <si>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</si>
  <si>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</si>
  <si>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</si>
  <si>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</si>
  <si>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</si>
  <si>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</si>
  <si>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</si>
  <si>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</si>
  <si>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</si>
  <si>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</si>
  <si>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</si>
  <si>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</si>
  <si>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</si>
  <si>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</si>
  <si>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</si>
  <si>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</si>
  <si>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</si>
  <si>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</si>
  <si>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</si>
  <si>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</si>
  <si>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</si>
  <si>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</si>
  <si>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</si>
  <si>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</si>
  <si>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</si>
  <si>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</si>
  <si>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</si>
  <si>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</si>
  <si>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</si>
  <si>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</si>
  <si>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</si>
  <si>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</si>
  <si>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</si>
  <si>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</si>
  <si>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</si>
  <si>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</si>
  <si>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</si>
  <si>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</si>
  <si>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</si>
  <si>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</si>
  <si>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</si>
  <si>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</si>
  <si>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</si>
  <si>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</si>
  <si>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</si>
  <si>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</si>
  <si>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</si>
  <si>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</si>
  <si>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</si>
  <si>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</si>
  <si>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</si>
  <si>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</si>
  <si>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</si>
  <si>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</si>
  <si>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</si>
  <si>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</si>
  <si>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</si>
  <si>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</si>
  <si>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</si>
  <si>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</si>
  <si>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</si>
  <si>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</si>
  <si>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</si>
  <si>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</si>
  <si>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</si>
  <si>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</si>
  <si>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</si>
  <si>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</si>
  <si>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</si>
  <si>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</si>
  <si>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</si>
  <si>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</si>
  <si>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</si>
  <si>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</si>
  <si>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</si>
  <si>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</si>
  <si>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</si>
  <si>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</si>
  <si>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</si>
  <si>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</si>
  <si>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</si>
  <si>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</si>
  <si>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</si>
  <si>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</si>
  <si>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</si>
  <si>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</si>
  <si>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</si>
  <si>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</si>
  <si>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</si>
  <si>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</si>
  <si>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</si>
  <si>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</si>
  <si>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</si>
  <si>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</si>
  <si>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</si>
  <si>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</si>
  <si>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</si>
  <si>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</si>
  <si>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</si>
  <si>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</si>
  <si>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</si>
  <si>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</si>
  <si>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</si>
  <si>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</si>
  <si>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</si>
  <si>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</si>
  <si>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</si>
  <si>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</si>
  <si>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</si>
  <si>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</si>
  <si>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</si>
  <si>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</si>
  <si>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</si>
  <si>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</si>
  <si>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</si>
  <si>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</si>
  <si>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</si>
  <si>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</si>
  <si>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</si>
  <si>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</si>
  <si>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</si>
  <si>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</si>
  <si>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</si>
  <si>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</si>
  <si>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</si>
  <si>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</si>
  <si>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</si>
  <si>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</si>
  <si>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</si>
  <si>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</si>
  <si>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</si>
  <si>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</si>
  <si>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</si>
  <si>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</si>
  <si>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</si>
  <si>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</si>
  <si>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</si>
  <si>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</si>
  <si>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</si>
  <si>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</si>
  <si>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</si>
  <si>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</si>
  <si>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</si>
  <si>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</si>
  <si>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</si>
  <si>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</si>
  <si>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</si>
  <si>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</si>
  <si>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</si>
  <si>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</si>
  <si>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</si>
  <si>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</si>
  <si>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</si>
  <si>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</si>
  <si>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</si>
  <si>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</si>
  <si>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</si>
  <si>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</si>
  <si>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</si>
  <si>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</si>
  <si>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</si>
  <si>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</si>
  <si>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</si>
  <si>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</si>
  <si>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</si>
  <si>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</si>
  <si>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</si>
  <si>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</si>
  <si>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</si>
  <si>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</si>
  <si>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</si>
  <si>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</si>
  <si>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</si>
  <si>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</si>
  <si>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</si>
  <si>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</si>
  <si>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</si>
  <si>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</si>
  <si>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</si>
  <si>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</si>
  <si>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</si>
  <si>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</si>
  <si>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</si>
  <si>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</si>
  <si>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</si>
  <si>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</si>
  <si>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</si>
  <si>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</si>
  <si>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</si>
  <si>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</si>
  <si>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</si>
  <si>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</si>
  <si>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</si>
  <si>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</si>
  <si>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</si>
  <si>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</si>
  <si>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</si>
  <si>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</si>
  <si>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</si>
  <si>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</si>
  <si>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</si>
  <si>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</si>
  <si>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</si>
  <si>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</si>
  <si>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</si>
  <si>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</si>
  <si>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</si>
  <si>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</si>
  <si>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</si>
  <si>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</si>
  <si>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</si>
  <si>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</si>
  <si>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</si>
  <si>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</si>
  <si>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</si>
  <si>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</si>
  <si>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</si>
  <si>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</si>
  <si>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</si>
  <si>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</si>
  <si>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</si>
  <si>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</si>
  <si>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</si>
  <si>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</si>
  <si>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</si>
  <si>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</si>
  <si>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</si>
  <si>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</si>
  <si>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</si>
  <si>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</si>
  <si>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</si>
  <si>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</si>
  <si>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</si>
  <si>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</si>
  <si>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</si>
  <si>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</si>
  <si>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</si>
  <si>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</si>
  <si>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</si>
  <si>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</si>
  <si>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</si>
  <si>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</si>
  <si>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</si>
  <si>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</si>
  <si>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</si>
  <si>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</si>
  <si>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</si>
  <si>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</si>
  <si>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</si>
  <si>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</si>
  <si>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</si>
  <si>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</si>
  <si>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</si>
  <si>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</si>
  <si>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</si>
  <si>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</si>
  <si>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</si>
  <si>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</si>
  <si>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</si>
  <si>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</si>
  <si>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</si>
  <si>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</si>
  <si>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</si>
  <si>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</si>
  <si>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</si>
  <si>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</si>
  <si>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</si>
  <si>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</si>
  <si>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</si>
  <si>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</si>
  <si>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</si>
  <si>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</si>
  <si>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</si>
  <si>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</si>
  <si>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</si>
  <si>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</si>
  <si>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</si>
  <si>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</si>
  <si>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</si>
  <si>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</si>
  <si>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</si>
  <si>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</si>
  <si>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</si>
  <si>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</si>
  <si>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</si>
  <si>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</si>
  <si>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</si>
  <si>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</si>
  <si>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</si>
  <si>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</si>
  <si>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</si>
  <si>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</si>
  <si>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</si>
  <si>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</si>
  <si>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</si>
  <si>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</si>
  <si>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</si>
  <si>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</si>
  <si>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</si>
  <si>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</si>
  <si>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</si>
  <si>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</si>
  <si>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</si>
  <si>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</si>
  <si>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</si>
  <si>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</si>
  <si>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</si>
  <si>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</si>
  <si>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</si>
  <si>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</si>
  <si>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</si>
  <si>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</si>
  <si>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</si>
  <si>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</si>
  <si>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</si>
  <si>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</si>
  <si>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</si>
  <si>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</si>
  <si>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</si>
  <si>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</si>
  <si>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</si>
  <si>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</si>
  <si>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</si>
  <si>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</si>
  <si>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</si>
  <si>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</si>
  <si>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</si>
  <si>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</si>
  <si>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</si>
  <si>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</si>
  <si>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</si>
  <si>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</si>
  <si>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</si>
  <si>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</si>
  <si>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</si>
  <si>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</si>
  <si>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</si>
  <si>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</si>
  <si>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</si>
  <si>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</si>
  <si>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</si>
  <si>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</si>
  <si>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</si>
  <si>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</si>
  <si>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</si>
  <si>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</si>
  <si>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</si>
  <si>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</si>
  <si>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</si>
  <si>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</si>
  <si>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</si>
  <si>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</si>
  <si>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</si>
  <si>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</si>
  <si>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</si>
  <si>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</si>
  <si>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</si>
  <si>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</si>
  <si>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</si>
  <si>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</si>
  <si>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</si>
  <si>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</si>
  <si>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</si>
  <si>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</si>
  <si>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</si>
  <si>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</si>
  <si>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</si>
  <si>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</si>
  <si>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</si>
  <si>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</si>
  <si>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</si>
  <si>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</si>
  <si>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</si>
  <si>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</si>
  <si>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</si>
  <si>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</si>
  <si>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</si>
  <si>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</si>
  <si>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</si>
  <si>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</si>
  <si>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</si>
  <si>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</si>
  <si>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</si>
  <si>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</si>
  <si>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</si>
  <si>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</si>
  <si>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</si>
  <si>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</si>
  <si>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</si>
  <si>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</si>
  <si>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</si>
  <si>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</si>
  <si>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</si>
  <si>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</si>
  <si>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</si>
  <si>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</si>
  <si>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</si>
  <si>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</si>
  <si>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</si>
  <si>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</si>
  <si>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</si>
  <si>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</si>
  <si>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</si>
  <si>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</si>
  <si>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</si>
  <si>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</si>
  <si>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</si>
  <si>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</si>
  <si>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</si>
  <si>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</si>
  <si>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</si>
  <si>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</si>
  <si>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</si>
  <si>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</si>
  <si>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</si>
  <si>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</si>
  <si>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</si>
  <si>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</si>
  <si>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</si>
  <si>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</si>
  <si>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</si>
  <si>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</si>
  <si>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</si>
  <si>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</si>
  <si>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</si>
  <si>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</si>
  <si>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</si>
  <si>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</si>
  <si>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</si>
  <si>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</si>
  <si>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</si>
  <si>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</si>
  <si>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</si>
  <si>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</si>
  <si>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</si>
  <si>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</si>
  <si>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</si>
  <si>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</si>
  <si>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</si>
  <si>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</si>
  <si>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</si>
  <si>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</si>
  <si>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</si>
  <si>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</si>
  <si>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</si>
  <si>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</si>
  <si>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</si>
  <si>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</si>
  <si>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</si>
  <si>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</si>
  <si>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</si>
  <si>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</si>
  <si>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</si>
  <si>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</si>
  <si>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</si>
  <si>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</si>
  <si>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</si>
  <si>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</si>
  <si>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</si>
  <si>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</si>
  <si>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</si>
  <si>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</si>
  <si>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</si>
  <si>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</si>
  <si>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</si>
  <si>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</si>
  <si>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</si>
  <si>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</si>
  <si>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</si>
  <si>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</si>
  <si>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</si>
  <si>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</si>
  <si>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</si>
  <si>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</si>
  <si>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</si>
  <si>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</si>
  <si>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</si>
  <si>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</si>
  <si>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</si>
  <si>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</si>
  <si>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</si>
  <si>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</si>
  <si>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</si>
  <si>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</si>
  <si>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</si>
  <si>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</si>
  <si>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</si>
  <si>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</si>
  <si>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</si>
  <si>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</si>
  <si>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</si>
  <si>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</si>
  <si>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</si>
  <si>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</si>
  <si>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</si>
  <si>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</si>
  <si>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</si>
  <si>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</si>
  <si>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</si>
  <si>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</si>
  <si>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</si>
  <si>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</si>
  <si>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</si>
  <si>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</si>
  <si>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</si>
  <si>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</si>
  <si>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</si>
  <si>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</si>
  <si>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</si>
  <si>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</si>
  <si>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</si>
  <si>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</si>
  <si>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</si>
  <si>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</si>
  <si>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</si>
  <si>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</si>
  <si>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</si>
  <si>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</si>
  <si>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</si>
  <si>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</si>
  <si>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</si>
  <si>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</si>
  <si>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</si>
  <si>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</si>
  <si>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</si>
  <si>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</si>
  <si>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</si>
  <si>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</si>
  <si>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</si>
  <si>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</si>
  <si>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</si>
  <si>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</si>
  <si>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</si>
  <si>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</si>
  <si>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</si>
  <si>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</si>
  <si>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</si>
  <si>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</si>
  <si>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</si>
  <si>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</si>
  <si>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</si>
  <si>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</si>
  <si>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</si>
  <si>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</si>
  <si>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</si>
  <si>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</si>
  <si>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</si>
  <si>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</si>
  <si>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</si>
  <si>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</si>
  <si>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</si>
  <si>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</si>
  <si>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</si>
  <si>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</si>
  <si>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</si>
  <si>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</si>
  <si>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</si>
  <si>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</si>
  <si>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</si>
  <si>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</si>
  <si>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</si>
  <si>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</si>
  <si>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</si>
  <si>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</si>
  <si>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</si>
  <si>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</si>
  <si>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</si>
  <si>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</si>
  <si>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</si>
  <si>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</si>
  <si>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</si>
  <si>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</si>
  <si>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</si>
  <si>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</si>
  <si>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</si>
  <si>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</si>
  <si>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</si>
  <si>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</si>
  <si>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</si>
  <si>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</si>
  <si>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</si>
  <si>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</si>
  <si>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</si>
  <si>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</si>
  <si>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</si>
  <si>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</si>
  <si>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</si>
  <si>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</si>
  <si>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</si>
  <si>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</si>
  <si>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</si>
  <si>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</si>
  <si>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</si>
  <si>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</si>
  <si>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</si>
  <si>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</si>
  <si>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</si>
  <si>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</si>
  <si>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</si>
  <si>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</si>
  <si>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</si>
  <si>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</si>
  <si>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</si>
  <si>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</si>
  <si>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</si>
  <si>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</si>
  <si>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</si>
  <si>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</si>
  <si>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</si>
  <si>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</si>
  <si>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</si>
  <si>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</si>
  <si>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</si>
  <si>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</si>
  <si>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</si>
  <si>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</si>
  <si>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</si>
  <si>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</si>
  <si>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</si>
  <si>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</si>
  <si>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</si>
  <si>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</si>
  <si>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</si>
  <si>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</si>
  <si>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</si>
  <si>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</si>
  <si>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</si>
  <si>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</si>
  <si>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</si>
  <si>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</si>
  <si>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</si>
  <si>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</si>
  <si>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</si>
  <si>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</si>
  <si>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</si>
  <si>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</si>
  <si>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</si>
  <si>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</si>
  <si>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</si>
  <si>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</si>
  <si>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</si>
  <si>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</si>
  <si>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</si>
  <si>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</si>
  <si>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</si>
  <si>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</si>
  <si>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</si>
  <si>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</si>
  <si>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</si>
  <si>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</si>
  <si>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</si>
  <si>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</si>
  <si>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</si>
  <si>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</si>
  <si>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</si>
  <si>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</si>
  <si>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</si>
  <si>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</si>
  <si>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</si>
  <si>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</si>
  <si>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</si>
  <si>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</si>
  <si>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</si>
  <si>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</si>
  <si>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</si>
  <si>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</si>
  <si>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</si>
  <si>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</si>
  <si>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</si>
  <si>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</si>
  <si>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</si>
  <si>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</si>
  <si>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</si>
  <si>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</si>
  <si>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</si>
  <si>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</si>
  <si>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</si>
  <si>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</si>
  <si>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</si>
  <si>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</si>
  <si>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</si>
  <si>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</si>
  <si>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</si>
  <si>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</si>
  <si>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</si>
  <si>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</si>
  <si>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</si>
  <si>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</si>
  <si>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</si>
  <si>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</si>
  <si>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</si>
  <si>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</si>
  <si>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</si>
  <si>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</si>
  <si>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</si>
  <si>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</si>
  <si>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</si>
  <si>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</si>
  <si>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</si>
  <si>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</si>
  <si>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</si>
  <si>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</si>
  <si>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</si>
  <si>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</si>
  <si>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</si>
  <si>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</si>
  <si>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</si>
  <si>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</si>
  <si>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</si>
  <si>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</si>
  <si>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</si>
  <si>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</si>
  <si>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</si>
  <si>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</si>
  <si>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</si>
  <si>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</si>
  <si>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</si>
  <si>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</si>
  <si>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</si>
  <si>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</si>
  <si>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</si>
  <si>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</si>
  <si>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</si>
  <si>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</si>
  <si>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</si>
  <si>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</si>
  <si>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</si>
  <si>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</si>
  <si>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</si>
  <si>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</si>
  <si>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</si>
  <si>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</si>
  <si>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</si>
  <si>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</si>
  <si>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</si>
  <si>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</si>
  <si>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</si>
  <si>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</si>
  <si>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</si>
  <si>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</si>
  <si>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</si>
  <si>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</si>
  <si>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</si>
  <si>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</si>
  <si>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</si>
  <si>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</si>
  <si>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</si>
  <si>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</si>
  <si>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</si>
  <si>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</si>
  <si>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</si>
  <si>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</si>
  <si>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</si>
  <si>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</si>
  <si>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</si>
  <si>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</si>
  <si>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</si>
  <si>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</si>
  <si>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</si>
  <si>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</si>
  <si>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</si>
  <si>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</si>
  <si>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</si>
  <si>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</si>
  <si>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</si>
  <si>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</si>
  <si>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</si>
  <si>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</si>
  <si>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</si>
  <si>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</si>
  <si>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</si>
  <si>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</si>
  <si>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</si>
  <si>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</si>
  <si>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</si>
  <si>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</si>
  <si>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</si>
  <si>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</si>
  <si>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</si>
  <si>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</si>
  <si>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</si>
  <si>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</si>
  <si>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</si>
  <si>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</si>
  <si>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</si>
  <si>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</si>
  <si>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</si>
  <si>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</si>
  <si>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</si>
  <si>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</si>
  <si>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</si>
  <si>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</si>
  <si>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</si>
  <si>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</si>
  <si>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</si>
  <si>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</si>
  <si>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</si>
  <si>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</si>
  <si>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</si>
  <si>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</si>
  <si>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</si>
  <si>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</si>
  <si>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</si>
  <si>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</si>
  <si>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</si>
  <si>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</si>
  <si>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</si>
  <si>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</si>
  <si>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</si>
  <si>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</si>
  <si>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</si>
  <si>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</si>
  <si>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</si>
  <si>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</si>
  <si>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</si>
  <si>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</si>
  <si>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</si>
  <si>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</si>
  <si>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</si>
  <si>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</si>
  <si>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</si>
  <si>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</si>
  <si>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</si>
  <si>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</si>
  <si>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</si>
  <si>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</si>
  <si>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</si>
  <si>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</si>
  <si>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</si>
  <si>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</si>
  <si>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</si>
  <si>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</si>
  <si>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</si>
  <si>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</si>
  <si>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</si>
  <si>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</si>
  <si>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</si>
  <si>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</si>
  <si>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</si>
  <si>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</si>
  <si>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</si>
  <si>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</si>
  <si>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</si>
  <si>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</si>
  <si>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</si>
  <si>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</si>
  <si>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</si>
  <si>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</si>
  <si>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</si>
  <si>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</si>
  <si>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</si>
  <si>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</si>
  <si>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</si>
  <si>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</si>
  <si>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</si>
  <si>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</si>
  <si>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</si>
  <si>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</si>
  <si>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</si>
  <si>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</si>
  <si>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</si>
  <si>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</si>
  <si>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</si>
  <si>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</si>
  <si>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</si>
  <si>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</si>
  <si>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</si>
  <si>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</si>
  <si>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</si>
  <si>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</si>
  <si>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</si>
  <si>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</si>
  <si>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</si>
  <si>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</si>
  <si>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</si>
  <si>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</si>
  <si>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</si>
  <si>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</si>
  <si>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</si>
  <si>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</si>
  <si>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</si>
  <si>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</si>
  <si>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</si>
  <si>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</si>
  <si>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</si>
  <si>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</si>
  <si>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</si>
  <si>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</si>
  <si>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</si>
  <si>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</si>
  <si>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</si>
  <si>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</si>
  <si>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</si>
  <si>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</si>
  <si>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</si>
  <si>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</si>
  <si>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</si>
  <si>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</si>
  <si>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</si>
  <si>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</si>
  <si>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</si>
  <si>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</si>
  <si>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</si>
  <si>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</si>
  <si>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</si>
  <si>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</si>
  <si>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</si>
  <si>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</si>
  <si>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</si>
  <si>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</si>
  <si>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</si>
  <si>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</si>
  <si>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</si>
  <si>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</si>
  <si>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</si>
  <si>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</si>
  <si>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</si>
  <si>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</si>
  <si>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</si>
  <si>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</si>
  <si>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</si>
  <si>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</si>
  <si>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</si>
  <si>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</si>
  <si>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</si>
  <si>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</si>
  <si>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</si>
  <si>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</si>
  <si>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</si>
  <si>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</si>
  <si>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</si>
  <si>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</si>
  <si>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</si>
  <si>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</si>
  <si>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</si>
  <si>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</si>
  <si>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</si>
  <si>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</si>
  <si>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</si>
  <si>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</si>
  <si>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</si>
  <si>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</si>
  <si>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</si>
  <si>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</si>
  <si>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</si>
  <si>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</si>
  <si>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</si>
  <si>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</si>
  <si>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</si>
  <si>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</si>
  <si>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</si>
  <si>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</si>
  <si>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</si>
  <si>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</si>
  <si>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</si>
  <si>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</si>
  <si>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</si>
  <si>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</si>
  <si>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</si>
  <si>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</si>
  <si>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</si>
  <si>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</si>
  <si>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</si>
  <si>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</si>
  <si>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</si>
  <si>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</si>
  <si>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</si>
  <si>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</si>
  <si>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</si>
  <si>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</si>
  <si>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</si>
  <si>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</si>
  <si>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</si>
  <si>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</si>
  <si>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</si>
  <si>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</si>
  <si>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</si>
  <si>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</si>
  <si>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</si>
  <si>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</si>
  <si>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</si>
  <si>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</si>
  <si>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</si>
  <si>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</si>
  <si>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</si>
  <si>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</si>
  <si>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</si>
  <si>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</si>
  <si>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</si>
  <si>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</si>
  <si>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</si>
  <si>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</si>
  <si>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</si>
  <si>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</si>
  <si>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</si>
  <si>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</si>
  <si>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</si>
  <si>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</si>
  <si>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</si>
  <si>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</si>
  <si>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</si>
  <si>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</si>
  <si>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</si>
  <si>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</si>
  <si>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</si>
  <si>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</si>
  <si>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</si>
  <si>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</si>
  <si>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</si>
  <si>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</si>
  <si>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</si>
  <si>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</si>
  <si>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</si>
  <si>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</si>
  <si>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</si>
  <si>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</si>
  <si>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</si>
  <si>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</si>
  <si>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</si>
  <si>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</si>
  <si>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</si>
  <si>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</si>
  <si>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</si>
  <si>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</si>
  <si>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</si>
  <si>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</si>
  <si>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</si>
  <si>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</si>
  <si>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</si>
  <si>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</si>
  <si>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</si>
  <si>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</si>
  <si>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</si>
  <si>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</si>
  <si>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</si>
  <si>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</si>
  <si>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</si>
  <si>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</si>
  <si>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</si>
  <si>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</si>
  <si>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</si>
  <si>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</si>
  <si>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</si>
  <si>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</si>
  <si>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</si>
  <si>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</si>
  <si>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</si>
  <si>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</si>
  <si>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</si>
  <si>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</si>
  <si>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</si>
  <si>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</si>
  <si>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</si>
  <si>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</si>
  <si>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</si>
  <si>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</si>
  <si>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</si>
  <si>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</si>
  <si>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</si>
  <si>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</si>
  <si>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</si>
  <si>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</si>
  <si>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</si>
  <si>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</si>
  <si>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</si>
  <si>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</si>
  <si>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</si>
  <si>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</si>
  <si>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</si>
  <si>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</si>
  <si>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</si>
  <si>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</si>
  <si>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</si>
  <si>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</si>
  <si>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</si>
  <si>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</si>
  <si>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</si>
  <si>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</si>
  <si>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</si>
  <si>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</si>
  <si>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</si>
  <si>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</si>
  <si>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</si>
  <si>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</si>
  <si>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</si>
  <si>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</si>
  <si>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</si>
  <si>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</si>
  <si>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</si>
  <si>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</si>
  <si>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</si>
  <si>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</si>
  <si>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</si>
  <si>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</si>
  <si>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</si>
  <si>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</si>
  <si>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</si>
  <si>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</si>
  <si>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</si>
  <si>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</si>
  <si>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</si>
  <si>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</si>
  <si>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</si>
  <si>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</si>
  <si>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</si>
  <si>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</si>
  <si>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</si>
  <si>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</si>
  <si>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</si>
  <si>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</si>
  <si>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</si>
  <si>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</si>
  <si>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</si>
  <si>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</si>
  <si>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</si>
  <si>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</si>
  <si>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</si>
  <si>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</si>
  <si>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</si>
  <si>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</si>
  <si>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</si>
  <si>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</si>
  <si>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</si>
  <si>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</si>
  <si>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</si>
  <si>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</si>
  <si>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</si>
  <si>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</si>
  <si>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</si>
  <si>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</si>
  <si>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</si>
  <si>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</si>
  <si>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</si>
  <si>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</si>
  <si>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</si>
  <si>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</si>
  <si>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</si>
  <si>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</si>
  <si>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</si>
  <si>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</si>
  <si>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</si>
  <si>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</si>
  <si>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</si>
  <si>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</si>
  <si>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</si>
  <si>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</si>
  <si>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</si>
  <si>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</si>
  <si>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</si>
  <si>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</si>
  <si>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</si>
  <si>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</si>
  <si>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</si>
  <si>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</si>
  <si>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</si>
  <si>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</si>
  <si>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</si>
  <si>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</si>
  <si>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</si>
  <si>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</si>
  <si>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</si>
  <si>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</si>
  <si>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</si>
  <si>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</si>
  <si>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</si>
  <si>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</si>
  <si>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</si>
  <si>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</si>
  <si>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</si>
  <si>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</si>
  <si>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</si>
  <si>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</si>
  <si>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</si>
  <si>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</si>
  <si>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</si>
  <si>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</si>
  <si>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</si>
  <si>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</si>
  <si>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</si>
  <si>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</si>
  <si>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</si>
  <si>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</si>
  <si>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</si>
  <si>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</si>
  <si>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</si>
  <si>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</si>
  <si>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</si>
  <si>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</si>
  <si>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</si>
  <si>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</si>
  <si>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</si>
  <si>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</si>
  <si>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</si>
  <si>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</si>
  <si>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</si>
  <si>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</si>
  <si>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</si>
  <si>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</si>
  <si>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</si>
  <si>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</si>
  <si>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</si>
  <si>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</si>
  <si>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</si>
  <si>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</si>
  <si>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</si>
  <si>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</si>
  <si>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</si>
  <si>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</si>
  <si>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</si>
  <si>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</si>
  <si>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</si>
  <si>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</si>
  <si>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</si>
  <si>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</si>
  <si>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</si>
  <si>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</si>
  <si>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</si>
  <si>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</si>
  <si>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</si>
  <si>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</si>
  <si>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</si>
  <si>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</si>
  <si>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</si>
  <si>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</si>
  <si>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</si>
  <si>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</si>
  <si>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</si>
  <si>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</si>
  <si>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</si>
  <si>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</si>
  <si>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</si>
  <si>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</si>
  <si>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</si>
  <si>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</si>
  <si>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</si>
  <si>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</si>
  <si>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</si>
  <si>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</si>
  <si>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</si>
  <si>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</si>
  <si>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</si>
  <si>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</si>
  <si>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</si>
  <si>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</si>
  <si>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</si>
  <si>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</si>
  <si>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</si>
  <si>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</si>
  <si>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</si>
  <si>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</si>
  <si>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</si>
  <si>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</si>
  <si>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</si>
  <si>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</si>
  <si>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</si>
  <si>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</si>
  <si>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</si>
  <si>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</si>
  <si>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</si>
  <si>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</si>
  <si>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</si>
  <si>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</si>
  <si>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</si>
  <si>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</si>
  <si>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</si>
  <si>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</si>
  <si>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</si>
  <si>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</si>
  <si>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</si>
  <si>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</si>
  <si>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</si>
  <si>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</si>
  <si>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</si>
  <si>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</si>
  <si>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</si>
  <si>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</si>
  <si>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</si>
  <si>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</si>
  <si>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</si>
  <si>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</si>
  <si>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</si>
  <si>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</si>
  <si>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</si>
  <si>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</si>
  <si>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</si>
  <si>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</si>
  <si>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</si>
  <si>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</si>
  <si>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</si>
  <si>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</si>
  <si>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</si>
  <si>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</si>
  <si>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</si>
  <si>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</si>
  <si>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</si>
  <si>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</si>
  <si>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</si>
  <si>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</si>
  <si>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</si>
  <si>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</si>
  <si>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</si>
  <si>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</si>
  <si>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</si>
  <si>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</si>
  <si>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</si>
  <si>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</si>
  <si>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</si>
  <si>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</si>
  <si>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</si>
  <si>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</si>
  <si>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</si>
  <si>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</si>
  <si>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</si>
  <si>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</si>
  <si>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</si>
  <si>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</si>
  <si>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</si>
  <si>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</si>
  <si>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</si>
  <si>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</si>
  <si>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</si>
  <si>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</si>
  <si>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</si>
  <si>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</si>
  <si>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</si>
  <si>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</si>
  <si>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</si>
  <si>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</si>
  <si>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</si>
  <si>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</si>
  <si>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</si>
  <si>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</si>
  <si>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</si>
  <si>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</si>
  <si>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</si>
  <si>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</si>
  <si>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</si>
  <si>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</si>
  <si>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</si>
  <si>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</si>
  <si>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</si>
  <si>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</si>
  <si>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</si>
  <si>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</si>
  <si>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</si>
  <si>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</si>
  <si>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</si>
  <si>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</si>
  <si>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</si>
  <si>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</si>
  <si>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</si>
  <si>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</si>
  <si>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</si>
  <si>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</si>
  <si>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</si>
  <si>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</si>
  <si>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</si>
  <si>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</si>
  <si>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</si>
  <si>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</si>
  <si>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</si>
  <si>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</si>
  <si>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</si>
  <si>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</si>
  <si>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</si>
  <si>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</si>
  <si>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</si>
  <si>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</si>
  <si>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</si>
  <si>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</si>
  <si>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</si>
  <si>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</si>
  <si>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</si>
  <si>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</si>
  <si>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</si>
  <si>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</si>
  <si>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</si>
  <si>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</si>
  <si>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</si>
  <si>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</si>
  <si>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</si>
  <si>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</si>
  <si>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</si>
  <si>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</si>
  <si>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</si>
  <si>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</si>
  <si>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</si>
  <si>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</si>
  <si>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</si>
  <si>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</si>
  <si>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</si>
  <si>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</si>
  <si>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</si>
  <si>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</si>
  <si>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</si>
  <si>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</si>
  <si>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</si>
  <si>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</si>
  <si>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</si>
  <si>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</si>
  <si>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</si>
  <si>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</si>
  <si>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</si>
  <si>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</si>
  <si>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</si>
  <si>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</si>
  <si>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</si>
  <si>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</si>
  <si>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</si>
  <si>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</si>
  <si>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</si>
  <si>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</si>
  <si>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</si>
  <si>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</si>
  <si>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</si>
  <si>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</si>
  <si>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</si>
  <si>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</si>
  <si>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</si>
  <si>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</si>
  <si>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</si>
  <si>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</si>
  <si>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</si>
  <si>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</si>
  <si>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</si>
  <si>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</si>
  <si>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</si>
  <si>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</si>
  <si>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</si>
  <si>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</si>
  <si>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</si>
  <si>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</si>
  <si>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</si>
  <si>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</si>
  <si>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</si>
  <si>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</si>
  <si>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</si>
  <si>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</si>
  <si>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</si>
  <si>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</si>
  <si>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</si>
  <si>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</si>
  <si>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</si>
  <si>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</si>
  <si>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</si>
  <si>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</si>
  <si>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</si>
  <si>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</si>
  <si>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</si>
  <si>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</si>
  <si>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</si>
  <si>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</si>
  <si>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</si>
  <si>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</si>
  <si>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</si>
  <si>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</si>
  <si>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</si>
  <si>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</si>
  <si>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</si>
  <si>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</si>
  <si>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</si>
  <si>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</si>
  <si>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</si>
  <si>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</si>
  <si>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</si>
  <si>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</si>
  <si>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</si>
  <si>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</si>
  <si>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</si>
  <si>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</si>
  <si>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</si>
  <si>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</si>
  <si>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</si>
  <si>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</si>
  <si>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</si>
  <si>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</si>
  <si>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</si>
  <si>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</si>
  <si>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</si>
  <si>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</si>
  <si>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</si>
  <si>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</si>
  <si>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</si>
  <si>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</si>
  <si>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</si>
  <si>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</si>
  <si>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</si>
  <si>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</si>
  <si>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</si>
  <si>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</si>
  <si>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</si>
  <si>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</si>
  <si>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</si>
  <si>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</si>
  <si>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</si>
  <si>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</si>
  <si>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</si>
  <si>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</si>
  <si>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</si>
  <si>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</si>
  <si>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</si>
  <si>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</si>
  <si>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</si>
  <si>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</si>
  <si>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</si>
  <si>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</si>
  <si>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</si>
  <si>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</si>
  <si>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</si>
  <si>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</si>
  <si>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</si>
  <si>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</si>
  <si>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</si>
  <si>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</si>
  <si>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</si>
  <si>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</si>
  <si>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</si>
  <si>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</si>
  <si>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</si>
  <si>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</si>
  <si>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</si>
  <si>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</si>
  <si>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</si>
  <si>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</si>
  <si>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</si>
  <si>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</si>
  <si>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</si>
  <si>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</si>
  <si>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</si>
  <si>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</si>
  <si>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</si>
  <si>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</si>
  <si>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</si>
  <si>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</si>
  <si>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</si>
  <si>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</si>
  <si>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</si>
  <si>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</si>
  <si>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</si>
  <si>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</si>
  <si>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</si>
  <si>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</si>
  <si>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</si>
  <si>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</si>
  <si>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</si>
  <si>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</si>
  <si>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</si>
  <si>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</si>
  <si>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</si>
  <si>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</si>
  <si>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</si>
  <si>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</si>
  <si>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</si>
  <si>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</si>
  <si>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</si>
  <si>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</si>
  <si>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</si>
  <si>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</si>
  <si>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</si>
  <si>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</si>
  <si>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</si>
  <si>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</si>
  <si>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</si>
  <si>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</si>
  <si>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</si>
  <si>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</si>
  <si>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</si>
  <si>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</si>
  <si>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</si>
  <si>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</si>
  <si>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</si>
  <si>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</si>
  <si>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</si>
  <si>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</si>
  <si>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</si>
  <si>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</si>
  <si>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</si>
  <si>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</si>
  <si>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</si>
  <si>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</si>
  <si>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</t>
  </si>
  <si>
    <t>Blurb</t>
  </si>
  <si>
    <t>Goal</t>
  </si>
  <si>
    <t>Pledged</t>
  </si>
  <si>
    <t>Average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</si>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</sst>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2-DA4C-BD35-16E40807F658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2-DA4C-BD35-16E40807F658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2-DA4C-BD35-16E40807F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186911"/>
        <c:axId val="544685039"/>
      </c:lineChart>
      <c:catAx>
        <c:axId val="54518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85039"/>
        <c:crosses val="autoZero"/>
        <c:auto val="1"/>
        <c:lblAlgn val="ctr"/>
        <c:lblOffset val="100"/>
        <c:noMultiLvlLbl val="0"/>
      </c:catAx>
      <c:valAx>
        <c:axId val="54468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8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24560411198600179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D-344A-B937-D84F4CC7473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D-344A-B937-D84F4CC7473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D-344A-B937-D84F4CC74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569472"/>
        <c:axId val="401571120"/>
      </c:lineChart>
      <c:catAx>
        <c:axId val="40156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71120"/>
        <c:crosses val="autoZero"/>
        <c:auto val="1"/>
        <c:lblAlgn val="ctr"/>
        <c:lblOffset val="100"/>
        <c:noMultiLvlLbl val="0"/>
      </c:catAx>
      <c:valAx>
        <c:axId val="4015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6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35870516185477"/>
          <c:y val="7.1724628171478552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B-4142-822A-1B8A35D1C8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1B-4142-822A-1B8A35D1C8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1B-4142-822A-1B8A35D1C8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1B-4142-822A-1B8A35D1C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0599391"/>
        <c:axId val="1137291599"/>
      </c:barChart>
      <c:catAx>
        <c:axId val="119059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91599"/>
        <c:crosses val="autoZero"/>
        <c:auto val="1"/>
        <c:lblAlgn val="ctr"/>
        <c:lblOffset val="100"/>
        <c:noMultiLvlLbl val="0"/>
      </c:catAx>
      <c:valAx>
        <c:axId val="113729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59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4322037454021662E-2"/>
          <c:y val="0.36067612642169727"/>
          <c:w val="9.6459490077061866E-2"/>
          <c:h val="0.2369808070866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D-8141-81B5-CD2FE5F906E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17D-8141-81B5-CD2FE5F906E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17D-8141-81B5-CD2FE5F90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0835199"/>
        <c:axId val="1160836847"/>
      </c:barChart>
      <c:catAx>
        <c:axId val="116083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36847"/>
        <c:crosses val="autoZero"/>
        <c:auto val="1"/>
        <c:lblAlgn val="ctr"/>
        <c:lblOffset val="100"/>
        <c:noMultiLvlLbl val="0"/>
      </c:catAx>
      <c:valAx>
        <c:axId val="116083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3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E-BB49-A90B-74059475E7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5E-BB49-A90B-74059475E7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5E-BB49-A90B-74059475E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1201279"/>
        <c:axId val="1161202959"/>
      </c:barChart>
      <c:catAx>
        <c:axId val="116120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02959"/>
        <c:crosses val="autoZero"/>
        <c:auto val="1"/>
        <c:lblAlgn val="ctr"/>
        <c:lblOffset val="100"/>
        <c:noMultiLvlLbl val="0"/>
      </c:catAx>
      <c:valAx>
        <c:axId val="116120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0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off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off Launch Date</a:t>
            </a:r>
            <a:endParaRPr lang="en-US"/>
          </a:p>
        </c:rich>
      </c:tx>
      <c:layout>
        <c:manualLayout>
          <c:xMode val="edge"/>
          <c:yMode val="edge"/>
          <c:x val="0.28528791509756934"/>
          <c:y val="2.54777070063694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7.407407407407407E-2"/>
          <c:w val="0.540196850393700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off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582-4D47-9482-56B99C3C5571}"/>
            </c:ext>
          </c:extLst>
        </c:ser>
        <c:ser>
          <c:idx val="1"/>
          <c:order val="1"/>
          <c:tx>
            <c:strRef>
              <c:f>'Outcomes based off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582-4D47-9482-56B99C3C5571}"/>
            </c:ext>
          </c:extLst>
        </c:ser>
        <c:ser>
          <c:idx val="2"/>
          <c:order val="2"/>
          <c:tx>
            <c:strRef>
              <c:f>'Outcomes based off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582-4D47-9482-56B99C3C5571}"/>
            </c:ext>
          </c:extLst>
        </c:ser>
        <c:ser>
          <c:idx val="3"/>
          <c:order val="3"/>
          <c:tx>
            <c:strRef>
              <c:f>'Outcomes based off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off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582-4D47-9482-56B99C3C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633456"/>
        <c:axId val="410477344"/>
      </c:lineChart>
      <c:catAx>
        <c:axId val="41063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477344"/>
        <c:crosses val="autoZero"/>
        <c:auto val="1"/>
        <c:lblAlgn val="ctr"/>
        <c:lblOffset val="100"/>
        <c:noMultiLvlLbl val="0"/>
      </c:catAx>
      <c:valAx>
        <c:axId val="4104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3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67167992889767"/>
          <c:y val="0.39450549174983701"/>
          <c:w val="0.14873947278329341"/>
          <c:h val="0.217358192487085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3</xdr:row>
      <xdr:rowOff>63500</xdr:rowOff>
    </xdr:from>
    <xdr:to>
      <xdr:col>12</xdr:col>
      <xdr:colOff>368300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789CE-1897-684E-A9E2-FEBC5D9CF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806450</xdr:colOff>
      <xdr:row>14</xdr:row>
      <xdr:rowOff>139700</xdr:rowOff>
    </xdr:from>
    <xdr:to>
      <xdr:col>9</xdr:col>
      <xdr:colOff>254000</xdr:colOff>
      <xdr:row>32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070FE6-E479-9248-9294-5567D04D8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7</xdr:row>
      <xdr:rowOff>101600</xdr:rowOff>
    </xdr:from>
    <xdr:to>
      <xdr:col>11</xdr:col>
      <xdr:colOff>838200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A3ECF-E451-0147-BDCA-ABEA9AAEA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50</xdr:row>
      <xdr:rowOff>165100</xdr:rowOff>
    </xdr:from>
    <xdr:to>
      <xdr:col>16</xdr:col>
      <xdr:colOff>1193800</xdr:colOff>
      <xdr:row>70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06B6D-52D4-E147-A33B-01FC4E792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10</xdr:row>
      <xdr:rowOff>25400</xdr:rowOff>
    </xdr:from>
    <xdr:to>
      <xdr:col>16</xdr:col>
      <xdr:colOff>914400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8F3FC-EF53-F943-A8D8-F31A0D958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863600</xdr:colOff>
      <xdr:row>0</xdr:row>
      <xdr:rowOff>0</xdr:rowOff>
    </xdr:from>
    <xdr:to>
      <xdr:col>12</xdr:col>
      <xdr:colOff>571500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BA607-EBB6-084B-893F-5006A584B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ruette" refreshedDate="44619.677512152775" createdVersion="7" refreshedVersion="7" minRefreshableVersion="3" recordCount="4114" xr:uid="{F20B8BAC-824F-B540-94A8-528BE57666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ruette" refreshedDate="44619.685227314818" createdVersion="7" refreshedVersion="7" minRefreshableVersion="3" recordCount="4115" xr:uid="{F4499B1F-B309-EB4B-8EF3-27F3D5DD802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ruette" refreshedDate="44619.697903935186" createdVersion="7" refreshedVersion="7" minRefreshableVersion="3" recordCount="4114" xr:uid="{8F50A582-E63E-B64D-BAE4-5BF158F0CEA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Pruette" refreshedDate="44621.889673495367" createdVersion="7" refreshedVersion="7" minRefreshableVersion="3" recordCount="4115" xr:uid="{B92193D2-2DCE-464B-98A3-807B908A482F}">
  <cacheSource type="worksheet">
    <worksheetSource ref="A1:V1048576" sheet="Kickstarter"/>
  </cacheSource>
  <cacheFields count="24">
    <cacheField name="F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50CC3-6EC8-8A4F-8F9A-6737E98208D6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E1FEF-2297-F545-B619-17D9CC3DD87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402DB-F03C-B140-B6E4-582FE5AB40B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7">
    <chartFormat chart="0" format="2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F43DC-58FB-AE4D-9AB9-D736E3FA2F2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5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B1" zoomScale="95" zoomScaleNormal="95" workbookViewId="0">
      <pane ySplit="1" topLeftCell="A3418" activePane="bottomLeft" state="frozen"/>
      <selection activeCell="C1" sqref="C1"/>
      <selection pane="bottomLeft" activeCell="D138" sqref="D13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0.332031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2" ht="16" x14ac:dyDescent="0.2">
      <c r="A1" s="1" t="s">
        <v>8379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" t="s">
        <v>8365</v>
      </c>
      <c r="U1" s="1" t="s">
        <v>8385</v>
      </c>
      <c r="V1" s="1"/>
    </row>
    <row r="2" spans="1:22" ht="48" hidden="1" x14ac:dyDescent="0.2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32" hidden="1" x14ac:dyDescent="0.2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8" hidden="1" x14ac:dyDescent="0.2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2" hidden="1" x14ac:dyDescent="0.2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4" hidden="1" x14ac:dyDescent="0.2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8" hidden="1" x14ac:dyDescent="0.2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8" hidden="1" x14ac:dyDescent="0.2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48" hidden="1" x14ac:dyDescent="0.2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16" hidden="1" x14ac:dyDescent="0.2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8" hidden="1" x14ac:dyDescent="0.2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8" hidden="1" x14ac:dyDescent="0.2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48" hidden="1" x14ac:dyDescent="0.2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48" hidden="1" x14ac:dyDescent="0.2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32" hidden="1" x14ac:dyDescent="0.2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2" hidden="1" x14ac:dyDescent="0.2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10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10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10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10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10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10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10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10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10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10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10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10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10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10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10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10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10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10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10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10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10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10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10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10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10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10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10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10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10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10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10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10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10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10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10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10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10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10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10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10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10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10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10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10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10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10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10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10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10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10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10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10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10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10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10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sucessful">
      <formula>NOT(ISERROR(SEARCH("sucessful",F1)))</formula>
    </cfRule>
    <cfRule type="containsText" dxfId="0" priority="7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ECB8-AEE3-1D43-A46B-55B84551E01E}">
  <dimension ref="A1:E18"/>
  <sheetViews>
    <sheetView workbookViewId="0">
      <selection activeCell="N13" sqref="N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0.1640625" bestFit="1" customWidth="1"/>
    <col min="8" max="8" width="20" bestFit="1" customWidth="1"/>
    <col min="9" max="9" width="14.33203125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8385</v>
      </c>
      <c r="B2" t="s">
        <v>8362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8363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">
      <c r="A6" s="13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C5455-15C8-E54B-98C4-5A598AA646E9}">
  <dimension ref="B1:I13"/>
  <sheetViews>
    <sheetView topLeftCell="G1" workbookViewId="0">
      <selection activeCell="J6" sqref="J6"/>
    </sheetView>
  </sheetViews>
  <sheetFormatPr baseColWidth="10" defaultRowHeight="15" x14ac:dyDescent="0.2"/>
  <cols>
    <col min="1" max="1" width="17.6640625" bestFit="1" customWidth="1"/>
    <col min="2" max="2" width="13.5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2:9" x14ac:dyDescent="0.2">
      <c r="B1" t="s">
        <v>8381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  <c r="I1" t="s">
        <v>8392</v>
      </c>
    </row>
    <row r="2" spans="2:9" x14ac:dyDescent="0.2">
      <c r="B2" t="s">
        <v>8393</v>
      </c>
      <c r="C2">
        <f>COUNTIFS(Kickstarter!$F:$F,"successful",Kickstarter!$D:$D,"&lt;1000",Kickstarter!$R:$R,"plays")</f>
        <v>141</v>
      </c>
      <c r="D2">
        <f>COUNTIFS(Kickstarter!$F:$F,"failed",Kickstarter!$D:$D,"&lt;1000",Kickstarter!$R:$R,"plays")</f>
        <v>45</v>
      </c>
      <c r="E2">
        <f>COUNTIFS(Kickstarter!$F:$F,"canceled",Kickstarter!$D:$D,"&lt;1000",Kickstarter!$R:$R,"plays")</f>
        <v>0</v>
      </c>
      <c r="F2">
        <f>C2+D2+E2</f>
        <v>186</v>
      </c>
      <c r="G2" s="17">
        <f>C2/$F2</f>
        <v>0.75806451612903225</v>
      </c>
      <c r="H2" s="17">
        <f>D2/$F2</f>
        <v>0.24193548387096775</v>
      </c>
      <c r="I2">
        <f t="shared" ref="I2:I13" si="0">E2/$F$2</f>
        <v>0</v>
      </c>
    </row>
    <row r="3" spans="2:9" x14ac:dyDescent="0.2">
      <c r="B3" t="s">
        <v>8394</v>
      </c>
      <c r="C3">
        <f>COUNTIFS(Kickstarter!$F:$F,"successful",Kickstarter!$D:$D,"&gt;=1000",Kickstarter!$D:$D,"&lt;=4999",Kickstarter!$R:$R,"plays")</f>
        <v>388</v>
      </c>
      <c r="D3">
        <f>COUNTIFS(Kickstarter!$F:$F,"failed",Kickstarter!$D:$D,"&gt;=1000",Kickstarter!$D:$D,"&lt;=4999",Kickstarter!$R:$R,"plays")</f>
        <v>146</v>
      </c>
      <c r="E3">
        <f>COUNTIFS(Kickstarter!$F:$F,"canceled",Kickstarter!$D:$D,"&gt;=1000",Kickstarter!$D:$D,"&lt;=4999",Kickstarter!$R:$R,"plays")</f>
        <v>0</v>
      </c>
      <c r="F3">
        <f t="shared" ref="F3:F13" si="1">C3+D3+E3</f>
        <v>534</v>
      </c>
      <c r="G3" s="17">
        <f t="shared" ref="G3:G13" si="2">C3/$F3</f>
        <v>0.72659176029962547</v>
      </c>
      <c r="H3" s="17">
        <f t="shared" ref="H3:H13" si="3">D3/$F3</f>
        <v>0.27340823970037453</v>
      </c>
      <c r="I3">
        <f t="shared" si="0"/>
        <v>0</v>
      </c>
    </row>
    <row r="4" spans="2:9" x14ac:dyDescent="0.2">
      <c r="B4" t="s">
        <v>8395</v>
      </c>
      <c r="C4">
        <f>COUNTIFS(Kickstarter!$F:$F,"successful",Kickstarter!$D:$D,"&gt;=5000",Kickstarter!$D:$D,"&lt;=9999",Kickstarter!$R:$R,"plays")</f>
        <v>93</v>
      </c>
      <c r="D4">
        <f>COUNTIFS(Kickstarter!$F:$F,"failed",Kickstarter!$D:$D,"&gt;=5000",Kickstarter!$D:$D,"&lt;=9999",Kickstarter!$R:$R,"plays")</f>
        <v>76</v>
      </c>
      <c r="E4">
        <f>COUNTIFS(Kickstarter!$F:$F,"canceled",Kickstarter!$D:$D,"&gt;=5000",Kickstarter!$D:$D,"&lt;=9999",Kickstarter!$R:$R,"plays")</f>
        <v>0</v>
      </c>
      <c r="F4">
        <f t="shared" si="1"/>
        <v>169</v>
      </c>
      <c r="G4" s="17">
        <f t="shared" si="2"/>
        <v>0.55029585798816572</v>
      </c>
      <c r="H4" s="17">
        <f t="shared" si="3"/>
        <v>0.44970414201183434</v>
      </c>
      <c r="I4">
        <f t="shared" si="0"/>
        <v>0</v>
      </c>
    </row>
    <row r="5" spans="2:9" x14ac:dyDescent="0.2">
      <c r="B5" t="s">
        <v>8396</v>
      </c>
      <c r="C5">
        <f>COUNTIFS(Kickstarter!$F:$F,"successful",Kickstarter!$D:$D,"&gt;=10000",Kickstarter!$D:$D,"&lt;=14999",Kickstarter!$R:$R,"plays")</f>
        <v>39</v>
      </c>
      <c r="D5">
        <f>COUNTIFS(Kickstarter!$F:$F,"failed",Kickstarter!$D:$D,"&gt;=10000",Kickstarter!$D:$D,"&lt;=14999",Kickstarter!$R:$R,"plays")</f>
        <v>33</v>
      </c>
      <c r="E5">
        <f>COUNTIFS(Kickstarter!$F:$F,"canceled",Kickstarter!$D:$D,"&gt;=10000",Kickstarter!$D:$D,"&lt;=14999",Kickstarter!$R:$R,"plays")</f>
        <v>0</v>
      </c>
      <c r="F5">
        <f t="shared" si="1"/>
        <v>72</v>
      </c>
      <c r="G5" s="17">
        <f t="shared" si="2"/>
        <v>0.54166666666666663</v>
      </c>
      <c r="H5" s="17">
        <f t="shared" si="3"/>
        <v>0.45833333333333331</v>
      </c>
      <c r="I5">
        <f t="shared" si="0"/>
        <v>0</v>
      </c>
    </row>
    <row r="6" spans="2:9" x14ac:dyDescent="0.2">
      <c r="B6" t="s">
        <v>8397</v>
      </c>
      <c r="C6">
        <f>COUNTIFS(Kickstarter!$F:$F,"successful",Kickstarter!$D:$D,"&gt;=15000",Kickstarter!$D:$D,"&lt;=19999",Kickstarter!$R:$R,"plays")</f>
        <v>12</v>
      </c>
      <c r="D6">
        <f>COUNTIFS(Kickstarter!$F:$F,"failed",Kickstarter!$D:$D,"&gt;=15000",Kickstarter!$D:$D,"&lt;=19999",Kickstarter!$R:$R,"plays")</f>
        <v>12</v>
      </c>
      <c r="E6">
        <f>COUNTIFS(Kickstarter!$F:$F,"canceled",Kickstarter!$D:$D,"&gt;=15000",Kickstarter!$D:$D,"&lt;=19999",Kickstarter!$R:$R,"plays")</f>
        <v>0</v>
      </c>
      <c r="F6">
        <f t="shared" si="1"/>
        <v>24</v>
      </c>
      <c r="G6" s="17">
        <f t="shared" si="2"/>
        <v>0.5</v>
      </c>
      <c r="H6" s="17">
        <f t="shared" si="3"/>
        <v>0.5</v>
      </c>
      <c r="I6">
        <f t="shared" si="0"/>
        <v>0</v>
      </c>
    </row>
    <row r="7" spans="2:9" x14ac:dyDescent="0.2">
      <c r="B7" t="s">
        <v>8398</v>
      </c>
      <c r="C7">
        <f>COUNTIFS(Kickstarter!$F:$F,"successful",Kickstarter!$D:$D,"&gt;=20000",Kickstarter!$D:$D,"&lt;=24999",Kickstarter!$R:$R,"plays")</f>
        <v>9</v>
      </c>
      <c r="D7">
        <f>COUNTIFS(Kickstarter!$F:$F,"failed",Kickstarter!$D:$D,"&gt;=20000",Kickstarter!$D:$D,"&lt;=24999",Kickstarter!$R:$R,"plays")</f>
        <v>11</v>
      </c>
      <c r="E7">
        <f>COUNTIFS(Kickstarter!$F:$F,"canceled",Kickstarter!$D:$D,"&gt;=20000",Kickstarter!$D:$D,"&lt;=24999",Kickstarter!$R:$R,"plays")</f>
        <v>0</v>
      </c>
      <c r="F7">
        <f t="shared" si="1"/>
        <v>20</v>
      </c>
      <c r="G7" s="17">
        <f t="shared" si="2"/>
        <v>0.45</v>
      </c>
      <c r="H7" s="17">
        <f t="shared" si="3"/>
        <v>0.55000000000000004</v>
      </c>
      <c r="I7">
        <f t="shared" si="0"/>
        <v>0</v>
      </c>
    </row>
    <row r="8" spans="2:9" x14ac:dyDescent="0.2">
      <c r="B8" t="s">
        <v>8399</v>
      </c>
      <c r="C8">
        <f>COUNTIFS(Kickstarter!$F:$F,"successful",Kickstarter!$D:$D,"&gt;=25000",Kickstarter!$D:$D,"&lt;=29999",Kickstarter!$R:$R,"plays")</f>
        <v>1</v>
      </c>
      <c r="D8">
        <f>COUNTIFS(Kickstarter!$F:$F,"failed",Kickstarter!$D:$D,"&gt;=25000",Kickstarter!$D:$D,"&lt;=29999",Kickstarter!$R:$R,"plays")</f>
        <v>4</v>
      </c>
      <c r="E8">
        <f>COUNTIFS(Kickstarter!$F:$F,"canceled",Kickstarter!$D:$D,"&gt;=25000",Kickstarter!$D:$D,"&lt;=29999",Kickstarter!$R:$R,"plays")</f>
        <v>0</v>
      </c>
      <c r="F8">
        <f t="shared" si="1"/>
        <v>5</v>
      </c>
      <c r="G8" s="17">
        <f t="shared" si="2"/>
        <v>0.2</v>
      </c>
      <c r="H8" s="17">
        <f t="shared" si="3"/>
        <v>0.8</v>
      </c>
      <c r="I8">
        <f t="shared" si="0"/>
        <v>0</v>
      </c>
    </row>
    <row r="9" spans="2:9" x14ac:dyDescent="0.2">
      <c r="B9" t="s">
        <v>8400</v>
      </c>
      <c r="C9">
        <f>COUNTIFS(Kickstarter!$F:$F,"successful",Kickstarter!$D:$D,"&gt;=30000",Kickstarter!$D:$D,"&lt;=34999",Kickstarter!$R:$R,"plays")</f>
        <v>3</v>
      </c>
      <c r="D9">
        <f>COUNTIFS(Kickstarter!$F:$F,"failed",Kickstarter!$D:$D,"&gt;=30000",Kickstarter!$D:$D,"&lt;=34999",Kickstarter!$R:$R,"plays")</f>
        <v>8</v>
      </c>
      <c r="E9">
        <f>COUNTIFS(Kickstarter!$F:$F,"canceled",Kickstarter!$D:$D,"&gt;=30000",Kickstarter!$D:$D,"&lt;=34999",Kickstarter!$R:$R,"plays")</f>
        <v>0</v>
      </c>
      <c r="F9">
        <f t="shared" si="1"/>
        <v>11</v>
      </c>
      <c r="G9" s="17">
        <f t="shared" si="2"/>
        <v>0.27272727272727271</v>
      </c>
      <c r="H9" s="17">
        <f t="shared" si="3"/>
        <v>0.72727272727272729</v>
      </c>
      <c r="I9">
        <f t="shared" si="0"/>
        <v>0</v>
      </c>
    </row>
    <row r="10" spans="2:9" x14ac:dyDescent="0.2">
      <c r="B10" t="s">
        <v>8401</v>
      </c>
      <c r="C10">
        <f>COUNTIFS(Kickstarter!$F:$F,"successful",Kickstarter!$D:$D,"&gt;=35000",Kickstarter!$D:$D,"&lt;=39999",Kickstarter!$R:$R,"plays")</f>
        <v>4</v>
      </c>
      <c r="D10">
        <f>COUNTIFS(Kickstarter!$F:$F,"failed",Kickstarter!$D:$D,"&gt;=35000",Kickstarter!$D:$D,"&lt;=39999",Kickstarter!$R:$R,"plays")</f>
        <v>2</v>
      </c>
      <c r="E10">
        <f>COUNTIFS(Kickstarter!$F:$F,"canceled",Kickstarter!$D:$D,"&gt;=35000",Kickstarter!$D:$D,"&lt;=39999",Kickstarter!$R:$R,"plays")</f>
        <v>0</v>
      </c>
      <c r="F10">
        <f t="shared" si="1"/>
        <v>6</v>
      </c>
      <c r="G10" s="17">
        <f t="shared" si="2"/>
        <v>0.66666666666666663</v>
      </c>
      <c r="H10" s="17">
        <f t="shared" si="3"/>
        <v>0.33333333333333331</v>
      </c>
      <c r="I10">
        <f t="shared" si="0"/>
        <v>0</v>
      </c>
    </row>
    <row r="11" spans="2:9" x14ac:dyDescent="0.2">
      <c r="B11" t="s">
        <v>8402</v>
      </c>
      <c r="C11">
        <f>COUNTIFS(Kickstarter!$F:$F,"successful",Kickstarter!$D:$D,"&gt;=40000",Kickstarter!$D:$D,"&lt;=44999",Kickstarter!$R:$R,"plays")</f>
        <v>2</v>
      </c>
      <c r="D11">
        <f>COUNTIFS(Kickstarter!$F:$F,"failed",Kickstarter!$D:$D,"&gt;=40000",Kickstarter!$D:$D,"&lt;=44999",Kickstarter!$R:$R,"plays")</f>
        <v>1</v>
      </c>
      <c r="E11">
        <f>COUNTIFS(Kickstarter!$F:$F,"canceled",Kickstarter!$D:$D,"&gt;=40000",Kickstarter!$D:$D,"&lt;=44999",Kickstarter!$R:$R,"plays")</f>
        <v>0</v>
      </c>
      <c r="F11">
        <f t="shared" si="1"/>
        <v>3</v>
      </c>
      <c r="G11" s="17">
        <f t="shared" si="2"/>
        <v>0.66666666666666663</v>
      </c>
      <c r="H11" s="17">
        <f t="shared" si="3"/>
        <v>0.33333333333333331</v>
      </c>
      <c r="I11">
        <f t="shared" si="0"/>
        <v>0</v>
      </c>
    </row>
    <row r="12" spans="2:9" x14ac:dyDescent="0.2">
      <c r="B12" t="s">
        <v>8403</v>
      </c>
      <c r="C12">
        <f>COUNTIFS(Kickstarter!$F:$F,"successful",Kickstarter!$D:$D,"&gt;=45000",Kickstarter!$D:$D,"&lt;=49999",Kickstarter!$R:$R,"plays")</f>
        <v>0</v>
      </c>
      <c r="D12">
        <f>COUNTIFS(Kickstarter!$F:$F,"failed",Kickstarter!$D:$D,"&gt;=45000",Kickstarter!$D:$D,"&lt;=49999",Kickstarter!$R:$R,"plays")</f>
        <v>1</v>
      </c>
      <c r="E12">
        <f>COUNTIFS(Kickstarter!$F:$F,"canceled",Kickstarter!$D:$D,"&gt;=45000",Kickstarter!$D:$D,"&lt;=49999",Kickstarter!$R:$R,"plays")</f>
        <v>0</v>
      </c>
      <c r="F12">
        <f t="shared" si="1"/>
        <v>1</v>
      </c>
      <c r="G12" s="17">
        <f t="shared" si="2"/>
        <v>0</v>
      </c>
      <c r="H12" s="17">
        <f t="shared" si="3"/>
        <v>1</v>
      </c>
      <c r="I12">
        <f t="shared" si="0"/>
        <v>0</v>
      </c>
    </row>
    <row r="13" spans="2:9" x14ac:dyDescent="0.2">
      <c r="B13" t="s">
        <v>8404</v>
      </c>
      <c r="C13">
        <f>COUNTIFS(Kickstarter!$F:$F,"successful",Kickstarter!$D:$D,"&gt;=50000",Kickstarter!$R:$R,"plays")</f>
        <v>2</v>
      </c>
      <c r="D13">
        <f>COUNTIFS(Kickstarter!$F:$F,"failed",Kickstarter!$D:$D,"&gt;=50000",Kickstarter!$R:$R,"plays")</f>
        <v>14</v>
      </c>
      <c r="E13">
        <f>COUNTIFS(Kickstarter!$F:$F,"canceled",Kickstarter!$D:$D,"&gt;=50000",Kickstarter!$R:$R,"plays")</f>
        <v>0</v>
      </c>
      <c r="F13">
        <f t="shared" si="1"/>
        <v>16</v>
      </c>
      <c r="G13" s="17">
        <f t="shared" si="2"/>
        <v>0.125</v>
      </c>
      <c r="H13" s="17">
        <f t="shared" si="3"/>
        <v>0.875</v>
      </c>
      <c r="I13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FEFBB-C543-F64B-B6D1-16777C85244E}">
  <dimension ref="A1:F6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12" width="16.83203125" bestFit="1" customWidth="1"/>
    <col min="13" max="13" width="14" bestFit="1" customWidth="1"/>
    <col min="14" max="14" width="20" bestFit="1" customWidth="1"/>
    <col min="15" max="15" width="21" bestFit="1" customWidth="1"/>
    <col min="16" max="16" width="18.33203125" bestFit="1" customWidth="1"/>
    <col min="17" max="17" width="20.5" bestFit="1" customWidth="1"/>
    <col min="18" max="18" width="20" bestFit="1" customWidth="1"/>
    <col min="19" max="19" width="21" bestFit="1" customWidth="1"/>
    <col min="20" max="20" width="18.33203125" bestFit="1" customWidth="1"/>
    <col min="21" max="21" width="24.83203125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">
      <c r="A5" s="13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86DC9-CBCE-204C-9C48-46CA31FB5E2C}">
  <dimension ref="A1:E7"/>
  <sheetViews>
    <sheetView workbookViewId="0">
      <selection activeCell="G14" sqref="G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8.33203125" bestFit="1" customWidth="1"/>
    <col min="13" max="13" width="24.832031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8.33203125" bestFit="1" customWidth="1"/>
    <col min="18" max="18" width="24.83203125" bestFit="1" customWidth="1"/>
    <col min="19" max="19" width="22" bestFit="1" customWidth="1"/>
    <col min="20" max="20" width="8.83203125" bestFit="1" customWidth="1"/>
    <col min="21" max="21" width="6.33203125" bestFit="1" customWidth="1"/>
    <col min="22" max="22" width="18.33203125" bestFit="1" customWidth="1"/>
    <col min="23" max="23" width="24.83203125" bestFit="1" customWidth="1"/>
    <col min="24" max="24" width="21" bestFit="1" customWidth="1"/>
    <col min="25" max="25" width="22" bestFit="1" customWidth="1"/>
    <col min="26" max="26" width="6.33203125" bestFit="1" customWidth="1"/>
    <col min="27" max="27" width="18.33203125" bestFit="1" customWidth="1"/>
    <col min="28" max="28" width="24.83203125" bestFit="1" customWidth="1"/>
    <col min="29" max="29" width="20" bestFit="1" customWidth="1"/>
    <col min="30" max="30" width="21" bestFit="1" customWidth="1"/>
    <col min="31" max="31" width="22" bestFit="1" customWidth="1"/>
  </cols>
  <sheetData>
    <row r="1" spans="1:5" x14ac:dyDescent="0.2">
      <c r="A1" s="12" t="s">
        <v>8221</v>
      </c>
      <c r="B1" t="s">
        <v>8362</v>
      </c>
    </row>
    <row r="2" spans="1:5" x14ac:dyDescent="0.2">
      <c r="A2" s="12" t="s">
        <v>8357</v>
      </c>
      <c r="B2" t="s">
        <v>8362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8363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">
      <c r="A6" s="13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5650-1938-1143-9663-72C94606853A}">
  <dimension ref="A1:F18"/>
  <sheetViews>
    <sheetView topLeftCell="G1"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0" bestFit="1" customWidth="1"/>
    <col min="16" max="16" width="32" bestFit="1" customWidth="1"/>
  </cols>
  <sheetData>
    <row r="1" spans="1:6" x14ac:dyDescent="0.2">
      <c r="A1" s="12" t="s">
        <v>8357</v>
      </c>
      <c r="B1" t="s">
        <v>8314</v>
      </c>
    </row>
    <row r="2" spans="1:6" x14ac:dyDescent="0.2">
      <c r="A2" s="12" t="s">
        <v>8378</v>
      </c>
      <c r="B2" t="s">
        <v>8362</v>
      </c>
    </row>
    <row r="4" spans="1:6" x14ac:dyDescent="0.2">
      <c r="A4" s="12" t="s">
        <v>8359</v>
      </c>
      <c r="B4" s="12" t="s">
        <v>8360</v>
      </c>
    </row>
    <row r="5" spans="1:6" x14ac:dyDescent="0.2">
      <c r="A5" s="12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">
      <c r="A6" s="16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9E0A8-F910-8949-9CAC-7C71BE487A4D}">
  <dimension ref="A1:F246"/>
  <sheetViews>
    <sheetView tabSelected="1" workbookViewId="0">
      <selection activeCell="F1" sqref="F1"/>
    </sheetView>
  </sheetViews>
  <sheetFormatPr baseColWidth="10" defaultRowHeight="15" x14ac:dyDescent="0.2"/>
  <cols>
    <col min="1" max="1" width="38.5" style="3" customWidth="1"/>
    <col min="2" max="2" width="40.33203125" style="3" customWidth="1"/>
    <col min="6" max="6" width="15.1640625" bestFit="1" customWidth="1"/>
  </cols>
  <sheetData>
    <row r="1" spans="1:6" ht="16" x14ac:dyDescent="0.2">
      <c r="A1" s="2" t="s">
        <v>0</v>
      </c>
      <c r="B1" s="2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48" x14ac:dyDescent="0.2">
      <c r="A2" s="3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VLOOKUP($A$2, Kickstarter!$B:$E, 4, FALSE)</f>
        <v>2020</v>
      </c>
      <c r="E2" s="3">
        <f>VLOOKUP(A2, Kickstarter!B:P, 15, FALSE)</f>
        <v>51.79</v>
      </c>
      <c r="F2" s="3">
        <f>VLOOKUP(A2, Kickstarter!B:L,11, FALSE)</f>
        <v>39</v>
      </c>
    </row>
    <row r="3" spans="1:6" ht="48" x14ac:dyDescent="0.2">
      <c r="A3" s="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Kickstarter!B:L,11, FALSE)</f>
        <v>56</v>
      </c>
    </row>
    <row r="4" spans="1:6" ht="48" x14ac:dyDescent="0.2">
      <c r="A4" s="3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Kickstarter!B:L,11, FALSE)</f>
        <v>78</v>
      </c>
    </row>
    <row r="5" spans="1:6" ht="48" x14ac:dyDescent="0.2">
      <c r="A5" s="3" t="s">
        <v>3328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Kickstarter!B:L,11, FALSE)</f>
        <v>26</v>
      </c>
    </row>
    <row r="6" spans="1:6" ht="48" x14ac:dyDescent="0.2">
      <c r="A6" s="3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Kickstarter!B:L,11, 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off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Pruette</cp:lastModifiedBy>
  <dcterms:created xsi:type="dcterms:W3CDTF">2017-04-20T15:17:24Z</dcterms:created>
  <dcterms:modified xsi:type="dcterms:W3CDTF">2022-03-12T01:44:35Z</dcterms:modified>
</cp:coreProperties>
</file>