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hil_collender\Google Drive\SRP\Arsenic Mass Balance\"/>
    </mc:Choice>
  </mc:AlternateContent>
  <xr:revisionPtr revIDLastSave="0" documentId="13_ncr:1_{51C0D94D-A513-466E-B560-2AC712256F07}" xr6:coauthVersionLast="45" xr6:coauthVersionMax="45" xr10:uidLastSave="{00000000-0000-0000-0000-000000000000}"/>
  <bookViews>
    <workbookView xWindow="6285" yWindow="750" windowWidth="20670" windowHeight="11160" xr2:uid="{75A04265-D830-4BB5-8E32-BBE64360C6AE}"/>
  </bookViews>
  <sheets>
    <sheet name="Concentration Parameters" sheetId="1" r:id="rId1"/>
    <sheet name="Sheet1" sheetId="3" r:id="rId2"/>
    <sheet name="All sources"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3" l="1"/>
  <c r="E12" i="3"/>
  <c r="E13" i="3"/>
  <c r="E14" i="3"/>
  <c r="E15" i="3"/>
  <c r="E16" i="3"/>
  <c r="E17" i="3"/>
  <c r="E18" i="3"/>
  <c r="E11" i="3"/>
  <c r="F10" i="3"/>
  <c r="E10" i="3"/>
  <c r="H3" i="3"/>
  <c r="H4" i="3"/>
  <c r="H5" i="3"/>
  <c r="H6" i="3"/>
  <c r="H7" i="3"/>
  <c r="H8" i="3"/>
  <c r="H2" i="3"/>
  <c r="G3" i="3"/>
  <c r="G4" i="3"/>
  <c r="G5" i="3"/>
  <c r="G6" i="3"/>
  <c r="G7" i="3"/>
  <c r="G8" i="3"/>
  <c r="G2" i="3"/>
  <c r="F8" i="3"/>
  <c r="F7" i="3"/>
  <c r="F6" i="3"/>
  <c r="F5" i="3"/>
  <c r="F4" i="3"/>
  <c r="F3" i="3"/>
  <c r="F2" i="3"/>
  <c r="C2" i="3"/>
  <c r="C3" i="3"/>
  <c r="C4" i="3"/>
  <c r="C5" i="3"/>
  <c r="C6" i="3"/>
  <c r="C7" i="3"/>
  <c r="C1" i="3"/>
  <c r="B14" i="1"/>
  <c r="B13" i="1"/>
  <c r="C43" i="1" l="1"/>
  <c r="B43" i="1"/>
  <c r="C42" i="1"/>
  <c r="B42" i="1"/>
  <c r="C41" i="1"/>
  <c r="B41" i="1"/>
  <c r="C34" i="1"/>
  <c r="B34" i="1"/>
  <c r="C35" i="1"/>
  <c r="B35" i="1"/>
  <c r="C36" i="1"/>
  <c r="B36" i="1"/>
  <c r="C37" i="1"/>
  <c r="B37" i="1"/>
  <c r="C44" i="1"/>
  <c r="B44" i="1"/>
  <c r="C40" i="1"/>
  <c r="B40" i="1"/>
  <c r="C39" i="1"/>
  <c r="B39" i="1"/>
  <c r="C38" i="1"/>
  <c r="B38" i="1"/>
  <c r="C46" i="1"/>
  <c r="B46" i="1"/>
  <c r="C45" i="1"/>
  <c r="B45" i="1"/>
  <c r="B33" i="1"/>
  <c r="B32" i="1"/>
  <c r="B31" i="1"/>
  <c r="B30" i="1"/>
  <c r="B29" i="1"/>
  <c r="B28" i="1"/>
  <c r="B27" i="1"/>
  <c r="B26" i="1"/>
  <c r="B25" i="1"/>
  <c r="B24" i="1"/>
  <c r="B23" i="1"/>
  <c r="C22" i="1" l="1"/>
  <c r="B22" i="1"/>
  <c r="C21" i="1"/>
  <c r="B21" i="1"/>
  <c r="C20" i="1"/>
  <c r="B20" i="1"/>
  <c r="B19" i="1"/>
  <c r="B18" i="1"/>
  <c r="B17" i="1"/>
  <c r="B16" i="1"/>
  <c r="B15" i="1"/>
  <c r="B11" i="1"/>
  <c r="B10" i="1"/>
  <c r="B9" i="1"/>
  <c r="B8" i="1"/>
  <c r="B7" i="1"/>
  <c r="B6" i="1"/>
  <c r="B5" i="1"/>
  <c r="B4" i="1"/>
  <c r="B3" i="1"/>
  <c r="B12" i="1"/>
  <c r="B2" i="1"/>
</calcChain>
</file>

<file path=xl/sharedStrings.xml><?xml version="1.0" encoding="utf-8"?>
<sst xmlns="http://schemas.openxmlformats.org/spreadsheetml/2006/main" count="293" uniqueCount="99">
  <si>
    <t>Source</t>
  </si>
  <si>
    <t>Parameter 2</t>
  </si>
  <si>
    <t>Distribution</t>
  </si>
  <si>
    <t>Study Area</t>
  </si>
  <si>
    <t>Reference</t>
  </si>
  <si>
    <t>Meat</t>
  </si>
  <si>
    <t>NA</t>
  </si>
  <si>
    <t>Mean value</t>
  </si>
  <si>
    <t>Parameter 1 (ng/oz)</t>
  </si>
  <si>
    <t>Santiago, Chile</t>
  </si>
  <si>
    <t>https://www.sciencedirect.com/science/article/pii/S0278691505001511</t>
  </si>
  <si>
    <t>Year</t>
  </si>
  <si>
    <t>First author</t>
  </si>
  <si>
    <t>Title</t>
  </si>
  <si>
    <t>Link</t>
  </si>
  <si>
    <t>Muñoz, Ociel</t>
  </si>
  <si>
    <t>Estimation of the dietary intake of cadmium, lead, mercury, and arsenic by the population of Santiago (Chile) using a total diet study</t>
  </si>
  <si>
    <t>Urban Northern Chile</t>
  </si>
  <si>
    <t>2001-2002</t>
  </si>
  <si>
    <t>1994-1996</t>
  </si>
  <si>
    <t>http://hydrologie.org/redbooks/a260/iahs_260_0003.pdf</t>
  </si>
  <si>
    <t>Refno</t>
  </si>
  <si>
    <t>Sancha, Ana Maria</t>
  </si>
  <si>
    <t>Estimate of the current exposure of the urban population of northern Chile to arsenic</t>
  </si>
  <si>
    <t>Sample Size</t>
  </si>
  <si>
    <t>Processed meat</t>
  </si>
  <si>
    <t>Fish and seafood</t>
  </si>
  <si>
    <t>Meat + poultry</t>
  </si>
  <si>
    <t>Notes</t>
  </si>
  <si>
    <t>Category is comprised of 48.34% poultry, 51.66% meat</t>
  </si>
  <si>
    <t>Milk products</t>
  </si>
  <si>
    <t>Category comprised of 17.76% cheese, 30.95% yogurt</t>
  </si>
  <si>
    <t>Vegetables</t>
  </si>
  <si>
    <t>Category comprised of at least 7.64% dark green veggies, (lettuce), at least 13.44% deep yellow veggies (carrot, squash)</t>
  </si>
  <si>
    <t>Alcoholic drinks</t>
  </si>
  <si>
    <t>Milk</t>
  </si>
  <si>
    <t>Bread</t>
  </si>
  <si>
    <t>Category comprised of 96.37% non-whole grain bread, 0.02% whole grain bread</t>
  </si>
  <si>
    <t>Cereals</t>
  </si>
  <si>
    <t>Category comprised of 62.18% whole grains (rice, other cereals), 37.82% non-whole grains</t>
  </si>
  <si>
    <t>Eggs</t>
  </si>
  <si>
    <t>Fish</t>
  </si>
  <si>
    <t>Chicken</t>
  </si>
  <si>
    <t>Rice, pastry, cereal</t>
  </si>
  <si>
    <t>Dairy</t>
  </si>
  <si>
    <t>Socaire, Antofogasta, Chile</t>
  </si>
  <si>
    <t>2008-2009</t>
  </si>
  <si>
    <t>https://www.mdpi.com/1660-4601/12/5/5614/htm</t>
  </si>
  <si>
    <t>Diaz, Oscar Pablo</t>
  </si>
  <si>
    <t>Estimation of Arsenic Intake from Drinking Water and Food (Raw and Cooked) in a Rural Village of Northern Chile. Urine as  a Biomarker of Recent Exposure.</t>
  </si>
  <si>
    <t>g/Oz</t>
  </si>
  <si>
    <t>Normal</t>
  </si>
  <si>
    <t>includes wheat, rice, and quinoa. Estimated by running linear regression with intercept set at 0 on food mixture arsenic concentrations</t>
  </si>
  <si>
    <t>2008-2010</t>
  </si>
  <si>
    <t>includes carrots, lettuce, and tomatoes. Estimated by running linear regression with intercept set at 0 on food mixture arsenic concentrations</t>
  </si>
  <si>
    <t>Meats</t>
  </si>
  <si>
    <t>includes red meat, lamb, and chicken. Estimated by running linear regression with intercept set at 0 on food mixture arsenic concentrations</t>
  </si>
  <si>
    <t>Important excerpt</t>
  </si>
  <si>
    <r>
      <t>In our study the Pearson correlation analysis indicated that the association between a very high As intake in drinking water and food As levels in urine is not significant. This result is in agreement with those determined by Uchino </t>
    </r>
    <r>
      <rPr>
        <i/>
        <sz val="10"/>
        <color rgb="FF222222"/>
        <rFont val="Arial"/>
        <family val="2"/>
      </rPr>
      <t>et al</t>
    </r>
    <r>
      <rPr>
        <sz val="10"/>
        <color rgb="FF222222"/>
        <rFont val="Arial"/>
        <family val="2"/>
      </rPr>
      <t>. [</t>
    </r>
    <r>
      <rPr>
        <b/>
        <sz val="10"/>
        <color rgb="FF3156A2"/>
        <rFont val="Arial"/>
        <family val="2"/>
      </rPr>
      <t>47</t>
    </r>
    <r>
      <rPr>
        <sz val="10"/>
        <color rgb="FF222222"/>
        <rFont val="Arial"/>
        <family val="2"/>
      </rPr>
      <t>] who used As concentration in tubewell water and food composites (mainly vegetables and cereals) to establish whether there is any correlation between As dietary intake and As concentrations in hair and urine. They observed a correlation between As concentration in hair and dietary intake (</t>
    </r>
    <r>
      <rPr>
        <i/>
        <sz val="10"/>
        <color rgb="FF222222"/>
        <rFont val="Arial"/>
        <family val="2"/>
      </rPr>
      <t>R</t>
    </r>
    <r>
      <rPr>
        <sz val="7.5"/>
        <color rgb="FF222222"/>
        <rFont val="Arial"/>
        <family val="2"/>
      </rPr>
      <t>2</t>
    </r>
    <r>
      <rPr>
        <sz val="10"/>
        <color rgb="FF222222"/>
        <rFont val="Arial"/>
        <family val="2"/>
      </rPr>
      <t> = 0.45, </t>
    </r>
    <r>
      <rPr>
        <i/>
        <sz val="10"/>
        <color rgb="FF222222"/>
        <rFont val="Arial"/>
        <family val="2"/>
      </rPr>
      <t>p</t>
    </r>
    <r>
      <rPr>
        <sz val="10"/>
        <color rgb="FF222222"/>
        <rFont val="Arial"/>
        <family val="2"/>
      </rPr>
      <t> &lt; 0.001) and a weaker correlation between urine and dietary intake (</t>
    </r>
    <r>
      <rPr>
        <i/>
        <sz val="10"/>
        <color rgb="FF222222"/>
        <rFont val="Arial"/>
        <family val="2"/>
      </rPr>
      <t>R</t>
    </r>
    <r>
      <rPr>
        <sz val="7.5"/>
        <color rgb="FF222222"/>
        <rFont val="Arial"/>
        <family val="2"/>
      </rPr>
      <t>2</t>
    </r>
    <r>
      <rPr>
        <sz val="10"/>
        <color rgb="FF222222"/>
        <rFont val="Arial"/>
        <family val="2"/>
      </rPr>
      <t> = 0.13, </t>
    </r>
    <r>
      <rPr>
        <i/>
        <sz val="10"/>
        <color rgb="FF222222"/>
        <rFont val="Arial"/>
        <family val="2"/>
      </rPr>
      <t>p</t>
    </r>
    <r>
      <rPr>
        <sz val="10"/>
        <color rgb="FF222222"/>
        <rFont val="Arial"/>
        <family val="2"/>
      </rPr>
      <t> &lt; 0.001). The authors, however, do not explain these results. Whereas, our results could be explained due the existence of differences in the response to As among individuals within the same population. Such differences in individual susceptibility given the same exposure conditions could be due to differences in As metabolism [</t>
    </r>
    <r>
      <rPr>
        <b/>
        <sz val="10"/>
        <color rgb="FF3156A2"/>
        <rFont val="Arial"/>
        <family val="2"/>
      </rPr>
      <t>48</t>
    </r>
    <r>
      <rPr>
        <sz val="10"/>
        <color rgb="FF222222"/>
        <rFont val="Arial"/>
        <family val="2"/>
      </rPr>
      <t>]. Variations in urinary As excretion profiles among individuals from relatively homogenously exposed populations have been previously reported [</t>
    </r>
    <r>
      <rPr>
        <b/>
        <sz val="10"/>
        <color rgb="FF3156A2"/>
        <rFont val="Arial"/>
        <family val="2"/>
      </rPr>
      <t>10</t>
    </r>
    <r>
      <rPr>
        <sz val="10"/>
        <color rgb="FF222222"/>
        <rFont val="Arial"/>
        <family val="2"/>
      </rPr>
      <t>,</t>
    </r>
    <r>
      <rPr>
        <b/>
        <sz val="10"/>
        <color rgb="FF3156A2"/>
        <rFont val="Arial"/>
        <family val="2"/>
      </rPr>
      <t>21</t>
    </r>
    <r>
      <rPr>
        <sz val="10"/>
        <color rgb="FF222222"/>
        <rFont val="Arial"/>
        <family val="2"/>
      </rPr>
      <t>,</t>
    </r>
    <r>
      <rPr>
        <b/>
        <sz val="10"/>
        <color rgb="FF3156A2"/>
        <rFont val="Arial"/>
        <family val="2"/>
      </rPr>
      <t>49</t>
    </r>
    <r>
      <rPr>
        <sz val="10"/>
        <color rgb="FF222222"/>
        <rFont val="Arial"/>
        <family val="2"/>
      </rPr>
      <t>] providing further evidence of inter-individual variation in As metabolism.</t>
    </r>
  </si>
  <si>
    <t>Valdivia, Chile</t>
  </si>
  <si>
    <t>Arsenic, cadmium, mercury, sodium, and potassium concentrations in common foods and estimated daily intake of the population in Valdivia (Chile) using a total diet study</t>
  </si>
  <si>
    <t>https://www.sciencedirect.com/science/article/pii/S0278691517301217#fig5</t>
  </si>
  <si>
    <t>Fruit</t>
  </si>
  <si>
    <t>Potatoes</t>
  </si>
  <si>
    <t>Oberoi, Shilpi</t>
  </si>
  <si>
    <t>The global burden of disease for skin, lung, and bladder cancer caused by arsenic in food</t>
  </si>
  <si>
    <t>https://cebp.aacrjournals.org/content/23/7/1187.full-text.pdf</t>
  </si>
  <si>
    <t>Uniform?</t>
  </si>
  <si>
    <t>Various</t>
  </si>
  <si>
    <t>Meat products</t>
  </si>
  <si>
    <t>23% below LOD</t>
  </si>
  <si>
    <t>66% below LOD</t>
  </si>
  <si>
    <t>82.86% below LOD</t>
  </si>
  <si>
    <t>40% below LOD</t>
  </si>
  <si>
    <t>Organ meat</t>
  </si>
  <si>
    <t>53% below LOD</t>
  </si>
  <si>
    <t>65% below LOD</t>
  </si>
  <si>
    <t>83% below LOD</t>
  </si>
  <si>
    <t>86% below LOD</t>
  </si>
  <si>
    <t>Cereals (not rice)</t>
  </si>
  <si>
    <t>Rice</t>
  </si>
  <si>
    <t>79% below LOD</t>
  </si>
  <si>
    <t>0% below LOD</t>
  </si>
  <si>
    <t>Marine fish</t>
  </si>
  <si>
    <t>Shellfish</t>
  </si>
  <si>
    <t>Freshwater fish</t>
  </si>
  <si>
    <t>Data from Brazil, Japan, France, Singapore, and numerous literature sources</t>
  </si>
  <si>
    <t>According to Santiago study, about 20% of seafood intake is shellfish, while the rest is marine fish</t>
  </si>
  <si>
    <t>Tuna</t>
  </si>
  <si>
    <t>Hake</t>
  </si>
  <si>
    <t>Mackerel</t>
  </si>
  <si>
    <t>Other Fish</t>
  </si>
  <si>
    <t>Mussel</t>
  </si>
  <si>
    <t>Clam</t>
  </si>
  <si>
    <t>Other Shellfish</t>
  </si>
  <si>
    <t>Tuna mean</t>
  </si>
  <si>
    <t>Tuna sd</t>
  </si>
  <si>
    <t>wght1</t>
  </si>
  <si>
    <t>whgt2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</si>
</sst>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8"/>
      <name val="Calibri"/>
      <family val="2"/>
      <scheme val="minor"/>
    </font>
    <font>
      <b/>
      <u/>
      <sz val="11"/>
      <color theme="1"/>
      <name val="Calibri"/>
      <family val="2"/>
      <scheme val="minor"/>
    </font>
    <font>
      <sz val="10"/>
      <color rgb="FF222222"/>
      <name val="Arial"/>
      <family val="2"/>
    </font>
    <font>
      <i/>
      <sz val="10"/>
      <color rgb="FF222222"/>
      <name val="Arial"/>
      <family val="2"/>
    </font>
    <font>
      <b/>
      <sz val="10"/>
      <color rgb="FF3156A2"/>
      <name val="Arial"/>
      <family val="2"/>
    </font>
    <font>
      <sz val="7.5"/>
      <color rgb="FF2222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3" fillId="0" borderId="0" xfId="0" applyFon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hydrologie.org/redbooks/a260/iahs_260_0003.pdf" TargetMode="External"/><Relationship Id="rId3" Type="http://schemas.openxmlformats.org/officeDocument/2006/relationships/hyperlink" Target="https://www.sciencedirect.com/science/article/pii/S0278691505001511" TargetMode="External"/><Relationship Id="rId7" Type="http://schemas.openxmlformats.org/officeDocument/2006/relationships/hyperlink" Target="https://cebp.aacrjournals.org/content/cebp/23/7/1187.full.pdf" TargetMode="External"/><Relationship Id="rId2" Type="http://schemas.openxmlformats.org/officeDocument/2006/relationships/hyperlink" Target="http://hydrologie.org/redbooks/a260/iahs_260_0003.pdf" TargetMode="External"/><Relationship Id="rId1" Type="http://schemas.openxmlformats.org/officeDocument/2006/relationships/hyperlink" Target="https://www.sciencedirect.com/science/article/pii/S0278691505001511" TargetMode="External"/><Relationship Id="rId6" Type="http://schemas.openxmlformats.org/officeDocument/2006/relationships/hyperlink" Target="https://cebp.aacrjournals.org/content/cebp/23/7/1187.full.pdf" TargetMode="External"/><Relationship Id="rId5" Type="http://schemas.openxmlformats.org/officeDocument/2006/relationships/hyperlink" Target="https://www.mdpi.com/1660-4601/12/5/5614/htm" TargetMode="External"/><Relationship Id="rId4" Type="http://schemas.openxmlformats.org/officeDocument/2006/relationships/hyperlink" Target="http://hydrologie.org/redbooks/a260/iahs_260_0003.pdf"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dpi.com/1660-4601/12/5/5614/htm" TargetMode="External"/><Relationship Id="rId2" Type="http://schemas.openxmlformats.org/officeDocument/2006/relationships/hyperlink" Target="http://hydrologie.org/redbooks/a260/iahs_260_0003.pdf" TargetMode="External"/><Relationship Id="rId1" Type="http://schemas.openxmlformats.org/officeDocument/2006/relationships/hyperlink" Target="https://www.sciencedirect.com/science/article/pii/S0278691505001511" TargetMode="External"/><Relationship Id="rId6" Type="http://schemas.openxmlformats.org/officeDocument/2006/relationships/printerSettings" Target="../printerSettings/printerSettings2.bin"/><Relationship Id="rId5" Type="http://schemas.openxmlformats.org/officeDocument/2006/relationships/hyperlink" Target="https://cebp.aacrjournals.org/content/23/7/1187.full-text.pdf" TargetMode="External"/><Relationship Id="rId4" Type="http://schemas.openxmlformats.org/officeDocument/2006/relationships/hyperlink" Target="https://www.sciencedirect.com/science/article/pii/S02786915173012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D1CCD-A2F3-4599-9532-D961AF4A8B98}">
  <dimension ref="A1:M47"/>
  <sheetViews>
    <sheetView tabSelected="1" workbookViewId="0">
      <selection activeCell="B13" sqref="B13:B14"/>
    </sheetView>
  </sheetViews>
  <sheetFormatPr defaultRowHeight="15" x14ac:dyDescent="0.25"/>
  <cols>
    <col min="1" max="1" width="21.7109375" customWidth="1"/>
    <col min="2" max="2" width="19.140625" customWidth="1"/>
    <col min="3" max="3" width="19.5703125" customWidth="1"/>
    <col min="4" max="5" width="23.28515625" customWidth="1"/>
    <col min="6" max="7" width="23.140625" customWidth="1"/>
    <col min="8" max="8" width="19.85546875" customWidth="1"/>
    <col min="9" max="9" width="21" customWidth="1"/>
  </cols>
  <sheetData>
    <row r="1" spans="1:13" x14ac:dyDescent="0.25">
      <c r="A1" s="2" t="s">
        <v>0</v>
      </c>
      <c r="B1" s="2" t="s">
        <v>8</v>
      </c>
      <c r="C1" s="2" t="s">
        <v>1</v>
      </c>
      <c r="D1" s="2" t="s">
        <v>2</v>
      </c>
      <c r="E1" s="2" t="s">
        <v>24</v>
      </c>
      <c r="F1" s="2" t="s">
        <v>3</v>
      </c>
      <c r="G1" s="2" t="s">
        <v>11</v>
      </c>
      <c r="H1" s="2" t="s">
        <v>4</v>
      </c>
      <c r="I1" s="2" t="s">
        <v>28</v>
      </c>
      <c r="M1" t="s">
        <v>50</v>
      </c>
    </row>
    <row r="2" spans="1:13" x14ac:dyDescent="0.25">
      <c r="A2" t="s">
        <v>27</v>
      </c>
      <c r="B2">
        <f>28.3495*34</f>
        <v>963.88299999999992</v>
      </c>
      <c r="C2" t="s">
        <v>6</v>
      </c>
      <c r="D2" t="s">
        <v>7</v>
      </c>
      <c r="E2" t="s">
        <v>6</v>
      </c>
      <c r="F2" t="s">
        <v>9</v>
      </c>
      <c r="G2" t="s">
        <v>18</v>
      </c>
      <c r="H2" s="1">
        <v>1</v>
      </c>
      <c r="I2" t="s">
        <v>29</v>
      </c>
      <c r="M2">
        <v>28.349499999999999</v>
      </c>
    </row>
    <row r="3" spans="1:13" x14ac:dyDescent="0.25">
      <c r="A3" t="s">
        <v>25</v>
      </c>
      <c r="B3">
        <f>28.3495*24</f>
        <v>680.38799999999992</v>
      </c>
      <c r="C3" t="s">
        <v>6</v>
      </c>
      <c r="D3" t="s">
        <v>7</v>
      </c>
      <c r="E3" t="s">
        <v>6</v>
      </c>
      <c r="F3" t="s">
        <v>9</v>
      </c>
      <c r="G3" t="s">
        <v>18</v>
      </c>
      <c r="H3" s="1">
        <v>1</v>
      </c>
    </row>
    <row r="4" spans="1:13" x14ac:dyDescent="0.25">
      <c r="A4" t="s">
        <v>26</v>
      </c>
      <c r="B4">
        <f>28.3495*1351</f>
        <v>38300.174500000001</v>
      </c>
      <c r="C4" t="s">
        <v>6</v>
      </c>
      <c r="D4" t="s">
        <v>7</v>
      </c>
      <c r="E4" t="s">
        <v>6</v>
      </c>
      <c r="F4" t="s">
        <v>9</v>
      </c>
      <c r="G4" t="s">
        <v>18</v>
      </c>
      <c r="H4" s="1">
        <v>1</v>
      </c>
    </row>
    <row r="5" spans="1:13" x14ac:dyDescent="0.25">
      <c r="A5" t="s">
        <v>30</v>
      </c>
      <c r="B5">
        <f>28.3495*8</f>
        <v>226.79599999999999</v>
      </c>
      <c r="C5" t="s">
        <v>6</v>
      </c>
      <c r="D5" t="s">
        <v>7</v>
      </c>
      <c r="E5" t="s">
        <v>6</v>
      </c>
      <c r="F5" t="s">
        <v>9</v>
      </c>
      <c r="G5" t="s">
        <v>18</v>
      </c>
      <c r="H5" s="1">
        <v>1</v>
      </c>
      <c r="I5" t="s">
        <v>31</v>
      </c>
    </row>
    <row r="6" spans="1:13" x14ac:dyDescent="0.25">
      <c r="A6" t="s">
        <v>32</v>
      </c>
      <c r="B6">
        <f>28.3495*7</f>
        <v>198.44649999999999</v>
      </c>
      <c r="C6" t="s">
        <v>6</v>
      </c>
      <c r="D6" t="s">
        <v>7</v>
      </c>
      <c r="E6" t="s">
        <v>6</v>
      </c>
      <c r="F6" t="s">
        <v>9</v>
      </c>
      <c r="G6" t="s">
        <v>18</v>
      </c>
      <c r="H6" s="1">
        <v>1</v>
      </c>
      <c r="I6" t="s">
        <v>33</v>
      </c>
    </row>
    <row r="7" spans="1:13" x14ac:dyDescent="0.25">
      <c r="A7" t="s">
        <v>34</v>
      </c>
      <c r="B7">
        <f>28.3495*13</f>
        <v>368.54349999999999</v>
      </c>
      <c r="C7" t="s">
        <v>6</v>
      </c>
      <c r="D7" t="s">
        <v>7</v>
      </c>
      <c r="E7" t="s">
        <v>6</v>
      </c>
      <c r="F7" t="s">
        <v>9</v>
      </c>
      <c r="G7" t="s">
        <v>18</v>
      </c>
      <c r="H7" s="1">
        <v>1</v>
      </c>
    </row>
    <row r="8" spans="1:13" x14ac:dyDescent="0.25">
      <c r="A8" t="s">
        <v>35</v>
      </c>
      <c r="B8">
        <f>28.3495*12</f>
        <v>340.19399999999996</v>
      </c>
      <c r="C8" t="s">
        <v>6</v>
      </c>
      <c r="D8" t="s">
        <v>7</v>
      </c>
      <c r="E8" t="s">
        <v>6</v>
      </c>
      <c r="F8" t="s">
        <v>9</v>
      </c>
      <c r="G8" t="s">
        <v>18</v>
      </c>
      <c r="H8" s="1">
        <v>1</v>
      </c>
    </row>
    <row r="9" spans="1:13" x14ac:dyDescent="0.25">
      <c r="A9" t="s">
        <v>36</v>
      </c>
      <c r="B9">
        <f>28.3495*18</f>
        <v>510.291</v>
      </c>
      <c r="C9" t="s">
        <v>6</v>
      </c>
      <c r="D9" t="s">
        <v>7</v>
      </c>
      <c r="E9" t="s">
        <v>6</v>
      </c>
      <c r="F9" t="s">
        <v>9</v>
      </c>
      <c r="G9" t="s">
        <v>18</v>
      </c>
      <c r="H9" s="1">
        <v>1</v>
      </c>
      <c r="I9" t="s">
        <v>37</v>
      </c>
    </row>
    <row r="10" spans="1:13" x14ac:dyDescent="0.25">
      <c r="A10" t="s">
        <v>38</v>
      </c>
      <c r="B10">
        <f>28.3495*25</f>
        <v>708.73749999999995</v>
      </c>
      <c r="C10" t="s">
        <v>6</v>
      </c>
      <c r="D10" t="s">
        <v>7</v>
      </c>
      <c r="E10" t="s">
        <v>6</v>
      </c>
      <c r="F10" t="s">
        <v>9</v>
      </c>
      <c r="G10" t="s">
        <v>18</v>
      </c>
      <c r="H10" s="1">
        <v>1</v>
      </c>
      <c r="I10" t="s">
        <v>39</v>
      </c>
    </row>
    <row r="11" spans="1:13" x14ac:dyDescent="0.25">
      <c r="A11" t="s">
        <v>40</v>
      </c>
      <c r="B11">
        <f>28.3495*19</f>
        <v>538.64049999999997</v>
      </c>
      <c r="C11" t="s">
        <v>6</v>
      </c>
      <c r="D11" t="s">
        <v>7</v>
      </c>
      <c r="E11" t="s">
        <v>6</v>
      </c>
      <c r="F11" t="s">
        <v>9</v>
      </c>
      <c r="G11" t="s">
        <v>18</v>
      </c>
      <c r="H11" s="1">
        <v>1</v>
      </c>
    </row>
    <row r="12" spans="1:13" x14ac:dyDescent="0.25">
      <c r="A12" t="s">
        <v>5</v>
      </c>
      <c r="B12">
        <f>1241/35*28.3495</f>
        <v>1005.1922714285713</v>
      </c>
      <c r="C12" t="s">
        <v>6</v>
      </c>
      <c r="D12" t="s">
        <v>7</v>
      </c>
      <c r="E12" t="s">
        <v>6</v>
      </c>
      <c r="F12" t="s">
        <v>17</v>
      </c>
      <c r="G12" t="s">
        <v>19</v>
      </c>
      <c r="H12" s="1">
        <v>2</v>
      </c>
    </row>
    <row r="13" spans="1:13" x14ac:dyDescent="0.25">
      <c r="A13" t="s">
        <v>41</v>
      </c>
      <c r="B13">
        <f>291.9*28.3495</f>
        <v>8275.2190499999997</v>
      </c>
      <c r="C13" t="s">
        <v>6</v>
      </c>
      <c r="D13" t="s">
        <v>7</v>
      </c>
      <c r="E13" t="s">
        <v>6</v>
      </c>
      <c r="F13" t="s">
        <v>17</v>
      </c>
      <c r="G13" t="s">
        <v>19</v>
      </c>
      <c r="H13" s="1">
        <v>2</v>
      </c>
    </row>
    <row r="14" spans="1:13" x14ac:dyDescent="0.25">
      <c r="A14" t="s">
        <v>84</v>
      </c>
      <c r="B14">
        <f>2850.1*28.3495</f>
        <v>80798.909950000001</v>
      </c>
      <c r="C14" t="s">
        <v>6</v>
      </c>
      <c r="D14" t="s">
        <v>7</v>
      </c>
      <c r="E14" t="s">
        <v>6</v>
      </c>
      <c r="F14" t="s">
        <v>17</v>
      </c>
      <c r="G14" t="s">
        <v>19</v>
      </c>
      <c r="H14" s="1">
        <v>2</v>
      </c>
    </row>
    <row r="15" spans="1:13" x14ac:dyDescent="0.25">
      <c r="A15" t="s">
        <v>42</v>
      </c>
      <c r="B15">
        <f>405/50*28.3495</f>
        <v>229.63094999999998</v>
      </c>
      <c r="C15" t="s">
        <v>6</v>
      </c>
      <c r="D15" t="s">
        <v>7</v>
      </c>
      <c r="E15" t="s">
        <v>6</v>
      </c>
      <c r="F15" t="s">
        <v>17</v>
      </c>
      <c r="G15" t="s">
        <v>19</v>
      </c>
      <c r="H15" s="1">
        <v>2</v>
      </c>
    </row>
    <row r="16" spans="1:13" x14ac:dyDescent="0.25">
      <c r="A16" t="s">
        <v>36</v>
      </c>
      <c r="B16">
        <f>5310/225*28.3495</f>
        <v>669.04820000000007</v>
      </c>
      <c r="C16" t="s">
        <v>6</v>
      </c>
      <c r="D16" t="s">
        <v>7</v>
      </c>
      <c r="E16" t="s">
        <v>6</v>
      </c>
      <c r="F16" t="s">
        <v>17</v>
      </c>
      <c r="G16" t="s">
        <v>19</v>
      </c>
      <c r="H16" s="1">
        <v>2</v>
      </c>
    </row>
    <row r="17" spans="1:9" x14ac:dyDescent="0.25">
      <c r="A17" t="s">
        <v>43</v>
      </c>
      <c r="B17">
        <f>12122/220*28.3495</f>
        <v>1562.05745</v>
      </c>
      <c r="C17" t="s">
        <v>6</v>
      </c>
      <c r="D17" t="s">
        <v>7</v>
      </c>
      <c r="E17" t="s">
        <v>6</v>
      </c>
      <c r="F17" t="s">
        <v>17</v>
      </c>
      <c r="G17" t="s">
        <v>19</v>
      </c>
      <c r="H17" s="1">
        <v>2</v>
      </c>
    </row>
    <row r="18" spans="1:9" x14ac:dyDescent="0.25">
      <c r="A18" t="s">
        <v>32</v>
      </c>
      <c r="B18">
        <f>53960/400*28.3495</f>
        <v>3824.34755</v>
      </c>
      <c r="C18" t="s">
        <v>6</v>
      </c>
      <c r="D18" t="s">
        <v>7</v>
      </c>
      <c r="E18" t="s">
        <v>6</v>
      </c>
      <c r="F18" t="s">
        <v>17</v>
      </c>
      <c r="G18" t="s">
        <v>19</v>
      </c>
      <c r="H18" s="1">
        <v>2</v>
      </c>
    </row>
    <row r="19" spans="1:9" x14ac:dyDescent="0.25">
      <c r="A19" t="s">
        <v>44</v>
      </c>
      <c r="B19">
        <f>1684/310*28.3495</f>
        <v>154.0018</v>
      </c>
      <c r="C19" t="s">
        <v>6</v>
      </c>
      <c r="D19" t="s">
        <v>7</v>
      </c>
      <c r="E19" t="s">
        <v>6</v>
      </c>
      <c r="F19" t="s">
        <v>17</v>
      </c>
      <c r="G19" t="s">
        <v>19</v>
      </c>
      <c r="H19" s="1">
        <v>2</v>
      </c>
    </row>
    <row r="20" spans="1:9" x14ac:dyDescent="0.25">
      <c r="A20" t="s">
        <v>38</v>
      </c>
      <c r="B20">
        <f>172.9 * $M$2</f>
        <v>4901.6285500000004</v>
      </c>
      <c r="C20">
        <f>132.4 * $M$2</f>
        <v>3753.4738000000002</v>
      </c>
      <c r="D20" t="s">
        <v>51</v>
      </c>
      <c r="E20">
        <v>20</v>
      </c>
      <c r="F20" t="s">
        <v>45</v>
      </c>
      <c r="G20" t="s">
        <v>46</v>
      </c>
      <c r="H20" s="1">
        <v>3</v>
      </c>
      <c r="I20" t="s">
        <v>52</v>
      </c>
    </row>
    <row r="21" spans="1:9" x14ac:dyDescent="0.25">
      <c r="A21" t="s">
        <v>32</v>
      </c>
      <c r="B21">
        <f>700.9 * $M$2</f>
        <v>19870.164549999998</v>
      </c>
      <c r="C21">
        <f>559.5 * $M$2</f>
        <v>15861.545249999999</v>
      </c>
      <c r="D21" t="s">
        <v>51</v>
      </c>
      <c r="E21">
        <v>20</v>
      </c>
      <c r="F21" t="s">
        <v>45</v>
      </c>
      <c r="G21" t="s">
        <v>53</v>
      </c>
      <c r="H21" s="1">
        <v>3</v>
      </c>
      <c r="I21" t="s">
        <v>54</v>
      </c>
    </row>
    <row r="22" spans="1:9" x14ac:dyDescent="0.25">
      <c r="A22" t="s">
        <v>55</v>
      </c>
      <c r="B22">
        <f>969.4 * $M$2</f>
        <v>27482.005299999997</v>
      </c>
      <c r="C22">
        <f>418 * $M$2</f>
        <v>11850.091</v>
      </c>
      <c r="D22" t="s">
        <v>51</v>
      </c>
      <c r="E22">
        <v>20</v>
      </c>
      <c r="F22" t="s">
        <v>45</v>
      </c>
      <c r="G22" t="s">
        <v>53</v>
      </c>
      <c r="H22" s="1">
        <v>3</v>
      </c>
      <c r="I22" t="s">
        <v>56</v>
      </c>
    </row>
    <row r="23" spans="1:9" x14ac:dyDescent="0.25">
      <c r="A23" t="s">
        <v>36</v>
      </c>
      <c r="B23">
        <f>22 * $M$2</f>
        <v>623.68899999999996</v>
      </c>
      <c r="C23" t="s">
        <v>6</v>
      </c>
      <c r="D23" t="s">
        <v>7</v>
      </c>
      <c r="E23" t="s">
        <v>6</v>
      </c>
      <c r="F23" t="s">
        <v>59</v>
      </c>
      <c r="G23">
        <v>2012</v>
      </c>
      <c r="H23" s="1">
        <v>4</v>
      </c>
    </row>
    <row r="24" spans="1:9" x14ac:dyDescent="0.25">
      <c r="A24" t="s">
        <v>38</v>
      </c>
      <c r="B24">
        <f>41 * $M$2</f>
        <v>1162.3295000000001</v>
      </c>
      <c r="C24" t="s">
        <v>6</v>
      </c>
      <c r="D24" t="s">
        <v>7</v>
      </c>
      <c r="E24" t="s">
        <v>6</v>
      </c>
      <c r="F24" t="s">
        <v>59</v>
      </c>
      <c r="G24">
        <v>2012</v>
      </c>
      <c r="H24" s="1">
        <v>4</v>
      </c>
    </row>
    <row r="25" spans="1:9" x14ac:dyDescent="0.25">
      <c r="A25" t="s">
        <v>40</v>
      </c>
      <c r="B25">
        <f>18 * $M$2</f>
        <v>510.291</v>
      </c>
      <c r="C25" t="s">
        <v>6</v>
      </c>
      <c r="D25" t="s">
        <v>7</v>
      </c>
      <c r="E25" t="s">
        <v>6</v>
      </c>
      <c r="F25" t="s">
        <v>59</v>
      </c>
      <c r="G25">
        <v>2012</v>
      </c>
      <c r="H25" s="1">
        <v>4</v>
      </c>
    </row>
    <row r="26" spans="1:9" x14ac:dyDescent="0.25">
      <c r="A26" t="s">
        <v>26</v>
      </c>
      <c r="B26">
        <f>1845 * $M$2</f>
        <v>52304.827499999999</v>
      </c>
      <c r="C26" t="s">
        <v>6</v>
      </c>
      <c r="D26" t="s">
        <v>7</v>
      </c>
      <c r="E26" t="s">
        <v>6</v>
      </c>
      <c r="F26" t="s">
        <v>59</v>
      </c>
      <c r="G26">
        <v>2012</v>
      </c>
      <c r="H26" s="1">
        <v>4</v>
      </c>
    </row>
    <row r="27" spans="1:9" x14ac:dyDescent="0.25">
      <c r="A27" t="s">
        <v>62</v>
      </c>
      <c r="B27">
        <f>15 * $M$2</f>
        <v>425.24250000000001</v>
      </c>
      <c r="C27" t="s">
        <v>6</v>
      </c>
      <c r="D27" t="s">
        <v>7</v>
      </c>
      <c r="E27" t="s">
        <v>6</v>
      </c>
      <c r="F27" t="s">
        <v>59</v>
      </c>
      <c r="G27">
        <v>2012</v>
      </c>
      <c r="H27" s="1">
        <v>4</v>
      </c>
    </row>
    <row r="28" spans="1:9" x14ac:dyDescent="0.25">
      <c r="A28" t="s">
        <v>5</v>
      </c>
      <c r="B28">
        <f>33 * $M$2</f>
        <v>935.5335</v>
      </c>
      <c r="C28" t="s">
        <v>6</v>
      </c>
      <c r="D28" t="s">
        <v>7</v>
      </c>
      <c r="E28" t="s">
        <v>6</v>
      </c>
      <c r="F28" t="s">
        <v>59</v>
      </c>
      <c r="G28">
        <v>2012</v>
      </c>
      <c r="H28" s="1">
        <v>4</v>
      </c>
    </row>
    <row r="29" spans="1:9" x14ac:dyDescent="0.25">
      <c r="A29" t="s">
        <v>25</v>
      </c>
      <c r="B29">
        <f>13 * $M$2</f>
        <v>368.54349999999999</v>
      </c>
      <c r="C29" t="s">
        <v>6</v>
      </c>
      <c r="D29" t="s">
        <v>7</v>
      </c>
      <c r="E29" t="s">
        <v>6</v>
      </c>
      <c r="F29" t="s">
        <v>59</v>
      </c>
      <c r="G29">
        <v>2012</v>
      </c>
      <c r="H29" s="1">
        <v>4</v>
      </c>
    </row>
    <row r="30" spans="1:9" x14ac:dyDescent="0.25">
      <c r="A30" t="s">
        <v>35</v>
      </c>
      <c r="B30">
        <f>18 * $M$2</f>
        <v>510.291</v>
      </c>
      <c r="C30" t="s">
        <v>6</v>
      </c>
      <c r="D30" t="s">
        <v>7</v>
      </c>
      <c r="E30" t="s">
        <v>6</v>
      </c>
      <c r="F30" t="s">
        <v>59</v>
      </c>
      <c r="G30">
        <v>2012</v>
      </c>
      <c r="H30" s="1">
        <v>4</v>
      </c>
    </row>
    <row r="31" spans="1:9" x14ac:dyDescent="0.25">
      <c r="A31" t="s">
        <v>30</v>
      </c>
      <c r="B31">
        <f>18 * $M$2</f>
        <v>510.291</v>
      </c>
      <c r="C31" t="s">
        <v>6</v>
      </c>
      <c r="D31" t="s">
        <v>7</v>
      </c>
      <c r="E31" t="s">
        <v>6</v>
      </c>
      <c r="F31" t="s">
        <v>59</v>
      </c>
      <c r="G31">
        <v>2012</v>
      </c>
      <c r="H31" s="1">
        <v>4</v>
      </c>
    </row>
    <row r="32" spans="1:9" x14ac:dyDescent="0.25">
      <c r="A32" t="s">
        <v>63</v>
      </c>
      <c r="B32">
        <f>12 * $M$2</f>
        <v>340.19399999999996</v>
      </c>
      <c r="C32" t="s">
        <v>6</v>
      </c>
      <c r="D32" t="s">
        <v>7</v>
      </c>
      <c r="E32" t="s">
        <v>6</v>
      </c>
      <c r="F32" t="s">
        <v>59</v>
      </c>
      <c r="G32">
        <v>2012</v>
      </c>
      <c r="H32" s="1">
        <v>4</v>
      </c>
    </row>
    <row r="33" spans="1:10" x14ac:dyDescent="0.25">
      <c r="A33" t="s">
        <v>32</v>
      </c>
      <c r="B33">
        <f>19 * $M$2</f>
        <v>538.64049999999997</v>
      </c>
      <c r="C33" t="s">
        <v>6</v>
      </c>
      <c r="D33" t="s">
        <v>7</v>
      </c>
      <c r="E33" t="s">
        <v>6</v>
      </c>
      <c r="F33" t="s">
        <v>59</v>
      </c>
      <c r="G33">
        <v>2012</v>
      </c>
      <c r="H33" s="1">
        <v>4</v>
      </c>
    </row>
    <row r="34" spans="1:10" x14ac:dyDescent="0.25">
      <c r="A34" t="s">
        <v>80</v>
      </c>
      <c r="B34">
        <f>2 * $M$2</f>
        <v>56.698999999999998</v>
      </c>
      <c r="C34">
        <f>1830 * $M$2</f>
        <v>51879.584999999999</v>
      </c>
      <c r="D34" t="s">
        <v>67</v>
      </c>
      <c r="E34">
        <v>1693</v>
      </c>
      <c r="F34" t="s">
        <v>68</v>
      </c>
      <c r="G34" t="s">
        <v>68</v>
      </c>
      <c r="H34" s="1">
        <v>5</v>
      </c>
      <c r="I34" t="s">
        <v>82</v>
      </c>
    </row>
    <row r="35" spans="1:10" x14ac:dyDescent="0.25">
      <c r="A35" t="s">
        <v>79</v>
      </c>
      <c r="B35">
        <f>7 * $M$2</f>
        <v>198.44649999999999</v>
      </c>
      <c r="C35">
        <f>430 * $M$2</f>
        <v>12190.285</v>
      </c>
      <c r="D35" t="s">
        <v>67</v>
      </c>
      <c r="E35">
        <v>410</v>
      </c>
      <c r="F35" t="s">
        <v>68</v>
      </c>
      <c r="G35" t="s">
        <v>68</v>
      </c>
      <c r="H35" s="1">
        <v>5</v>
      </c>
      <c r="I35" t="s">
        <v>81</v>
      </c>
    </row>
    <row r="36" spans="1:10" x14ac:dyDescent="0.25">
      <c r="A36" t="s">
        <v>32</v>
      </c>
      <c r="B36">
        <f>1 * $M$2</f>
        <v>28.349499999999999</v>
      </c>
      <c r="C36">
        <f>1270 * $M$2</f>
        <v>36003.864999999998</v>
      </c>
      <c r="D36" t="s">
        <v>67</v>
      </c>
      <c r="E36">
        <v>2503</v>
      </c>
      <c r="F36" t="s">
        <v>68</v>
      </c>
      <c r="G36" t="s">
        <v>68</v>
      </c>
      <c r="H36" s="1">
        <v>5</v>
      </c>
      <c r="I36" t="s">
        <v>78</v>
      </c>
    </row>
    <row r="37" spans="1:10" x14ac:dyDescent="0.25">
      <c r="A37" t="s">
        <v>62</v>
      </c>
      <c r="B37">
        <f>5 * $M$2</f>
        <v>141.7475</v>
      </c>
      <c r="C37">
        <f>2200 * $M$2</f>
        <v>62368.9</v>
      </c>
      <c r="D37" t="s">
        <v>67</v>
      </c>
      <c r="E37">
        <v>966</v>
      </c>
      <c r="F37" t="s">
        <v>68</v>
      </c>
      <c r="G37" t="s">
        <v>68</v>
      </c>
      <c r="H37" s="1">
        <v>5</v>
      </c>
      <c r="I37" t="s">
        <v>77</v>
      </c>
    </row>
    <row r="38" spans="1:10" x14ac:dyDescent="0.25">
      <c r="A38" t="s">
        <v>5</v>
      </c>
      <c r="B38">
        <f>4 * $M$2</f>
        <v>113.398</v>
      </c>
      <c r="C38">
        <f>780 * $M$2</f>
        <v>22112.61</v>
      </c>
      <c r="D38" t="s">
        <v>67</v>
      </c>
      <c r="E38">
        <v>4977</v>
      </c>
      <c r="F38" t="s">
        <v>68</v>
      </c>
      <c r="G38" t="s">
        <v>68</v>
      </c>
      <c r="H38" s="1">
        <v>5</v>
      </c>
      <c r="I38" t="s">
        <v>72</v>
      </c>
    </row>
    <row r="39" spans="1:10" x14ac:dyDescent="0.25">
      <c r="A39" t="s">
        <v>69</v>
      </c>
      <c r="B39">
        <f>3 * $M$2</f>
        <v>85.04849999999999</v>
      </c>
      <c r="C39">
        <f>3250 * $M$2</f>
        <v>92135.875</v>
      </c>
      <c r="D39" t="s">
        <v>67</v>
      </c>
      <c r="E39">
        <v>50</v>
      </c>
      <c r="F39" t="s">
        <v>68</v>
      </c>
      <c r="G39" t="s">
        <v>68</v>
      </c>
      <c r="H39" s="1">
        <v>5</v>
      </c>
      <c r="I39" t="s">
        <v>73</v>
      </c>
    </row>
    <row r="40" spans="1:10" x14ac:dyDescent="0.25">
      <c r="A40" t="s">
        <v>74</v>
      </c>
      <c r="B40">
        <f>9 * $M$2</f>
        <v>255.1455</v>
      </c>
      <c r="C40">
        <f>450 * $M$2</f>
        <v>12757.275</v>
      </c>
      <c r="D40" t="s">
        <v>67</v>
      </c>
      <c r="E40">
        <v>2074</v>
      </c>
      <c r="F40" t="s">
        <v>68</v>
      </c>
      <c r="G40" t="s">
        <v>68</v>
      </c>
      <c r="H40" s="1">
        <v>5</v>
      </c>
      <c r="I40" t="s">
        <v>75</v>
      </c>
    </row>
    <row r="41" spans="1:10" x14ac:dyDescent="0.25">
      <c r="A41" t="s">
        <v>83</v>
      </c>
      <c r="B41">
        <f>100 * $M$2</f>
        <v>2834.95</v>
      </c>
      <c r="C41">
        <f>62000 * $M$2</f>
        <v>1757669</v>
      </c>
      <c r="D41" t="s">
        <v>67</v>
      </c>
      <c r="E41">
        <v>1409</v>
      </c>
      <c r="F41" t="s">
        <v>68</v>
      </c>
      <c r="G41" t="s">
        <v>68</v>
      </c>
      <c r="H41" s="1">
        <v>5</v>
      </c>
      <c r="I41" t="s">
        <v>82</v>
      </c>
      <c r="J41" t="s">
        <v>87</v>
      </c>
    </row>
    <row r="42" spans="1:10" x14ac:dyDescent="0.25">
      <c r="A42" t="s">
        <v>84</v>
      </c>
      <c r="B42">
        <f>90 * $M$2</f>
        <v>2551.4549999999999</v>
      </c>
      <c r="C42">
        <f>66000 * $M$2</f>
        <v>1871067</v>
      </c>
      <c r="D42" t="s">
        <v>67</v>
      </c>
      <c r="E42">
        <v>171</v>
      </c>
      <c r="F42" t="s">
        <v>68</v>
      </c>
      <c r="G42" t="s">
        <v>68</v>
      </c>
      <c r="H42" s="1">
        <v>5</v>
      </c>
      <c r="I42" t="s">
        <v>82</v>
      </c>
    </row>
    <row r="43" spans="1:10" x14ac:dyDescent="0.25">
      <c r="A43" t="s">
        <v>85</v>
      </c>
      <c r="B43">
        <f>60 * $M$2</f>
        <v>1700.97</v>
      </c>
      <c r="C43">
        <f>4720 * $M$2</f>
        <v>133809.63999999998</v>
      </c>
      <c r="D43" t="s">
        <v>67</v>
      </c>
      <c r="E43">
        <v>238</v>
      </c>
      <c r="F43" t="s">
        <v>68</v>
      </c>
      <c r="G43" t="s">
        <v>68</v>
      </c>
      <c r="H43" s="1">
        <v>5</v>
      </c>
      <c r="I43" t="s">
        <v>82</v>
      </c>
    </row>
    <row r="44" spans="1:10" x14ac:dyDescent="0.25">
      <c r="A44" t="s">
        <v>40</v>
      </c>
      <c r="B44">
        <f>3* $M$2</f>
        <v>85.04849999999999</v>
      </c>
      <c r="C44">
        <f>40 * $M$2</f>
        <v>1133.98</v>
      </c>
      <c r="D44" t="s">
        <v>67</v>
      </c>
      <c r="E44">
        <v>171</v>
      </c>
      <c r="F44" t="s">
        <v>68</v>
      </c>
      <c r="G44" t="s">
        <v>68</v>
      </c>
      <c r="H44" s="1">
        <v>5</v>
      </c>
      <c r="I44" t="s">
        <v>76</v>
      </c>
    </row>
    <row r="45" spans="1:10" x14ac:dyDescent="0.25">
      <c r="A45" t="s">
        <v>35</v>
      </c>
      <c r="B45">
        <f>1 * $M$2</f>
        <v>28.349499999999999</v>
      </c>
      <c r="C45">
        <f>150 * $M$2</f>
        <v>4252.4250000000002</v>
      </c>
      <c r="D45" t="s">
        <v>67</v>
      </c>
      <c r="E45">
        <v>284</v>
      </c>
      <c r="F45" t="s">
        <v>68</v>
      </c>
      <c r="G45" t="s">
        <v>68</v>
      </c>
      <c r="H45" s="1">
        <v>5</v>
      </c>
      <c r="I45" t="s">
        <v>70</v>
      </c>
    </row>
    <row r="46" spans="1:10" x14ac:dyDescent="0.25">
      <c r="A46" t="s">
        <v>30</v>
      </c>
      <c r="B46">
        <f>10 * $M$2</f>
        <v>283.495</v>
      </c>
      <c r="C46">
        <f>350 * $M$2</f>
        <v>9922.3249999999989</v>
      </c>
      <c r="D46" t="s">
        <v>67</v>
      </c>
      <c r="E46">
        <v>92</v>
      </c>
      <c r="F46" t="s">
        <v>68</v>
      </c>
      <c r="G46" t="s">
        <v>68</v>
      </c>
      <c r="H46" s="1">
        <v>5</v>
      </c>
      <c r="I46" t="s">
        <v>71</v>
      </c>
    </row>
    <row r="47" spans="1:10" x14ac:dyDescent="0.25">
      <c r="H47" s="1"/>
    </row>
  </sheetData>
  <phoneticPr fontId="2" type="noConversion"/>
  <hyperlinks>
    <hyperlink ref="H2" r:id="rId1" display="https://www.sciencedirect.com/science/article/pii/S0278691505001511" xr:uid="{EAF5BA72-6EFF-4FB5-A56A-E0ABEA2EA438}"/>
    <hyperlink ref="H12" r:id="rId2" display="http://hydrologie.org/redbooks/a260/iahs_260_0003.pdf" xr:uid="{17338098-E2B3-423E-AA2C-BF7E69939DAF}"/>
    <hyperlink ref="H3:H11" r:id="rId3" display="https://www.sciencedirect.com/science/article/pii/S0278691505001511" xr:uid="{057535EA-089E-4B93-8EB1-79F991C14F71}"/>
    <hyperlink ref="H13:H19" r:id="rId4" display="http://hydrologie.org/redbooks/a260/iahs_260_0003.pdf" xr:uid="{9347A07E-9F30-449F-B841-A4F96F8A7EC4}"/>
    <hyperlink ref="H20" r:id="rId5" display="https://www.mdpi.com/1660-4601/12/5/5614/htm" xr:uid="{CAA3200C-6B1B-4FC3-8A50-48723A49961A}"/>
    <hyperlink ref="H35" r:id="rId6" display="https://cebp.aacrjournals.org/content/cebp/23/7/1187.full.pdf" xr:uid="{D305B791-963C-4933-94BF-D908E2212E76}"/>
    <hyperlink ref="H34" r:id="rId7" display="https://cebp.aacrjournals.org/content/cebp/23/7/1187.full.pdf" xr:uid="{8ACE3B95-AF27-4450-BC96-0B2C7BCB4018}"/>
    <hyperlink ref="H14" r:id="rId8" display="http://hydrologie.org/redbooks/a260/iahs_260_0003.pdf" xr:uid="{BD981A57-A229-4312-8BCF-41B17DA0F1D5}"/>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ACCCE-2619-4ECF-A6D8-59908EDCC9DC}">
  <dimension ref="A1:H18"/>
  <sheetViews>
    <sheetView topLeftCell="B1" workbookViewId="0">
      <selection activeCell="D2" sqref="D2"/>
    </sheetView>
  </sheetViews>
  <sheetFormatPr defaultRowHeight="15" x14ac:dyDescent="0.25"/>
  <sheetData>
    <row r="1" spans="1:8" x14ac:dyDescent="0.25">
      <c r="A1" t="s">
        <v>88</v>
      </c>
      <c r="B1">
        <v>10.5</v>
      </c>
      <c r="C1">
        <f>B1/SUM($B$1:$B$7)</f>
        <v>0.31655110039192041</v>
      </c>
      <c r="E1" t="s">
        <v>95</v>
      </c>
      <c r="F1" t="s">
        <v>96</v>
      </c>
      <c r="G1" t="s">
        <v>97</v>
      </c>
      <c r="H1" t="s">
        <v>98</v>
      </c>
    </row>
    <row r="2" spans="1:8" x14ac:dyDescent="0.25">
      <c r="A2" t="s">
        <v>89</v>
      </c>
      <c r="B2">
        <v>7</v>
      </c>
      <c r="C2">
        <f t="shared" ref="C2:C7" si="0">B2/SUM($B$1:$B$7)</f>
        <v>0.21103406692794693</v>
      </c>
      <c r="E2">
        <v>1130</v>
      </c>
      <c r="F2">
        <f>24/1.96</f>
        <v>12.244897959183673</v>
      </c>
      <c r="G2">
        <f>E2/F2^2</f>
        <v>7.5364722222222236</v>
      </c>
      <c r="H2">
        <f>1/F2^2</f>
        <v>6.6694444444444457E-3</v>
      </c>
    </row>
    <row r="3" spans="1:8" x14ac:dyDescent="0.25">
      <c r="A3" t="s">
        <v>90</v>
      </c>
      <c r="B3">
        <v>1.8</v>
      </c>
      <c r="C3">
        <f t="shared" si="0"/>
        <v>5.4265902924329215E-2</v>
      </c>
      <c r="E3">
        <v>256</v>
      </c>
      <c r="F3">
        <f>90/1.96</f>
        <v>45.91836734693878</v>
      </c>
      <c r="G3">
        <f t="shared" ref="G3:G8" si="1">E3/F3^2</f>
        <v>0.12141353086419751</v>
      </c>
      <c r="H3">
        <f t="shared" ref="H3:H8" si="2">1/F3^2</f>
        <v>4.7427160493827153E-4</v>
      </c>
    </row>
    <row r="4" spans="1:8" x14ac:dyDescent="0.25">
      <c r="A4" t="s">
        <v>91</v>
      </c>
      <c r="B4">
        <v>7.6</v>
      </c>
      <c r="C4">
        <f t="shared" si="0"/>
        <v>0.22912270123605666</v>
      </c>
      <c r="E4">
        <v>2460</v>
      </c>
      <c r="F4">
        <f>138/1.96</f>
        <v>70.408163265306129</v>
      </c>
      <c r="G4">
        <f t="shared" si="1"/>
        <v>0.49623692501575289</v>
      </c>
      <c r="H4">
        <f t="shared" si="2"/>
        <v>2.0172232724217597E-4</v>
      </c>
    </row>
    <row r="5" spans="1:8" x14ac:dyDescent="0.25">
      <c r="A5" t="s">
        <v>92</v>
      </c>
      <c r="B5">
        <v>2.1</v>
      </c>
      <c r="C5">
        <f t="shared" si="0"/>
        <v>6.3310220078384077E-2</v>
      </c>
      <c r="E5">
        <v>878</v>
      </c>
      <c r="F5">
        <f>163/1.96</f>
        <v>83.163265306122454</v>
      </c>
      <c r="G5">
        <f t="shared" si="1"/>
        <v>0.12694963303097592</v>
      </c>
      <c r="H5">
        <f t="shared" si="2"/>
        <v>1.4458955926079263E-4</v>
      </c>
    </row>
    <row r="6" spans="1:8" x14ac:dyDescent="0.25">
      <c r="A6" t="s">
        <v>93</v>
      </c>
      <c r="B6">
        <v>1.3</v>
      </c>
      <c r="C6">
        <f t="shared" si="0"/>
        <v>3.9192041000904433E-2</v>
      </c>
      <c r="E6">
        <v>1510</v>
      </c>
      <c r="F6">
        <f>65/1.96</f>
        <v>33.163265306122447</v>
      </c>
      <c r="G6">
        <f t="shared" si="1"/>
        <v>1.3729742011834321</v>
      </c>
      <c r="H6">
        <f t="shared" si="2"/>
        <v>9.0925443786982251E-4</v>
      </c>
    </row>
    <row r="7" spans="1:8" x14ac:dyDescent="0.25">
      <c r="A7" t="s">
        <v>94</v>
      </c>
      <c r="B7">
        <v>2.87</v>
      </c>
      <c r="C7">
        <f t="shared" si="0"/>
        <v>8.6523967440458247E-2</v>
      </c>
      <c r="E7">
        <v>1170</v>
      </c>
      <c r="F7">
        <f>74/1.96</f>
        <v>37.755102040816325</v>
      </c>
      <c r="G7">
        <f t="shared" si="1"/>
        <v>0.82079474068663272</v>
      </c>
      <c r="H7">
        <f t="shared" si="2"/>
        <v>7.0153396639883135E-4</v>
      </c>
    </row>
    <row r="8" spans="1:8" x14ac:dyDescent="0.25">
      <c r="E8">
        <v>1060</v>
      </c>
      <c r="F8">
        <f>39/1.96</f>
        <v>19.897959183673471</v>
      </c>
      <c r="G8">
        <f t="shared" si="1"/>
        <v>2.6772491781722545</v>
      </c>
      <c r="H8">
        <f t="shared" si="2"/>
        <v>2.5257067718606175E-3</v>
      </c>
    </row>
    <row r="10" spans="1:8" x14ac:dyDescent="0.25">
      <c r="E10">
        <f>SUM(G2:G8)/SUM(H2:H8)</f>
        <v>1131.2144055847596</v>
      </c>
      <c r="F10">
        <f>SQRT(1/SUM(H2:H8))</f>
        <v>9.2741703823997916</v>
      </c>
      <c r="G10">
        <f>SQRT(AVERAGE(E11:E18))</f>
        <v>709.3562921304989</v>
      </c>
    </row>
    <row r="11" spans="1:8" x14ac:dyDescent="0.25">
      <c r="E11">
        <f>(E2-$E$10)^2</f>
        <v>1.4747809242952112</v>
      </c>
    </row>
    <row r="12" spans="1:8" x14ac:dyDescent="0.25">
      <c r="E12">
        <f t="shared" ref="E12:E18" si="3">(E3-$E$10)^2</f>
        <v>766000.25574308401</v>
      </c>
    </row>
    <row r="13" spans="1:8" x14ac:dyDescent="0.25">
      <c r="E13">
        <f t="shared" si="3"/>
        <v>1765671.1559254639</v>
      </c>
    </row>
    <row r="14" spans="1:8" x14ac:dyDescent="0.25">
      <c r="E14">
        <f t="shared" si="3"/>
        <v>64117.535195643111</v>
      </c>
    </row>
    <row r="15" spans="1:8" x14ac:dyDescent="0.25">
      <c r="E15">
        <f t="shared" si="3"/>
        <v>143478.52653650704</v>
      </c>
    </row>
    <row r="16" spans="1:8" x14ac:dyDescent="0.25">
      <c r="E16">
        <f t="shared" si="3"/>
        <v>1504.3223341435303</v>
      </c>
    </row>
    <row r="17" spans="5:5" x14ac:dyDescent="0.25">
      <c r="E17">
        <f t="shared" si="3"/>
        <v>5071.4915627906339</v>
      </c>
    </row>
    <row r="18" spans="5:5" x14ac:dyDescent="0.25">
      <c r="E18">
        <f t="shared" si="3"/>
        <v>1279646.0314024808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DA850-1406-4628-852B-CD3D185D8BE1}">
  <dimension ref="A1:L6"/>
  <sheetViews>
    <sheetView topLeftCell="E1" workbookViewId="0">
      <selection activeCell="E2" sqref="E2"/>
    </sheetView>
  </sheetViews>
  <sheetFormatPr defaultRowHeight="15" x14ac:dyDescent="0.25"/>
  <cols>
    <col min="2" max="2" width="21.7109375" customWidth="1"/>
    <col min="3" max="3" width="22" customWidth="1"/>
    <col min="4" max="4" width="81.5703125" customWidth="1"/>
    <col min="5" max="5" width="17.7109375" customWidth="1"/>
  </cols>
  <sheetData>
    <row r="1" spans="1:12" x14ac:dyDescent="0.25">
      <c r="A1" t="s">
        <v>21</v>
      </c>
      <c r="B1" t="s">
        <v>12</v>
      </c>
      <c r="C1" t="s">
        <v>11</v>
      </c>
      <c r="D1" t="s">
        <v>13</v>
      </c>
      <c r="E1" t="s">
        <v>14</v>
      </c>
      <c r="L1" t="s">
        <v>57</v>
      </c>
    </row>
    <row r="2" spans="1:12" x14ac:dyDescent="0.25">
      <c r="A2">
        <v>1</v>
      </c>
      <c r="B2" t="s">
        <v>15</v>
      </c>
      <c r="C2">
        <v>2005</v>
      </c>
      <c r="D2" t="s">
        <v>16</v>
      </c>
      <c r="E2" s="1" t="s">
        <v>10</v>
      </c>
    </row>
    <row r="3" spans="1:12" x14ac:dyDescent="0.25">
      <c r="A3">
        <v>2</v>
      </c>
      <c r="B3" t="s">
        <v>22</v>
      </c>
      <c r="C3">
        <v>1998</v>
      </c>
      <c r="D3" t="s">
        <v>23</v>
      </c>
      <c r="E3" s="1" t="s">
        <v>20</v>
      </c>
    </row>
    <row r="4" spans="1:12" x14ac:dyDescent="0.25">
      <c r="A4">
        <v>3</v>
      </c>
      <c r="B4" t="s">
        <v>48</v>
      </c>
      <c r="C4">
        <v>2015</v>
      </c>
      <c r="D4" t="s">
        <v>49</v>
      </c>
      <c r="E4" s="1" t="s">
        <v>47</v>
      </c>
      <c r="L4" s="3" t="s">
        <v>58</v>
      </c>
    </row>
    <row r="5" spans="1:12" x14ac:dyDescent="0.25">
      <c r="A5">
        <v>4</v>
      </c>
      <c r="B5" t="s">
        <v>15</v>
      </c>
      <c r="C5">
        <v>2017</v>
      </c>
      <c r="D5" t="s">
        <v>60</v>
      </c>
      <c r="E5" s="1" t="s">
        <v>61</v>
      </c>
    </row>
    <row r="6" spans="1:12" x14ac:dyDescent="0.25">
      <c r="A6">
        <v>5</v>
      </c>
      <c r="B6" t="s">
        <v>64</v>
      </c>
      <c r="C6">
        <v>2014</v>
      </c>
      <c r="D6" t="s">
        <v>65</v>
      </c>
      <c r="E6" s="1" t="s">
        <v>66</v>
      </c>
      <c r="L6" t="s">
        <v>86</v>
      </c>
    </row>
  </sheetData>
  <hyperlinks>
    <hyperlink ref="E2" r:id="rId1" xr:uid="{66634EFF-3309-45AB-8372-46EAC6547480}"/>
    <hyperlink ref="E3" r:id="rId2" xr:uid="{C6BE2B3D-6080-4DC4-821E-F2F62EA6925F}"/>
    <hyperlink ref="E4" r:id="rId3" xr:uid="{F3D5EC0A-ADB8-4CCC-8ECC-09E5C0A0D3E1}"/>
    <hyperlink ref="E5" r:id="rId4" location="fig5" display="https://www.sciencedirect.com/science/article/pii/S0278691517301217 - fig5" xr:uid="{27188850-616F-4325-8D6C-4C03AD8EF741}"/>
    <hyperlink ref="E6" r:id="rId5" xr:uid="{4A71D25D-712E-496E-B764-6D626C80C4AB}"/>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Concentration Parameters</vt:lpstr>
      <vt:lpstr>Sheet1</vt:lpstr>
      <vt:lpstr>All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Collender</dc:creator>
  <cp:lastModifiedBy>Phil Collender</cp:lastModifiedBy>
  <dcterms:created xsi:type="dcterms:W3CDTF">2020-06-25T04:47:19Z</dcterms:created>
  <dcterms:modified xsi:type="dcterms:W3CDTF">2020-08-06T23:25:35Z</dcterms:modified>
</cp:coreProperties>
</file>