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jects\Starbucks\MANAGEMENT\project documents\management documents\"/>
    </mc:Choice>
  </mc:AlternateContent>
  <bookViews>
    <workbookView xWindow="0" yWindow="0" windowWidth="14355" windowHeight="4635" tabRatio="753" firstSheet="6" activeTab="6"/>
  </bookViews>
  <sheets>
    <sheet name="Introduction" sheetId="14" r:id="rId1"/>
    <sheet name="Master eLearning Project Pl (2" sheetId="19" r:id="rId2"/>
    <sheet name="Project Plan" sheetId="12" r:id="rId3"/>
    <sheet name="Calendar" sheetId="16" state="hidden" r:id="rId4"/>
    <sheet name="SME Team Members" sheetId="2" r:id="rId5"/>
    <sheet name="Decision Log" sheetId="4" r:id="rId6"/>
    <sheet name="Question Log" sheetId="6" r:id="rId7"/>
    <sheet name="Risk Log" sheetId="5" r:id="rId8"/>
    <sheet name="Storyboard Schedule" sheetId="7" r:id="rId9"/>
    <sheet name="(Module name) Schedule" sheetId="8" r:id="rId10"/>
    <sheet name="SAMPLE- module specific" sheetId="9" r:id="rId11"/>
    <sheet name="Edit List" sheetId="11" r:id="rId12"/>
    <sheet name="Links" sheetId="3" r:id="rId13"/>
  </sheets>
  <definedNames>
    <definedName name="aa">'Storyboard Schedule'!$K$4</definedName>
    <definedName name="AprSun1" localSheetId="1">DATEVALUE("4/1/"&amp;Calendar!$A$1)-WEEKDAY(DATEVALUE("4/1/"&amp;Calendar!$A$1))+1</definedName>
    <definedName name="AprSun1">DATEVALUE("4/1/"&amp;Calendar!$A$1)-WEEKDAY(DATEVALUE("4/1/"&amp;Calendar!$A$1))+1</definedName>
    <definedName name="AugSun1" localSheetId="1">DATEVALUE("8/1/"&amp;Calendar!$A$1)-WEEKDAY(DATEVALUE("8/1/"&amp;Calendar!$A$1))+1</definedName>
    <definedName name="AugSun1">DATEVALUE("8/1/"&amp;Calendar!$A$1)-WEEKDAY(DATEVALUE("8/1/"&amp;Calendar!$A$1))+1</definedName>
    <definedName name="DecSun1" localSheetId="1">DATEVALUE("12/1/"&amp;Calendar!$A$1)-WEEKDAY(DATEVALUE("12/1/"&amp;Calendar!$A$1))+1</definedName>
    <definedName name="DecSun1">DATEVALUE("12/1/"&amp;Calendar!$A$1)-WEEKDAY(DATEVALUE("12/1/"&amp;Calendar!$A$1))+1</definedName>
    <definedName name="FebSun1" localSheetId="1">DATEVALUE("2/1/"&amp;Calendar!$A$1)-WEEKDAY(DATEVALUE("2/1/"&amp;Calendar!$A$1))+1</definedName>
    <definedName name="FebSun1">DATEVALUE("2/1/"&amp;Calendar!$A$1)-WEEKDAY(DATEVALUE("2/1/"&amp;Calendar!$A$1))+1</definedName>
    <definedName name="JanSun1" localSheetId="1">DATEVALUE("1/1/"&amp;Calendar!$A$1)-WEEKDAY(DATEVALUE("1/1/"&amp;Calendar!$A$1))+1</definedName>
    <definedName name="JanSun1">DATEVALUE("1/1/"&amp;Calendar!$A$1)-WEEKDAY(DATEVALUE("1/1/"&amp;Calendar!$A$1))+1</definedName>
    <definedName name="JulSun1" localSheetId="1">DATEVALUE("7/1/"&amp;Calendar!$A$1)-WEEKDAY(DATEVALUE("7/1/"&amp;Calendar!$A$1))+1</definedName>
    <definedName name="JulSun1">DATEVALUE("7/1/"&amp;Calendar!$A$1)-WEEKDAY(DATEVALUE("7/1/"&amp;Calendar!$A$1))+1</definedName>
    <definedName name="JunSun1" localSheetId="1">DATEVALUE("6/1/"&amp;Calendar!$A$1)-WEEKDAY(DATEVALUE("6/1/"&amp;Calendar!$A$1))+1</definedName>
    <definedName name="JunSun1">DATEVALUE("6/1/"&amp;Calendar!$A$1)-WEEKDAY(DATEVALUE("6/1/"&amp;Calendar!$A$1))+1</definedName>
    <definedName name="MarSun1" localSheetId="1">DATEVALUE("3/1/"&amp;Calendar!$A$1)-WEEKDAY(DATEVALUE("3/1/"&amp;Calendar!$A$1))+1</definedName>
    <definedName name="MarSun1">DATEVALUE("3/1/"&amp;Calendar!$A$1)-WEEKDAY(DATEVALUE("3/1/"&amp;Calendar!$A$1))+1</definedName>
    <definedName name="MaySun1" localSheetId="1">DATEVALUE("5/1/"&amp;Calendar!$A$1)-WEEKDAY(DATEVALUE("5/1/"&amp;Calendar!$A$1))+1</definedName>
    <definedName name="MaySun1">DATEVALUE("5/1/"&amp;Calendar!$A$1)-WEEKDAY(DATEVALUE("5/1/"&amp;Calendar!$A$1))+1</definedName>
    <definedName name="NovSun1" localSheetId="1">DATEVALUE("11/1/"&amp;Calendar!$A$1)-WEEKDAY(DATEVALUE("11/1/"&amp;Calendar!$A$1))+1</definedName>
    <definedName name="NovSun1">DATEVALUE("11/1/"&amp;Calendar!$A$1)-WEEKDAY(DATEVALUE("11/1/"&amp;Calendar!$A$1))+1</definedName>
    <definedName name="OctSun1" localSheetId="1">DATEVALUE("10/1/"&amp;Calendar!$A$1)-WEEKDAY(DATEVALUE("10/1/"&amp;Calendar!$A$1))+1</definedName>
    <definedName name="OctSun1">DATEVALUE("10/1/"&amp;Calendar!$A$1)-WEEKDAY(DATEVALUE("10/1/"&amp;Calendar!$A$1))+1</definedName>
    <definedName name="_xlnm.Print_Area" localSheetId="3">Calendar!$C$1:$AG$28</definedName>
    <definedName name="_xlnm.Print_Titles" localSheetId="9">'(Module name) Schedule'!$1:$3</definedName>
    <definedName name="_xlnm.Print_Titles" localSheetId="5">'Decision Log'!$1:$3</definedName>
    <definedName name="_xlnm.Print_Titles" localSheetId="11">'Edit List'!$1:$3</definedName>
    <definedName name="_xlnm.Print_Titles" localSheetId="1">'Master eLearning Project Pl (2'!$1:$3</definedName>
    <definedName name="_xlnm.Print_Titles" localSheetId="2">'Project Plan'!$1:$3</definedName>
    <definedName name="_xlnm.Print_Titles" localSheetId="6">'Question Log'!$1:$3</definedName>
    <definedName name="_xlnm.Print_Titles" localSheetId="7">'Risk Log'!$1:$3</definedName>
    <definedName name="_xlnm.Print_Titles" localSheetId="10">'SAMPLE- module specific'!$1:$3</definedName>
    <definedName name="_xlnm.Print_Titles" localSheetId="4">'SME Team Members'!$1:$3</definedName>
    <definedName name="_xlnm.Print_Titles" localSheetId="8">'Storyboard Schedule'!$1:$3</definedName>
    <definedName name="SepSun1" localSheetId="1">DATEVALUE("9/1/"&amp;Calendar!$A$1)-WEEKDAY(DATEVALUE("9/1/"&amp;Calendar!$A$1))+1</definedName>
    <definedName name="SepSun1">DATEVALUE("9/1/"&amp;Calendar!$A$1)-WEEKDAY(DATEVALUE("9/1/"&amp;Calendar!$A$1))+1</definedName>
    <definedName name="StatusDropDown">'Storyboard Schedule'!$AA$4:$AA$8</definedName>
  </definedNames>
  <calcPr calcId="152511"/>
  <customWorkbookViews>
    <customWorkbookView name="IntroPageView" guid="{79CFC90F-9797-4F95-B835-584B9BD0A801}" includePrintSettings="0" includeHiddenRowCol="0" maximized="1" windowWidth="1276" windowHeight="603" tabRatio="753" activeSheetId="14" showFormulaBar="0"/>
  </customWorkbookViews>
</workbook>
</file>

<file path=xl/calcChain.xml><?xml version="1.0" encoding="utf-8"?>
<calcChain xmlns="http://schemas.openxmlformats.org/spreadsheetml/2006/main">
  <c r="B4" i="5" l="1"/>
  <c r="AG27" i="16" l="1"/>
  <c r="AF27" i="16"/>
  <c r="AE27" i="16"/>
  <c r="AD27" i="16"/>
  <c r="AC27" i="16"/>
  <c r="AB27" i="16"/>
  <c r="AA27" i="16"/>
  <c r="Y27" i="16"/>
  <c r="X27" i="16"/>
  <c r="W27" i="16"/>
  <c r="V27" i="16"/>
  <c r="U27" i="16"/>
  <c r="T27" i="16"/>
  <c r="S27" i="16"/>
  <c r="Q27" i="16"/>
  <c r="P27" i="16"/>
  <c r="O27" i="16"/>
  <c r="N27" i="16"/>
  <c r="M27" i="16"/>
  <c r="L27" i="16"/>
  <c r="K27" i="16"/>
  <c r="I27" i="16"/>
  <c r="H27" i="16"/>
  <c r="G27" i="16"/>
  <c r="F27" i="16"/>
  <c r="E27" i="16"/>
  <c r="D27" i="16"/>
  <c r="C27" i="16"/>
  <c r="AG26" i="16"/>
  <c r="AF26" i="16"/>
  <c r="AE26" i="16"/>
  <c r="AD26" i="16"/>
  <c r="AC26" i="16"/>
  <c r="AB26" i="16"/>
  <c r="AA26" i="16"/>
  <c r="Y26" i="16"/>
  <c r="X26" i="16"/>
  <c r="W26" i="16"/>
  <c r="V26" i="16"/>
  <c r="U26" i="16"/>
  <c r="T26" i="16"/>
  <c r="S26" i="16"/>
  <c r="Q26" i="16"/>
  <c r="P26" i="16"/>
  <c r="O26" i="16"/>
  <c r="N26" i="16"/>
  <c r="M26" i="16"/>
  <c r="L26" i="16"/>
  <c r="K26" i="16"/>
  <c r="I26" i="16"/>
  <c r="H26" i="16"/>
  <c r="G26" i="16"/>
  <c r="F26" i="16"/>
  <c r="E26" i="16"/>
  <c r="D26" i="16"/>
  <c r="C26" i="16"/>
  <c r="AG25" i="16"/>
  <c r="AF25" i="16"/>
  <c r="AE25" i="16"/>
  <c r="AD25" i="16"/>
  <c r="AC25" i="16"/>
  <c r="AB25" i="16"/>
  <c r="AA25" i="16"/>
  <c r="Y25" i="16"/>
  <c r="X25" i="16"/>
  <c r="W25" i="16"/>
  <c r="V25" i="16"/>
  <c r="U25" i="16"/>
  <c r="T25" i="16"/>
  <c r="S25" i="16"/>
  <c r="Q25" i="16"/>
  <c r="P25" i="16"/>
  <c r="O25" i="16"/>
  <c r="N25" i="16"/>
  <c r="M25" i="16"/>
  <c r="L25" i="16"/>
  <c r="K25" i="16"/>
  <c r="I25" i="16"/>
  <c r="H25" i="16"/>
  <c r="G25" i="16"/>
  <c r="F25" i="16"/>
  <c r="E25" i="16"/>
  <c r="D25" i="16"/>
  <c r="C25" i="16"/>
  <c r="AG24" i="16"/>
  <c r="AF24" i="16"/>
  <c r="AE24" i="16"/>
  <c r="AD24" i="16"/>
  <c r="AC24" i="16"/>
  <c r="AB24" i="16"/>
  <c r="AA24" i="16"/>
  <c r="Y24" i="16"/>
  <c r="X24" i="16"/>
  <c r="W24" i="16"/>
  <c r="V24" i="16"/>
  <c r="U24" i="16"/>
  <c r="T24" i="16"/>
  <c r="S24" i="16"/>
  <c r="Q24" i="16"/>
  <c r="P24" i="16"/>
  <c r="O24" i="16"/>
  <c r="N24" i="16"/>
  <c r="M24" i="16"/>
  <c r="L24" i="16"/>
  <c r="K24" i="16"/>
  <c r="I24" i="16"/>
  <c r="H24" i="16"/>
  <c r="G24" i="16"/>
  <c r="F24" i="16"/>
  <c r="E24" i="16"/>
  <c r="D24" i="16"/>
  <c r="C24" i="16"/>
  <c r="AG23" i="16"/>
  <c r="AF23" i="16"/>
  <c r="AE23" i="16"/>
  <c r="AD23" i="16"/>
  <c r="AC23" i="16"/>
  <c r="AB23" i="16"/>
  <c r="AA23" i="16"/>
  <c r="Y23" i="16"/>
  <c r="X23" i="16"/>
  <c r="W23" i="16"/>
  <c r="V23" i="16"/>
  <c r="U23" i="16"/>
  <c r="T23" i="16"/>
  <c r="S23" i="16"/>
  <c r="Q23" i="16"/>
  <c r="P23" i="16"/>
  <c r="O23" i="16"/>
  <c r="N23" i="16"/>
  <c r="M23" i="16"/>
  <c r="L23" i="16"/>
  <c r="K23" i="16"/>
  <c r="I23" i="16"/>
  <c r="H23" i="16"/>
  <c r="G23" i="16"/>
  <c r="F23" i="16"/>
  <c r="E23" i="16"/>
  <c r="D23" i="16"/>
  <c r="C23" i="16"/>
  <c r="AG22" i="16"/>
  <c r="AF22" i="16"/>
  <c r="AE22" i="16"/>
  <c r="AD22" i="16"/>
  <c r="AC22" i="16"/>
  <c r="AB22" i="16"/>
  <c r="AA22" i="16"/>
  <c r="Y22" i="16"/>
  <c r="X22" i="16"/>
  <c r="W22" i="16"/>
  <c r="V22" i="16"/>
  <c r="U22" i="16"/>
  <c r="T22" i="16"/>
  <c r="S22" i="16"/>
  <c r="Q22" i="16"/>
  <c r="P22" i="16"/>
  <c r="O22" i="16"/>
  <c r="N22" i="16"/>
  <c r="M22" i="16"/>
  <c r="L22" i="16"/>
  <c r="K22" i="16"/>
  <c r="I22" i="16"/>
  <c r="H22" i="16"/>
  <c r="G22" i="16"/>
  <c r="F22" i="16"/>
  <c r="E22" i="16"/>
  <c r="D22" i="16"/>
  <c r="C22" i="16"/>
  <c r="AG18" i="16"/>
  <c r="AF18" i="16"/>
  <c r="AE18" i="16"/>
  <c r="AD18" i="16"/>
  <c r="AC18" i="16"/>
  <c r="AB18" i="16"/>
  <c r="AA18" i="16"/>
  <c r="Y18" i="16"/>
  <c r="X18" i="16"/>
  <c r="W18" i="16"/>
  <c r="V18" i="16"/>
  <c r="U18" i="16"/>
  <c r="T18" i="16"/>
  <c r="S18" i="16"/>
  <c r="Q18" i="16"/>
  <c r="P18" i="16"/>
  <c r="O18" i="16"/>
  <c r="N18" i="16"/>
  <c r="M18" i="16"/>
  <c r="L18" i="16"/>
  <c r="K18" i="16"/>
  <c r="I18" i="16"/>
  <c r="H18" i="16"/>
  <c r="G18" i="16"/>
  <c r="F18" i="16"/>
  <c r="E18" i="16"/>
  <c r="D18" i="16"/>
  <c r="C18" i="16"/>
  <c r="AG17" i="16"/>
  <c r="AF17" i="16"/>
  <c r="AE17" i="16"/>
  <c r="AD17" i="16"/>
  <c r="AC17" i="16"/>
  <c r="AB17" i="16"/>
  <c r="AA17" i="16"/>
  <c r="Y17" i="16"/>
  <c r="X17" i="16"/>
  <c r="W17" i="16"/>
  <c r="V17" i="16"/>
  <c r="U17" i="16"/>
  <c r="T17" i="16"/>
  <c r="S17" i="16"/>
  <c r="Q17" i="16"/>
  <c r="P17" i="16"/>
  <c r="O17" i="16"/>
  <c r="N17" i="16"/>
  <c r="M17" i="16"/>
  <c r="L17" i="16"/>
  <c r="K17" i="16"/>
  <c r="I17" i="16"/>
  <c r="H17" i="16"/>
  <c r="G17" i="16"/>
  <c r="F17" i="16"/>
  <c r="E17" i="16"/>
  <c r="D17" i="16"/>
  <c r="C17" i="16"/>
  <c r="AG16" i="16"/>
  <c r="AF16" i="16"/>
  <c r="AE16" i="16"/>
  <c r="AD16" i="16"/>
  <c r="AC16" i="16"/>
  <c r="AB16" i="16"/>
  <c r="AA16" i="16"/>
  <c r="Y16" i="16"/>
  <c r="X16" i="16"/>
  <c r="W16" i="16"/>
  <c r="V16" i="16"/>
  <c r="U16" i="16"/>
  <c r="T16" i="16"/>
  <c r="S16" i="16"/>
  <c r="Q16" i="16"/>
  <c r="P16" i="16"/>
  <c r="O16" i="16"/>
  <c r="N16" i="16"/>
  <c r="M16" i="16"/>
  <c r="L16" i="16"/>
  <c r="K16" i="16"/>
  <c r="I16" i="16"/>
  <c r="H16" i="16"/>
  <c r="G16" i="16"/>
  <c r="F16" i="16"/>
  <c r="E16" i="16"/>
  <c r="D16" i="16"/>
  <c r="C16" i="16"/>
  <c r="AG15" i="16"/>
  <c r="AF15" i="16"/>
  <c r="AE15" i="16"/>
  <c r="AD15" i="16"/>
  <c r="AC15" i="16"/>
  <c r="AB15" i="16"/>
  <c r="AA15" i="16"/>
  <c r="Y15" i="16"/>
  <c r="X15" i="16"/>
  <c r="W15" i="16"/>
  <c r="V15" i="16"/>
  <c r="U15" i="16"/>
  <c r="T15" i="16"/>
  <c r="S15" i="16"/>
  <c r="Q15" i="16"/>
  <c r="P15" i="16"/>
  <c r="O15" i="16"/>
  <c r="N15" i="16"/>
  <c r="M15" i="16"/>
  <c r="L15" i="16"/>
  <c r="K15" i="16"/>
  <c r="I15" i="16"/>
  <c r="H15" i="16"/>
  <c r="G15" i="16"/>
  <c r="F15" i="16"/>
  <c r="E15" i="16"/>
  <c r="D15" i="16"/>
  <c r="C15" i="16"/>
  <c r="AG14" i="16"/>
  <c r="AF14" i="16"/>
  <c r="AE14" i="16"/>
  <c r="AD14" i="16"/>
  <c r="AC14" i="16"/>
  <c r="AB14" i="16"/>
  <c r="AA14" i="16"/>
  <c r="Y14" i="16"/>
  <c r="X14" i="16"/>
  <c r="W14" i="16"/>
  <c r="V14" i="16"/>
  <c r="U14" i="16"/>
  <c r="T14" i="16"/>
  <c r="S14" i="16"/>
  <c r="Q14" i="16"/>
  <c r="P14" i="16"/>
  <c r="O14" i="16"/>
  <c r="N14" i="16"/>
  <c r="M14" i="16"/>
  <c r="L14" i="16"/>
  <c r="K14" i="16"/>
  <c r="I14" i="16"/>
  <c r="H14" i="16"/>
  <c r="G14" i="16"/>
  <c r="F14" i="16"/>
  <c r="E14" i="16"/>
  <c r="D14" i="16"/>
  <c r="C14" i="16"/>
  <c r="AG13" i="16"/>
  <c r="AF13" i="16"/>
  <c r="AE13" i="16"/>
  <c r="AD13" i="16"/>
  <c r="AC13" i="16"/>
  <c r="AB13" i="16"/>
  <c r="AA13" i="16"/>
  <c r="Y13" i="16"/>
  <c r="X13" i="16"/>
  <c r="W13" i="16"/>
  <c r="V13" i="16"/>
  <c r="U13" i="16"/>
  <c r="T13" i="16"/>
  <c r="S13" i="16"/>
  <c r="Q13" i="16"/>
  <c r="P13" i="16"/>
  <c r="O13" i="16"/>
  <c r="N13" i="16"/>
  <c r="M13" i="16"/>
  <c r="L13" i="16"/>
  <c r="K13" i="16"/>
  <c r="I13" i="16"/>
  <c r="H13" i="16"/>
  <c r="G13" i="16"/>
  <c r="F13" i="16"/>
  <c r="E13" i="16"/>
  <c r="D13" i="16"/>
  <c r="C13" i="16"/>
  <c r="AG9" i="16"/>
  <c r="AF9" i="16"/>
  <c r="AE9" i="16"/>
  <c r="AD9" i="16"/>
  <c r="AC9" i="16"/>
  <c r="AB9" i="16"/>
  <c r="AA9" i="16"/>
  <c r="Y9" i="16"/>
  <c r="X9" i="16"/>
  <c r="W9" i="16"/>
  <c r="V9" i="16"/>
  <c r="U9" i="16"/>
  <c r="T9" i="16"/>
  <c r="S9" i="16"/>
  <c r="Q9" i="16"/>
  <c r="P9" i="16"/>
  <c r="O9" i="16"/>
  <c r="N9" i="16"/>
  <c r="M9" i="16"/>
  <c r="L9" i="16"/>
  <c r="K9" i="16"/>
  <c r="I9" i="16"/>
  <c r="H9" i="16"/>
  <c r="G9" i="16"/>
  <c r="F9" i="16"/>
  <c r="E9" i="16"/>
  <c r="D9" i="16"/>
  <c r="C9" i="16"/>
  <c r="AG8" i="16"/>
  <c r="AF8" i="16"/>
  <c r="AE8" i="16"/>
  <c r="AD8" i="16"/>
  <c r="AC8" i="16"/>
  <c r="AB8" i="16"/>
  <c r="AA8" i="16"/>
  <c r="Y8" i="16"/>
  <c r="X8" i="16"/>
  <c r="W8" i="16"/>
  <c r="V8" i="16"/>
  <c r="U8" i="16"/>
  <c r="T8" i="16"/>
  <c r="S8" i="16"/>
  <c r="Q8" i="16"/>
  <c r="P8" i="16"/>
  <c r="O8" i="16"/>
  <c r="N8" i="16"/>
  <c r="M8" i="16"/>
  <c r="L8" i="16"/>
  <c r="K8" i="16"/>
  <c r="I8" i="16"/>
  <c r="H8" i="16"/>
  <c r="G8" i="16"/>
  <c r="F8" i="16"/>
  <c r="E8" i="16"/>
  <c r="D8" i="16"/>
  <c r="C8" i="16"/>
  <c r="AG7" i="16"/>
  <c r="AF7" i="16"/>
  <c r="AE7" i="16"/>
  <c r="AD7" i="16"/>
  <c r="AC7" i="16"/>
  <c r="AB7" i="16"/>
  <c r="AA7" i="16"/>
  <c r="Y7" i="16"/>
  <c r="X7" i="16"/>
  <c r="W7" i="16"/>
  <c r="V7" i="16"/>
  <c r="U7" i="16"/>
  <c r="T7" i="16"/>
  <c r="S7" i="16"/>
  <c r="Q7" i="16"/>
  <c r="P7" i="16"/>
  <c r="O7" i="16"/>
  <c r="N7" i="16"/>
  <c r="M7" i="16"/>
  <c r="L7" i="16"/>
  <c r="K7" i="16"/>
  <c r="I7" i="16"/>
  <c r="H7" i="16"/>
  <c r="G7" i="16"/>
  <c r="F7" i="16"/>
  <c r="E7" i="16"/>
  <c r="D7" i="16"/>
  <c r="C7" i="16"/>
  <c r="AG6" i="16"/>
  <c r="AF6" i="16"/>
  <c r="AE6" i="16"/>
  <c r="AD6" i="16"/>
  <c r="AC6" i="16"/>
  <c r="AB6" i="16"/>
  <c r="AA6" i="16"/>
  <c r="Y6" i="16"/>
  <c r="X6" i="16"/>
  <c r="W6" i="16"/>
  <c r="V6" i="16"/>
  <c r="U6" i="16"/>
  <c r="T6" i="16"/>
  <c r="S6" i="16"/>
  <c r="Q6" i="16"/>
  <c r="P6" i="16"/>
  <c r="O6" i="16"/>
  <c r="N6" i="16"/>
  <c r="M6" i="16"/>
  <c r="L6" i="16"/>
  <c r="K6" i="16"/>
  <c r="I6" i="16"/>
  <c r="H6" i="16"/>
  <c r="G6" i="16"/>
  <c r="F6" i="16"/>
  <c r="E6" i="16"/>
  <c r="D6" i="16"/>
  <c r="C6" i="16"/>
  <c r="AG5" i="16"/>
  <c r="AF5" i="16"/>
  <c r="AE5" i="16"/>
  <c r="AD5" i="16"/>
  <c r="AC5" i="16"/>
  <c r="AB5" i="16"/>
  <c r="AA5" i="16"/>
  <c r="Y5" i="16"/>
  <c r="X5" i="16"/>
  <c r="W5" i="16"/>
  <c r="V5" i="16"/>
  <c r="U5" i="16"/>
  <c r="T5" i="16"/>
  <c r="S5" i="16"/>
  <c r="Q5" i="16"/>
  <c r="P5" i="16"/>
  <c r="O5" i="16"/>
  <c r="N5" i="16"/>
  <c r="M5" i="16"/>
  <c r="L5" i="16"/>
  <c r="K5" i="16"/>
  <c r="I5" i="16"/>
  <c r="H5" i="16"/>
  <c r="G5" i="16"/>
  <c r="F5" i="16"/>
  <c r="E5" i="16"/>
  <c r="D5" i="16"/>
  <c r="C5" i="16"/>
  <c r="AG4" i="16"/>
  <c r="AF4" i="16"/>
  <c r="AE4" i="16"/>
  <c r="AD4" i="16"/>
  <c r="AC4" i="16"/>
  <c r="AB4" i="16"/>
  <c r="AA4" i="16"/>
  <c r="Y4" i="16"/>
  <c r="X4" i="16"/>
  <c r="W4" i="16"/>
  <c r="V4" i="16"/>
  <c r="U4" i="16"/>
  <c r="T4" i="16"/>
  <c r="S4" i="16"/>
  <c r="Q4" i="16"/>
  <c r="P4" i="16"/>
  <c r="O4" i="16"/>
  <c r="N4" i="16"/>
  <c r="M4" i="16"/>
  <c r="L4" i="16"/>
  <c r="K4" i="16"/>
  <c r="I4" i="16"/>
  <c r="H4" i="16"/>
  <c r="G4" i="16"/>
  <c r="F4" i="16"/>
  <c r="E4" i="16"/>
  <c r="D4" i="16"/>
  <c r="C4" i="16"/>
  <c r="B5" i="5" l="1"/>
  <c r="B6" i="5"/>
  <c r="B7" i="5"/>
  <c r="B8" i="5"/>
  <c r="B9" i="5"/>
  <c r="B10" i="5"/>
  <c r="B11" i="5"/>
  <c r="B12" i="5"/>
  <c r="B13" i="5"/>
  <c r="B14" i="5"/>
  <c r="B15" i="5"/>
  <c r="B16" i="5"/>
  <c r="B17" i="5"/>
  <c r="B18" i="5"/>
  <c r="B19" i="5"/>
  <c r="B20" i="5"/>
  <c r="B21" i="5"/>
  <c r="B22" i="5"/>
  <c r="B23" i="5"/>
</calcChain>
</file>

<file path=xl/sharedStrings.xml><?xml version="1.0" encoding="utf-8"?>
<sst xmlns="http://schemas.openxmlformats.org/spreadsheetml/2006/main" count="345" uniqueCount="139">
  <si>
    <t>Task ID</t>
  </si>
  <si>
    <t>Task</t>
  </si>
  <si>
    <t>Owner(s)</t>
  </si>
  <si>
    <t>Target Start</t>
  </si>
  <si>
    <t>Target End</t>
  </si>
  <si>
    <t>Actual End</t>
  </si>
  <si>
    <t>Notes</t>
  </si>
  <si>
    <t>Y</t>
  </si>
  <si>
    <t>Description</t>
  </si>
  <si>
    <t>Decision Team</t>
  </si>
  <si>
    <r>
      <t xml:space="preserve">Decision Reached
</t>
    </r>
    <r>
      <rPr>
        <sz val="11"/>
        <color theme="1"/>
        <rFont val="Calibri"/>
        <family val="2"/>
        <scheme val="minor"/>
      </rPr>
      <t>(Date)</t>
    </r>
  </si>
  <si>
    <r>
      <t xml:space="preserve">Decision Deadline
</t>
    </r>
    <r>
      <rPr>
        <sz val="11"/>
        <color theme="1"/>
        <rFont val="Calibri"/>
        <family val="2"/>
        <scheme val="minor"/>
      </rPr>
      <t>(Date)</t>
    </r>
  </si>
  <si>
    <t>Risk</t>
  </si>
  <si>
    <t>Priority</t>
  </si>
  <si>
    <t>Assigned to</t>
  </si>
  <si>
    <t>Mitigation / Action Strategy</t>
  </si>
  <si>
    <t>Response Date</t>
  </si>
  <si>
    <t>Status</t>
  </si>
  <si>
    <t>Close Date</t>
  </si>
  <si>
    <t>High</t>
  </si>
  <si>
    <t>Alert</t>
  </si>
  <si>
    <t>Low</t>
  </si>
  <si>
    <t>Risk Log - Priority</t>
  </si>
  <si>
    <t>N</t>
  </si>
  <si>
    <t>Question</t>
  </si>
  <si>
    <t>Ask Date</t>
  </si>
  <si>
    <t>Tasked To</t>
  </si>
  <si>
    <t>Answer</t>
  </si>
  <si>
    <t>Answered By</t>
  </si>
  <si>
    <t>Answer Date</t>
  </si>
  <si>
    <t>Closed?</t>
  </si>
  <si>
    <r>
      <t xml:space="preserve">Complete?
</t>
    </r>
    <r>
      <rPr>
        <sz val="11"/>
        <color theme="1"/>
        <rFont val="Calibri"/>
        <family val="2"/>
        <scheme val="minor"/>
      </rPr>
      <t>X</t>
    </r>
  </si>
  <si>
    <t>Storyboard Module Name</t>
  </si>
  <si>
    <t>Owner</t>
  </si>
  <si>
    <t>Lead SME Delivery Date</t>
  </si>
  <si>
    <t>Lead SME 
Review Date</t>
  </si>
  <si>
    <t>Learning Track</t>
  </si>
  <si>
    <r>
      <t xml:space="preserve">Duration of eLearning </t>
    </r>
    <r>
      <rPr>
        <sz val="11"/>
        <color theme="1"/>
        <rFont val="Calibri"/>
        <family val="2"/>
        <scheme val="minor"/>
      </rPr>
      <t>(approximate)</t>
    </r>
  </si>
  <si>
    <t>Storyboard Schedule - Status</t>
  </si>
  <si>
    <t>Complete</t>
  </si>
  <si>
    <t>In Development</t>
  </si>
  <si>
    <t>Pending</t>
  </si>
  <si>
    <t xml:space="preserve">Content Development </t>
  </si>
  <si>
    <t>Delivery of Design Document (s)</t>
  </si>
  <si>
    <t>Approval of Design Document (s)</t>
  </si>
  <si>
    <t xml:space="preserve">Edit materials based on review feedback </t>
  </si>
  <si>
    <t>Final courses in LMS- Live</t>
  </si>
  <si>
    <r>
      <t xml:space="preserve">Content Due (from SMEs) </t>
    </r>
    <r>
      <rPr>
        <i/>
        <sz val="11"/>
        <color theme="1"/>
        <rFont val="Arial Narrow"/>
        <family val="2"/>
      </rPr>
      <t>(Anything  beyond How Tos)</t>
    </r>
  </si>
  <si>
    <t>Complete - Y/N</t>
  </si>
  <si>
    <t>Complete - X</t>
  </si>
  <si>
    <t>X</t>
  </si>
  <si>
    <t>Complete?</t>
  </si>
  <si>
    <t>Decision Reached?</t>
  </si>
  <si>
    <t>Module Name</t>
  </si>
  <si>
    <t>Submitted By</t>
  </si>
  <si>
    <t>Change Request</t>
  </si>
  <si>
    <t>Course Number (if applicable)</t>
  </si>
  <si>
    <t>Notes / Status</t>
  </si>
  <si>
    <t>Introduction</t>
  </si>
  <si>
    <t>ID</t>
  </si>
  <si>
    <t>Risk ID</t>
  </si>
  <si>
    <t>January</t>
  </si>
  <si>
    <t>April</t>
  </si>
  <si>
    <t>July</t>
  </si>
  <si>
    <t>October</t>
  </si>
  <si>
    <t>S</t>
  </si>
  <si>
    <t>M</t>
  </si>
  <si>
    <t>T</t>
  </si>
  <si>
    <t>W</t>
  </si>
  <si>
    <t>F</t>
  </si>
  <si>
    <t>February</t>
  </si>
  <si>
    <t>May</t>
  </si>
  <si>
    <t>August</t>
  </si>
  <si>
    <t>November</t>
  </si>
  <si>
    <t>March</t>
  </si>
  <si>
    <t>June</t>
  </si>
  <si>
    <t>September</t>
  </si>
  <si>
    <t>December</t>
  </si>
  <si>
    <t>Milestones and Dates</t>
  </si>
  <si>
    <t>Number of Days</t>
  </si>
  <si>
    <t>Lori</t>
  </si>
  <si>
    <t>Gold Master Delivery: Final Course</t>
  </si>
  <si>
    <t>OJT Materials</t>
  </si>
  <si>
    <t xml:space="preserve">Delivery of OJT Material (including script/images) </t>
  </si>
  <si>
    <t>Approval of OJT Materials (including script/images)</t>
  </si>
  <si>
    <t>Beta Feedback of Storyboards (including script/images)</t>
  </si>
  <si>
    <t>Audio Recording  (Audio content locked)</t>
  </si>
  <si>
    <t>Delivery of Published module</t>
  </si>
  <si>
    <t>Feedback of OJT Materials</t>
  </si>
  <si>
    <t>Alpha revisions /feedback of Storyboards (including script/images) Content Locked</t>
  </si>
  <si>
    <t>Delivery of Course Assessments</t>
  </si>
  <si>
    <t>Review Course Assessments</t>
  </si>
  <si>
    <t>Kickoff Meeting</t>
  </si>
  <si>
    <t xml:space="preserve">Initial Content Review </t>
  </si>
  <si>
    <t xml:space="preserve">Alpha Delivery of Storyboards (including script/rough images) </t>
  </si>
  <si>
    <t>Beta Delivery of Storyboards</t>
  </si>
  <si>
    <t>Content Review of OJT Materials</t>
  </si>
  <si>
    <t>SME</t>
  </si>
  <si>
    <t>Lori/SME</t>
  </si>
  <si>
    <t xml:space="preserve">Upload and publish to Web/ LMS </t>
  </si>
  <si>
    <t>Test courses/assessments on Web/LMS</t>
  </si>
  <si>
    <t>Post to Training Page/Web</t>
  </si>
  <si>
    <t>Lori/Ron</t>
  </si>
  <si>
    <t>Video Development in Camtasia</t>
  </si>
  <si>
    <t>Develop Scenes/Graphics for video production</t>
  </si>
  <si>
    <t>Post video on Wistia</t>
  </si>
  <si>
    <t>Review of video on Wistia</t>
  </si>
  <si>
    <t>Edit video based on review feedback</t>
  </si>
  <si>
    <t>Final Review</t>
  </si>
  <si>
    <t>Finalize video and post to TruVu Max Training</t>
  </si>
  <si>
    <t>Email communication to team on Live ADT module</t>
  </si>
  <si>
    <t>Update Video and links on Select</t>
  </si>
  <si>
    <t>Camtasia 101 training</t>
  </si>
  <si>
    <t>Final courses in Wistia and Select</t>
  </si>
  <si>
    <t>Automatic Drive Time Module</t>
  </si>
  <si>
    <t>Sample Content Development for eLearning Course (Random dates)</t>
  </si>
  <si>
    <t xml:space="preserve">Chris:  Here are some instructions / helpful tips for using this document.  This is a high level document that will encompass all projects.  Some of the tabs will be used and broken out seperately for SME's.  This document will be streamlined as we move forward and I have a better understanding of our project review phases and timelines.  Please scroll down for additional information.  </t>
  </si>
  <si>
    <r>
      <t xml:space="preserve">Project Sponsor
</t>
    </r>
    <r>
      <rPr>
        <sz val="11"/>
        <color theme="1"/>
        <rFont val="Calibri"/>
        <family val="2"/>
        <scheme val="minor"/>
      </rPr>
      <t>(Date)</t>
    </r>
  </si>
  <si>
    <t>SME Lead</t>
  </si>
  <si>
    <t>QA Lead</t>
  </si>
  <si>
    <t>Additional Resources
Y/N</t>
  </si>
  <si>
    <t>test</t>
  </si>
  <si>
    <t>Simulation</t>
  </si>
  <si>
    <t>Meeting with SME to learn</t>
  </si>
  <si>
    <t>Dean Biele</t>
  </si>
  <si>
    <t>Module 101</t>
  </si>
  <si>
    <t>Dean/SME</t>
  </si>
  <si>
    <t>Dean</t>
  </si>
  <si>
    <t>User-Names</t>
  </si>
  <si>
    <t>Biele</t>
  </si>
  <si>
    <t xml:space="preserve">Module 1                                                                                         </t>
  </si>
  <si>
    <t xml:space="preserve">Module 2 </t>
  </si>
  <si>
    <t>Module 3</t>
  </si>
  <si>
    <t>Module 4</t>
  </si>
  <si>
    <t>Module 5</t>
  </si>
  <si>
    <t>Module 6</t>
  </si>
  <si>
    <t>Approval of Materials (including script/images)</t>
  </si>
  <si>
    <t>Prod LMS Created?</t>
  </si>
  <si>
    <t>LMS Created?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</si>
</sst>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F800]dddd\,\ mmmm\ dd\,\ yyyy"/>
    <numFmt numFmtId="166" formatCode="d"/>
    <numFmt numFmtId="167" formatCode="dd"/>
    <numFmt numFmtId="168" formatCode="m/d/yy;@"/>
    <numFmt numFmtId="169" formatCode="mm/dd/yy;@"/>
  </numFmts>
  <fonts count="11" x14ac:knownFonts="1">
    <font>
      <sz val="11"/>
      <color theme="1"/>
      <name val="Calibri"/>
      <family val="2"/>
      <scheme val="minor"/>
    </font>
    <font>
      <b/>
      <sz val="11"/>
      <color theme="1"/>
      <name val="Calibri"/>
      <family val="2"/>
      <scheme val="minor"/>
    </font>
    <font>
      <b/>
      <sz val="11"/>
      <name val="Calibri"/>
      <family val="2"/>
      <scheme val="minor"/>
    </font>
    <font>
      <sz val="11"/>
      <color theme="1"/>
      <name val="Arial Narrow"/>
      <family val="2"/>
    </font>
    <font>
      <i/>
      <sz val="11"/>
      <color theme="1"/>
      <name val="Arial Narrow"/>
      <family val="2"/>
    </font>
    <font>
      <b/>
      <sz val="18"/>
      <color theme="1"/>
      <name val="Calibri"/>
      <family val="2"/>
      <scheme val="minor"/>
    </font>
    <font>
      <b/>
      <sz val="22"/>
      <color theme="1"/>
      <name val="Calibri"/>
      <family val="2"/>
      <scheme val="minor"/>
    </font>
    <font>
      <sz val="10"/>
      <name val="Arial"/>
      <family val="2"/>
    </font>
    <font>
      <b/>
      <sz val="20"/>
      <name val="Calibri"/>
      <family val="2"/>
      <scheme val="minor"/>
    </font>
    <font>
      <sz val="10"/>
      <name val="Calibri"/>
      <family val="2"/>
      <scheme val="minor"/>
    </font>
    <font>
      <b/>
      <sz val="10"/>
      <name val="Calibri"/>
      <family val="2"/>
      <scheme val="minor"/>
    </font>
  </fonts>
  <fills count="14">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FFFF00"/>
        <bgColor indexed="64"/>
      </patternFill>
    </fill>
    <fill>
      <patternFill patternType="solid">
        <fgColor theme="3" tint="0.59999389629810485"/>
        <bgColor indexed="64"/>
      </patternFill>
    </fill>
    <fill>
      <patternFill patternType="solid">
        <fgColor rgb="FFB9D1ED"/>
        <bgColor indexed="64"/>
      </patternFill>
    </fill>
    <fill>
      <patternFill patternType="solid">
        <fgColor rgb="FFD7E5F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CC"/>
        <bgColor indexed="64"/>
      </patternFill>
    </fill>
    <fill>
      <patternFill patternType="solid">
        <fgColor rgb="FFBCEEB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cellStyleXfs>
  <cellXfs count="137">
    <xf numFmtId="0" fontId="0" fillId="0" borderId="0" xfId="0"/>
    <xf numFmtId="164" fontId="0" fillId="0" borderId="0" xfId="0" applyNumberFormat="1"/>
    <xf numFmtId="0" fontId="0" fillId="0" borderId="0" xfId="0" applyAlignment="1">
      <alignment wrapText="1"/>
    </xf>
    <xf numFmtId="0" fontId="1" fillId="0" borderId="0" xfId="0" applyFont="1" applyAlignment="1">
      <alignment horizontal="center"/>
    </xf>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164" fontId="0" fillId="0" borderId="1" xfId="0" applyNumberFormat="1" applyBorder="1"/>
    <xf numFmtId="164" fontId="0" fillId="0" borderId="0" xfId="0" applyNumberFormat="1" applyBorder="1"/>
    <xf numFmtId="0" fontId="0" fillId="0" borderId="0" xfId="0" applyBorder="1" applyAlignment="1">
      <alignment wrapText="1"/>
    </xf>
    <xf numFmtId="0" fontId="0" fillId="0" borderId="0" xfId="0" applyBorder="1"/>
    <xf numFmtId="0" fontId="1" fillId="0" borderId="0" xfId="0" applyFont="1" applyBorder="1" applyAlignment="1">
      <alignment horizontal="center"/>
    </xf>
    <xf numFmtId="2" fontId="0" fillId="0" borderId="1" xfId="0" applyNumberFormat="1" applyBorder="1"/>
    <xf numFmtId="164" fontId="1" fillId="4" borderId="1" xfId="0" applyNumberFormat="1" applyFont="1" applyFill="1" applyBorder="1"/>
    <xf numFmtId="0" fontId="0" fillId="0" borderId="0" xfId="0" applyAlignment="1">
      <alignment horizontal="center"/>
    </xf>
    <xf numFmtId="164" fontId="1" fillId="3" borderId="8" xfId="0" applyNumberFormat="1" applyFont="1" applyFill="1" applyBorder="1"/>
    <xf numFmtId="0" fontId="1" fillId="3" borderId="0" xfId="0" applyFont="1" applyFill="1" applyBorder="1" applyAlignment="1">
      <alignment wrapText="1"/>
    </xf>
    <xf numFmtId="0" fontId="1" fillId="3" borderId="9" xfId="0" applyFont="1" applyFill="1" applyBorder="1" applyAlignment="1">
      <alignment horizontal="center" wrapText="1"/>
    </xf>
    <xf numFmtId="0" fontId="1" fillId="3" borderId="0" xfId="0" applyFont="1" applyFill="1" applyBorder="1" applyAlignment="1">
      <alignment horizontal="center" wrapText="1"/>
    </xf>
    <xf numFmtId="164" fontId="0" fillId="2" borderId="5" xfId="0" applyNumberFormat="1" applyFill="1" applyBorder="1" applyAlignment="1"/>
    <xf numFmtId="164" fontId="0" fillId="2" borderId="6" xfId="0" applyNumberFormat="1" applyFill="1" applyBorder="1" applyAlignment="1"/>
    <xf numFmtId="164" fontId="0" fillId="2" borderId="7" xfId="0" applyNumberFormat="1" applyFill="1" applyBorder="1" applyAlignment="1"/>
    <xf numFmtId="164" fontId="0" fillId="2" borderId="10" xfId="0" applyNumberFormat="1" applyFill="1" applyBorder="1" applyAlignment="1">
      <alignment wrapText="1"/>
    </xf>
    <xf numFmtId="164" fontId="0" fillId="2" borderId="11" xfId="0" applyNumberFormat="1" applyFill="1" applyBorder="1" applyAlignment="1">
      <alignment wrapText="1"/>
    </xf>
    <xf numFmtId="164" fontId="0" fillId="2" borderId="12" xfId="0" applyNumberFormat="1" applyFill="1" applyBorder="1" applyAlignment="1">
      <alignment wrapText="1"/>
    </xf>
    <xf numFmtId="0" fontId="1" fillId="0" borderId="1" xfId="0" applyFont="1" applyBorder="1" applyAlignment="1">
      <alignment horizontal="center" wrapText="1"/>
    </xf>
    <xf numFmtId="0" fontId="1" fillId="0" borderId="0" xfId="0" applyFont="1"/>
    <xf numFmtId="0" fontId="1" fillId="3" borderId="0" xfId="0" applyFont="1" applyFill="1" applyBorder="1" applyAlignment="1">
      <alignment horizontal="center"/>
    </xf>
    <xf numFmtId="0" fontId="1" fillId="3" borderId="9" xfId="0" applyFont="1" applyFill="1" applyBorder="1" applyAlignment="1">
      <alignment horizontal="center" vertical="center" textRotation="90" wrapText="1"/>
    </xf>
    <xf numFmtId="0" fontId="0" fillId="0" borderId="1" xfId="0" applyFont="1" applyBorder="1" applyAlignment="1">
      <alignment horizontal="center"/>
    </xf>
    <xf numFmtId="0" fontId="1" fillId="3" borderId="0" xfId="0" applyFont="1" applyFill="1" applyBorder="1" applyAlignment="1">
      <alignment horizontal="center" vertical="center" textRotation="90" wrapText="1"/>
    </xf>
    <xf numFmtId="0" fontId="3" fillId="0" borderId="1" xfId="0" applyFont="1" applyFill="1" applyBorder="1" applyAlignment="1">
      <alignment vertical="top" wrapText="1"/>
    </xf>
    <xf numFmtId="0" fontId="3" fillId="0" borderId="1" xfId="0" applyFont="1" applyBorder="1" applyAlignment="1">
      <alignment vertical="top" wrapText="1"/>
    </xf>
    <xf numFmtId="164" fontId="0" fillId="2" borderId="5" xfId="0" applyNumberFormat="1" applyFill="1" applyBorder="1" applyAlignment="1" applyProtection="1">
      <protection locked="0"/>
    </xf>
    <xf numFmtId="164" fontId="0" fillId="2" borderId="6" xfId="0" applyNumberFormat="1" applyFill="1" applyBorder="1" applyAlignment="1" applyProtection="1">
      <protection locked="0"/>
    </xf>
    <xf numFmtId="164" fontId="0" fillId="2" borderId="7" xfId="0" applyNumberFormat="1" applyFill="1" applyBorder="1" applyAlignment="1" applyProtection="1">
      <protection locked="0"/>
    </xf>
    <xf numFmtId="0" fontId="0" fillId="0" borderId="0" xfId="0" applyProtection="1">
      <protection locked="0"/>
    </xf>
    <xf numFmtId="164" fontId="1" fillId="3" borderId="0" xfId="0" applyNumberFormat="1" applyFont="1" applyFill="1" applyBorder="1" applyProtection="1">
      <protection locked="0"/>
    </xf>
    <xf numFmtId="0" fontId="1" fillId="3" borderId="0" xfId="0" applyFont="1" applyFill="1" applyBorder="1" applyAlignment="1" applyProtection="1">
      <alignment wrapText="1"/>
      <protection locked="0"/>
    </xf>
    <xf numFmtId="0" fontId="1" fillId="3" borderId="0" xfId="0" applyFont="1" applyFill="1" applyBorder="1" applyAlignment="1" applyProtection="1">
      <alignment horizontal="center" textRotation="90" wrapText="1"/>
      <protection locked="0"/>
    </xf>
    <xf numFmtId="0" fontId="1" fillId="3" borderId="0" xfId="0" applyFont="1" applyFill="1" applyBorder="1" applyAlignment="1" applyProtection="1">
      <alignment horizontal="center" wrapText="1"/>
      <protection locked="0"/>
    </xf>
    <xf numFmtId="0" fontId="1" fillId="3" borderId="9" xfId="0" applyFont="1" applyFill="1" applyBorder="1" applyAlignment="1" applyProtection="1">
      <alignment horizontal="center" vertical="center" textRotation="90" wrapText="1"/>
      <protection locked="0"/>
    </xf>
    <xf numFmtId="0" fontId="0" fillId="0" borderId="0" xfId="0" applyAlignment="1" applyProtection="1">
      <alignment wrapText="1"/>
      <protection locked="0"/>
    </xf>
    <xf numFmtId="164" fontId="0" fillId="2" borderId="10" xfId="0" applyNumberFormat="1" applyFill="1" applyBorder="1" applyAlignment="1" applyProtection="1">
      <alignment wrapText="1"/>
      <protection locked="0"/>
    </xf>
    <xf numFmtId="164" fontId="0" fillId="2" borderId="11" xfId="0" applyNumberFormat="1" applyFill="1" applyBorder="1" applyAlignment="1" applyProtection="1">
      <alignment wrapText="1"/>
      <protection locked="0"/>
    </xf>
    <xf numFmtId="164" fontId="0" fillId="2" borderId="12" xfId="0" applyNumberFormat="1" applyFill="1" applyBorder="1" applyAlignment="1" applyProtection="1">
      <alignment wrapText="1"/>
      <protection locked="0"/>
    </xf>
    <xf numFmtId="0" fontId="0" fillId="0" borderId="1"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0" fillId="0" borderId="1" xfId="0" applyBorder="1" applyAlignment="1" applyProtection="1">
      <alignment wrapText="1"/>
      <protection locked="0"/>
    </xf>
    <xf numFmtId="0" fontId="0" fillId="0" borderId="1" xfId="0" applyBorder="1" applyProtection="1">
      <protection locked="0"/>
    </xf>
    <xf numFmtId="0" fontId="1" fillId="0" borderId="1" xfId="0" applyFont="1" applyBorder="1" applyAlignment="1" applyProtection="1">
      <alignment horizontal="center"/>
    </xf>
    <xf numFmtId="1" fontId="0" fillId="0" borderId="1" xfId="0" applyNumberFormat="1" applyBorder="1"/>
    <xf numFmtId="0" fontId="5" fillId="0" borderId="0" xfId="0" applyFont="1" applyAlignment="1"/>
    <xf numFmtId="164" fontId="1" fillId="3" borderId="8" xfId="0" applyNumberFormat="1" applyFont="1" applyFill="1" applyBorder="1" applyAlignment="1">
      <alignment textRotation="90"/>
    </xf>
    <xf numFmtId="164" fontId="1" fillId="3" borderId="8" xfId="0" applyNumberFormat="1" applyFont="1" applyFill="1" applyBorder="1" applyAlignment="1" applyProtection="1">
      <alignment textRotation="90"/>
      <protection locked="0"/>
    </xf>
    <xf numFmtId="164" fontId="1" fillId="3" borderId="8" xfId="0" applyNumberFormat="1" applyFont="1" applyFill="1" applyBorder="1" applyAlignment="1">
      <alignment horizontal="center" textRotation="90" wrapText="1"/>
    </xf>
    <xf numFmtId="1" fontId="8" fillId="0" borderId="0" xfId="1" applyNumberFormat="1" applyFont="1" applyBorder="1" applyAlignment="1">
      <alignment horizontal="center" vertical="center"/>
    </xf>
    <xf numFmtId="0" fontId="9" fillId="0" borderId="0" xfId="1" applyFont="1"/>
    <xf numFmtId="165" fontId="9" fillId="0" borderId="0" xfId="1" applyNumberFormat="1" applyFont="1" applyAlignment="1"/>
    <xf numFmtId="0" fontId="9" fillId="0" borderId="0" xfId="1" applyFont="1" applyAlignment="1">
      <alignment horizontal="center"/>
    </xf>
    <xf numFmtId="0" fontId="9" fillId="0" borderId="1" xfId="1" applyFont="1" applyBorder="1" applyAlignment="1">
      <alignment horizontal="center"/>
    </xf>
    <xf numFmtId="166" fontId="9" fillId="0" borderId="1" xfId="1" applyNumberFormat="1" applyFont="1" applyBorder="1"/>
    <xf numFmtId="166" fontId="9" fillId="0" borderId="13" xfId="1" applyNumberFormat="1" applyFont="1" applyBorder="1"/>
    <xf numFmtId="0" fontId="9" fillId="0" borderId="0" xfId="1" applyFont="1" applyBorder="1"/>
    <xf numFmtId="166" fontId="9" fillId="0" borderId="6" xfId="1" applyNumberFormat="1" applyFont="1" applyBorder="1"/>
    <xf numFmtId="167" fontId="9" fillId="0" borderId="0" xfId="1" applyNumberFormat="1" applyFont="1"/>
    <xf numFmtId="166" fontId="9" fillId="0" borderId="1" xfId="1" applyNumberFormat="1" applyFont="1" applyFill="1" applyBorder="1"/>
    <xf numFmtId="0" fontId="10" fillId="6" borderId="1" xfId="1" applyFont="1" applyFill="1" applyBorder="1" applyAlignment="1">
      <alignment horizontal="center" vertical="center"/>
    </xf>
    <xf numFmtId="14" fontId="0" fillId="0" borderId="1" xfId="0" applyNumberFormat="1" applyBorder="1"/>
    <xf numFmtId="168" fontId="0" fillId="0" borderId="1" xfId="0" applyNumberFormat="1" applyBorder="1"/>
    <xf numFmtId="169" fontId="0" fillId="0" borderId="1" xfId="0" applyNumberFormat="1" applyBorder="1"/>
    <xf numFmtId="164" fontId="1" fillId="5" borderId="1" xfId="0" applyNumberFormat="1" applyFont="1" applyFill="1" applyBorder="1"/>
    <xf numFmtId="164" fontId="0" fillId="5" borderId="1" xfId="0" applyNumberFormat="1" applyFill="1" applyBorder="1"/>
    <xf numFmtId="14" fontId="0" fillId="0" borderId="1" xfId="0" applyNumberFormat="1" applyBorder="1" applyProtection="1">
      <protection locked="0"/>
    </xf>
    <xf numFmtId="0" fontId="1" fillId="3" borderId="0" xfId="0" applyFont="1" applyFill="1" applyBorder="1" applyAlignment="1">
      <alignment horizontal="center" wrapText="1"/>
    </xf>
    <xf numFmtId="0" fontId="0" fillId="0" borderId="0" xfId="0" applyAlignment="1">
      <alignment wrapText="1"/>
    </xf>
    <xf numFmtId="0" fontId="0" fillId="4" borderId="1" xfId="0" applyFill="1" applyBorder="1"/>
    <xf numFmtId="0" fontId="0" fillId="4" borderId="1" xfId="0" applyFill="1" applyBorder="1" applyAlignment="1">
      <alignment wrapText="1"/>
    </xf>
    <xf numFmtId="0" fontId="1" fillId="4" borderId="1" xfId="0" applyFont="1" applyFill="1" applyBorder="1" applyAlignment="1">
      <alignment horizontal="center"/>
    </xf>
    <xf numFmtId="0" fontId="0" fillId="3" borderId="1" xfId="0" applyFill="1" applyBorder="1"/>
    <xf numFmtId="0" fontId="0" fillId="3" borderId="1" xfId="0" applyFill="1" applyBorder="1" applyAlignment="1">
      <alignment wrapText="1"/>
    </xf>
    <xf numFmtId="0" fontId="1" fillId="3" borderId="1" xfId="0" applyFont="1" applyFill="1" applyBorder="1" applyAlignment="1">
      <alignment horizontal="center"/>
    </xf>
    <xf numFmtId="0" fontId="0" fillId="9" borderId="1" xfId="0" applyFill="1" applyBorder="1"/>
    <xf numFmtId="0" fontId="0" fillId="9" borderId="1" xfId="0" applyFill="1" applyBorder="1" applyAlignment="1">
      <alignment wrapText="1"/>
    </xf>
    <xf numFmtId="0" fontId="1" fillId="9" borderId="1" xfId="0" applyFont="1" applyFill="1" applyBorder="1" applyAlignment="1">
      <alignment horizontal="center"/>
    </xf>
    <xf numFmtId="0" fontId="0" fillId="10" borderId="1" xfId="0" applyFill="1" applyBorder="1"/>
    <xf numFmtId="0" fontId="0" fillId="10" borderId="1" xfId="0" applyFill="1" applyBorder="1" applyAlignment="1">
      <alignment wrapText="1"/>
    </xf>
    <xf numFmtId="0" fontId="1" fillId="10" borderId="1" xfId="0" applyFont="1" applyFill="1" applyBorder="1" applyAlignment="1">
      <alignment horizontal="center"/>
    </xf>
    <xf numFmtId="0" fontId="0" fillId="11" borderId="1" xfId="0" applyFill="1" applyBorder="1"/>
    <xf numFmtId="0" fontId="0" fillId="11" borderId="1" xfId="0" applyFill="1" applyBorder="1" applyAlignment="1">
      <alignment wrapText="1"/>
    </xf>
    <xf numFmtId="0" fontId="1" fillId="11" borderId="1" xfId="0" applyFont="1" applyFill="1" applyBorder="1" applyAlignment="1">
      <alignment horizontal="center"/>
    </xf>
    <xf numFmtId="0" fontId="0" fillId="12" borderId="1" xfId="0" applyFill="1" applyBorder="1"/>
    <xf numFmtId="0" fontId="0" fillId="12" borderId="1" xfId="0" applyFill="1" applyBorder="1" applyAlignment="1">
      <alignment wrapText="1"/>
    </xf>
    <xf numFmtId="0" fontId="1" fillId="12" borderId="1" xfId="0" applyFont="1" applyFill="1" applyBorder="1" applyAlignment="1">
      <alignment horizontal="center"/>
    </xf>
    <xf numFmtId="0" fontId="0" fillId="13" borderId="1" xfId="0" applyFill="1" applyBorder="1"/>
    <xf numFmtId="0" fontId="0" fillId="13" borderId="1" xfId="0" applyFill="1" applyBorder="1" applyAlignment="1">
      <alignment wrapText="1"/>
    </xf>
    <xf numFmtId="0" fontId="1" fillId="13" borderId="1" xfId="0" applyFont="1" applyFill="1" applyBorder="1" applyAlignment="1">
      <alignment horizontal="center"/>
    </xf>
    <xf numFmtId="0" fontId="1" fillId="10" borderId="1" xfId="0" applyFont="1" applyFill="1" applyBorder="1" applyAlignment="1">
      <alignment wrapText="1"/>
    </xf>
    <xf numFmtId="0" fontId="1" fillId="13" borderId="1" xfId="0" applyFont="1" applyFill="1" applyBorder="1" applyAlignment="1">
      <alignment wrapText="1"/>
    </xf>
    <xf numFmtId="0" fontId="1" fillId="12" borderId="1" xfId="0" applyFont="1" applyFill="1" applyBorder="1" applyAlignment="1">
      <alignment wrapText="1"/>
    </xf>
    <xf numFmtId="0" fontId="1" fillId="3" borderId="1" xfId="0" applyFont="1" applyFill="1" applyBorder="1" applyAlignment="1">
      <alignment wrapText="1"/>
    </xf>
    <xf numFmtId="0" fontId="6" fillId="3" borderId="0" xfId="0" applyFont="1" applyFill="1" applyBorder="1" applyAlignment="1">
      <alignment horizontal="center" wrapText="1"/>
    </xf>
    <xf numFmtId="164" fontId="0" fillId="2" borderId="0" xfId="0" applyNumberFormat="1" applyFill="1" applyBorder="1" applyAlignment="1">
      <alignment horizontal="center" vertical="center"/>
    </xf>
    <xf numFmtId="0" fontId="0" fillId="0" borderId="0" xfId="0" applyAlignment="1">
      <alignment horizontal="center"/>
    </xf>
    <xf numFmtId="0" fontId="0" fillId="0" borderId="0" xfId="0" applyAlignment="1">
      <alignment vertical="top" wrapText="1"/>
    </xf>
    <xf numFmtId="0" fontId="2" fillId="4" borderId="2"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4" borderId="2" xfId="0" applyFont="1" applyFill="1" applyBorder="1" applyAlignment="1">
      <alignment wrapText="1"/>
    </xf>
    <xf numFmtId="0" fontId="2" fillId="4" borderId="3" xfId="0" applyFont="1" applyFill="1" applyBorder="1" applyAlignment="1">
      <alignment wrapText="1"/>
    </xf>
    <xf numFmtId="0" fontId="2" fillId="4" borderId="4" xfId="0" applyFont="1" applyFill="1" applyBorder="1" applyAlignment="1">
      <alignment wrapText="1"/>
    </xf>
    <xf numFmtId="164" fontId="0" fillId="2" borderId="0" xfId="0" applyNumberFormat="1" applyFill="1" applyAlignment="1">
      <alignment horizontal="center"/>
    </xf>
    <xf numFmtId="164" fontId="0" fillId="2" borderId="3" xfId="0" applyNumberFormat="1" applyFill="1" applyBorder="1" applyAlignment="1">
      <alignment horizontal="center"/>
    </xf>
    <xf numFmtId="164" fontId="0" fillId="2" borderId="5" xfId="0" applyNumberFormat="1" applyFill="1" applyBorder="1" applyAlignment="1">
      <alignment horizontal="center"/>
    </xf>
    <xf numFmtId="164" fontId="0" fillId="2" borderId="6" xfId="0" applyNumberFormat="1" applyFill="1" applyBorder="1" applyAlignment="1">
      <alignment horizontal="center"/>
    </xf>
    <xf numFmtId="164" fontId="0" fillId="2" borderId="7" xfId="0" applyNumberFormat="1" applyFill="1" applyBorder="1" applyAlignment="1">
      <alignment horizontal="center"/>
    </xf>
    <xf numFmtId="164" fontId="0" fillId="2" borderId="10" xfId="0" applyNumberFormat="1" applyFill="1" applyBorder="1" applyAlignment="1">
      <alignment horizontal="center" vertical="center"/>
    </xf>
    <xf numFmtId="164" fontId="0" fillId="2" borderId="11" xfId="0" applyNumberFormat="1" applyFill="1" applyBorder="1" applyAlignment="1">
      <alignment horizontal="center" vertical="center"/>
    </xf>
    <xf numFmtId="164" fontId="0" fillId="2" borderId="12" xfId="0" applyNumberFormat="1" applyFill="1" applyBorder="1" applyAlignment="1">
      <alignment horizontal="center" vertical="center"/>
    </xf>
    <xf numFmtId="0" fontId="1" fillId="4" borderId="2" xfId="0" applyFont="1" applyFill="1" applyBorder="1" applyAlignment="1">
      <alignment wrapText="1"/>
    </xf>
    <xf numFmtId="0" fontId="1" fillId="4" borderId="3" xfId="0" applyFont="1" applyFill="1" applyBorder="1" applyAlignment="1">
      <alignment wrapText="1"/>
    </xf>
    <xf numFmtId="0" fontId="1" fillId="4" borderId="4" xfId="0" applyFont="1" applyFill="1" applyBorder="1" applyAlignment="1">
      <alignment wrapText="1"/>
    </xf>
    <xf numFmtId="0" fontId="10" fillId="8" borderId="2" xfId="1" applyFont="1" applyFill="1" applyBorder="1" applyAlignment="1">
      <alignment horizontal="center" vertical="center"/>
    </xf>
    <xf numFmtId="0" fontId="10" fillId="8" borderId="3" xfId="1" applyFont="1" applyFill="1" applyBorder="1" applyAlignment="1">
      <alignment horizontal="center" vertical="center"/>
    </xf>
    <xf numFmtId="0" fontId="10" fillId="8" borderId="4" xfId="1" applyFont="1" applyFill="1" applyBorder="1" applyAlignment="1">
      <alignment horizontal="center" vertical="center"/>
    </xf>
    <xf numFmtId="0" fontId="10" fillId="6" borderId="2" xfId="1" applyFont="1" applyFill="1" applyBorder="1" applyAlignment="1">
      <alignment horizontal="center" vertical="center"/>
    </xf>
    <xf numFmtId="0" fontId="10" fillId="6" borderId="3" xfId="1" applyFont="1" applyFill="1" applyBorder="1" applyAlignment="1">
      <alignment horizontal="center" vertical="center"/>
    </xf>
    <xf numFmtId="0" fontId="10" fillId="6" borderId="4" xfId="1" applyFont="1" applyFill="1" applyBorder="1" applyAlignment="1">
      <alignment horizontal="center" vertical="center"/>
    </xf>
    <xf numFmtId="0" fontId="10" fillId="7" borderId="2" xfId="1" applyFont="1" applyFill="1" applyBorder="1" applyAlignment="1">
      <alignment horizontal="center" vertical="center"/>
    </xf>
    <xf numFmtId="0" fontId="10" fillId="7" borderId="3" xfId="1" applyFont="1" applyFill="1" applyBorder="1" applyAlignment="1">
      <alignment horizontal="center" vertical="center"/>
    </xf>
    <xf numFmtId="0" fontId="10" fillId="7" borderId="4" xfId="1" applyFont="1" applyFill="1" applyBorder="1" applyAlignment="1">
      <alignment horizontal="center" vertical="center"/>
    </xf>
    <xf numFmtId="164" fontId="0" fillId="2" borderId="10" xfId="0" applyNumberFormat="1" applyFill="1" applyBorder="1" applyAlignment="1">
      <alignment horizontal="center"/>
    </xf>
    <xf numFmtId="164" fontId="0" fillId="2" borderId="11" xfId="0" applyNumberFormat="1" applyFill="1" applyBorder="1" applyAlignment="1">
      <alignment horizontal="center"/>
    </xf>
    <xf numFmtId="164" fontId="0" fillId="2" borderId="12" xfId="0" applyNumberFormat="1" applyFill="1" applyBorder="1" applyAlignment="1">
      <alignment horizontal="center"/>
    </xf>
    <xf numFmtId="164" fontId="0" fillId="2" borderId="10" xfId="0" applyNumberFormat="1" applyFill="1" applyBorder="1" applyAlignment="1">
      <alignment horizontal="center" wrapText="1"/>
    </xf>
    <xf numFmtId="164" fontId="0" fillId="2" borderId="11" xfId="0" applyNumberFormat="1" applyFill="1" applyBorder="1" applyAlignment="1">
      <alignment horizontal="center" wrapText="1"/>
    </xf>
    <xf numFmtId="164" fontId="0" fillId="2" borderId="12" xfId="0" applyNumberFormat="1" applyFill="1" applyBorder="1" applyAlignment="1">
      <alignment horizontal="center" wrapText="1"/>
    </xf>
  </cellXfs>
  <cellStyles count="2">
    <cellStyle name="Normal" xfId="0" builtinId="0"/>
    <cellStyle name="Normal 2" xfId="1"/>
  </cellStyles>
  <dxfs count="39">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ill>
        <patternFill>
          <bgColor theme="0" tint="-0.24994659260841701"/>
        </patternFill>
      </fill>
    </dxf>
    <dxf>
      <fill>
        <patternFill>
          <bgColor rgb="FFFF0000"/>
        </patternFill>
      </fill>
    </dxf>
    <dxf>
      <fill>
        <patternFill>
          <bgColor rgb="FFFFFF00"/>
        </patternFill>
      </fill>
    </dxf>
    <dxf>
      <fill>
        <patternFill>
          <bgColor rgb="FF92D050"/>
        </patternFill>
      </fill>
    </dxf>
    <dxf>
      <fill>
        <patternFill>
          <bgColor theme="0" tint="-0.24994659260841701"/>
        </patternFill>
      </fill>
    </dxf>
    <dxf>
      <fill>
        <patternFill>
          <bgColor rgb="FFFF0000"/>
        </patternFill>
      </fill>
    </dxf>
    <dxf>
      <fill>
        <patternFill>
          <bgColor rgb="FFFFFF00"/>
        </patternFill>
      </fill>
    </dxf>
    <dxf>
      <fill>
        <patternFill>
          <bgColor rgb="FF92D050"/>
        </patternFill>
      </fill>
    </dxf>
    <dxf>
      <fill>
        <patternFill>
          <bgColor theme="0" tint="-0.24994659260841701"/>
        </patternFill>
      </fill>
    </dxf>
    <dxf>
      <fill>
        <patternFill>
          <bgColor theme="0" tint="-0.24994659260841701"/>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
      <font>
        <strike val="0"/>
      </font>
      <fill>
        <patternFill>
          <bgColor theme="0" tint="-0.34998626667073579"/>
        </patternFill>
      </fill>
    </dxf>
  </dxfs>
  <tableStyles count="0" defaultTableStyle="TableStyleMedium2" defaultPivotStyle="PivotStyleLight16"/>
  <colors>
    <mruColors>
      <color rgb="FFFFFFCC"/>
      <color rgb="FFBCEEBC"/>
      <color rgb="FFFF66CC"/>
      <color rgb="FF5CD65C"/>
      <color rgb="FFD7E5F5"/>
      <color rgb="FFB9D1ED"/>
      <color rgb="FF7CDE7C"/>
      <color rgb="FF33CC33"/>
      <color rgb="FFFFFF00"/>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Spin" dx="15" fmlaLink="$A$1" max="9999" min="1900" page="10" val="2013"/>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1</xdr:col>
          <xdr:colOff>209550</xdr:colOff>
          <xdr:row>1</xdr:row>
          <xdr:rowOff>9525</xdr:rowOff>
        </xdr:to>
        <xdr:sp macro="" textlink="">
          <xdr:nvSpPr>
            <xdr:cNvPr id="16385" name="Spinner 1" hidden="1">
              <a:extLst>
                <a:ext uri="{63B3BB69-23CF-44E3-9099-C40C66FF867C}">
                  <a14:compatExt spid="_x0000_s16385"/>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twoCellAnchor>
    <xdr:from>
      <xdr:col>33</xdr:col>
      <xdr:colOff>171450</xdr:colOff>
      <xdr:row>3</xdr:row>
      <xdr:rowOff>47625</xdr:rowOff>
    </xdr:from>
    <xdr:to>
      <xdr:col>34</xdr:col>
      <xdr:colOff>1971675</xdr:colOff>
      <xdr:row>9</xdr:row>
      <xdr:rowOff>104775</xdr:rowOff>
    </xdr:to>
    <xdr:sp macro="[0]!DeleteShpaes" textlink="">
      <xdr:nvSpPr>
        <xdr:cNvPr id="6" name="Rectangle 5"/>
        <xdr:cNvSpPr/>
      </xdr:nvSpPr>
      <xdr:spPr>
        <a:xfrm>
          <a:off x="8734425" y="781050"/>
          <a:ext cx="2066925" cy="1257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Blank Calendar-</a:t>
          </a:r>
          <a:r>
            <a:rPr lang="en-US" sz="1100" baseline="0"/>
            <a:t> Placeholder</a:t>
          </a:r>
        </a:p>
        <a:p>
          <a:pPr algn="ctr"/>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552450</xdr:colOff>
      <xdr:row>5</xdr:row>
      <xdr:rowOff>66675</xdr:rowOff>
    </xdr:from>
    <xdr:to>
      <xdr:col>4</xdr:col>
      <xdr:colOff>857250</xdr:colOff>
      <xdr:row>12</xdr:row>
      <xdr:rowOff>171450</xdr:rowOff>
    </xdr:to>
    <xdr:sp macro="[0]!DeleteShpaes" textlink="">
      <xdr:nvSpPr>
        <xdr:cNvPr id="4" name="Rectangle 3"/>
        <xdr:cNvSpPr/>
      </xdr:nvSpPr>
      <xdr:spPr>
        <a:xfrm>
          <a:off x="2562225" y="1371600"/>
          <a:ext cx="3619500" cy="1571625"/>
        </a:xfrm>
        <a:prstGeom prst="rect">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Use this</a:t>
          </a:r>
          <a:r>
            <a:rPr lang="en-US" sz="1400" baseline="0"/>
            <a:t> sheet ("Edit List") to track change requests once module is complete and has been deployed.</a:t>
          </a:r>
        </a:p>
        <a:p>
          <a:pPr algn="ctr"/>
          <a:endParaRPr lang="en-US" sz="1400" baseline="0"/>
        </a:p>
        <a:p>
          <a:pPr algn="ctr"/>
          <a:r>
            <a:rPr lang="en-US" sz="1400" baseline="0"/>
            <a:t>CLICK anywhere on this box to delete these instructions.</a:t>
          </a:r>
          <a:endParaRPr lang="en-US" sz="1400"/>
        </a:p>
      </xdr:txBody>
    </xdr:sp>
    <xdr:clientData/>
  </xdr:twoCellAnchor>
</xdr:wsDr>
</file>

<file path=xl/theme/theme1.xml><?xml version="1.0" encoding="utf-8"?>
<a:theme xmlns:a="http://schemas.openxmlformats.org/drawingml/2006/main" name="Office Theme">
  <a:themeElements>
    <a:clrScheme name="Apex">
      <a:dk1>
        <a:sysClr val="windowText" lastClr="000000"/>
      </a:dk1>
      <a:lt1>
        <a:sysClr val="window" lastClr="FFFFFF"/>
      </a:lt1>
      <a:dk2>
        <a:srgbClr val="69676D"/>
      </a:dk2>
      <a:lt2>
        <a:srgbClr val="C9C2D1"/>
      </a:lt2>
      <a:accent1>
        <a:srgbClr val="CEB966"/>
      </a:accent1>
      <a:accent2>
        <a:srgbClr val="9CB084"/>
      </a:accent2>
      <a:accent3>
        <a:srgbClr val="6BB1C9"/>
      </a:accent3>
      <a:accent4>
        <a:srgbClr val="6585CF"/>
      </a:accent4>
      <a:accent5>
        <a:srgbClr val="7E6BC9"/>
      </a:accent5>
      <a:accent6>
        <a:srgbClr val="A379BB"/>
      </a:accent6>
      <a:hlink>
        <a:srgbClr val="410082"/>
      </a:hlink>
      <a:folHlink>
        <a:srgbClr val="932968"/>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N163"/>
  <sheetViews>
    <sheetView showGridLines="0" showRowColHeaders="0" zoomScaleNormal="100" workbookViewId="0">
      <selection activeCell="G18" sqref="G18"/>
    </sheetView>
  </sheetViews>
  <sheetFormatPr defaultRowHeight="15" x14ac:dyDescent="0.25"/>
  <cols>
    <col min="1" max="1" width="2.85546875" customWidth="1"/>
    <col min="15" max="15" width="3.42578125" customWidth="1"/>
  </cols>
  <sheetData>
    <row r="1" spans="1:14" ht="28.5" x14ac:dyDescent="0.45">
      <c r="A1" s="52"/>
      <c r="B1" s="101" t="s">
        <v>58</v>
      </c>
      <c r="C1" s="101"/>
      <c r="D1" s="101"/>
      <c r="E1" s="101"/>
      <c r="F1" s="101"/>
      <c r="G1" s="101"/>
      <c r="H1" s="101"/>
      <c r="I1" s="101"/>
      <c r="J1" s="101"/>
      <c r="K1" s="101"/>
      <c r="L1" s="101"/>
      <c r="M1" s="101"/>
      <c r="N1" s="101"/>
    </row>
    <row r="2" spans="1:14" ht="4.5" customHeight="1" x14ac:dyDescent="0.25">
      <c r="B2" s="102"/>
      <c r="C2" s="102"/>
      <c r="D2" s="102"/>
      <c r="E2" s="102"/>
      <c r="F2" s="102"/>
      <c r="G2" s="102"/>
      <c r="H2" s="102"/>
      <c r="I2" s="102"/>
      <c r="J2" s="102"/>
      <c r="K2" s="102"/>
      <c r="L2" s="102"/>
      <c r="M2" s="102"/>
      <c r="N2" s="102"/>
    </row>
    <row r="3" spans="1:14" ht="35.25" customHeight="1" x14ac:dyDescent="0.25">
      <c r="B3" s="104" t="s">
        <v>116</v>
      </c>
      <c r="C3" s="104"/>
      <c r="D3" s="104"/>
      <c r="E3" s="104"/>
      <c r="F3" s="104"/>
      <c r="G3" s="104"/>
      <c r="H3" s="104"/>
      <c r="I3" s="104"/>
      <c r="J3" s="104"/>
      <c r="K3" s="104"/>
      <c r="L3" s="104"/>
      <c r="M3" s="104"/>
      <c r="N3" s="104"/>
    </row>
    <row r="4" spans="1:14" x14ac:dyDescent="0.25">
      <c r="B4" s="104"/>
      <c r="C4" s="104"/>
      <c r="D4" s="104"/>
      <c r="E4" s="104"/>
      <c r="F4" s="104"/>
      <c r="G4" s="104"/>
      <c r="H4" s="104"/>
      <c r="I4" s="104"/>
      <c r="J4" s="104"/>
      <c r="K4" s="104"/>
      <c r="L4" s="104"/>
      <c r="M4" s="104"/>
      <c r="N4" s="104"/>
    </row>
    <row r="5" spans="1:14" x14ac:dyDescent="0.25">
      <c r="B5" s="103"/>
      <c r="C5" s="103"/>
      <c r="D5" s="103"/>
      <c r="E5" s="103"/>
      <c r="F5" s="103"/>
      <c r="G5" s="103"/>
      <c r="H5" s="103"/>
      <c r="I5" s="103"/>
      <c r="J5" s="103"/>
      <c r="K5" s="103"/>
      <c r="L5" s="103"/>
      <c r="M5" s="103"/>
      <c r="N5" s="103"/>
    </row>
    <row r="6" spans="1:14" ht="15" customHeight="1" x14ac:dyDescent="0.25"/>
    <row r="7" spans="1:14" ht="4.5" customHeight="1" x14ac:dyDescent="0.25"/>
    <row r="9" spans="1:14" ht="30.75" customHeight="1" x14ac:dyDescent="0.25"/>
    <row r="24" ht="15" customHeight="1" x14ac:dyDescent="0.25"/>
    <row r="25" ht="4.5" customHeight="1" x14ac:dyDescent="0.25"/>
    <row r="27" ht="81" customHeight="1" x14ac:dyDescent="0.25"/>
    <row r="64" ht="15" customHeight="1" x14ac:dyDescent="0.25"/>
    <row r="65" ht="4.5" customHeight="1" x14ac:dyDescent="0.25"/>
    <row r="67" ht="61.5" customHeight="1" x14ac:dyDescent="0.25"/>
    <row r="103" ht="15" customHeight="1" x14ac:dyDescent="0.25"/>
    <row r="104" ht="4.5" customHeight="1" x14ac:dyDescent="0.25"/>
    <row r="137" ht="4.5" customHeight="1" x14ac:dyDescent="0.25"/>
    <row r="161" ht="4.5" customHeight="1" x14ac:dyDescent="0.25"/>
    <row r="163" ht="57" customHeight="1" x14ac:dyDescent="0.25"/>
  </sheetData>
  <customSheetViews>
    <customSheetView guid="{79CFC90F-9797-4F95-B835-584B9BD0A801}" showPageBreaks="1" showGridLines="0" showRowCol="0">
      <selection activeCell="R109" sqref="R109"/>
    </customSheetView>
  </customSheetViews>
  <mergeCells count="4">
    <mergeCell ref="B1:N1"/>
    <mergeCell ref="B2:N2"/>
    <mergeCell ref="B5:N5"/>
    <mergeCell ref="B3:N4"/>
  </mergeCells>
  <pageMargins left="0.25" right="0.25" top="0.75" bottom="0.75" header="0.3" footer="0.3"/>
  <pageSetup scale="79" orientation="portrait" r:id="rId1"/>
  <headerFooter>
    <oddHeader>&amp;C&amp;"-,Bold"&amp;22Introduction</oddHeader>
  </headerFooter>
  <rowBreaks count="3" manualBreakCount="3">
    <brk id="23" max="16383" man="1"/>
    <brk id="63" max="16383" man="1"/>
    <brk id="10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66CC"/>
    <outlinePr summaryBelow="0"/>
  </sheetPr>
  <dimension ref="A1:H73"/>
  <sheetViews>
    <sheetView showGridLines="0" showWhiteSpace="0" view="pageLayout" zoomScaleNormal="100" workbookViewId="0">
      <selection activeCell="B22" sqref="B22"/>
    </sheetView>
  </sheetViews>
  <sheetFormatPr defaultRowHeight="15" outlineLevelRow="1" x14ac:dyDescent="0.25"/>
  <cols>
    <col min="1" max="1" width="7.140625" style="1" bestFit="1" customWidth="1"/>
    <col min="2" max="2" width="46.5703125" style="75" customWidth="1"/>
    <col min="3" max="3" width="16" customWidth="1"/>
    <col min="4" max="4" width="8.85546875" customWidth="1"/>
    <col min="5" max="5" width="8.28515625" customWidth="1"/>
    <col min="6" max="6" width="8.140625" customWidth="1"/>
    <col min="7" max="7" width="30.7109375" style="75" customWidth="1"/>
    <col min="8" max="8" width="4.85546875" style="3" customWidth="1"/>
  </cols>
  <sheetData>
    <row r="1" spans="1:8" ht="4.5" customHeight="1" x14ac:dyDescent="0.25">
      <c r="A1" s="113"/>
      <c r="B1" s="114"/>
      <c r="C1" s="114"/>
      <c r="D1" s="114"/>
      <c r="E1" s="114"/>
      <c r="F1" s="114"/>
      <c r="G1" s="114"/>
      <c r="H1" s="115"/>
    </row>
    <row r="2" spans="1:8" ht="60.75" customHeight="1" x14ac:dyDescent="0.25">
      <c r="A2" s="15" t="s">
        <v>0</v>
      </c>
      <c r="B2" s="16" t="s">
        <v>1</v>
      </c>
      <c r="C2" s="27" t="s">
        <v>2</v>
      </c>
      <c r="D2" s="74" t="s">
        <v>3</v>
      </c>
      <c r="E2" s="74" t="s">
        <v>4</v>
      </c>
      <c r="F2" s="74" t="s">
        <v>5</v>
      </c>
      <c r="G2" s="16" t="s">
        <v>6</v>
      </c>
      <c r="H2" s="28" t="s">
        <v>31</v>
      </c>
    </row>
    <row r="3" spans="1:8" ht="4.5" customHeight="1" x14ac:dyDescent="0.25">
      <c r="A3" s="116"/>
      <c r="B3" s="117"/>
      <c r="C3" s="117"/>
      <c r="D3" s="117"/>
      <c r="E3" s="117"/>
      <c r="F3" s="117"/>
      <c r="G3" s="117"/>
      <c r="H3" s="118"/>
    </row>
    <row r="4" spans="1:8" ht="30" x14ac:dyDescent="0.25">
      <c r="A4" s="15" t="s">
        <v>0</v>
      </c>
      <c r="B4" s="16" t="s">
        <v>1</v>
      </c>
      <c r="C4" s="27" t="s">
        <v>2</v>
      </c>
      <c r="D4" s="74" t="s">
        <v>3</v>
      </c>
      <c r="E4" s="74" t="s">
        <v>4</v>
      </c>
      <c r="F4" s="74" t="s">
        <v>5</v>
      </c>
      <c r="G4" s="16" t="s">
        <v>6</v>
      </c>
      <c r="H4" s="28" t="s">
        <v>31</v>
      </c>
    </row>
    <row r="5" spans="1:8" outlineLevel="1" x14ac:dyDescent="0.25">
      <c r="A5" s="116"/>
      <c r="B5" s="117"/>
      <c r="C5" s="117"/>
      <c r="D5" s="117"/>
      <c r="E5" s="117"/>
      <c r="F5" s="117"/>
      <c r="G5" s="117"/>
      <c r="H5" s="118"/>
    </row>
    <row r="6" spans="1:8" outlineLevel="1" x14ac:dyDescent="0.25">
      <c r="A6" s="13">
        <v>1</v>
      </c>
      <c r="B6" s="119" t="s">
        <v>42</v>
      </c>
      <c r="C6" s="120"/>
      <c r="D6" s="120"/>
      <c r="E6" s="120"/>
      <c r="F6" s="120"/>
      <c r="G6" s="120"/>
      <c r="H6" s="121"/>
    </row>
    <row r="7" spans="1:8" ht="16.5" outlineLevel="1" x14ac:dyDescent="0.25">
      <c r="A7" s="7">
        <v>1.1000000000000001</v>
      </c>
      <c r="B7" s="31" t="s">
        <v>92</v>
      </c>
      <c r="C7" s="4" t="s">
        <v>126</v>
      </c>
      <c r="D7" s="69"/>
      <c r="E7" s="4"/>
      <c r="F7" s="4"/>
      <c r="G7" s="5"/>
      <c r="H7" s="6"/>
    </row>
    <row r="8" spans="1:8" ht="16.5" outlineLevel="1" x14ac:dyDescent="0.25">
      <c r="A8" s="7">
        <v>1.2</v>
      </c>
      <c r="B8" s="31" t="s">
        <v>47</v>
      </c>
      <c r="C8" s="4" t="s">
        <v>97</v>
      </c>
      <c r="D8" s="69"/>
      <c r="E8" s="4"/>
      <c r="F8" s="4"/>
      <c r="G8" s="5"/>
      <c r="H8" s="6"/>
    </row>
    <row r="9" spans="1:8" ht="16.5" outlineLevel="1" x14ac:dyDescent="0.25">
      <c r="A9" s="7">
        <v>1.3</v>
      </c>
      <c r="B9" s="31" t="s">
        <v>93</v>
      </c>
      <c r="C9" s="4" t="s">
        <v>127</v>
      </c>
      <c r="D9" s="69"/>
      <c r="E9" s="4"/>
      <c r="F9" s="4"/>
      <c r="G9" s="5"/>
      <c r="H9" s="6"/>
    </row>
    <row r="10" spans="1:8" ht="16.5" outlineLevel="1" x14ac:dyDescent="0.25">
      <c r="A10" s="1">
        <v>1.4</v>
      </c>
      <c r="B10" s="31" t="s">
        <v>43</v>
      </c>
      <c r="C10" s="4" t="s">
        <v>127</v>
      </c>
      <c r="D10" s="69"/>
      <c r="E10" s="4"/>
      <c r="F10" s="4"/>
      <c r="G10" s="5"/>
      <c r="H10" s="6"/>
    </row>
    <row r="11" spans="1:8" ht="16.5" outlineLevel="1" x14ac:dyDescent="0.25">
      <c r="A11" s="7">
        <v>1.5</v>
      </c>
      <c r="B11" s="31" t="s">
        <v>44</v>
      </c>
      <c r="C11" s="4" t="s">
        <v>97</v>
      </c>
      <c r="D11" s="69"/>
      <c r="E11" s="4"/>
      <c r="F11" s="4"/>
      <c r="G11" s="5"/>
      <c r="H11" s="6"/>
    </row>
    <row r="12" spans="1:8" ht="33" outlineLevel="1" x14ac:dyDescent="0.25">
      <c r="A12" s="7">
        <v>1.6</v>
      </c>
      <c r="B12" s="31" t="s">
        <v>94</v>
      </c>
      <c r="C12" s="4" t="s">
        <v>127</v>
      </c>
      <c r="D12" s="69"/>
      <c r="E12" s="4"/>
      <c r="F12" s="4"/>
      <c r="G12" s="5"/>
      <c r="H12" s="6"/>
    </row>
    <row r="13" spans="1:8" ht="33" outlineLevel="1" x14ac:dyDescent="0.25">
      <c r="A13" s="7">
        <v>1.7</v>
      </c>
      <c r="B13" s="32" t="s">
        <v>89</v>
      </c>
      <c r="C13" s="4" t="s">
        <v>97</v>
      </c>
      <c r="D13" s="69"/>
      <c r="E13" s="4"/>
      <c r="F13" s="4"/>
      <c r="G13" s="5"/>
      <c r="H13" s="6"/>
    </row>
    <row r="14" spans="1:8" ht="16.5" outlineLevel="1" x14ac:dyDescent="0.25">
      <c r="A14" s="7">
        <v>1.8</v>
      </c>
      <c r="B14" s="31" t="s">
        <v>86</v>
      </c>
      <c r="C14" s="4" t="s">
        <v>127</v>
      </c>
      <c r="D14" s="69"/>
      <c r="E14" s="4"/>
      <c r="F14" s="4"/>
      <c r="G14" s="5"/>
      <c r="H14" s="6"/>
    </row>
    <row r="15" spans="1:8" ht="16.5" outlineLevel="1" x14ac:dyDescent="0.25">
      <c r="A15" s="7">
        <v>1.9</v>
      </c>
      <c r="B15" s="31" t="s">
        <v>90</v>
      </c>
      <c r="C15" s="4" t="s">
        <v>127</v>
      </c>
      <c r="D15" s="69"/>
      <c r="E15" s="4"/>
      <c r="F15" s="4"/>
      <c r="G15" s="5"/>
      <c r="H15" s="6"/>
    </row>
    <row r="16" spans="1:8" ht="16.5" outlineLevel="1" x14ac:dyDescent="0.25">
      <c r="A16" s="12">
        <v>1.1000000000000001</v>
      </c>
      <c r="B16" s="31" t="s">
        <v>91</v>
      </c>
      <c r="C16" s="4" t="s">
        <v>127</v>
      </c>
      <c r="D16" s="69"/>
      <c r="E16" s="4"/>
      <c r="F16" s="4"/>
      <c r="G16" s="5"/>
      <c r="H16" s="6"/>
    </row>
    <row r="17" spans="1:8" ht="16.5" outlineLevel="1" x14ac:dyDescent="0.25">
      <c r="A17" s="12">
        <v>1.1100000000000001</v>
      </c>
      <c r="B17" s="31" t="s">
        <v>95</v>
      </c>
      <c r="C17" s="4" t="s">
        <v>97</v>
      </c>
      <c r="D17" s="69"/>
      <c r="E17" s="4"/>
      <c r="F17" s="4"/>
      <c r="G17" s="5"/>
      <c r="H17" s="6"/>
    </row>
    <row r="18" spans="1:8" ht="16.5" outlineLevel="1" x14ac:dyDescent="0.25">
      <c r="A18" s="12">
        <v>1.1200000000000001</v>
      </c>
      <c r="B18" s="32" t="s">
        <v>85</v>
      </c>
      <c r="C18" s="4" t="s">
        <v>97</v>
      </c>
      <c r="D18" s="69"/>
      <c r="E18" s="4"/>
      <c r="F18" s="4"/>
      <c r="G18" s="5"/>
      <c r="H18" s="6"/>
    </row>
    <row r="19" spans="1:8" ht="16.5" outlineLevel="1" x14ac:dyDescent="0.25">
      <c r="A19" s="12">
        <v>1.1299999999999999</v>
      </c>
      <c r="B19" s="31" t="s">
        <v>45</v>
      </c>
      <c r="C19" s="4" t="s">
        <v>127</v>
      </c>
      <c r="D19" s="69"/>
      <c r="E19" s="4"/>
      <c r="F19" s="4"/>
      <c r="G19" s="5"/>
      <c r="H19" s="6"/>
    </row>
    <row r="20" spans="1:8" ht="16.5" outlineLevel="1" x14ac:dyDescent="0.25">
      <c r="A20" s="12">
        <v>1.1399999999999999</v>
      </c>
      <c r="B20" s="32" t="s">
        <v>81</v>
      </c>
      <c r="C20" s="4" t="s">
        <v>127</v>
      </c>
      <c r="D20" s="69"/>
      <c r="E20" s="4"/>
      <c r="F20" s="4"/>
      <c r="G20" s="5"/>
      <c r="H20" s="6"/>
    </row>
    <row r="21" spans="1:8" ht="17.25" customHeight="1" x14ac:dyDescent="0.25">
      <c r="A21" s="12">
        <v>1.1499999999999999</v>
      </c>
      <c r="B21" s="32" t="s">
        <v>87</v>
      </c>
      <c r="C21" s="4" t="s">
        <v>127</v>
      </c>
      <c r="D21" s="69"/>
      <c r="E21" s="4"/>
      <c r="F21" s="4"/>
      <c r="G21" s="5"/>
      <c r="H21" s="6"/>
    </row>
    <row r="22" spans="1:8" ht="16.5" collapsed="1" x14ac:dyDescent="0.25">
      <c r="A22" s="12">
        <v>1.1599999999999999</v>
      </c>
      <c r="B22" s="31" t="s">
        <v>99</v>
      </c>
      <c r="C22" s="4" t="s">
        <v>127</v>
      </c>
      <c r="D22" s="69"/>
      <c r="E22" s="4"/>
      <c r="F22" s="4"/>
      <c r="G22" s="5"/>
      <c r="H22" s="6"/>
    </row>
    <row r="23" spans="1:8" ht="16.5" hidden="1" outlineLevel="1" x14ac:dyDescent="0.25">
      <c r="A23" s="12">
        <v>1.17</v>
      </c>
      <c r="B23" s="31" t="s">
        <v>100</v>
      </c>
      <c r="C23" s="4" t="s">
        <v>80</v>
      </c>
      <c r="D23" s="69"/>
      <c r="E23" s="4"/>
      <c r="F23" s="4"/>
      <c r="G23" s="5"/>
      <c r="H23" s="6"/>
    </row>
    <row r="24" spans="1:8" ht="16.5" hidden="1" outlineLevel="1" x14ac:dyDescent="0.25">
      <c r="A24" s="12">
        <v>1.18</v>
      </c>
      <c r="B24" s="31" t="s">
        <v>113</v>
      </c>
      <c r="C24" s="4" t="s">
        <v>80</v>
      </c>
      <c r="D24" s="69"/>
      <c r="E24" s="68"/>
      <c r="F24" s="4"/>
      <c r="G24" s="5"/>
      <c r="H24" s="6"/>
    </row>
    <row r="25" spans="1:8" ht="16.5" hidden="1" outlineLevel="1" x14ac:dyDescent="0.25">
      <c r="A25" s="7">
        <v>1.19</v>
      </c>
      <c r="B25" s="32" t="s">
        <v>96</v>
      </c>
      <c r="C25" s="4" t="s">
        <v>98</v>
      </c>
      <c r="D25" s="69"/>
      <c r="E25" s="4"/>
      <c r="F25" s="4"/>
      <c r="G25" s="5"/>
      <c r="H25" s="6"/>
    </row>
    <row r="26" spans="1:8" ht="16.5" hidden="1" outlineLevel="1" x14ac:dyDescent="0.25">
      <c r="A26" s="12">
        <v>1.21</v>
      </c>
      <c r="B26" s="31" t="s">
        <v>83</v>
      </c>
      <c r="C26" s="4" t="s">
        <v>80</v>
      </c>
      <c r="D26" s="69"/>
      <c r="E26" s="4"/>
      <c r="F26" s="4"/>
      <c r="G26" s="5"/>
      <c r="H26" s="6"/>
    </row>
    <row r="27" spans="1:8" ht="16.5" hidden="1" outlineLevel="1" x14ac:dyDescent="0.25">
      <c r="A27" s="12">
        <v>1.22</v>
      </c>
      <c r="B27" s="32" t="s">
        <v>88</v>
      </c>
      <c r="C27" s="4" t="s">
        <v>97</v>
      </c>
      <c r="D27" s="69"/>
      <c r="E27" s="4"/>
      <c r="F27" s="4"/>
      <c r="G27" s="5"/>
      <c r="H27" s="6"/>
    </row>
    <row r="28" spans="1:8" ht="17.25" customHeight="1" collapsed="1" x14ac:dyDescent="0.25">
      <c r="A28" s="12">
        <v>1.22</v>
      </c>
      <c r="B28" s="31" t="s">
        <v>45</v>
      </c>
      <c r="C28" s="4" t="s">
        <v>127</v>
      </c>
      <c r="D28" s="69"/>
      <c r="E28" s="4"/>
      <c r="F28" s="4"/>
      <c r="G28" s="5"/>
      <c r="H28" s="6"/>
    </row>
    <row r="29" spans="1:8" ht="16.5" collapsed="1" x14ac:dyDescent="0.25">
      <c r="A29" s="12">
        <v>1.23</v>
      </c>
      <c r="B29" s="32" t="s">
        <v>136</v>
      </c>
      <c r="C29" s="4" t="s">
        <v>127</v>
      </c>
      <c r="D29" s="69"/>
      <c r="E29" s="4"/>
      <c r="F29" s="4"/>
      <c r="G29" s="5"/>
      <c r="H29" s="6"/>
    </row>
    <row r="30" spans="1:8" ht="16.5" hidden="1" outlineLevel="1" x14ac:dyDescent="0.25">
      <c r="A30" s="12">
        <v>1.24</v>
      </c>
      <c r="B30" s="31" t="s">
        <v>101</v>
      </c>
      <c r="C30" s="4" t="s">
        <v>80</v>
      </c>
      <c r="D30" s="69">
        <v>41476</v>
      </c>
      <c r="E30" s="4"/>
      <c r="F30" s="4"/>
      <c r="G30" s="5"/>
      <c r="H30" s="6"/>
    </row>
    <row r="31" spans="1:8" hidden="1" outlineLevel="1" x14ac:dyDescent="0.25">
      <c r="A31" s="111"/>
      <c r="B31" s="111"/>
      <c r="C31" s="111"/>
      <c r="D31" s="111"/>
      <c r="E31" s="111"/>
      <c r="F31" s="111"/>
      <c r="G31" s="111"/>
      <c r="H31" s="111"/>
    </row>
    <row r="32" spans="1:8" hidden="1" outlineLevel="1" x14ac:dyDescent="0.25">
      <c r="A32" s="71">
        <v>2</v>
      </c>
      <c r="B32" s="105" t="s">
        <v>114</v>
      </c>
      <c r="C32" s="106"/>
      <c r="D32" s="106"/>
      <c r="E32" s="106"/>
      <c r="F32" s="106"/>
      <c r="G32" s="106"/>
      <c r="H32" s="107"/>
    </row>
    <row r="33" spans="1:8" hidden="1" outlineLevel="1" x14ac:dyDescent="0.25">
      <c r="A33" s="72">
        <v>2.1</v>
      </c>
      <c r="B33" s="5" t="s">
        <v>104</v>
      </c>
      <c r="C33" s="4" t="s">
        <v>80</v>
      </c>
      <c r="D33" s="70">
        <v>41388</v>
      </c>
      <c r="E33" s="69">
        <v>41388</v>
      </c>
      <c r="F33" s="4"/>
      <c r="G33" s="5"/>
      <c r="H33" s="6"/>
    </row>
    <row r="34" spans="1:8" hidden="1" outlineLevel="1" x14ac:dyDescent="0.25">
      <c r="A34" s="72">
        <v>2.2000000000000002</v>
      </c>
      <c r="B34" s="5" t="s">
        <v>112</v>
      </c>
      <c r="C34" s="4" t="s">
        <v>102</v>
      </c>
      <c r="D34" s="70">
        <v>41389</v>
      </c>
      <c r="E34" s="69">
        <v>41389</v>
      </c>
      <c r="F34" s="4"/>
      <c r="G34" s="5"/>
      <c r="H34" s="6"/>
    </row>
    <row r="35" spans="1:8" hidden="1" outlineLevel="1" x14ac:dyDescent="0.25">
      <c r="A35" s="72">
        <v>2.2999999999999998</v>
      </c>
      <c r="B35" s="5" t="s">
        <v>103</v>
      </c>
      <c r="C35" s="4" t="s">
        <v>80</v>
      </c>
      <c r="D35" s="70">
        <v>41390</v>
      </c>
      <c r="E35" s="69">
        <v>41393</v>
      </c>
      <c r="F35" s="4"/>
      <c r="G35" s="5"/>
      <c r="H35" s="6"/>
    </row>
    <row r="36" spans="1:8" hidden="1" outlineLevel="1" x14ac:dyDescent="0.25">
      <c r="A36" s="72">
        <v>2.4</v>
      </c>
      <c r="B36" s="5" t="s">
        <v>105</v>
      </c>
      <c r="C36" s="4" t="s">
        <v>80</v>
      </c>
      <c r="D36" s="70">
        <v>41394</v>
      </c>
      <c r="E36" s="69">
        <v>41394</v>
      </c>
      <c r="F36" s="4"/>
      <c r="G36" s="5"/>
      <c r="H36" s="6"/>
    </row>
    <row r="37" spans="1:8" hidden="1" outlineLevel="1" x14ac:dyDescent="0.25">
      <c r="A37" s="72">
        <v>2.5</v>
      </c>
      <c r="B37" s="5" t="s">
        <v>106</v>
      </c>
      <c r="C37" s="4" t="s">
        <v>97</v>
      </c>
      <c r="D37" s="70">
        <v>41394</v>
      </c>
      <c r="E37" s="69">
        <v>41395</v>
      </c>
      <c r="F37" s="4"/>
      <c r="G37" s="5"/>
      <c r="H37" s="6"/>
    </row>
    <row r="38" spans="1:8" hidden="1" outlineLevel="1" x14ac:dyDescent="0.25">
      <c r="A38" s="72">
        <v>2.6</v>
      </c>
      <c r="B38" s="5" t="s">
        <v>107</v>
      </c>
      <c r="C38" s="4" t="s">
        <v>80</v>
      </c>
      <c r="D38" s="70">
        <v>41396</v>
      </c>
      <c r="E38" s="69">
        <v>41396</v>
      </c>
      <c r="F38" s="4"/>
      <c r="G38" s="5"/>
      <c r="H38" s="6"/>
    </row>
    <row r="39" spans="1:8" hidden="1" outlineLevel="1" x14ac:dyDescent="0.25">
      <c r="A39" s="72">
        <v>2.7</v>
      </c>
      <c r="B39" s="5" t="s">
        <v>108</v>
      </c>
      <c r="C39" s="4" t="s">
        <v>97</v>
      </c>
      <c r="D39" s="70">
        <v>41397</v>
      </c>
      <c r="E39" s="69">
        <v>41397</v>
      </c>
      <c r="F39" s="4"/>
      <c r="G39" s="5"/>
      <c r="H39" s="6"/>
    </row>
    <row r="40" spans="1:8" hidden="1" outlineLevel="1" x14ac:dyDescent="0.25">
      <c r="A40" s="72">
        <v>2.8</v>
      </c>
      <c r="B40" s="5" t="s">
        <v>109</v>
      </c>
      <c r="C40" s="4" t="s">
        <v>80</v>
      </c>
      <c r="D40" s="70">
        <v>41398</v>
      </c>
      <c r="E40" s="69">
        <v>41398</v>
      </c>
      <c r="F40" s="4"/>
      <c r="G40" s="5"/>
      <c r="H40" s="6"/>
    </row>
    <row r="41" spans="1:8" hidden="1" outlineLevel="1" x14ac:dyDescent="0.25">
      <c r="A41" s="72">
        <v>2.9</v>
      </c>
      <c r="B41" s="5" t="s">
        <v>110</v>
      </c>
      <c r="C41" s="4" t="s">
        <v>80</v>
      </c>
      <c r="D41" s="70">
        <v>41398</v>
      </c>
      <c r="E41" s="69"/>
      <c r="F41" s="4"/>
      <c r="G41" s="5"/>
      <c r="H41" s="6"/>
    </row>
    <row r="42" spans="1:8" hidden="1" outlineLevel="1" x14ac:dyDescent="0.25">
      <c r="A42" s="72">
        <v>2.1</v>
      </c>
      <c r="B42" s="5" t="s">
        <v>111</v>
      </c>
      <c r="C42" s="4" t="s">
        <v>80</v>
      </c>
      <c r="D42" s="68">
        <v>41398</v>
      </c>
      <c r="E42" s="69"/>
      <c r="F42" s="4"/>
      <c r="G42" s="5"/>
      <c r="H42" s="6"/>
    </row>
    <row r="43" spans="1:8" ht="4.5" customHeight="1" collapsed="1" x14ac:dyDescent="0.25">
      <c r="A43" s="111"/>
      <c r="B43" s="111"/>
      <c r="C43" s="111"/>
      <c r="D43" s="111"/>
      <c r="E43" s="111"/>
      <c r="F43" s="111"/>
      <c r="G43" s="111"/>
      <c r="H43" s="111"/>
    </row>
    <row r="44" spans="1:8" collapsed="1" x14ac:dyDescent="0.25">
      <c r="A44" s="13">
        <v>2</v>
      </c>
      <c r="B44" s="108"/>
      <c r="C44" s="109"/>
      <c r="D44" s="109"/>
      <c r="E44" s="109"/>
      <c r="F44" s="109"/>
      <c r="G44" s="109"/>
      <c r="H44" s="110"/>
    </row>
    <row r="45" spans="1:8" hidden="1" outlineLevel="1" x14ac:dyDescent="0.25">
      <c r="A45" s="7">
        <v>2.1</v>
      </c>
      <c r="B45" s="5"/>
      <c r="C45" s="4"/>
      <c r="D45" s="4"/>
      <c r="E45" s="4"/>
      <c r="F45" s="4"/>
      <c r="G45" s="5"/>
      <c r="H45" s="6"/>
    </row>
    <row r="46" spans="1:8" hidden="1" outlineLevel="1" x14ac:dyDescent="0.25">
      <c r="A46" s="7">
        <v>2.2000000000000002</v>
      </c>
      <c r="B46" s="5"/>
      <c r="C46" s="4"/>
      <c r="D46" s="4"/>
      <c r="E46" s="4"/>
      <c r="F46" s="4"/>
      <c r="G46" s="5"/>
      <c r="H46" s="6"/>
    </row>
    <row r="47" spans="1:8" hidden="1" outlineLevel="1" x14ac:dyDescent="0.25">
      <c r="A47" s="7">
        <v>2.2999999999999998</v>
      </c>
      <c r="B47" s="5"/>
      <c r="C47" s="4"/>
      <c r="D47" s="4"/>
      <c r="E47" s="4"/>
      <c r="F47" s="4"/>
      <c r="G47" s="5"/>
      <c r="H47" s="6"/>
    </row>
    <row r="48" spans="1:8" hidden="1" outlineLevel="1" x14ac:dyDescent="0.25">
      <c r="A48" s="7">
        <v>2.4</v>
      </c>
      <c r="B48" s="5"/>
      <c r="C48" s="4"/>
      <c r="D48" s="4"/>
      <c r="E48" s="4"/>
      <c r="F48" s="4"/>
      <c r="G48" s="5"/>
      <c r="H48" s="6"/>
    </row>
    <row r="49" spans="1:8" ht="4.5" customHeight="1" collapsed="1" x14ac:dyDescent="0.25">
      <c r="A49" s="112"/>
      <c r="B49" s="112"/>
      <c r="C49" s="112"/>
      <c r="D49" s="112"/>
      <c r="E49" s="112"/>
      <c r="F49" s="112"/>
      <c r="G49" s="112"/>
      <c r="H49" s="112"/>
    </row>
    <row r="50" spans="1:8" collapsed="1" x14ac:dyDescent="0.25">
      <c r="A50" s="13">
        <v>3</v>
      </c>
      <c r="B50" s="108"/>
      <c r="C50" s="109"/>
      <c r="D50" s="109"/>
      <c r="E50" s="109"/>
      <c r="F50" s="109"/>
      <c r="G50" s="109"/>
      <c r="H50" s="110"/>
    </row>
    <row r="51" spans="1:8" hidden="1" outlineLevel="1" x14ac:dyDescent="0.25">
      <c r="A51" s="7">
        <v>3.1</v>
      </c>
      <c r="B51" s="5"/>
      <c r="C51" s="4"/>
      <c r="D51" s="4"/>
      <c r="E51" s="4"/>
      <c r="F51" s="4"/>
      <c r="G51" s="5"/>
      <c r="H51" s="6"/>
    </row>
    <row r="52" spans="1:8" hidden="1" outlineLevel="1" x14ac:dyDescent="0.25">
      <c r="A52" s="7">
        <v>3.2</v>
      </c>
      <c r="B52" s="5"/>
      <c r="C52" s="4"/>
      <c r="D52" s="4"/>
      <c r="E52" s="4"/>
      <c r="F52" s="4"/>
      <c r="G52" s="5"/>
      <c r="H52" s="6"/>
    </row>
    <row r="53" spans="1:8" hidden="1" outlineLevel="1" x14ac:dyDescent="0.25">
      <c r="A53" s="7">
        <v>3.3</v>
      </c>
      <c r="B53" s="5"/>
      <c r="C53" s="4"/>
      <c r="D53" s="4"/>
      <c r="E53" s="4"/>
      <c r="F53" s="4"/>
      <c r="G53" s="5"/>
      <c r="H53" s="6"/>
    </row>
    <row r="54" spans="1:8" hidden="1" outlineLevel="1" x14ac:dyDescent="0.25">
      <c r="A54" s="7">
        <v>3.4</v>
      </c>
      <c r="B54" s="5"/>
      <c r="C54" s="4"/>
      <c r="D54" s="4"/>
      <c r="E54" s="4"/>
      <c r="F54" s="4"/>
      <c r="G54" s="5"/>
      <c r="H54" s="6"/>
    </row>
    <row r="55" spans="1:8" hidden="1" outlineLevel="1" x14ac:dyDescent="0.25">
      <c r="A55" s="7">
        <v>3.5</v>
      </c>
      <c r="B55" s="5"/>
      <c r="C55" s="4"/>
      <c r="D55" s="4"/>
      <c r="E55" s="4"/>
      <c r="F55" s="4"/>
      <c r="G55" s="5"/>
      <c r="H55" s="6"/>
    </row>
    <row r="56" spans="1:8" ht="4.5" customHeight="1" collapsed="1" x14ac:dyDescent="0.25">
      <c r="A56" s="112"/>
      <c r="B56" s="112"/>
      <c r="C56" s="112"/>
      <c r="D56" s="112"/>
      <c r="E56" s="112"/>
      <c r="F56" s="112"/>
      <c r="G56" s="112"/>
      <c r="H56" s="112"/>
    </row>
    <row r="57" spans="1:8" collapsed="1" x14ac:dyDescent="0.25">
      <c r="A57" s="13">
        <v>4</v>
      </c>
      <c r="B57" s="108"/>
      <c r="C57" s="109"/>
      <c r="D57" s="109"/>
      <c r="E57" s="109"/>
      <c r="F57" s="109"/>
      <c r="G57" s="109"/>
      <c r="H57" s="110"/>
    </row>
    <row r="58" spans="1:8" hidden="1" outlineLevel="1" x14ac:dyDescent="0.25">
      <c r="A58" s="7">
        <v>4.0999999999999996</v>
      </c>
      <c r="B58" s="5"/>
      <c r="C58" s="4"/>
      <c r="D58" s="4"/>
      <c r="E58" s="4"/>
      <c r="F58" s="4"/>
      <c r="G58" s="5"/>
      <c r="H58" s="6"/>
    </row>
    <row r="59" spans="1:8" hidden="1" outlineLevel="1" x14ac:dyDescent="0.25">
      <c r="A59" s="7">
        <v>4.2</v>
      </c>
      <c r="B59" s="5"/>
      <c r="C59" s="4"/>
      <c r="D59" s="4"/>
      <c r="E59" s="4"/>
      <c r="F59" s="4"/>
      <c r="G59" s="5"/>
      <c r="H59" s="6"/>
    </row>
    <row r="60" spans="1:8" hidden="1" outlineLevel="1" x14ac:dyDescent="0.25">
      <c r="A60" s="7">
        <v>4.3</v>
      </c>
      <c r="B60" s="5"/>
      <c r="C60" s="4"/>
      <c r="D60" s="4"/>
      <c r="E60" s="4"/>
      <c r="F60" s="4"/>
      <c r="G60" s="5"/>
      <c r="H60" s="6"/>
    </row>
    <row r="61" spans="1:8" hidden="1" outlineLevel="1" x14ac:dyDescent="0.25">
      <c r="A61" s="7">
        <v>4.4000000000000004</v>
      </c>
      <c r="B61" s="5"/>
      <c r="C61" s="4"/>
      <c r="D61" s="4"/>
      <c r="E61" s="4"/>
      <c r="F61" s="4"/>
      <c r="G61" s="5"/>
      <c r="H61" s="6"/>
    </row>
    <row r="62" spans="1:8" hidden="1" outlineLevel="1" x14ac:dyDescent="0.25">
      <c r="A62" s="7">
        <v>4.5</v>
      </c>
      <c r="B62" s="5"/>
      <c r="C62" s="4"/>
      <c r="D62" s="4"/>
      <c r="E62" s="4"/>
      <c r="F62" s="4"/>
      <c r="G62" s="5"/>
      <c r="H62" s="6"/>
    </row>
    <row r="63" spans="1:8" ht="4.5" customHeight="1" collapsed="1" x14ac:dyDescent="0.25">
      <c r="A63" s="111"/>
      <c r="B63" s="111"/>
      <c r="C63" s="111"/>
      <c r="D63" s="111"/>
      <c r="E63" s="111"/>
      <c r="F63" s="111"/>
      <c r="G63" s="111"/>
      <c r="H63" s="111"/>
    </row>
    <row r="64" spans="1:8" collapsed="1" x14ac:dyDescent="0.25">
      <c r="A64" s="13">
        <v>5</v>
      </c>
      <c r="B64" s="108"/>
      <c r="C64" s="109"/>
      <c r="D64" s="109"/>
      <c r="E64" s="109"/>
      <c r="F64" s="109"/>
      <c r="G64" s="109"/>
      <c r="H64" s="110"/>
    </row>
    <row r="65" spans="1:8" hidden="1" outlineLevel="1" x14ac:dyDescent="0.25">
      <c r="A65" s="7">
        <v>5.0999999999999996</v>
      </c>
      <c r="B65" s="5"/>
      <c r="C65" s="4"/>
      <c r="D65" s="4"/>
      <c r="E65" s="4"/>
      <c r="F65" s="4"/>
      <c r="G65" s="5"/>
      <c r="H65" s="6"/>
    </row>
    <row r="66" spans="1:8" hidden="1" outlineLevel="1" x14ac:dyDescent="0.25">
      <c r="A66" s="7">
        <v>5.2</v>
      </c>
      <c r="B66" s="5"/>
      <c r="C66" s="4"/>
      <c r="D66" s="4"/>
      <c r="E66" s="4"/>
      <c r="F66" s="4"/>
      <c r="G66" s="5"/>
      <c r="H66" s="6"/>
    </row>
    <row r="67" spans="1:8" hidden="1" outlineLevel="1" x14ac:dyDescent="0.25">
      <c r="A67" s="7">
        <v>5.3</v>
      </c>
      <c r="B67" s="5"/>
      <c r="C67" s="4"/>
      <c r="D67" s="4"/>
      <c r="E67" s="4"/>
      <c r="F67" s="4"/>
      <c r="G67" s="5"/>
      <c r="H67" s="6"/>
    </row>
    <row r="68" spans="1:8" hidden="1" outlineLevel="1" x14ac:dyDescent="0.25">
      <c r="A68" s="7">
        <v>5.4</v>
      </c>
      <c r="B68" s="5"/>
      <c r="C68" s="4"/>
      <c r="D68" s="4"/>
      <c r="E68" s="4"/>
      <c r="F68" s="4"/>
      <c r="G68" s="5"/>
      <c r="H68" s="6"/>
    </row>
    <row r="69" spans="1:8" hidden="1" outlineLevel="1" x14ac:dyDescent="0.25">
      <c r="A69" s="7">
        <v>5.5</v>
      </c>
      <c r="B69" s="5"/>
      <c r="C69" s="4"/>
      <c r="D69" s="4"/>
      <c r="E69" s="4"/>
      <c r="F69" s="4"/>
      <c r="G69" s="5"/>
      <c r="H69" s="6"/>
    </row>
    <row r="70" spans="1:8" collapsed="1" x14ac:dyDescent="0.25">
      <c r="A70" s="8"/>
      <c r="B70" s="9"/>
      <c r="C70" s="10"/>
      <c r="D70" s="10"/>
      <c r="E70" s="10"/>
      <c r="F70" s="10"/>
      <c r="G70" s="9"/>
      <c r="H70" s="11"/>
    </row>
    <row r="71" spans="1:8" x14ac:dyDescent="0.25">
      <c r="A71" s="8"/>
      <c r="B71" s="9"/>
      <c r="C71" s="10"/>
      <c r="D71" s="10"/>
      <c r="E71" s="10"/>
      <c r="F71" s="10"/>
      <c r="G71" s="9"/>
      <c r="H71" s="11"/>
    </row>
    <row r="72" spans="1:8" x14ac:dyDescent="0.25">
      <c r="A72" s="8"/>
      <c r="B72" s="9"/>
      <c r="C72" s="10"/>
      <c r="D72" s="10"/>
      <c r="E72" s="10"/>
      <c r="F72" s="10"/>
      <c r="G72" s="9"/>
      <c r="H72" s="11"/>
    </row>
    <row r="73" spans="1:8" x14ac:dyDescent="0.25">
      <c r="A73" s="8"/>
      <c r="B73" s="9"/>
      <c r="C73" s="10"/>
      <c r="D73" s="10"/>
      <c r="E73" s="10"/>
      <c r="F73" s="10"/>
      <c r="G73" s="9"/>
      <c r="H73" s="11"/>
    </row>
  </sheetData>
  <mergeCells count="14">
    <mergeCell ref="A1:H1"/>
    <mergeCell ref="A3:H3"/>
    <mergeCell ref="A5:H5"/>
    <mergeCell ref="B6:H6"/>
    <mergeCell ref="A31:H31"/>
    <mergeCell ref="B32:H32"/>
    <mergeCell ref="B64:H64"/>
    <mergeCell ref="A43:H43"/>
    <mergeCell ref="B44:H44"/>
    <mergeCell ref="A56:H56"/>
    <mergeCell ref="B57:H57"/>
    <mergeCell ref="A63:H63"/>
    <mergeCell ref="A49:H49"/>
    <mergeCell ref="B50:H50"/>
  </mergeCells>
  <conditionalFormatting sqref="A44:B44 A57:B57 A64:B64 A33:H42 A45:H48 A58:H62 A65:H209">
    <cfRule type="expression" dxfId="38" priority="13">
      <formula>IF($H33="X", TRUE, FALSE)</formula>
    </cfRule>
  </conditionalFormatting>
  <conditionalFormatting sqref="A32:B32 A6:B6">
    <cfRule type="expression" dxfId="37" priority="12">
      <formula>IF($H6="X", TRUE, FALSE)</formula>
    </cfRule>
  </conditionalFormatting>
  <conditionalFormatting sqref="A7:H7 A8 C8:H8 A11:H16 B9:H10 B17:H24">
    <cfRule type="expression" dxfId="36" priority="7">
      <formula>IF($H7="X", TRUE, FALSE)</formula>
    </cfRule>
  </conditionalFormatting>
  <conditionalFormatting sqref="B8">
    <cfRule type="expression" dxfId="35" priority="8">
      <formula>IF(#REF!="X", TRUE, FALSE)</formula>
    </cfRule>
  </conditionalFormatting>
  <conditionalFormatting sqref="A9">
    <cfRule type="expression" dxfId="34" priority="9">
      <formula>IF($H10="X", TRUE, FALSE)</formula>
    </cfRule>
  </conditionalFormatting>
  <conditionalFormatting sqref="A17">
    <cfRule type="expression" dxfId="33" priority="10">
      <formula>IF($H19="X", TRUE, FALSE)</formula>
    </cfRule>
  </conditionalFormatting>
  <conditionalFormatting sqref="A18:A20">
    <cfRule type="expression" dxfId="32" priority="11">
      <formula>IF($H21="X", TRUE, FALSE)</formula>
    </cfRule>
  </conditionalFormatting>
  <conditionalFormatting sqref="A21">
    <cfRule type="expression" dxfId="31" priority="6">
      <formula>IF($H24="X", TRUE, FALSE)</formula>
    </cfRule>
  </conditionalFormatting>
  <conditionalFormatting sqref="A22:A24">
    <cfRule type="expression" dxfId="30" priority="5">
      <formula>IF($H25="X", TRUE, FALSE)</formula>
    </cfRule>
  </conditionalFormatting>
  <conditionalFormatting sqref="A25:A30 C25:H30">
    <cfRule type="expression" dxfId="29" priority="4">
      <formula>IF($H25="X", TRUE, FALSE)</formula>
    </cfRule>
  </conditionalFormatting>
  <conditionalFormatting sqref="B26 B28 B30">
    <cfRule type="expression" dxfId="28" priority="2">
      <formula>IF($H26="X", TRUE, FALSE)</formula>
    </cfRule>
  </conditionalFormatting>
  <conditionalFormatting sqref="B25 B27 B29">
    <cfRule type="expression" dxfId="27" priority="3">
      <formula>IF($H25="X", TRUE, FALSE)</formula>
    </cfRule>
  </conditionalFormatting>
  <conditionalFormatting sqref="A50:B50 A51:H55">
    <cfRule type="expression" dxfId="26" priority="1">
      <formula>IF($H50="X", TRUE, FALSE)</formula>
    </cfRule>
  </conditionalFormatting>
  <pageMargins left="0.25" right="0.25" top="1" bottom="0.75" header="0.3" footer="0.3"/>
  <pageSetup orientation="landscape" r:id="rId1"/>
  <headerFooter>
    <oddHeader>&amp;C&amp;"-,Bold"&amp;18eLearning Project Plan
&amp;"-,Bold Italic"Master Schedule</oddHead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Links!#REF!</xm:f>
          </x14:formula1>
          <xm:sqref>H58:H62 H65:H69 H51:H55 H33:H42 H45:H48 H30</xm:sqref>
        </x14:dataValidation>
        <x14:dataValidation type="list" allowBlank="1" showInputMessage="1" showErrorMessage="1">
          <x14:formula1>
            <xm:f>Links!$G$2:$G$3</xm:f>
          </x14:formula1>
          <xm:sqref>H7 H8 H9:H29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heetPr>
  <dimension ref="A1:H113"/>
  <sheetViews>
    <sheetView showGridLines="0" view="pageLayout" zoomScaleNormal="100" workbookViewId="0">
      <selection activeCell="B115" sqref="B115"/>
    </sheetView>
  </sheetViews>
  <sheetFormatPr defaultRowHeight="15" outlineLevelRow="1" x14ac:dyDescent="0.25"/>
  <cols>
    <col min="1" max="1" width="4.5703125" style="1" bestFit="1" customWidth="1"/>
    <col min="2" max="2" width="46.5703125" style="2" customWidth="1"/>
    <col min="3" max="3" width="16" customWidth="1"/>
    <col min="4" max="4" width="8.85546875" customWidth="1"/>
    <col min="5" max="5" width="8.28515625" customWidth="1"/>
    <col min="6" max="6" width="8.140625" customWidth="1"/>
    <col min="7" max="7" width="30.7109375" style="2" customWidth="1"/>
    <col min="8" max="8" width="4.85546875" style="3" customWidth="1"/>
  </cols>
  <sheetData>
    <row r="1" spans="1:8" ht="4.5" customHeight="1" x14ac:dyDescent="0.25">
      <c r="A1" s="113"/>
      <c r="B1" s="114"/>
      <c r="C1" s="114"/>
      <c r="D1" s="114"/>
      <c r="E1" s="114"/>
      <c r="F1" s="114"/>
      <c r="G1" s="114"/>
      <c r="H1" s="115"/>
    </row>
    <row r="2" spans="1:8" ht="60.75" customHeight="1" x14ac:dyDescent="0.25">
      <c r="A2" s="53" t="s">
        <v>0</v>
      </c>
      <c r="B2" s="16" t="s">
        <v>1</v>
      </c>
      <c r="C2" s="27" t="s">
        <v>2</v>
      </c>
      <c r="D2" s="18" t="s">
        <v>3</v>
      </c>
      <c r="E2" s="18" t="s">
        <v>4</v>
      </c>
      <c r="F2" s="18" t="s">
        <v>5</v>
      </c>
      <c r="G2" s="16" t="s">
        <v>6</v>
      </c>
      <c r="H2" s="28" t="s">
        <v>51</v>
      </c>
    </row>
    <row r="3" spans="1:8" ht="4.5" customHeight="1" x14ac:dyDescent="0.25">
      <c r="A3" s="116"/>
      <c r="B3" s="117"/>
      <c r="C3" s="117"/>
      <c r="D3" s="117"/>
      <c r="E3" s="117"/>
      <c r="F3" s="117"/>
      <c r="G3" s="117"/>
      <c r="H3" s="118"/>
    </row>
    <row r="4" spans="1:8" collapsed="1" x14ac:dyDescent="0.25">
      <c r="A4" s="13">
        <v>1</v>
      </c>
      <c r="B4" s="119" t="s">
        <v>130</v>
      </c>
      <c r="C4" s="120"/>
      <c r="D4" s="120"/>
      <c r="E4" s="120"/>
      <c r="F4" s="120"/>
      <c r="G4" s="120"/>
      <c r="H4" s="121"/>
    </row>
    <row r="5" spans="1:8" hidden="1" outlineLevel="1" x14ac:dyDescent="0.25">
      <c r="A5" s="7">
        <v>1.1000000000000001</v>
      </c>
      <c r="B5" s="5" t="s">
        <v>92</v>
      </c>
      <c r="C5" s="4"/>
      <c r="D5" s="68"/>
      <c r="E5" s="4"/>
      <c r="F5" s="4"/>
      <c r="G5" s="5"/>
      <c r="H5" s="6"/>
    </row>
    <row r="6" spans="1:8" hidden="1" outlineLevel="1" x14ac:dyDescent="0.25">
      <c r="A6" s="7">
        <v>1.2</v>
      </c>
      <c r="B6" s="5"/>
      <c r="C6" s="4"/>
      <c r="D6" s="4"/>
      <c r="E6" s="4"/>
      <c r="F6" s="4"/>
      <c r="G6" s="5"/>
      <c r="H6" s="6"/>
    </row>
    <row r="7" spans="1:8" hidden="1" outlineLevel="1" x14ac:dyDescent="0.25">
      <c r="A7" s="7">
        <v>1.3</v>
      </c>
      <c r="B7" s="5"/>
      <c r="C7" s="4"/>
      <c r="D7" s="4"/>
      <c r="E7" s="4"/>
      <c r="F7" s="4"/>
      <c r="G7" s="5"/>
      <c r="H7" s="6"/>
    </row>
    <row r="8" spans="1:8" hidden="1" outlineLevel="1" x14ac:dyDescent="0.25">
      <c r="A8" s="7">
        <v>1.4</v>
      </c>
      <c r="B8" s="5"/>
      <c r="C8" s="4"/>
      <c r="D8" s="4"/>
      <c r="E8" s="4"/>
      <c r="F8" s="4"/>
      <c r="G8" s="5"/>
      <c r="H8" s="6"/>
    </row>
    <row r="9" spans="1:8" hidden="1" outlineLevel="1" x14ac:dyDescent="0.25">
      <c r="A9" s="7">
        <v>1.5</v>
      </c>
      <c r="B9" s="5"/>
      <c r="C9" s="4"/>
      <c r="D9" s="4"/>
      <c r="E9" s="4"/>
      <c r="F9" s="4"/>
      <c r="G9" s="5"/>
      <c r="H9" s="6"/>
    </row>
    <row r="10" spans="1:8" hidden="1" outlineLevel="1" x14ac:dyDescent="0.25">
      <c r="A10" s="7">
        <v>1.6</v>
      </c>
      <c r="B10" s="5"/>
      <c r="C10" s="4"/>
      <c r="D10" s="4"/>
      <c r="E10" s="4"/>
      <c r="F10" s="4"/>
      <c r="G10" s="5"/>
      <c r="H10" s="6"/>
    </row>
    <row r="11" spans="1:8" hidden="1" outlineLevel="1" x14ac:dyDescent="0.25">
      <c r="A11" s="7">
        <v>1.7</v>
      </c>
      <c r="B11" s="5"/>
      <c r="C11" s="4"/>
      <c r="D11" s="4"/>
      <c r="E11" s="4"/>
      <c r="F11" s="4"/>
      <c r="G11" s="5"/>
      <c r="H11" s="6"/>
    </row>
    <row r="12" spans="1:8" hidden="1" outlineLevel="1" x14ac:dyDescent="0.25">
      <c r="A12" s="7">
        <v>1.8</v>
      </c>
      <c r="B12" s="5"/>
      <c r="C12" s="4"/>
      <c r="D12" s="4"/>
      <c r="E12" s="4"/>
      <c r="F12" s="4"/>
      <c r="G12" s="5"/>
      <c r="H12" s="6"/>
    </row>
    <row r="13" spans="1:8" hidden="1" outlineLevel="1" x14ac:dyDescent="0.25">
      <c r="A13" s="7">
        <v>1.9</v>
      </c>
      <c r="B13" s="5"/>
      <c r="C13" s="4"/>
      <c r="D13" s="4"/>
      <c r="E13" s="4"/>
      <c r="F13" s="4"/>
      <c r="G13" s="5"/>
      <c r="H13" s="6"/>
    </row>
    <row r="14" spans="1:8" hidden="1" outlineLevel="1" x14ac:dyDescent="0.25">
      <c r="A14" s="12">
        <v>1.1000000000000001</v>
      </c>
      <c r="B14" s="5"/>
      <c r="C14" s="4"/>
      <c r="D14" s="4"/>
      <c r="E14" s="4"/>
      <c r="F14" s="4"/>
      <c r="G14" s="5"/>
      <c r="H14" s="6"/>
    </row>
    <row r="15" spans="1:8" hidden="1" outlineLevel="1" x14ac:dyDescent="0.25">
      <c r="A15" s="12">
        <v>1.1100000000000001</v>
      </c>
      <c r="B15" s="5"/>
      <c r="C15" s="4"/>
      <c r="D15" s="4"/>
      <c r="E15" s="4"/>
      <c r="F15" s="4"/>
      <c r="G15" s="5"/>
      <c r="H15" s="6"/>
    </row>
    <row r="16" spans="1:8" hidden="1" outlineLevel="1" x14ac:dyDescent="0.25">
      <c r="A16" s="12">
        <v>1.1200000000000001</v>
      </c>
      <c r="B16" s="5"/>
      <c r="C16" s="4"/>
      <c r="D16" s="4"/>
      <c r="E16" s="4"/>
      <c r="F16" s="4"/>
      <c r="G16" s="5"/>
      <c r="H16" s="6"/>
    </row>
    <row r="17" spans="1:8" hidden="1" outlineLevel="1" x14ac:dyDescent="0.25">
      <c r="A17" s="12">
        <v>1.1299999999999999</v>
      </c>
      <c r="B17" s="5"/>
      <c r="C17" s="4"/>
      <c r="D17" s="4"/>
      <c r="E17" s="4"/>
      <c r="F17" s="4"/>
      <c r="G17" s="5"/>
      <c r="H17" s="6"/>
    </row>
    <row r="18" spans="1:8" hidden="1" outlineLevel="1" x14ac:dyDescent="0.25">
      <c r="A18" s="12">
        <v>1.1399999999999999</v>
      </c>
      <c r="B18" s="5"/>
      <c r="C18" s="4"/>
      <c r="D18" s="4"/>
      <c r="E18" s="4"/>
      <c r="F18" s="4"/>
      <c r="G18" s="5"/>
      <c r="H18" s="6"/>
    </row>
    <row r="19" spans="1:8" hidden="1" outlineLevel="1" x14ac:dyDescent="0.25">
      <c r="A19" s="12">
        <v>1.1499999999999999</v>
      </c>
      <c r="B19" s="5"/>
      <c r="C19" s="4"/>
      <c r="D19" s="4"/>
      <c r="E19" s="4"/>
      <c r="F19" s="4"/>
      <c r="G19" s="5"/>
      <c r="H19" s="6"/>
    </row>
    <row r="20" spans="1:8" hidden="1" outlineLevel="1" x14ac:dyDescent="0.25">
      <c r="A20" s="12">
        <v>1.1599999999999999</v>
      </c>
      <c r="B20" s="5"/>
      <c r="C20" s="4"/>
      <c r="D20" s="4"/>
      <c r="E20" s="4"/>
      <c r="F20" s="4"/>
      <c r="G20" s="5"/>
      <c r="H20" s="6"/>
    </row>
    <row r="21" spans="1:8" hidden="1" outlineLevel="1" x14ac:dyDescent="0.25">
      <c r="A21" s="12">
        <v>1.17</v>
      </c>
      <c r="B21" s="5"/>
      <c r="C21" s="4"/>
      <c r="D21" s="4"/>
      <c r="E21" s="4"/>
      <c r="F21" s="4"/>
      <c r="G21" s="5"/>
      <c r="H21" s="6"/>
    </row>
    <row r="22" spans="1:8" hidden="1" outlineLevel="1" x14ac:dyDescent="0.25">
      <c r="A22" s="12">
        <v>1.18</v>
      </c>
      <c r="B22" s="5"/>
      <c r="C22" s="4"/>
      <c r="D22" s="4"/>
      <c r="E22" s="4"/>
      <c r="F22" s="4"/>
      <c r="G22" s="5"/>
      <c r="H22" s="6"/>
    </row>
    <row r="23" spans="1:8" hidden="1" outlineLevel="1" x14ac:dyDescent="0.25">
      <c r="A23" s="12">
        <v>1.19</v>
      </c>
      <c r="B23" s="5"/>
      <c r="C23" s="4"/>
      <c r="D23" s="4"/>
      <c r="E23" s="4"/>
      <c r="F23" s="4"/>
      <c r="G23" s="5"/>
      <c r="H23" s="6"/>
    </row>
    <row r="24" spans="1:8" hidden="1" outlineLevel="1" x14ac:dyDescent="0.25">
      <c r="A24" s="12">
        <v>1.2</v>
      </c>
      <c r="B24" s="5"/>
      <c r="C24" s="4"/>
      <c r="D24" s="4"/>
      <c r="E24" s="4"/>
      <c r="F24" s="4"/>
      <c r="G24" s="5"/>
      <c r="H24" s="6"/>
    </row>
    <row r="25" spans="1:8" hidden="1" outlineLevel="1" x14ac:dyDescent="0.25">
      <c r="A25" s="12">
        <v>1.21</v>
      </c>
      <c r="B25" s="5"/>
      <c r="C25" s="4"/>
      <c r="D25" s="4"/>
      <c r="E25" s="4"/>
      <c r="F25" s="4"/>
      <c r="G25" s="5"/>
      <c r="H25" s="6"/>
    </row>
    <row r="26" spans="1:8" hidden="1" outlineLevel="1" x14ac:dyDescent="0.25">
      <c r="A26" s="12">
        <v>1.22</v>
      </c>
      <c r="B26" s="5"/>
      <c r="C26" s="4"/>
      <c r="D26" s="4"/>
      <c r="E26" s="4"/>
      <c r="F26" s="4"/>
      <c r="G26" s="5"/>
      <c r="H26" s="6"/>
    </row>
    <row r="27" spans="1:8" hidden="1" outlineLevel="1" x14ac:dyDescent="0.25">
      <c r="A27" s="12">
        <v>1.23</v>
      </c>
      <c r="B27" s="5"/>
      <c r="C27" s="4"/>
      <c r="D27" s="4"/>
      <c r="E27" s="4"/>
      <c r="F27" s="4"/>
      <c r="G27" s="5"/>
      <c r="H27" s="6"/>
    </row>
    <row r="28" spans="1:8" hidden="1" outlineLevel="1" x14ac:dyDescent="0.25">
      <c r="A28" s="12">
        <v>1.24</v>
      </c>
      <c r="B28" s="5"/>
      <c r="C28" s="4"/>
      <c r="D28" s="4"/>
      <c r="E28" s="4"/>
      <c r="F28" s="4"/>
      <c r="G28" s="5"/>
      <c r="H28" s="6"/>
    </row>
    <row r="29" spans="1:8" hidden="1" outlineLevel="1" x14ac:dyDescent="0.25">
      <c r="A29" s="12">
        <v>1.25</v>
      </c>
      <c r="B29" s="5"/>
      <c r="C29" s="4"/>
      <c r="D29" s="4"/>
      <c r="E29" s="4"/>
      <c r="F29" s="4"/>
      <c r="G29" s="5"/>
      <c r="H29" s="6"/>
    </row>
    <row r="30" spans="1:8" hidden="1" outlineLevel="1" x14ac:dyDescent="0.25">
      <c r="A30" s="12">
        <v>1.26</v>
      </c>
      <c r="B30" s="5"/>
      <c r="C30" s="4"/>
      <c r="D30" s="4"/>
      <c r="E30" s="4"/>
      <c r="F30" s="4"/>
      <c r="G30" s="5"/>
      <c r="H30" s="6"/>
    </row>
    <row r="31" spans="1:8" hidden="1" outlineLevel="1" x14ac:dyDescent="0.25">
      <c r="A31" s="12">
        <v>1.27</v>
      </c>
      <c r="B31" s="5"/>
      <c r="C31" s="4"/>
      <c r="D31" s="4"/>
      <c r="E31" s="4"/>
      <c r="F31" s="4"/>
      <c r="G31" s="5"/>
      <c r="H31" s="6"/>
    </row>
    <row r="32" spans="1:8" hidden="1" outlineLevel="1" x14ac:dyDescent="0.25">
      <c r="A32" s="12">
        <v>1.28</v>
      </c>
      <c r="B32" s="5"/>
      <c r="C32" s="4"/>
      <c r="D32" s="4"/>
      <c r="E32" s="4"/>
      <c r="F32" s="4"/>
      <c r="G32" s="5"/>
      <c r="H32" s="6"/>
    </row>
    <row r="33" spans="1:8" hidden="1" outlineLevel="1" x14ac:dyDescent="0.25">
      <c r="A33" s="12">
        <v>1.29</v>
      </c>
      <c r="B33" s="5"/>
      <c r="C33" s="4"/>
      <c r="D33" s="4"/>
      <c r="E33" s="4"/>
      <c r="F33" s="4"/>
      <c r="G33" s="5"/>
      <c r="H33" s="6"/>
    </row>
    <row r="34" spans="1:8" hidden="1" outlineLevel="1" x14ac:dyDescent="0.25">
      <c r="A34" s="12">
        <v>1.3</v>
      </c>
      <c r="B34" s="5"/>
      <c r="C34" s="4"/>
      <c r="D34" s="4"/>
      <c r="E34" s="4"/>
      <c r="F34" s="4"/>
      <c r="G34" s="5"/>
      <c r="H34" s="6"/>
    </row>
    <row r="35" spans="1:8" ht="4.5" customHeight="1" x14ac:dyDescent="0.25">
      <c r="A35" s="111"/>
      <c r="B35" s="111"/>
      <c r="C35" s="111"/>
      <c r="D35" s="111"/>
      <c r="E35" s="111"/>
      <c r="F35" s="111"/>
      <c r="G35" s="111"/>
      <c r="H35" s="111"/>
    </row>
    <row r="36" spans="1:8" collapsed="1" x14ac:dyDescent="0.25">
      <c r="A36" s="13">
        <v>2</v>
      </c>
      <c r="B36" s="105" t="s">
        <v>131</v>
      </c>
      <c r="C36" s="106"/>
      <c r="D36" s="106"/>
      <c r="E36" s="106"/>
      <c r="F36" s="106"/>
      <c r="G36" s="106"/>
      <c r="H36" s="107"/>
    </row>
    <row r="37" spans="1:8" hidden="1" outlineLevel="1" x14ac:dyDescent="0.25">
      <c r="A37" s="7">
        <v>2.1</v>
      </c>
      <c r="B37" s="5"/>
      <c r="C37" s="4"/>
      <c r="D37" s="4"/>
      <c r="E37" s="4"/>
      <c r="F37" s="4"/>
      <c r="G37" s="5"/>
      <c r="H37" s="6"/>
    </row>
    <row r="38" spans="1:8" hidden="1" outlineLevel="1" x14ac:dyDescent="0.25">
      <c r="A38" s="7">
        <v>2.2000000000000002</v>
      </c>
      <c r="B38" s="5"/>
      <c r="C38" s="4"/>
      <c r="D38" s="4"/>
      <c r="E38" s="4"/>
      <c r="F38" s="4"/>
      <c r="G38" s="5"/>
      <c r="H38" s="6"/>
    </row>
    <row r="39" spans="1:8" hidden="1" outlineLevel="1" x14ac:dyDescent="0.25">
      <c r="A39" s="7">
        <v>2.2999999999999998</v>
      </c>
      <c r="B39" s="5"/>
      <c r="C39" s="4"/>
      <c r="D39" s="4"/>
      <c r="E39" s="4"/>
      <c r="F39" s="4"/>
      <c r="G39" s="5"/>
      <c r="H39" s="6"/>
    </row>
    <row r="40" spans="1:8" hidden="1" outlineLevel="1" x14ac:dyDescent="0.25">
      <c r="A40" s="7">
        <v>2.4</v>
      </c>
      <c r="B40" s="5"/>
      <c r="C40" s="4"/>
      <c r="D40" s="4"/>
      <c r="E40" s="4"/>
      <c r="F40" s="4"/>
      <c r="G40" s="5"/>
      <c r="H40" s="6"/>
    </row>
    <row r="41" spans="1:8" hidden="1" outlineLevel="1" x14ac:dyDescent="0.25">
      <c r="A41" s="7">
        <v>2.5</v>
      </c>
      <c r="B41" s="5"/>
      <c r="C41" s="4"/>
      <c r="D41" s="4"/>
      <c r="E41" s="4"/>
      <c r="F41" s="4"/>
      <c r="G41" s="5"/>
      <c r="H41" s="6"/>
    </row>
    <row r="42" spans="1:8" hidden="1" outlineLevel="1" x14ac:dyDescent="0.25">
      <c r="A42" s="7">
        <v>2.6</v>
      </c>
      <c r="B42" s="5"/>
      <c r="C42" s="4"/>
      <c r="D42" s="4"/>
      <c r="E42" s="4"/>
      <c r="F42" s="4"/>
      <c r="G42" s="5"/>
      <c r="H42" s="6"/>
    </row>
    <row r="43" spans="1:8" hidden="1" outlineLevel="1" x14ac:dyDescent="0.25">
      <c r="A43" s="7">
        <v>2.7</v>
      </c>
      <c r="B43" s="5"/>
      <c r="C43" s="4"/>
      <c r="D43" s="4"/>
      <c r="E43" s="4"/>
      <c r="F43" s="4"/>
      <c r="G43" s="5"/>
      <c r="H43" s="6"/>
    </row>
    <row r="44" spans="1:8" hidden="1" outlineLevel="1" x14ac:dyDescent="0.25">
      <c r="A44" s="7">
        <v>2.8</v>
      </c>
      <c r="B44" s="5"/>
      <c r="C44" s="4"/>
      <c r="D44" s="4"/>
      <c r="E44" s="4"/>
      <c r="F44" s="4"/>
      <c r="G44" s="5"/>
      <c r="H44" s="6"/>
    </row>
    <row r="45" spans="1:8" hidden="1" outlineLevel="1" x14ac:dyDescent="0.25">
      <c r="A45" s="7">
        <v>2.9</v>
      </c>
      <c r="B45" s="5"/>
      <c r="C45" s="4"/>
      <c r="D45" s="4"/>
      <c r="E45" s="4"/>
      <c r="F45" s="4"/>
      <c r="G45" s="5"/>
      <c r="H45" s="6"/>
    </row>
    <row r="46" spans="1:8" hidden="1" outlineLevel="1" x14ac:dyDescent="0.25">
      <c r="A46" s="12">
        <v>2.1</v>
      </c>
      <c r="B46" s="5"/>
      <c r="C46" s="4"/>
      <c r="D46" s="4"/>
      <c r="E46" s="4"/>
      <c r="F46" s="4"/>
      <c r="G46" s="5"/>
      <c r="H46" s="6"/>
    </row>
    <row r="47" spans="1:8" hidden="1" outlineLevel="1" x14ac:dyDescent="0.25">
      <c r="A47" s="12">
        <v>2.11</v>
      </c>
      <c r="B47" s="5"/>
      <c r="C47" s="4"/>
      <c r="D47" s="4"/>
      <c r="E47" s="4"/>
      <c r="F47" s="4"/>
      <c r="G47" s="5"/>
      <c r="H47" s="6"/>
    </row>
    <row r="48" spans="1:8" hidden="1" outlineLevel="1" x14ac:dyDescent="0.25">
      <c r="A48" s="12">
        <v>2.12</v>
      </c>
      <c r="B48" s="5"/>
      <c r="C48" s="4"/>
      <c r="D48" s="4"/>
      <c r="E48" s="4"/>
      <c r="F48" s="4"/>
      <c r="G48" s="5"/>
      <c r="H48" s="6"/>
    </row>
    <row r="49" spans="1:8" ht="4.5" customHeight="1" collapsed="1" x14ac:dyDescent="0.25">
      <c r="A49" s="111"/>
      <c r="B49" s="111"/>
      <c r="C49" s="111"/>
      <c r="D49" s="111"/>
      <c r="E49" s="111"/>
      <c r="F49" s="111"/>
      <c r="G49" s="111"/>
      <c r="H49" s="111"/>
    </row>
    <row r="50" spans="1:8" collapsed="1" x14ac:dyDescent="0.25">
      <c r="A50" s="13">
        <v>3</v>
      </c>
      <c r="B50" s="108" t="s">
        <v>132</v>
      </c>
      <c r="C50" s="109"/>
      <c r="D50" s="109"/>
      <c r="E50" s="109"/>
      <c r="F50" s="109"/>
      <c r="G50" s="109"/>
      <c r="H50" s="110"/>
    </row>
    <row r="51" spans="1:8" hidden="1" outlineLevel="1" x14ac:dyDescent="0.25">
      <c r="A51" s="7">
        <v>3.1</v>
      </c>
      <c r="B51" s="5"/>
      <c r="C51" s="4"/>
      <c r="D51" s="4"/>
      <c r="E51" s="4"/>
      <c r="F51" s="4"/>
      <c r="G51" s="5"/>
      <c r="H51" s="6"/>
    </row>
    <row r="52" spans="1:8" hidden="1" outlineLevel="1" x14ac:dyDescent="0.25">
      <c r="A52" s="7">
        <v>3.2</v>
      </c>
      <c r="B52" s="5"/>
      <c r="C52" s="4"/>
      <c r="D52" s="4"/>
      <c r="E52" s="4"/>
      <c r="F52" s="4"/>
      <c r="G52" s="5"/>
      <c r="H52" s="6"/>
    </row>
    <row r="53" spans="1:8" hidden="1" outlineLevel="1" x14ac:dyDescent="0.25">
      <c r="A53" s="7">
        <v>3.3</v>
      </c>
      <c r="B53" s="5"/>
      <c r="C53" s="4"/>
      <c r="D53" s="4"/>
      <c r="E53" s="4"/>
      <c r="F53" s="4"/>
      <c r="G53" s="5"/>
      <c r="H53" s="6"/>
    </row>
    <row r="54" spans="1:8" hidden="1" outlineLevel="1" x14ac:dyDescent="0.25">
      <c r="A54" s="7">
        <v>3.4</v>
      </c>
      <c r="B54" s="5"/>
      <c r="C54" s="4"/>
      <c r="D54" s="4"/>
      <c r="E54" s="4"/>
      <c r="F54" s="4"/>
      <c r="G54" s="5"/>
      <c r="H54" s="6"/>
    </row>
    <row r="55" spans="1:8" hidden="1" outlineLevel="1" x14ac:dyDescent="0.25">
      <c r="A55" s="7">
        <v>3.5</v>
      </c>
      <c r="B55" s="5"/>
      <c r="C55" s="4"/>
      <c r="D55" s="4"/>
      <c r="E55" s="4"/>
      <c r="F55" s="4"/>
      <c r="G55" s="5"/>
      <c r="H55" s="6"/>
    </row>
    <row r="56" spans="1:8" hidden="1" outlineLevel="1" x14ac:dyDescent="0.25">
      <c r="A56" s="7">
        <v>3.6</v>
      </c>
      <c r="B56" s="5"/>
      <c r="C56" s="4"/>
      <c r="D56" s="4"/>
      <c r="E56" s="4"/>
      <c r="F56" s="4"/>
      <c r="G56" s="5"/>
      <c r="H56" s="6"/>
    </row>
    <row r="57" spans="1:8" hidden="1" outlineLevel="1" x14ac:dyDescent="0.25">
      <c r="A57" s="7">
        <v>3.7</v>
      </c>
      <c r="B57" s="5"/>
      <c r="C57" s="4"/>
      <c r="D57" s="4"/>
      <c r="E57" s="4"/>
      <c r="F57" s="4"/>
      <c r="G57" s="5"/>
      <c r="H57" s="6"/>
    </row>
    <row r="58" spans="1:8" hidden="1" outlineLevel="1" x14ac:dyDescent="0.25">
      <c r="A58" s="7">
        <v>3.8</v>
      </c>
      <c r="B58" s="5"/>
      <c r="C58" s="4"/>
      <c r="D58" s="4"/>
      <c r="E58" s="4"/>
      <c r="F58" s="4"/>
      <c r="G58" s="5"/>
      <c r="H58" s="6"/>
    </row>
    <row r="59" spans="1:8" hidden="1" outlineLevel="1" x14ac:dyDescent="0.25">
      <c r="A59" s="7">
        <v>3.9</v>
      </c>
      <c r="B59" s="5"/>
      <c r="C59" s="4"/>
      <c r="D59" s="4"/>
      <c r="E59" s="4"/>
      <c r="F59" s="4"/>
      <c r="G59" s="5"/>
      <c r="H59" s="6"/>
    </row>
    <row r="60" spans="1:8" hidden="1" outlineLevel="1" x14ac:dyDescent="0.25">
      <c r="A60" s="12">
        <v>3.1</v>
      </c>
      <c r="B60" s="5"/>
      <c r="C60" s="4"/>
      <c r="D60" s="4"/>
      <c r="E60" s="4"/>
      <c r="F60" s="4"/>
      <c r="G60" s="5"/>
      <c r="H60" s="6"/>
    </row>
    <row r="61" spans="1:8" hidden="1" outlineLevel="1" x14ac:dyDescent="0.25">
      <c r="A61" s="12">
        <v>3.11</v>
      </c>
      <c r="B61" s="5"/>
      <c r="C61" s="4"/>
      <c r="D61" s="4"/>
      <c r="E61" s="4"/>
      <c r="F61" s="4"/>
      <c r="G61" s="5"/>
      <c r="H61" s="6"/>
    </row>
    <row r="62" spans="1:8" hidden="1" outlineLevel="1" x14ac:dyDescent="0.25">
      <c r="A62" s="12">
        <v>3.12</v>
      </c>
      <c r="B62" s="5"/>
      <c r="C62" s="4"/>
      <c r="D62" s="4"/>
      <c r="E62" s="4"/>
      <c r="F62" s="4"/>
      <c r="G62" s="5"/>
      <c r="H62" s="6"/>
    </row>
    <row r="63" spans="1:8" hidden="1" outlineLevel="1" x14ac:dyDescent="0.25">
      <c r="A63" s="12">
        <v>3.13</v>
      </c>
      <c r="B63" s="5"/>
      <c r="C63" s="4"/>
      <c r="D63" s="4"/>
      <c r="E63" s="4"/>
      <c r="F63" s="4"/>
      <c r="G63" s="5"/>
      <c r="H63" s="6"/>
    </row>
    <row r="64" spans="1:8" hidden="1" outlineLevel="1" x14ac:dyDescent="0.25">
      <c r="A64" s="12">
        <v>3.14</v>
      </c>
      <c r="B64" s="5"/>
      <c r="C64" s="4"/>
      <c r="D64" s="4"/>
      <c r="E64" s="4"/>
      <c r="F64" s="4"/>
      <c r="G64" s="5"/>
      <c r="H64" s="6"/>
    </row>
    <row r="65" spans="1:8" ht="4.5" customHeight="1" collapsed="1" x14ac:dyDescent="0.25">
      <c r="A65" s="111"/>
      <c r="B65" s="111"/>
      <c r="C65" s="111"/>
      <c r="D65" s="111"/>
      <c r="E65" s="111"/>
      <c r="F65" s="111"/>
      <c r="G65" s="111"/>
      <c r="H65" s="111"/>
    </row>
    <row r="66" spans="1:8" collapsed="1" x14ac:dyDescent="0.25">
      <c r="A66" s="13">
        <v>4</v>
      </c>
      <c r="B66" s="108" t="s">
        <v>133</v>
      </c>
      <c r="C66" s="109"/>
      <c r="D66" s="109"/>
      <c r="E66" s="109"/>
      <c r="F66" s="109"/>
      <c r="G66" s="109"/>
      <c r="H66" s="110"/>
    </row>
    <row r="67" spans="1:8" hidden="1" outlineLevel="1" x14ac:dyDescent="0.25">
      <c r="A67" s="7">
        <v>4.0999999999999996</v>
      </c>
      <c r="B67" s="5"/>
      <c r="C67" s="4"/>
      <c r="D67" s="4"/>
      <c r="E67" s="4"/>
      <c r="F67" s="4"/>
      <c r="G67" s="5"/>
      <c r="H67" s="6"/>
    </row>
    <row r="68" spans="1:8" hidden="1" outlineLevel="1" x14ac:dyDescent="0.25">
      <c r="A68" s="7">
        <v>4.2</v>
      </c>
      <c r="B68" s="5"/>
      <c r="C68" s="4"/>
      <c r="D68" s="4"/>
      <c r="E68" s="4"/>
      <c r="F68" s="4"/>
      <c r="G68" s="5"/>
      <c r="H68" s="6"/>
    </row>
    <row r="69" spans="1:8" hidden="1" outlineLevel="1" x14ac:dyDescent="0.25">
      <c r="A69" s="7">
        <v>4.3</v>
      </c>
      <c r="B69" s="5"/>
      <c r="C69" s="4"/>
      <c r="D69" s="4"/>
      <c r="E69" s="4"/>
      <c r="F69" s="4"/>
      <c r="G69" s="5"/>
      <c r="H69" s="6"/>
    </row>
    <row r="70" spans="1:8" hidden="1" outlineLevel="1" x14ac:dyDescent="0.25">
      <c r="A70" s="7">
        <v>4.4000000000000004</v>
      </c>
      <c r="B70" s="5"/>
      <c r="C70" s="4"/>
      <c r="D70" s="4"/>
      <c r="E70" s="4"/>
      <c r="F70" s="4"/>
      <c r="G70" s="5"/>
      <c r="H70" s="6"/>
    </row>
    <row r="71" spans="1:8" hidden="1" outlineLevel="1" x14ac:dyDescent="0.25">
      <c r="A71" s="7">
        <v>4.5</v>
      </c>
      <c r="B71" s="5"/>
      <c r="C71" s="4"/>
      <c r="D71" s="4"/>
      <c r="E71" s="4"/>
      <c r="F71" s="4"/>
      <c r="G71" s="5"/>
      <c r="H71" s="6"/>
    </row>
    <row r="72" spans="1:8" hidden="1" outlineLevel="1" x14ac:dyDescent="0.25">
      <c r="A72" s="7">
        <v>4.5999999999999996</v>
      </c>
      <c r="B72" s="5"/>
      <c r="C72" s="4"/>
      <c r="D72" s="4"/>
      <c r="E72" s="4"/>
      <c r="F72" s="4"/>
      <c r="G72" s="5"/>
      <c r="H72" s="6"/>
    </row>
    <row r="73" spans="1:8" hidden="1" outlineLevel="1" x14ac:dyDescent="0.25">
      <c r="A73" s="7">
        <v>4.7</v>
      </c>
      <c r="B73" s="5"/>
      <c r="C73" s="4"/>
      <c r="D73" s="4"/>
      <c r="E73" s="4"/>
      <c r="F73" s="4"/>
      <c r="G73" s="5"/>
      <c r="H73" s="6"/>
    </row>
    <row r="74" spans="1:8" hidden="1" outlineLevel="1" x14ac:dyDescent="0.25">
      <c r="A74" s="7">
        <v>4.8</v>
      </c>
      <c r="B74" s="5"/>
      <c r="C74" s="4"/>
      <c r="D74" s="4"/>
      <c r="E74" s="4"/>
      <c r="F74" s="4"/>
      <c r="G74" s="5"/>
      <c r="H74" s="6"/>
    </row>
    <row r="75" spans="1:8" hidden="1" outlineLevel="1" x14ac:dyDescent="0.25">
      <c r="A75" s="7">
        <v>4.9000000000000004</v>
      </c>
      <c r="B75" s="5"/>
      <c r="C75" s="4"/>
      <c r="D75" s="4"/>
      <c r="E75" s="4"/>
      <c r="F75" s="4"/>
      <c r="G75" s="5"/>
      <c r="H75" s="6"/>
    </row>
    <row r="76" spans="1:8" hidden="1" outlineLevel="1" x14ac:dyDescent="0.25">
      <c r="A76" s="12">
        <v>4.0999999999999996</v>
      </c>
      <c r="B76" s="5"/>
      <c r="C76" s="4"/>
      <c r="D76" s="4"/>
      <c r="E76" s="4"/>
      <c r="F76" s="4"/>
      <c r="G76" s="5"/>
      <c r="H76" s="6"/>
    </row>
    <row r="77" spans="1:8" hidden="1" outlineLevel="1" x14ac:dyDescent="0.25">
      <c r="A77" s="12">
        <v>4.1100000000000003</v>
      </c>
      <c r="B77" s="5"/>
      <c r="C77" s="4"/>
      <c r="D77" s="4"/>
      <c r="E77" s="4"/>
      <c r="F77" s="4"/>
      <c r="G77" s="5"/>
      <c r="H77" s="6"/>
    </row>
    <row r="78" spans="1:8" hidden="1" outlineLevel="1" x14ac:dyDescent="0.25">
      <c r="A78" s="12">
        <v>4.12</v>
      </c>
      <c r="B78" s="5"/>
      <c r="C78" s="4"/>
      <c r="D78" s="4"/>
      <c r="E78" s="4"/>
      <c r="F78" s="4"/>
      <c r="G78" s="5"/>
      <c r="H78" s="6"/>
    </row>
    <row r="79" spans="1:8" hidden="1" outlineLevel="1" x14ac:dyDescent="0.25">
      <c r="A79" s="12">
        <v>4.13</v>
      </c>
      <c r="B79" s="5"/>
      <c r="C79" s="4"/>
      <c r="D79" s="4"/>
      <c r="E79" s="4"/>
      <c r="F79" s="4"/>
      <c r="G79" s="5"/>
      <c r="H79" s="6"/>
    </row>
    <row r="80" spans="1:8" hidden="1" outlineLevel="1" x14ac:dyDescent="0.25">
      <c r="A80" s="12">
        <v>4.1399999999999997</v>
      </c>
      <c r="B80" s="5"/>
      <c r="C80" s="4"/>
      <c r="D80" s="4"/>
      <c r="E80" s="4"/>
      <c r="F80" s="4"/>
      <c r="G80" s="5"/>
      <c r="H80" s="6"/>
    </row>
    <row r="81" spans="1:8" hidden="1" outlineLevel="1" x14ac:dyDescent="0.25">
      <c r="A81" s="12">
        <v>4.1500000000000004</v>
      </c>
      <c r="B81" s="5"/>
      <c r="C81" s="4"/>
      <c r="D81" s="4"/>
      <c r="E81" s="4"/>
      <c r="F81" s="4"/>
      <c r="G81" s="5"/>
      <c r="H81" s="6"/>
    </row>
    <row r="82" spans="1:8" hidden="1" outlineLevel="1" x14ac:dyDescent="0.25">
      <c r="A82" s="12">
        <v>4.16</v>
      </c>
      <c r="B82" s="5"/>
      <c r="C82" s="4"/>
      <c r="D82" s="4"/>
      <c r="E82" s="4"/>
      <c r="F82" s="4"/>
      <c r="G82" s="5"/>
      <c r="H82" s="6"/>
    </row>
    <row r="83" spans="1:8" hidden="1" outlineLevel="1" x14ac:dyDescent="0.25">
      <c r="A83" s="12">
        <v>4.17</v>
      </c>
      <c r="B83" s="5"/>
      <c r="C83" s="4"/>
      <c r="D83" s="4"/>
      <c r="E83" s="4"/>
      <c r="F83" s="4"/>
      <c r="G83" s="5"/>
      <c r="H83" s="6"/>
    </row>
    <row r="84" spans="1:8" hidden="1" outlineLevel="1" x14ac:dyDescent="0.25">
      <c r="A84" s="12">
        <v>4.1800000000000104</v>
      </c>
      <c r="B84" s="5"/>
      <c r="C84" s="4"/>
      <c r="D84" s="4"/>
      <c r="E84" s="4"/>
      <c r="F84" s="4"/>
      <c r="G84" s="5"/>
      <c r="H84" s="6"/>
    </row>
    <row r="85" spans="1:8" hidden="1" outlineLevel="1" x14ac:dyDescent="0.25">
      <c r="A85" s="12">
        <v>4.1900000000000102</v>
      </c>
      <c r="B85" s="5"/>
      <c r="C85" s="4"/>
      <c r="D85" s="4"/>
      <c r="E85" s="4"/>
      <c r="F85" s="4"/>
      <c r="G85" s="5"/>
      <c r="H85" s="6"/>
    </row>
    <row r="86" spans="1:8" hidden="1" outlineLevel="1" x14ac:dyDescent="0.25">
      <c r="A86" s="12">
        <v>4.2000000000000099</v>
      </c>
      <c r="B86" s="5"/>
      <c r="C86" s="4"/>
      <c r="D86" s="4"/>
      <c r="E86" s="4"/>
      <c r="F86" s="4"/>
      <c r="G86" s="5"/>
      <c r="H86" s="6"/>
    </row>
    <row r="87" spans="1:8" hidden="1" outlineLevel="1" x14ac:dyDescent="0.25">
      <c r="A87" s="12">
        <v>4.2100000000000097</v>
      </c>
      <c r="B87" s="5"/>
      <c r="C87" s="4"/>
      <c r="D87" s="4"/>
      <c r="E87" s="4"/>
      <c r="F87" s="4"/>
      <c r="G87" s="5"/>
      <c r="H87" s="6"/>
    </row>
    <row r="88" spans="1:8" hidden="1" outlineLevel="1" x14ac:dyDescent="0.25">
      <c r="A88" s="12">
        <v>4.2200000000000104</v>
      </c>
      <c r="B88" s="5"/>
      <c r="C88" s="4"/>
      <c r="D88" s="4"/>
      <c r="E88" s="4"/>
      <c r="F88" s="4"/>
      <c r="G88" s="5"/>
      <c r="H88" s="6"/>
    </row>
    <row r="89" spans="1:8" hidden="1" outlineLevel="1" x14ac:dyDescent="0.25">
      <c r="A89" s="12">
        <v>4.2300000000000102</v>
      </c>
      <c r="B89" s="5"/>
      <c r="C89" s="4"/>
      <c r="D89" s="4"/>
      <c r="E89" s="4"/>
      <c r="F89" s="4"/>
      <c r="G89" s="5"/>
      <c r="H89" s="6"/>
    </row>
    <row r="90" spans="1:8" hidden="1" outlineLevel="1" x14ac:dyDescent="0.25">
      <c r="A90" s="12">
        <v>4.24000000000001</v>
      </c>
      <c r="B90" s="5"/>
      <c r="C90" s="4"/>
      <c r="D90" s="4"/>
      <c r="E90" s="4"/>
      <c r="F90" s="4"/>
      <c r="G90" s="5"/>
      <c r="H90" s="6"/>
    </row>
    <row r="91" spans="1:8" ht="4.5" customHeight="1" collapsed="1" x14ac:dyDescent="0.25">
      <c r="A91" s="111"/>
      <c r="B91" s="111"/>
      <c r="C91" s="111"/>
      <c r="D91" s="111"/>
      <c r="E91" s="111"/>
      <c r="F91" s="111"/>
      <c r="G91" s="111"/>
      <c r="H91" s="111"/>
    </row>
    <row r="92" spans="1:8" collapsed="1" x14ac:dyDescent="0.25">
      <c r="A92" s="13">
        <v>5</v>
      </c>
      <c r="B92" s="108" t="s">
        <v>134</v>
      </c>
      <c r="C92" s="109"/>
      <c r="D92" s="109"/>
      <c r="E92" s="109"/>
      <c r="F92" s="109"/>
      <c r="G92" s="109"/>
      <c r="H92" s="110"/>
    </row>
    <row r="93" spans="1:8" hidden="1" outlineLevel="1" x14ac:dyDescent="0.25">
      <c r="A93" s="7">
        <v>5.0999999999999996</v>
      </c>
      <c r="B93" s="5"/>
      <c r="C93" s="4"/>
      <c r="D93" s="4"/>
      <c r="E93" s="4"/>
      <c r="F93" s="4"/>
      <c r="G93" s="5"/>
      <c r="H93" s="6"/>
    </row>
    <row r="94" spans="1:8" hidden="1" outlineLevel="1" x14ac:dyDescent="0.25">
      <c r="A94" s="7">
        <v>5.2</v>
      </c>
      <c r="B94" s="5"/>
      <c r="C94" s="4"/>
      <c r="D94" s="4"/>
      <c r="E94" s="4"/>
      <c r="F94" s="4"/>
      <c r="G94" s="5"/>
      <c r="H94" s="6"/>
    </row>
    <row r="95" spans="1:8" hidden="1" outlineLevel="1" x14ac:dyDescent="0.25">
      <c r="A95" s="7">
        <v>5.3</v>
      </c>
      <c r="B95" s="5"/>
      <c r="C95" s="4"/>
      <c r="D95" s="4"/>
      <c r="E95" s="4"/>
      <c r="F95" s="4"/>
      <c r="G95" s="5"/>
      <c r="H95" s="6"/>
    </row>
    <row r="96" spans="1:8" hidden="1" outlineLevel="1" x14ac:dyDescent="0.25">
      <c r="A96" s="7">
        <v>5.4</v>
      </c>
      <c r="B96" s="5"/>
      <c r="C96" s="4"/>
      <c r="D96" s="4"/>
      <c r="E96" s="4"/>
      <c r="F96" s="4"/>
      <c r="G96" s="5"/>
      <c r="H96" s="6"/>
    </row>
    <row r="97" spans="1:8" hidden="1" outlineLevel="1" x14ac:dyDescent="0.25">
      <c r="A97" s="7">
        <v>5.5</v>
      </c>
      <c r="B97" s="5"/>
      <c r="C97" s="4"/>
      <c r="D97" s="4"/>
      <c r="E97" s="4"/>
      <c r="F97" s="4"/>
      <c r="G97" s="5"/>
      <c r="H97" s="6"/>
    </row>
    <row r="98" spans="1:8" hidden="1" outlineLevel="1" x14ac:dyDescent="0.25">
      <c r="A98" s="7">
        <v>5.6</v>
      </c>
      <c r="B98" s="5"/>
      <c r="C98" s="4"/>
      <c r="D98" s="4"/>
      <c r="E98" s="4"/>
      <c r="F98" s="4"/>
      <c r="G98" s="5"/>
      <c r="H98" s="6"/>
    </row>
    <row r="99" spans="1:8" hidden="1" outlineLevel="1" x14ac:dyDescent="0.25">
      <c r="A99" s="7">
        <v>5.7</v>
      </c>
      <c r="B99" s="5"/>
      <c r="C99" s="4"/>
      <c r="D99" s="4"/>
      <c r="E99" s="4"/>
      <c r="F99" s="4"/>
      <c r="G99" s="5"/>
      <c r="H99" s="6"/>
    </row>
    <row r="100" spans="1:8" hidden="1" outlineLevel="1" x14ac:dyDescent="0.25">
      <c r="A100" s="7">
        <v>5.8</v>
      </c>
      <c r="B100" s="5"/>
      <c r="C100" s="4"/>
      <c r="D100" s="4"/>
      <c r="E100" s="4"/>
      <c r="F100" s="4"/>
      <c r="G100" s="5"/>
      <c r="H100" s="6"/>
    </row>
    <row r="101" spans="1:8" hidden="1" outlineLevel="1" x14ac:dyDescent="0.25">
      <c r="A101" s="7">
        <v>5.9</v>
      </c>
      <c r="B101" s="5"/>
      <c r="C101" s="4"/>
      <c r="D101" s="4"/>
      <c r="E101" s="4"/>
      <c r="F101" s="4"/>
      <c r="G101" s="5"/>
      <c r="H101" s="6"/>
    </row>
    <row r="102" spans="1:8" hidden="1" outlineLevel="1" x14ac:dyDescent="0.25">
      <c r="A102" s="12">
        <v>5.0999999999999996</v>
      </c>
      <c r="B102" s="5"/>
      <c r="C102" s="4"/>
      <c r="D102" s="4"/>
      <c r="E102" s="4"/>
      <c r="F102" s="4"/>
      <c r="G102" s="5"/>
      <c r="H102" s="6"/>
    </row>
    <row r="103" spans="1:8" hidden="1" outlineLevel="1" x14ac:dyDescent="0.25">
      <c r="A103" s="12">
        <v>5.1100000000000003</v>
      </c>
      <c r="B103" s="5"/>
      <c r="C103" s="4"/>
      <c r="D103" s="4"/>
      <c r="E103" s="4"/>
      <c r="F103" s="4"/>
      <c r="G103" s="5"/>
      <c r="H103" s="6"/>
    </row>
    <row r="104" spans="1:8" ht="4.5" customHeight="1" collapsed="1" x14ac:dyDescent="0.25">
      <c r="A104" s="111"/>
      <c r="B104" s="111"/>
      <c r="C104" s="111"/>
      <c r="D104" s="111"/>
      <c r="E104" s="111"/>
      <c r="F104" s="111"/>
      <c r="G104" s="111"/>
      <c r="H104" s="111"/>
    </row>
    <row r="105" spans="1:8" collapsed="1" x14ac:dyDescent="0.25">
      <c r="A105" s="13">
        <v>6</v>
      </c>
      <c r="B105" s="108" t="s">
        <v>135</v>
      </c>
      <c r="C105" s="109"/>
      <c r="D105" s="109"/>
      <c r="E105" s="109"/>
      <c r="F105" s="109"/>
      <c r="G105" s="109"/>
      <c r="H105" s="110"/>
    </row>
    <row r="106" spans="1:8" hidden="1" outlineLevel="1" x14ac:dyDescent="0.25">
      <c r="A106" s="7">
        <v>6.1</v>
      </c>
      <c r="B106" s="5"/>
      <c r="C106" s="4"/>
      <c r="D106" s="4"/>
      <c r="E106" s="4"/>
      <c r="F106" s="4"/>
      <c r="G106" s="5"/>
      <c r="H106" s="6"/>
    </row>
    <row r="107" spans="1:8" hidden="1" outlineLevel="1" x14ac:dyDescent="0.25">
      <c r="A107" s="7">
        <v>6.2</v>
      </c>
      <c r="B107" s="5"/>
      <c r="C107" s="4"/>
      <c r="D107" s="4"/>
      <c r="E107" s="4"/>
      <c r="F107" s="4"/>
      <c r="G107" s="5"/>
      <c r="H107" s="6"/>
    </row>
    <row r="108" spans="1:8" hidden="1" outlineLevel="1" x14ac:dyDescent="0.25">
      <c r="A108" s="7">
        <v>6.3</v>
      </c>
      <c r="B108" s="5"/>
      <c r="C108" s="4"/>
      <c r="D108" s="4"/>
      <c r="E108" s="4"/>
      <c r="F108" s="4"/>
      <c r="G108" s="5"/>
      <c r="H108" s="6"/>
    </row>
    <row r="109" spans="1:8" hidden="1" outlineLevel="1" x14ac:dyDescent="0.25">
      <c r="A109" s="7">
        <v>6.4</v>
      </c>
      <c r="B109" s="5"/>
      <c r="C109" s="4"/>
      <c r="D109" s="4"/>
      <c r="E109" s="4"/>
      <c r="F109" s="4"/>
      <c r="G109" s="5"/>
      <c r="H109" s="6"/>
    </row>
    <row r="110" spans="1:8" hidden="1" outlineLevel="1" x14ac:dyDescent="0.25">
      <c r="A110" s="7">
        <v>6.5</v>
      </c>
      <c r="B110" s="5"/>
      <c r="C110" s="4"/>
      <c r="D110" s="4"/>
      <c r="E110" s="4"/>
      <c r="F110" s="4"/>
      <c r="G110" s="5"/>
      <c r="H110" s="6"/>
    </row>
    <row r="111" spans="1:8" hidden="1" outlineLevel="1" x14ac:dyDescent="0.25">
      <c r="A111" s="7">
        <v>6.6</v>
      </c>
      <c r="B111" s="5"/>
      <c r="C111" s="4"/>
      <c r="D111" s="4"/>
      <c r="E111" s="4"/>
      <c r="F111" s="4"/>
      <c r="G111" s="5"/>
      <c r="H111" s="6"/>
    </row>
    <row r="112" spans="1:8" hidden="1" outlineLevel="1" x14ac:dyDescent="0.25">
      <c r="A112" s="7">
        <v>6.7</v>
      </c>
      <c r="B112" s="5"/>
      <c r="C112" s="4"/>
      <c r="D112" s="4"/>
      <c r="E112" s="4"/>
      <c r="F112" s="4"/>
      <c r="G112" s="5"/>
      <c r="H112" s="6"/>
    </row>
    <row r="113" spans="1:8" collapsed="1" x14ac:dyDescent="0.25">
      <c r="A113" s="111"/>
      <c r="B113" s="111"/>
      <c r="C113" s="111"/>
      <c r="D113" s="111"/>
      <c r="E113" s="111"/>
      <c r="F113" s="111"/>
      <c r="G113" s="111"/>
      <c r="H113" s="111"/>
    </row>
  </sheetData>
  <customSheetViews>
    <customSheetView guid="{79CFC90F-9797-4F95-B835-584B9BD0A801}" showPageBreaks="1" showGridLines="0" view="pageLayout">
      <selection activeCell="H5" sqref="H5"/>
    </customSheetView>
  </customSheetViews>
  <mergeCells count="14">
    <mergeCell ref="A113:H113"/>
    <mergeCell ref="A49:H49"/>
    <mergeCell ref="A1:H1"/>
    <mergeCell ref="A3:H3"/>
    <mergeCell ref="B4:H4"/>
    <mergeCell ref="A35:H35"/>
    <mergeCell ref="B36:H36"/>
    <mergeCell ref="B105:H105"/>
    <mergeCell ref="B50:H50"/>
    <mergeCell ref="A65:H65"/>
    <mergeCell ref="B66:H66"/>
    <mergeCell ref="A91:H91"/>
    <mergeCell ref="B92:H92"/>
    <mergeCell ref="A104:H104"/>
  </mergeCells>
  <conditionalFormatting sqref="A36:B36 A50 A66:B66 A92:B92 A4:B4 A105:B105 A5:H34 A37:H48 A51:H64 A67:H90 A93:H103 A106:H112 A114:H241">
    <cfRule type="expression" dxfId="25" priority="3">
      <formula>IF($H4="X", TRUE, FALSE)</formula>
    </cfRule>
  </conditionalFormatting>
  <dataValidations disablePrompts="1" count="1">
    <dataValidation allowBlank="1" showInputMessage="1" showErrorMessage="1" promptTitle="Task ID" prompt="Use this number when referring to a specific task" sqref="A2"/>
  </dataValidations>
  <pageMargins left="0.25" right="0.25" top="1" bottom="0.75" header="0.3" footer="0.3"/>
  <pageSetup orientation="landscape" r:id="rId1"/>
  <headerFooter>
    <oddHeader>&amp;C&amp;"-,Bold"&amp;18MASTER PROJECT PLAN
&amp;"-,Bold Italic"ProjectName</oddHead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Links!$G$2:$G$3</xm:f>
          </x14:formula1>
          <xm:sqref>H5:H34 H37:H48 H51:H64 H67:H90 H93:H103 H106:H112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pageSetUpPr fitToPage="1"/>
  </sheetPr>
  <dimension ref="A1:AK33"/>
  <sheetViews>
    <sheetView showGridLines="0" workbookViewId="0">
      <selection activeCell="U21" sqref="U21"/>
    </sheetView>
  </sheetViews>
  <sheetFormatPr defaultRowHeight="12.75" x14ac:dyDescent="0.2"/>
  <cols>
    <col min="1" max="1" width="9.5703125" style="57" bestFit="1" customWidth="1"/>
    <col min="2" max="33" width="3.7109375" style="57" customWidth="1"/>
    <col min="34" max="34" width="4" style="57" customWidth="1"/>
    <col min="35" max="35" width="30.7109375" style="57" customWidth="1"/>
    <col min="36" max="36" width="1.7109375" style="57" customWidth="1"/>
    <col min="37" max="37" width="16.42578125" style="57" customWidth="1"/>
    <col min="38" max="16384" width="9.140625" style="57"/>
  </cols>
  <sheetData>
    <row r="1" spans="1:37" ht="26.25" x14ac:dyDescent="0.2">
      <c r="A1" s="56">
        <v>2013</v>
      </c>
      <c r="C1" s="58"/>
      <c r="D1" s="58"/>
      <c r="E1" s="58"/>
      <c r="F1" s="58"/>
      <c r="G1" s="58"/>
      <c r="H1" s="58"/>
      <c r="I1" s="58"/>
      <c r="J1" s="58"/>
      <c r="K1" s="58"/>
      <c r="L1" s="58"/>
      <c r="M1" s="58"/>
      <c r="N1" s="58"/>
      <c r="O1" s="58"/>
      <c r="P1" s="58"/>
      <c r="Q1" s="58"/>
      <c r="R1" s="58"/>
      <c r="S1" s="58"/>
      <c r="T1" s="58"/>
    </row>
    <row r="2" spans="1:37" ht="15.95" customHeight="1" x14ac:dyDescent="0.2">
      <c r="C2" s="125" t="s">
        <v>61</v>
      </c>
      <c r="D2" s="126"/>
      <c r="E2" s="126"/>
      <c r="F2" s="126"/>
      <c r="G2" s="126"/>
      <c r="H2" s="126"/>
      <c r="I2" s="127"/>
      <c r="K2" s="125" t="s">
        <v>62</v>
      </c>
      <c r="L2" s="126"/>
      <c r="M2" s="126"/>
      <c r="N2" s="126"/>
      <c r="O2" s="126"/>
      <c r="P2" s="126"/>
      <c r="Q2" s="127"/>
      <c r="S2" s="125" t="s">
        <v>63</v>
      </c>
      <c r="T2" s="126"/>
      <c r="U2" s="126"/>
      <c r="V2" s="126"/>
      <c r="W2" s="126"/>
      <c r="X2" s="126"/>
      <c r="Y2" s="127"/>
      <c r="AA2" s="125" t="s">
        <v>64</v>
      </c>
      <c r="AB2" s="126"/>
      <c r="AC2" s="126"/>
      <c r="AD2" s="126"/>
      <c r="AE2" s="126"/>
      <c r="AF2" s="126"/>
      <c r="AG2" s="127"/>
      <c r="AI2" s="67" t="s">
        <v>78</v>
      </c>
      <c r="AK2" s="67" t="s">
        <v>79</v>
      </c>
    </row>
    <row r="3" spans="1:37" ht="15.95" customHeight="1" x14ac:dyDescent="0.2">
      <c r="B3" s="59"/>
      <c r="C3" s="60" t="s">
        <v>65</v>
      </c>
      <c r="D3" s="60" t="s">
        <v>66</v>
      </c>
      <c r="E3" s="60" t="s">
        <v>67</v>
      </c>
      <c r="F3" s="60" t="s">
        <v>68</v>
      </c>
      <c r="G3" s="60" t="s">
        <v>67</v>
      </c>
      <c r="H3" s="60" t="s">
        <v>69</v>
      </c>
      <c r="I3" s="60" t="s">
        <v>65</v>
      </c>
      <c r="K3" s="60" t="s">
        <v>65</v>
      </c>
      <c r="L3" s="60" t="s">
        <v>66</v>
      </c>
      <c r="M3" s="60" t="s">
        <v>67</v>
      </c>
      <c r="N3" s="60" t="s">
        <v>68</v>
      </c>
      <c r="O3" s="60" t="s">
        <v>67</v>
      </c>
      <c r="P3" s="60" t="s">
        <v>69</v>
      </c>
      <c r="Q3" s="60" t="s">
        <v>65</v>
      </c>
      <c r="S3" s="60" t="s">
        <v>65</v>
      </c>
      <c r="T3" s="60" t="s">
        <v>66</v>
      </c>
      <c r="U3" s="60" t="s">
        <v>67</v>
      </c>
      <c r="V3" s="60" t="s">
        <v>68</v>
      </c>
      <c r="W3" s="60" t="s">
        <v>67</v>
      </c>
      <c r="X3" s="60" t="s">
        <v>69</v>
      </c>
      <c r="Y3" s="60" t="s">
        <v>65</v>
      </c>
      <c r="AA3" s="60" t="s">
        <v>65</v>
      </c>
      <c r="AB3" s="60" t="s">
        <v>66</v>
      </c>
      <c r="AC3" s="60" t="s">
        <v>67</v>
      </c>
      <c r="AD3" s="60" t="s">
        <v>68</v>
      </c>
      <c r="AE3" s="60" t="s">
        <v>67</v>
      </c>
      <c r="AF3" s="60" t="s">
        <v>69</v>
      </c>
      <c r="AG3" s="60" t="s">
        <v>65</v>
      </c>
    </row>
    <row r="4" spans="1:37" ht="15.95" customHeight="1" x14ac:dyDescent="0.2">
      <c r="C4" s="61" t="str">
        <f>IF(AND(YEAR(JanSun1)=$A$1,MONTH(JanSun1)=1),JanSun1, "")</f>
        <v/>
      </c>
      <c r="D4" s="61" t="str">
        <f>IF(AND(YEAR(JanSun1+1)=$A$1,MONTH(JanSun1+1)=1),JanSun1+1, "")</f>
        <v/>
      </c>
      <c r="E4" s="61">
        <f>IF(AND(YEAR(JanSun1+2)=$A$1,MONTH(JanSun1+2)=1),JanSun1+2, "")</f>
        <v>41275</v>
      </c>
      <c r="F4" s="61">
        <f>IF(AND(YEAR(JanSun1+3)=$A$1,MONTH(JanSun1+3)=1),JanSun1+3, "")</f>
        <v>41276</v>
      </c>
      <c r="G4" s="61">
        <f>IF(AND(YEAR(JanSun1+4)=$A$1,MONTH(JanSun1+4)=1),JanSun1+4, "")</f>
        <v>41277</v>
      </c>
      <c r="H4" s="61">
        <f>IF(AND(YEAR(JanSun1+5)=$A$1,MONTH(JanSun1+5)=1),JanSun1+5, "")</f>
        <v>41278</v>
      </c>
      <c r="I4" s="61">
        <f>IF(AND(YEAR(JanSun1+6)=$A$1,MONTH(JanSun1+6)=1),JanSun1+6, "")</f>
        <v>41279</v>
      </c>
      <c r="K4" s="61" t="str">
        <f>IF(AND(YEAR(AprSun1)=$A$1,MONTH(AprSun1)=4),AprSun1, "")</f>
        <v/>
      </c>
      <c r="L4" s="61">
        <f>IF(AND(YEAR(AprSun1+1)=$A$1,MONTH(AprSun1+1)=4),AprSun1+1, "")</f>
        <v>41365</v>
      </c>
      <c r="M4" s="61">
        <f>IF(AND(YEAR(AprSun1+2)=$A$1,MONTH(AprSun1+2)=4),AprSun1+2, "")</f>
        <v>41366</v>
      </c>
      <c r="N4" s="61">
        <f>IF(AND(YEAR(AprSun1+3)=$A$1,MONTH(AprSun1+3)=4),AprSun1+3, "")</f>
        <v>41367</v>
      </c>
      <c r="O4" s="61">
        <f>IF(AND(YEAR(AprSun1+4)=$A$1,MONTH(AprSun1+4)=4),AprSun1+4, "")</f>
        <v>41368</v>
      </c>
      <c r="P4" s="61">
        <f>IF(AND(YEAR(AprSun1+5)=$A$1,MONTH(AprSun1+5)=4),AprSun1+5, "")</f>
        <v>41369</v>
      </c>
      <c r="Q4" s="61">
        <f>IF(AND(YEAR(AprSun1+6)=$A$1,MONTH(AprSun1+6)=4),AprSun1+6, "")</f>
        <v>41370</v>
      </c>
      <c r="S4" s="61" t="str">
        <f>IF(AND(YEAR(JulSun1)=$A$1,MONTH(JulSun1)=7),JulSun1, "")</f>
        <v/>
      </c>
      <c r="T4" s="61">
        <f>IF(AND(YEAR(JulSun1+1)=$A$1,MONTH(JulSun1+1)=7),JulSun1+1, "")</f>
        <v>41456</v>
      </c>
      <c r="U4" s="61">
        <f>IF(AND(YEAR(JulSun1+2)=$A$1,MONTH(JulSun1+2)=7),JulSun1+2, "")</f>
        <v>41457</v>
      </c>
      <c r="V4" s="61">
        <f>IF(AND(YEAR(JulSun1+3)=$A$1,MONTH(JulSun1+3)=7),JulSun1+3, "")</f>
        <v>41458</v>
      </c>
      <c r="W4" s="61">
        <f>IF(AND(YEAR(JulSun1+4)=$A$1,MONTH(JulSun1+4)=7),JulSun1+4, "")</f>
        <v>41459</v>
      </c>
      <c r="X4" s="61">
        <f>IF(AND(YEAR(JulSun1+5)=$A$1,MONTH(JulSun1+5)=7),JulSun1+5, "")</f>
        <v>41460</v>
      </c>
      <c r="Y4" s="61">
        <f>IF(AND(YEAR(JulSun1+6)=$A$1,MONTH(JulSun1+6)=7),JulSun1+6, "")</f>
        <v>41461</v>
      </c>
      <c r="AA4" s="61" t="str">
        <f>IF(AND(YEAR(OctSun1)=$A$1,MONTH(OctSun1)=10),OctSun1, "")</f>
        <v/>
      </c>
      <c r="AB4" s="61" t="str">
        <f>IF(AND(YEAR(OctSun1+1)=$A$1,MONTH(OctSun1+1)=10),OctSun1+1, "")</f>
        <v/>
      </c>
      <c r="AC4" s="61">
        <f>IF(AND(YEAR(OctSun1+2)=$A$1,MONTH(OctSun1+2)=10),OctSun1+2, "")</f>
        <v>41548</v>
      </c>
      <c r="AD4" s="61">
        <f>IF(AND(YEAR(OctSun1+3)=$A$1,MONTH(OctSun1+3)=10),OctSun1+3, "")</f>
        <v>41549</v>
      </c>
      <c r="AE4" s="61">
        <f>IF(AND(YEAR(OctSun1+4)=$A$1,MONTH(OctSun1+4)=10),OctSun1+4, "")</f>
        <v>41550</v>
      </c>
      <c r="AF4" s="61">
        <f>IF(AND(YEAR(OctSun1+5)=$A$1,MONTH(OctSun1+5)=10),OctSun1+5, "")</f>
        <v>41551</v>
      </c>
      <c r="AG4" s="61">
        <f>IF(AND(YEAR(OctSun1+6)=$A$1,MONTH(OctSun1+6)=10),OctSun1+6, "")</f>
        <v>41552</v>
      </c>
    </row>
    <row r="5" spans="1:37" ht="15.95" customHeight="1" x14ac:dyDescent="0.2">
      <c r="C5" s="61">
        <f>IF(AND(YEAR(JanSun1+7)=$A$1,MONTH(JanSun1+7)=1),JanSun1+7, "")</f>
        <v>41280</v>
      </c>
      <c r="D5" s="61">
        <f>IF(AND(YEAR(JanSun1+8)=$A$1,MONTH(JanSun1+8)=1),JanSun1+8, "")</f>
        <v>41281</v>
      </c>
      <c r="E5" s="61">
        <f>IF(AND(YEAR(JanSun1+9)=$A$1,MONTH(JanSun1+9)=1),JanSun1+9, "")</f>
        <v>41282</v>
      </c>
      <c r="F5" s="61">
        <f>IF(AND(YEAR(JanSun1+10)=$A$1,MONTH(JanSun1+10)=1),JanSun1+10, "")</f>
        <v>41283</v>
      </c>
      <c r="G5" s="61">
        <f>IF(AND(YEAR(JanSun1+11)=$A$1,MONTH(JanSun1+11)=1),JanSun1+11, "")</f>
        <v>41284</v>
      </c>
      <c r="H5" s="61">
        <f>IF(AND(YEAR(JanSun1+12)=$A$1,MONTH(JanSun1+12)=1),JanSun1+12, "")</f>
        <v>41285</v>
      </c>
      <c r="I5" s="61">
        <f>IF(AND(YEAR(JanSun1+13)=$A$1,MONTH(JanSun1+13)=1),JanSun1+13, "")</f>
        <v>41286</v>
      </c>
      <c r="K5" s="61">
        <f>IF(AND(YEAR(AprSun1+7)=$A$1,MONTH(AprSun1+7)=4),AprSun1+7, "")</f>
        <v>41371</v>
      </c>
      <c r="L5" s="61">
        <f>IF(AND(YEAR(AprSun1+8)=$A$1,MONTH(AprSun1+8)=4),AprSun1+8, "")</f>
        <v>41372</v>
      </c>
      <c r="M5" s="61">
        <f>IF(AND(YEAR(AprSun1+9)=$A$1,MONTH(AprSun1+9)=4),AprSun1+9, "")</f>
        <v>41373</v>
      </c>
      <c r="N5" s="61">
        <f>IF(AND(YEAR(AprSun1+10)=$A$1,MONTH(AprSun1+10)=4),AprSun1+10, "")</f>
        <v>41374</v>
      </c>
      <c r="O5" s="61">
        <f>IF(AND(YEAR(AprSun1+11)=$A$1,MONTH(AprSun1+11)=4),AprSun1+11, "")</f>
        <v>41375</v>
      </c>
      <c r="P5" s="61">
        <f>IF(AND(YEAR(AprSun1+12)=$A$1,MONTH(AprSun1+12)=4),AprSun1+12, "")</f>
        <v>41376</v>
      </c>
      <c r="Q5" s="61">
        <f>IF(AND(YEAR(AprSun1+13)=$A$1,MONTH(AprSun1+13)=4),AprSun1+13, "")</f>
        <v>41377</v>
      </c>
      <c r="S5" s="61">
        <f>IF(AND(YEAR(JulSun1+7)=$A$1,MONTH(JulSun1+7)=7),JulSun1+7, "")</f>
        <v>41462</v>
      </c>
      <c r="T5" s="61">
        <f>IF(AND(YEAR(JulSun1+8)=$A$1,MONTH(JulSun1+8)=7),JulSun1+8, "")</f>
        <v>41463</v>
      </c>
      <c r="U5" s="61">
        <f>IF(AND(YEAR(JulSun1+9)=$A$1,MONTH(JulSun1+9)=7),JulSun1+9, "")</f>
        <v>41464</v>
      </c>
      <c r="V5" s="61">
        <f>IF(AND(YEAR(JulSun1+10)=$A$1,MONTH(JulSun1+10)=7),JulSun1+10, "")</f>
        <v>41465</v>
      </c>
      <c r="W5" s="61">
        <f>IF(AND(YEAR(JulSun1+11)=$A$1,MONTH(JulSun1+11)=7),JulSun1+11, "")</f>
        <v>41466</v>
      </c>
      <c r="X5" s="61">
        <f>IF(AND(YEAR(JulSun1+12)=$A$1,MONTH(JulSun1+12)=7),JulSun1+12, "")</f>
        <v>41467</v>
      </c>
      <c r="Y5" s="61">
        <f>IF(AND(YEAR(JulSun1+13)=$A$1,MONTH(JulSun1+13)=7),JulSun1+13, "")</f>
        <v>41468</v>
      </c>
      <c r="AA5" s="61">
        <f>IF(AND(YEAR(OctSun1+7)=$A$1,MONTH(OctSun1+7)=10),OctSun1+7, "")</f>
        <v>41553</v>
      </c>
      <c r="AB5" s="61">
        <f>IF(AND(YEAR(OctSun1+8)=$A$1,MONTH(OctSun1+8)=10),OctSun1+8, "")</f>
        <v>41554</v>
      </c>
      <c r="AC5" s="61">
        <f>IF(AND(YEAR(OctSun1+9)=$A$1,MONTH(OctSun1+9)=10),OctSun1+9, "")</f>
        <v>41555</v>
      </c>
      <c r="AD5" s="61">
        <f>IF(AND(YEAR(OctSun1+10)=$A$1,MONTH(OctSun1+10)=10),OctSun1+10, "")</f>
        <v>41556</v>
      </c>
      <c r="AE5" s="61">
        <f>IF(AND(YEAR(OctSun1+11)=$A$1,MONTH(OctSun1+11)=10),OctSun1+11, "")</f>
        <v>41557</v>
      </c>
      <c r="AF5" s="61">
        <f>IF(AND(YEAR(OctSun1+12)=$A$1,MONTH(OctSun1+12)=10),OctSun1+12, "")</f>
        <v>41558</v>
      </c>
      <c r="AG5" s="61">
        <f>IF(AND(YEAR(OctSun1+13)=$A$1,MONTH(OctSun1+13)=10),OctSun1+13, "")</f>
        <v>41559</v>
      </c>
    </row>
    <row r="6" spans="1:37" ht="15.95" customHeight="1" x14ac:dyDescent="0.2">
      <c r="C6" s="61">
        <f>IF(AND(YEAR(JanSun1+14)=$A$1,MONTH(JanSun1+14)=1),JanSun1+14, "")</f>
        <v>41287</v>
      </c>
      <c r="D6" s="61">
        <f>IF(AND(YEAR(JanSun1+15)=$A$1,MONTH(JanSun1+15)=1),JanSun1+15, "")</f>
        <v>41288</v>
      </c>
      <c r="E6" s="61">
        <f>IF(AND(YEAR(JanSun1+16)=$A$1,MONTH(JanSun1+16)=1),JanSun1+16, "")</f>
        <v>41289</v>
      </c>
      <c r="F6" s="61">
        <f>IF(AND(YEAR(JanSun1+17)=$A$1,MONTH(JanSun1+17)=1),JanSun1+17, "")</f>
        <v>41290</v>
      </c>
      <c r="G6" s="61">
        <f>IF(AND(YEAR(JanSun1+18)=$A$1,MONTH(JanSun1+18)=1),JanSun1+18, "")</f>
        <v>41291</v>
      </c>
      <c r="H6" s="61">
        <f>IF(AND(YEAR(JanSun1+19)=$A$1,MONTH(JanSun1+19)=1),JanSun1+19, "")</f>
        <v>41292</v>
      </c>
      <c r="I6" s="61">
        <f>IF(AND(YEAR(JanSun1+20)=$A$1,MONTH(JanSun1+20)=1),JanSun1+20, "")</f>
        <v>41293</v>
      </c>
      <c r="K6" s="61">
        <f>IF(AND(YEAR(AprSun1+14)=$A$1,MONTH(AprSun1+14)=4),AprSun1+14, "")</f>
        <v>41378</v>
      </c>
      <c r="L6" s="61">
        <f>IF(AND(YEAR(AprSun1+15)=$A$1,MONTH(AprSun1+15)=4),AprSun1+15, "")</f>
        <v>41379</v>
      </c>
      <c r="M6" s="61">
        <f>IF(AND(YEAR(AprSun1+16)=$A$1,MONTH(AprSun1+16)=4),AprSun1+16, "")</f>
        <v>41380</v>
      </c>
      <c r="N6" s="61">
        <f>IF(AND(YEAR(AprSun1+17)=$A$1,MONTH(AprSun1+17)=4),AprSun1+17, "")</f>
        <v>41381</v>
      </c>
      <c r="O6" s="61">
        <f>IF(AND(YEAR(AprSun1+18)=$A$1,MONTH(AprSun1+18)=4),AprSun1+18, "")</f>
        <v>41382</v>
      </c>
      <c r="P6" s="61">
        <f>IF(AND(YEAR(AprSun1+19)=$A$1,MONTH(AprSun1+19)=4),AprSun1+19, "")</f>
        <v>41383</v>
      </c>
      <c r="Q6" s="61">
        <f>IF(AND(YEAR(AprSun1+20)=$A$1,MONTH(AprSun1+20)=4),AprSun1+20, "")</f>
        <v>41384</v>
      </c>
      <c r="S6" s="61">
        <f>IF(AND(YEAR(JulSun1+14)=$A$1,MONTH(JulSun1+14)=7),JulSun1+14, "")</f>
        <v>41469</v>
      </c>
      <c r="T6" s="61">
        <f>IF(AND(YEAR(JulSun1+15)=$A$1,MONTH(JulSun1+15)=7),JulSun1+15, "")</f>
        <v>41470</v>
      </c>
      <c r="U6" s="61">
        <f>IF(AND(YEAR(JulSun1+16)=$A$1,MONTH(JulSun1+16)=7),JulSun1+16, "")</f>
        <v>41471</v>
      </c>
      <c r="V6" s="61">
        <f>IF(AND(YEAR(JulSun1+17)=$A$1,MONTH(JulSun1+17)=7),JulSun1+17, "")</f>
        <v>41472</v>
      </c>
      <c r="W6" s="61">
        <f>IF(AND(YEAR(JulSun1+18)=$A$1,MONTH(JulSun1+18)=7),JulSun1+18, "")</f>
        <v>41473</v>
      </c>
      <c r="X6" s="61">
        <f>IF(AND(YEAR(JulSun1+19)=$A$1,MONTH(JulSun1+19)=7),JulSun1+19, "")</f>
        <v>41474</v>
      </c>
      <c r="Y6" s="61">
        <f>IF(AND(YEAR(JulSun1+20)=$A$1,MONTH(JulSun1+20)=7),JulSun1+20, "")</f>
        <v>41475</v>
      </c>
      <c r="AA6" s="61">
        <f>IF(AND(YEAR(OctSun1+14)=$A$1,MONTH(OctSun1+14)=10),OctSun1+14, "")</f>
        <v>41560</v>
      </c>
      <c r="AB6" s="61">
        <f>IF(AND(YEAR(OctSun1+15)=$A$1,MONTH(OctSun1+15)=10),OctSun1+15, "")</f>
        <v>41561</v>
      </c>
      <c r="AC6" s="61">
        <f>IF(AND(YEAR(OctSun1+16)=$A$1,MONTH(OctSun1+16)=10),OctSun1+16, "")</f>
        <v>41562</v>
      </c>
      <c r="AD6" s="61">
        <f>IF(AND(YEAR(OctSun1+17)=$A$1,MONTH(OctSun1+17)=10),OctSun1+17, "")</f>
        <v>41563</v>
      </c>
      <c r="AE6" s="61">
        <f>IF(AND(YEAR(OctSun1+18)=$A$1,MONTH(OctSun1+18)=10),OctSun1+18, "")</f>
        <v>41564</v>
      </c>
      <c r="AF6" s="61">
        <f>IF(AND(YEAR(OctSun1+19)=$A$1,MONTH(OctSun1+19)=10),OctSun1+19, "")</f>
        <v>41565</v>
      </c>
      <c r="AG6" s="61">
        <f>IF(AND(YEAR(OctSun1+20)=$A$1,MONTH(OctSun1+20)=10),OctSun1+20, "")</f>
        <v>41566</v>
      </c>
    </row>
    <row r="7" spans="1:37" ht="15.95" customHeight="1" x14ac:dyDescent="0.2">
      <c r="C7" s="61">
        <f>IF(AND(YEAR(JanSun1+21)=$A$1,MONTH(JanSun1+21)=1),JanSun1+21, "")</f>
        <v>41294</v>
      </c>
      <c r="D7" s="61">
        <f>IF(AND(YEAR(JanSun1+22)=$A$1,MONTH(JanSun1+22)=1),JanSun1+22, "")</f>
        <v>41295</v>
      </c>
      <c r="E7" s="61">
        <f>IF(AND(YEAR(JanSun1+23)=$A$1,MONTH(JanSun1+23)=1),JanSun1+23, "")</f>
        <v>41296</v>
      </c>
      <c r="F7" s="61">
        <f>IF(AND(YEAR(JanSun1+24)=$A$1,MONTH(JanSun1+24)=1),JanSun1+24, "")</f>
        <v>41297</v>
      </c>
      <c r="G7" s="61">
        <f>IF(AND(YEAR(JanSun1+25)=$A$1,MONTH(JanSun1+25)=1),JanSun1+25, "")</f>
        <v>41298</v>
      </c>
      <c r="H7" s="61">
        <f>IF(AND(YEAR(JanSun1+26)=$A$1,MONTH(JanSun1+26)=1),JanSun1+26, "")</f>
        <v>41299</v>
      </c>
      <c r="I7" s="61">
        <f>IF(AND(YEAR(JanSun1+27)=$A$1,MONTH(JanSun1+27)=1),JanSun1+27, "")</f>
        <v>41300</v>
      </c>
      <c r="K7" s="61">
        <f>IF(AND(YEAR(AprSun1+21)=$A$1,MONTH(AprSun1+21)=4),AprSun1+21, "")</f>
        <v>41385</v>
      </c>
      <c r="L7" s="61">
        <f>IF(AND(YEAR(AprSun1+22)=$A$1,MONTH(AprSun1+22)=4),AprSun1+22, "")</f>
        <v>41386</v>
      </c>
      <c r="M7" s="66">
        <f>IF(AND(YEAR(AprSun1+23)=$A$1,MONTH(AprSun1+23)=4),AprSun1+23, "")</f>
        <v>41387</v>
      </c>
      <c r="N7" s="66">
        <f>IF(AND(YEAR(AprSun1+24)=$A$1,MONTH(AprSun1+24)=4),AprSun1+24, "")</f>
        <v>41388</v>
      </c>
      <c r="O7" s="61">
        <f>IF(AND(YEAR(AprSun1+25)=$A$1,MONTH(AprSun1+25)=4),AprSun1+25, "")</f>
        <v>41389</v>
      </c>
      <c r="P7" s="61">
        <f>IF(AND(YEAR(AprSun1+26)=$A$1,MONTH(AprSun1+26)=4),AprSun1+26, "")</f>
        <v>41390</v>
      </c>
      <c r="Q7" s="61">
        <f>IF(AND(YEAR(AprSun1+27)=$A$1,MONTH(AprSun1+27)=4),AprSun1+27, "")</f>
        <v>41391</v>
      </c>
      <c r="S7" s="61">
        <f>IF(AND(YEAR(JulSun1+21)=$A$1,MONTH(JulSun1+21)=7),JulSun1+21, "")</f>
        <v>41476</v>
      </c>
      <c r="T7" s="61">
        <f>IF(AND(YEAR(JulSun1+22)=$A$1,MONTH(JulSun1+22)=7),JulSun1+22, "")</f>
        <v>41477</v>
      </c>
      <c r="U7" s="61">
        <f>IF(AND(YEAR(JulSun1+23)=$A$1,MONTH(JulSun1+23)=7),JulSun1+23, "")</f>
        <v>41478</v>
      </c>
      <c r="V7" s="61">
        <f>IF(AND(YEAR(JulSun1+24)=$A$1,MONTH(JulSun1+24)=7),JulSun1+24, "")</f>
        <v>41479</v>
      </c>
      <c r="W7" s="61">
        <f>IF(AND(YEAR(JulSun1+25)=$A$1,MONTH(JulSun1+25)=7),JulSun1+25, "")</f>
        <v>41480</v>
      </c>
      <c r="X7" s="61">
        <f>IF(AND(YEAR(JulSun1+26)=$A$1,MONTH(JulSun1+26)=7),JulSun1+26, "")</f>
        <v>41481</v>
      </c>
      <c r="Y7" s="61">
        <f>IF(AND(YEAR(JulSun1+27)=$A$1,MONTH(JulSun1+27)=7),JulSun1+27, "")</f>
        <v>41482</v>
      </c>
      <c r="AA7" s="61">
        <f>IF(AND(YEAR(OctSun1+21)=$A$1,MONTH(OctSun1+21)=10),OctSun1+21, "")</f>
        <v>41567</v>
      </c>
      <c r="AB7" s="61">
        <f>IF(AND(YEAR(OctSun1+22)=$A$1,MONTH(OctSun1+22)=10),OctSun1+22, "")</f>
        <v>41568</v>
      </c>
      <c r="AC7" s="61">
        <f>IF(AND(YEAR(OctSun1+23)=$A$1,MONTH(OctSun1+23)=10),OctSun1+23, "")</f>
        <v>41569</v>
      </c>
      <c r="AD7" s="61">
        <f>IF(AND(YEAR(OctSun1+24)=$A$1,MONTH(OctSun1+24)=10),OctSun1+24, "")</f>
        <v>41570</v>
      </c>
      <c r="AE7" s="61">
        <f>IF(AND(YEAR(OctSun1+25)=$A$1,MONTH(OctSun1+25)=10),OctSun1+25, "")</f>
        <v>41571</v>
      </c>
      <c r="AF7" s="61">
        <f>IF(AND(YEAR(OctSun1+26)=$A$1,MONTH(OctSun1+26)=10),OctSun1+26, "")</f>
        <v>41572</v>
      </c>
      <c r="AG7" s="61">
        <f>IF(AND(YEAR(OctSun1+27)=$A$1,MONTH(OctSun1+27)=10),OctSun1+27, "")</f>
        <v>41573</v>
      </c>
    </row>
    <row r="8" spans="1:37" ht="15.95" customHeight="1" x14ac:dyDescent="0.2">
      <c r="C8" s="61">
        <f>IF(AND(YEAR(JanSun1+28)=$A$1,MONTH(JanSun1+28)=1),JanSun1+28, "")</f>
        <v>41301</v>
      </c>
      <c r="D8" s="61">
        <f>IF(AND(YEAR(JanSun1+29)=$A$1,MONTH(JanSun1+29)=1),JanSun1+29, "")</f>
        <v>41302</v>
      </c>
      <c r="E8" s="61">
        <f>IF(AND(YEAR(JanSun1+30)=$A$1,MONTH(JanSun1+30)=1),JanSun1+30, "")</f>
        <v>41303</v>
      </c>
      <c r="F8" s="61">
        <f>IF(AND(YEAR(JanSun1+31)=$A$1,MONTH(JanSun1+31)=1),JanSun1+31, "")</f>
        <v>41304</v>
      </c>
      <c r="G8" s="61">
        <f>IF(AND(YEAR(JanSun1+32)=$A$1,MONTH(JanSun1+32)=1),JanSun1+32, "")</f>
        <v>41305</v>
      </c>
      <c r="H8" s="61" t="str">
        <f>IF(AND(YEAR(JanSun1+33)=$A$1,MONTH(JanSun1+33)=1),JanSun1+33, "")</f>
        <v/>
      </c>
      <c r="I8" s="61" t="str">
        <f>IF(AND(YEAR(JanSun1+34)=$A$1,MONTH(JanSun1+34)=1),JanSun1+34, "")</f>
        <v/>
      </c>
      <c r="K8" s="61">
        <f>IF(AND(YEAR(AprSun1+28)=$A$1,MONTH(AprSun1+28)=4),AprSun1+28, "")</f>
        <v>41392</v>
      </c>
      <c r="L8" s="61">
        <f>IF(AND(YEAR(AprSun1+29)=$A$1,MONTH(AprSun1+29)=4),AprSun1+29, "")</f>
        <v>41393</v>
      </c>
      <c r="M8" s="61">
        <f>IF(AND(YEAR(AprSun1+30)=$A$1,MONTH(AprSun1+30)=4),AprSun1+30, "")</f>
        <v>41394</v>
      </c>
      <c r="N8" s="61" t="str">
        <f>IF(AND(YEAR(AprSun1+31)=$A$1,MONTH(AprSun1+31)=4),AprSun1+31, "")</f>
        <v/>
      </c>
      <c r="O8" s="61" t="str">
        <f>IF(AND(YEAR(AprSun1+32)=$A$1,MONTH(AprSun1+32)=4),AprSun1+32, "")</f>
        <v/>
      </c>
      <c r="P8" s="61" t="str">
        <f>IF(AND(YEAR(AprSun1+33)=$A$1,MONTH(AprSun1+33)=4),AprSun1+33, "")</f>
        <v/>
      </c>
      <c r="Q8" s="61" t="str">
        <f>IF(AND(YEAR(AprSun1+34)=$A$1,MONTH(AprSun1+34)=4),AprSun1+34, "")</f>
        <v/>
      </c>
      <c r="S8" s="61">
        <f>IF(AND(YEAR(JulSun1+28)=$A$1,MONTH(JulSun1+28)=7),JulSun1+28, "")</f>
        <v>41483</v>
      </c>
      <c r="T8" s="61">
        <f>IF(AND(YEAR(JulSun1+29)=$A$1,MONTH(JulSun1+29)=7),JulSun1+29, "")</f>
        <v>41484</v>
      </c>
      <c r="U8" s="61">
        <f>IF(AND(YEAR(JulSun1+30)=$A$1,MONTH(JulSun1+30)=7),JulSun1+30, "")</f>
        <v>41485</v>
      </c>
      <c r="V8" s="61">
        <f>IF(AND(YEAR(JulSun1+31)=$A$1,MONTH(JulSun1+31)=7),JulSun1+31, "")</f>
        <v>41486</v>
      </c>
      <c r="W8" s="61" t="str">
        <f>IF(AND(YEAR(JulSun1+32)=$A$1,MONTH(JulSun1+32)=7),JulSun1+32, "")</f>
        <v/>
      </c>
      <c r="X8" s="61" t="str">
        <f>IF(AND(YEAR(JulSun1+33)=$A$1,MONTH(JulSun1+33)=7),JulSun1+33, "")</f>
        <v/>
      </c>
      <c r="Y8" s="61" t="str">
        <f>IF(AND(YEAR(JulSun1+34)=$A$1,MONTH(JulSun1+34)=7),JulSun1+34, "")</f>
        <v/>
      </c>
      <c r="AA8" s="61">
        <f>IF(AND(YEAR(OctSun1+28)=$A$1,MONTH(OctSun1+28)=10),OctSun1+28, "")</f>
        <v>41574</v>
      </c>
      <c r="AB8" s="61">
        <f>IF(AND(YEAR(OctSun1+29)=$A$1,MONTH(OctSun1+29)=10),OctSun1+29, "")</f>
        <v>41575</v>
      </c>
      <c r="AC8" s="61">
        <f>IF(AND(YEAR(OctSun1+30)=$A$1,MONTH(OctSun1+30)=10),OctSun1+30, "")</f>
        <v>41576</v>
      </c>
      <c r="AD8" s="61">
        <f>IF(AND(YEAR(OctSun1+31)=$A$1,MONTH(OctSun1+31)=10),OctSun1+31, "")</f>
        <v>41577</v>
      </c>
      <c r="AE8" s="61">
        <f>IF(AND(YEAR(OctSun1+32)=$A$1,MONTH(OctSun1+32)=10),OctSun1+32, "")</f>
        <v>41578</v>
      </c>
      <c r="AF8" s="61" t="str">
        <f>IF(AND(YEAR(OctSun1+33)=$A$1,MONTH(OctSun1+33)=10),OctSun1+33, "")</f>
        <v/>
      </c>
      <c r="AG8" s="61" t="str">
        <f>IF(AND(YEAR(OctSun1+34)=$A$1,MONTH(OctSun1+34)=10),OctSun1+34, "")</f>
        <v/>
      </c>
    </row>
    <row r="9" spans="1:37" ht="15.95" customHeight="1" x14ac:dyDescent="0.2">
      <c r="C9" s="62" t="str">
        <f>IF(AND(YEAR(JanSun1+35)=$A$1,MONTH(JanSun1+35)=1),JanSun1+35, "")</f>
        <v/>
      </c>
      <c r="D9" s="62" t="str">
        <f>IF(AND(YEAR(JanSun1+36)=$A$1,MONTH(JanSun1+36)=1),JanSun1+36, "")</f>
        <v/>
      </c>
      <c r="E9" s="62" t="str">
        <f>IF(AND(YEAR(JanSun1+37)=$A$1,MONTH(JanSun1+37)=1),JanSun1+37, "")</f>
        <v/>
      </c>
      <c r="F9" s="62" t="str">
        <f>IF(AND(YEAR(JanSun1+38)=$A$1,MONTH(JanSun1+38)=1),JanSun1+38, "")</f>
        <v/>
      </c>
      <c r="G9" s="62" t="str">
        <f>IF(AND(YEAR(JanSun1+39)=$A$1,MONTH(JanSun1+39)=1),JanSun1+39, "")</f>
        <v/>
      </c>
      <c r="H9" s="62" t="str">
        <f>IF(AND(YEAR(JanSun1+40)=$A$1,MONTH(JanSun1+40)=1),JanSun1+40, "")</f>
        <v/>
      </c>
      <c r="I9" s="62" t="str">
        <f>IF(AND(YEAR(JanSun1+41)=$A$1,MONTH(JanSun1+41)=1),JanSun1+41, "")</f>
        <v/>
      </c>
      <c r="K9" s="62" t="str">
        <f>IF(AND(YEAR(AprSun1+35)=$A$1,MONTH(AprSun1+35)=4),AprSun1+35, "")</f>
        <v/>
      </c>
      <c r="L9" s="62" t="str">
        <f>IF(AND(YEAR(AprSun1+36)=$A$1,MONTH(AprSun1+36)=4),AprSun1+36, "")</f>
        <v/>
      </c>
      <c r="M9" s="62" t="str">
        <f>IF(AND(YEAR(AprSun1+37)=$A$1,MONTH(AprSun1+37)=4),AprSun1+37, "")</f>
        <v/>
      </c>
      <c r="N9" s="62" t="str">
        <f>IF(AND(YEAR(AprSun1+38)=$A$1,MONTH(AprSun1+38)=4),AprSun1+38, "")</f>
        <v/>
      </c>
      <c r="O9" s="62" t="str">
        <f>IF(AND(YEAR(AprSun1+39)=$A$1,MONTH(AprSun1+39)=4),AprSun1+39, "")</f>
        <v/>
      </c>
      <c r="P9" s="62" t="str">
        <f>IF(AND(YEAR(AprSun1+40)=$A$1,MONTH(AprSun1+40)=4),AprSun1+40, "")</f>
        <v/>
      </c>
      <c r="Q9" s="62" t="str">
        <f>IF(AND(YEAR(AprSun1+41)=$A$1,MONTH(AprSun1+41)=4),AprSun1+41, "")</f>
        <v/>
      </c>
      <c r="S9" s="62" t="str">
        <f>IF(AND(YEAR(JulSun1+35)=$A$1,MONTH(JulSun1+35)=7),JulSun1+35, "")</f>
        <v/>
      </c>
      <c r="T9" s="62" t="str">
        <f>IF(AND(YEAR(JulSun1+36)=$A$1,MONTH(JulSun1+36)=7),JulSun1+36, "")</f>
        <v/>
      </c>
      <c r="U9" s="62" t="str">
        <f>IF(AND(YEAR(JulSun1+37)=$A$1,MONTH(JulSun1+37)=7),JulSun1+37, "")</f>
        <v/>
      </c>
      <c r="V9" s="62" t="str">
        <f>IF(AND(YEAR(JulSun1+38)=$A$1,MONTH(JulSun1+38)=7),JulSun1+38, "")</f>
        <v/>
      </c>
      <c r="W9" s="62" t="str">
        <f>IF(AND(YEAR(JulSun1+39)=$A$1,MONTH(JulSun1+39)=7),JulSun1+39, "")</f>
        <v/>
      </c>
      <c r="X9" s="62" t="str">
        <f>IF(AND(YEAR(JulSun1+40)=$A$1,MONTH(JulSun1+40)=7),JulSun1+40, "")</f>
        <v/>
      </c>
      <c r="Y9" s="62" t="str">
        <f>IF(AND(YEAR(JulSun1+41)=$A$1,MONTH(JulSun1+41)=7),JulSun1+41, "")</f>
        <v/>
      </c>
      <c r="AA9" s="62" t="str">
        <f>IF(AND(YEAR(OctSun1+35)=$A$1,MONTH(OctSun1+35)=10),OctSun1+35, "")</f>
        <v/>
      </c>
      <c r="AB9" s="62" t="str">
        <f>IF(AND(YEAR(OctSun1+36)=$A$1,MONTH(OctSun1+36)=10),OctSun1+36, "")</f>
        <v/>
      </c>
      <c r="AC9" s="62" t="str">
        <f>IF(AND(YEAR(OctSun1+37)=$A$1,MONTH(OctSun1+37)=10),OctSun1+37, "")</f>
        <v/>
      </c>
      <c r="AD9" s="62" t="str">
        <f>IF(AND(YEAR(OctSun1+38)=$A$1,MONTH(OctSun1+38)=10),OctSun1+38, "")</f>
        <v/>
      </c>
      <c r="AE9" s="62" t="str">
        <f>IF(AND(YEAR(OctSun1+39)=$A$1,MONTH(OctSun1+39)=10),OctSun1+39, "")</f>
        <v/>
      </c>
      <c r="AF9" s="62" t="str">
        <f>IF(AND(YEAR(OctSun1+40)=$A$1,MONTH(OctSun1+40)=10),OctSun1+40, "")</f>
        <v/>
      </c>
      <c r="AG9" s="62" t="str">
        <f>IF(AND(YEAR(OctSun1+41)=$A$1,MONTH(OctSun1+41)=10),OctSun1+41, "")</f>
        <v/>
      </c>
    </row>
    <row r="10" spans="1:37" ht="15.95" customHeight="1" x14ac:dyDescent="0.2">
      <c r="B10" s="63"/>
      <c r="C10" s="64"/>
      <c r="D10" s="64"/>
      <c r="E10" s="64"/>
      <c r="F10" s="64"/>
      <c r="G10" s="64"/>
      <c r="H10" s="64"/>
      <c r="I10" s="64"/>
      <c r="J10" s="63"/>
      <c r="K10" s="64"/>
      <c r="L10" s="64"/>
      <c r="M10" s="64"/>
      <c r="N10" s="64"/>
      <c r="O10" s="64"/>
      <c r="P10" s="64"/>
      <c r="Q10" s="64"/>
      <c r="R10" s="63"/>
      <c r="S10" s="64"/>
      <c r="T10" s="64"/>
      <c r="U10" s="64"/>
      <c r="V10" s="64"/>
      <c r="W10" s="64"/>
      <c r="X10" s="64"/>
      <c r="Y10" s="64"/>
      <c r="Z10" s="63"/>
      <c r="AA10" s="64"/>
      <c r="AB10" s="64"/>
      <c r="AC10" s="64"/>
      <c r="AD10" s="64"/>
      <c r="AE10" s="64"/>
      <c r="AF10" s="64"/>
      <c r="AG10" s="64"/>
      <c r="AH10" s="63"/>
    </row>
    <row r="11" spans="1:37" ht="15.95" customHeight="1" x14ac:dyDescent="0.2">
      <c r="C11" s="128" t="s">
        <v>70</v>
      </c>
      <c r="D11" s="129"/>
      <c r="E11" s="129"/>
      <c r="F11" s="129"/>
      <c r="G11" s="129"/>
      <c r="H11" s="129"/>
      <c r="I11" s="130"/>
      <c r="K11" s="128" t="s">
        <v>71</v>
      </c>
      <c r="L11" s="129"/>
      <c r="M11" s="129"/>
      <c r="N11" s="129"/>
      <c r="O11" s="129"/>
      <c r="P11" s="129"/>
      <c r="Q11" s="130"/>
      <c r="S11" s="128" t="s">
        <v>72</v>
      </c>
      <c r="T11" s="129"/>
      <c r="U11" s="129"/>
      <c r="V11" s="129"/>
      <c r="W11" s="129"/>
      <c r="X11" s="129"/>
      <c r="Y11" s="130"/>
      <c r="AA11" s="128" t="s">
        <v>73</v>
      </c>
      <c r="AB11" s="129"/>
      <c r="AC11" s="129"/>
      <c r="AD11" s="129"/>
      <c r="AE11" s="129"/>
      <c r="AF11" s="129"/>
      <c r="AG11" s="130"/>
    </row>
    <row r="12" spans="1:37" ht="15.95" customHeight="1" x14ac:dyDescent="0.2">
      <c r="B12" s="59"/>
      <c r="C12" s="60" t="s">
        <v>65</v>
      </c>
      <c r="D12" s="60" t="s">
        <v>66</v>
      </c>
      <c r="E12" s="60" t="s">
        <v>67</v>
      </c>
      <c r="F12" s="60" t="s">
        <v>68</v>
      </c>
      <c r="G12" s="60" t="s">
        <v>67</v>
      </c>
      <c r="H12" s="60" t="s">
        <v>69</v>
      </c>
      <c r="I12" s="60" t="s">
        <v>65</v>
      </c>
      <c r="K12" s="60" t="s">
        <v>65</v>
      </c>
      <c r="L12" s="60" t="s">
        <v>66</v>
      </c>
      <c r="M12" s="60" t="s">
        <v>67</v>
      </c>
      <c r="N12" s="60" t="s">
        <v>68</v>
      </c>
      <c r="O12" s="60" t="s">
        <v>67</v>
      </c>
      <c r="P12" s="60" t="s">
        <v>69</v>
      </c>
      <c r="Q12" s="60" t="s">
        <v>65</v>
      </c>
      <c r="S12" s="60" t="s">
        <v>65</v>
      </c>
      <c r="T12" s="60" t="s">
        <v>66</v>
      </c>
      <c r="U12" s="60" t="s">
        <v>67</v>
      </c>
      <c r="V12" s="60" t="s">
        <v>68</v>
      </c>
      <c r="W12" s="60" t="s">
        <v>67</v>
      </c>
      <c r="X12" s="60" t="s">
        <v>69</v>
      </c>
      <c r="Y12" s="60" t="s">
        <v>65</v>
      </c>
      <c r="AA12" s="60" t="s">
        <v>65</v>
      </c>
      <c r="AB12" s="60" t="s">
        <v>66</v>
      </c>
      <c r="AC12" s="60" t="s">
        <v>67</v>
      </c>
      <c r="AD12" s="60" t="s">
        <v>68</v>
      </c>
      <c r="AE12" s="60" t="s">
        <v>67</v>
      </c>
      <c r="AF12" s="60" t="s">
        <v>69</v>
      </c>
      <c r="AG12" s="60" t="s">
        <v>65</v>
      </c>
    </row>
    <row r="13" spans="1:37" ht="15.95" customHeight="1" x14ac:dyDescent="0.2">
      <c r="C13" s="61" t="str">
        <f>IF(AND(YEAR(FebSun1)=$A$1,MONTH(FebSun1)=2),FebSun1, "")</f>
        <v/>
      </c>
      <c r="D13" s="61" t="str">
        <f>IF(AND(YEAR(FebSun1+1)=$A$1,MONTH(FebSun1+1)=2),FebSun1+1, "")</f>
        <v/>
      </c>
      <c r="E13" s="61" t="str">
        <f>IF(AND(YEAR(FebSun1+2)=$A$1,MONTH(FebSun1+2)=2),FebSun1+2, "")</f>
        <v/>
      </c>
      <c r="F13" s="61" t="str">
        <f>IF(AND(YEAR(FebSun1+3)=$A$1,MONTH(FebSun1+3)=2),FebSun1+3, "")</f>
        <v/>
      </c>
      <c r="G13" s="61" t="str">
        <f>IF(AND(YEAR(FebSun1+4)=$A$1,MONTH(FebSun1+4)=2),FebSun1+4, "")</f>
        <v/>
      </c>
      <c r="H13" s="61">
        <f>IF(AND(YEAR(FebSun1+5)=$A$1,MONTH(FebSun1+5)=2),FebSun1+5, "")</f>
        <v>41306</v>
      </c>
      <c r="I13" s="61">
        <f>IF(AND(YEAR(FebSun1+6)=$A$1,MONTH(FebSun1+6)=2),FebSun1+6, "")</f>
        <v>41307</v>
      </c>
      <c r="K13" s="61" t="str">
        <f>IF(AND(YEAR(MaySun1)=$A$1,MONTH(MaySun1)=5),MaySun1, "")</f>
        <v/>
      </c>
      <c r="L13" s="61" t="str">
        <f>IF(AND(YEAR(MaySun1+1)=$A$1,MONTH(MaySun1+1)=5),MaySun1+1, "")</f>
        <v/>
      </c>
      <c r="M13" s="61" t="str">
        <f>IF(AND(YEAR(MaySun1+2)=$A$1,MONTH(MaySun1+2)=5),MaySun1+2, "")</f>
        <v/>
      </c>
      <c r="N13" s="61">
        <f>IF(AND(YEAR(MaySun1+3)=$A$1,MONTH(MaySun1+3)=5),MaySun1+3, "")</f>
        <v>41395</v>
      </c>
      <c r="O13" s="61">
        <f>IF(AND(YEAR(MaySun1+4)=$A$1,MONTH(MaySun1+4)=5),MaySun1+4, "")</f>
        <v>41396</v>
      </c>
      <c r="P13" s="61">
        <f>IF(AND(YEAR(MaySun1+5)=$A$1,MONTH(MaySun1+5)=5),MaySun1+5, "")</f>
        <v>41397</v>
      </c>
      <c r="Q13" s="61">
        <f>IF(AND(YEAR(MaySun1+6)=$A$1,MONTH(MaySun1+6)=5),MaySun1+6, "")</f>
        <v>41398</v>
      </c>
      <c r="S13" s="61" t="str">
        <f>IF(AND(YEAR(AugSun1)=$A$1,MONTH(AugSun1)=8),AugSun1, "")</f>
        <v/>
      </c>
      <c r="T13" s="61" t="str">
        <f>IF(AND(YEAR(AugSun1+1)=$A$1,MONTH(AugSun1+1)=8),AugSun1+1, "")</f>
        <v/>
      </c>
      <c r="U13" s="61" t="str">
        <f>IF(AND(YEAR(AugSun1+2)=$A$1,MONTH(AugSun1+2)=8),AugSun1+2, "")</f>
        <v/>
      </c>
      <c r="V13" s="61" t="str">
        <f>IF(AND(YEAR(AugSun1+3)=$A$1,MONTH(AugSun1+3)=8),AugSun1+3, "")</f>
        <v/>
      </c>
      <c r="W13" s="61">
        <f>IF(AND(YEAR(AugSun1+4)=$A$1,MONTH(AugSun1+4)=8),AugSun1+4, "")</f>
        <v>41487</v>
      </c>
      <c r="X13" s="61">
        <f>IF(AND(YEAR(AugSun1+5)=$A$1,MONTH(AugSun1+5)=8),AugSun1+5, "")</f>
        <v>41488</v>
      </c>
      <c r="Y13" s="61">
        <f>IF(AND(YEAR(AugSun1+6)=$A$1,MONTH(AugSun1+6)=8),AugSun1+6, "")</f>
        <v>41489</v>
      </c>
      <c r="AA13" s="61" t="str">
        <f>IF(AND(YEAR(NovSun1)=$A$1,MONTH(NovSun1)=11),NovSun1, "")</f>
        <v/>
      </c>
      <c r="AB13" s="61" t="str">
        <f>IF(AND(YEAR(NovSun1+1)=$A$1,MONTH(NovSun1+1)=11),NovSun1+1, "")</f>
        <v/>
      </c>
      <c r="AC13" s="61" t="str">
        <f>IF(AND(YEAR(NovSun1+2)=$A$1,MONTH(NovSun1+2)=11),NovSun1+2, "")</f>
        <v/>
      </c>
      <c r="AD13" s="61" t="str">
        <f>IF(AND(YEAR(NovSun1+3)=$A$1,MONTH(NovSun1+3)=11),NovSun1+3, "")</f>
        <v/>
      </c>
      <c r="AE13" s="61" t="str">
        <f>IF(AND(YEAR(NovSun1+4)=$A$1,MONTH(NovSun1+4)=11),NovSun1+4, "")</f>
        <v/>
      </c>
      <c r="AF13" s="61">
        <f>IF(AND(YEAR(NovSun1+5)=$A$1,MONTH(NovSun1+5)=11),NovSun1+5, "")</f>
        <v>41579</v>
      </c>
      <c r="AG13" s="61">
        <f>IF(AND(YEAR(NovSun1+6)=$A$1,MONTH(NovSun1+6)=11),NovSun1+6, "")</f>
        <v>41580</v>
      </c>
    </row>
    <row r="14" spans="1:37" ht="15.95" customHeight="1" x14ac:dyDescent="0.2">
      <c r="C14" s="61">
        <f>IF(AND(YEAR(FebSun1+7)=$A$1,MONTH(FebSun1+7)=2),FebSun1+7, "")</f>
        <v>41308</v>
      </c>
      <c r="D14" s="61">
        <f>IF(AND(YEAR(FebSun1+8)=$A$1,MONTH(FebSun1+8)=2),FebSun1+8, "")</f>
        <v>41309</v>
      </c>
      <c r="E14" s="61">
        <f>IF(AND(YEAR(FebSun1+9)=$A$1,MONTH(FebSun1+9)=2),FebSun1+9, "")</f>
        <v>41310</v>
      </c>
      <c r="F14" s="61">
        <f>IF(AND(YEAR(FebSun1+10)=$A$1,MONTH(FebSun1+10)=2),FebSun1+10, "")</f>
        <v>41311</v>
      </c>
      <c r="G14" s="61">
        <f>IF(AND(YEAR(FebSun1+11)=$A$1,MONTH(FebSun1+11)=2),FebSun1+11, "")</f>
        <v>41312</v>
      </c>
      <c r="H14" s="61">
        <f>IF(AND(YEAR(FebSun1+12)=$A$1,MONTH(FebSun1+12)=2),FebSun1+12, "")</f>
        <v>41313</v>
      </c>
      <c r="I14" s="61">
        <f>IF(AND(YEAR(FebSun1+13)=$A$1,MONTH(FebSun1+13)=2),FebSun1+13, "")</f>
        <v>41314</v>
      </c>
      <c r="K14" s="61">
        <f>IF(AND(YEAR(MaySun1+7)=$A$1,MONTH(MaySun1+7)=5),MaySun1+7, "")</f>
        <v>41399</v>
      </c>
      <c r="L14" s="61">
        <f>IF(AND(YEAR(MaySun1+8)=$A$1,MONTH(MaySun1+8)=5),MaySun1+8, "")</f>
        <v>41400</v>
      </c>
      <c r="M14" s="61">
        <f>IF(AND(YEAR(MaySun1+9)=$A$1,MONTH(MaySun1+9)=5),MaySun1+9, "")</f>
        <v>41401</v>
      </c>
      <c r="N14" s="61">
        <f>IF(AND(YEAR(MaySun1+10)=$A$1,MONTH(MaySun1+10)=5),MaySun1+10, "")</f>
        <v>41402</v>
      </c>
      <c r="O14" s="61">
        <f>IF(AND(YEAR(MaySun1+11)=$A$1,MONTH(MaySun1+11)=5),MaySun1+11, "")</f>
        <v>41403</v>
      </c>
      <c r="P14" s="61">
        <f>IF(AND(YEAR(MaySun1+12)=$A$1,MONTH(MaySun1+12)=5),MaySun1+12, "")</f>
        <v>41404</v>
      </c>
      <c r="Q14" s="61">
        <f>IF(AND(YEAR(MaySun1+13)=$A$1,MONTH(MaySun1+13)=5),MaySun1+13, "")</f>
        <v>41405</v>
      </c>
      <c r="S14" s="61">
        <f>IF(AND(YEAR(AugSun1+7)=$A$1,MONTH(AugSun1+7)=8),AugSun1+7, "")</f>
        <v>41490</v>
      </c>
      <c r="T14" s="61">
        <f>IF(AND(YEAR(AugSun1+8)=$A$1,MONTH(AugSun1+8)=8),AugSun1+8, "")</f>
        <v>41491</v>
      </c>
      <c r="U14" s="61">
        <f>IF(AND(YEAR(AugSun1+9)=$A$1,MONTH(AugSun1+9)=8),AugSun1+9, "")</f>
        <v>41492</v>
      </c>
      <c r="V14" s="61">
        <f>IF(AND(YEAR(AugSun1+10)=$A$1,MONTH(AugSun1+10)=8),AugSun1+10, "")</f>
        <v>41493</v>
      </c>
      <c r="W14" s="61">
        <f>IF(AND(YEAR(AugSun1+11)=$A$1,MONTH(AugSun1+11)=8),AugSun1+11, "")</f>
        <v>41494</v>
      </c>
      <c r="X14" s="61">
        <f>IF(AND(YEAR(AugSun1+12)=$A$1,MONTH(AugSun1+12)=8),AugSun1+12, "")</f>
        <v>41495</v>
      </c>
      <c r="Y14" s="61">
        <f>IF(AND(YEAR(AugSun1+13)=$A$1,MONTH(AugSun1+13)=8),AugSun1+13, "")</f>
        <v>41496</v>
      </c>
      <c r="AA14" s="61">
        <f>IF(AND(YEAR(NovSun1+7)=$A$1,MONTH(NovSun1+7)=11),NovSun1+7, "")</f>
        <v>41581</v>
      </c>
      <c r="AB14" s="61">
        <f>IF(AND(YEAR(NovSun1+8)=$A$1,MONTH(NovSun1+8)=11),NovSun1+8, "")</f>
        <v>41582</v>
      </c>
      <c r="AC14" s="61">
        <f>IF(AND(YEAR(NovSun1+9)=$A$1,MONTH(NovSun1+9)=11),NovSun1+9, "")</f>
        <v>41583</v>
      </c>
      <c r="AD14" s="61">
        <f>IF(AND(YEAR(NovSun1+10)=$A$1,MONTH(NovSun1+10)=11),NovSun1+10, "")</f>
        <v>41584</v>
      </c>
      <c r="AE14" s="61">
        <f>IF(AND(YEAR(NovSun1+11)=$A$1,MONTH(NovSun1+11)=11),NovSun1+11, "")</f>
        <v>41585</v>
      </c>
      <c r="AF14" s="61">
        <f>IF(AND(YEAR(NovSun1+12)=$A$1,MONTH(NovSun1+12)=11),NovSun1+12, "")</f>
        <v>41586</v>
      </c>
      <c r="AG14" s="61">
        <f>IF(AND(YEAR(NovSun1+13)=$A$1,MONTH(NovSun1+13)=11),NovSun1+13, "")</f>
        <v>41587</v>
      </c>
    </row>
    <row r="15" spans="1:37" ht="15.95" customHeight="1" x14ac:dyDescent="0.2">
      <c r="C15" s="61">
        <f>IF(AND(YEAR(FebSun1+14)=$A$1,MONTH(FebSun1+14)=2),FebSun1+14, "")</f>
        <v>41315</v>
      </c>
      <c r="D15" s="61">
        <f>IF(AND(YEAR(FebSun1+15)=$A$1,MONTH(FebSun1+15)=2),FebSun1+15, "")</f>
        <v>41316</v>
      </c>
      <c r="E15" s="61">
        <f>IF(AND(YEAR(FebSun1+16)=$A$1,MONTH(FebSun1+16)=2),FebSun1+16, "")</f>
        <v>41317</v>
      </c>
      <c r="F15" s="61">
        <f>IF(AND(YEAR(FebSun1+17)=$A$1,MONTH(FebSun1+17)=2),FebSun1+17, "")</f>
        <v>41318</v>
      </c>
      <c r="G15" s="61">
        <f>IF(AND(YEAR(FebSun1+18)=$A$1,MONTH(FebSun1+18)=2),FebSun1+18, "")</f>
        <v>41319</v>
      </c>
      <c r="H15" s="61">
        <f>IF(AND(YEAR(FebSun1+19)=$A$1,MONTH(FebSun1+19)=2),FebSun1+19, "")</f>
        <v>41320</v>
      </c>
      <c r="I15" s="61">
        <f>IF(AND(YEAR(FebSun1+20)=$A$1,MONTH(FebSun1+20)=2),FebSun1+20, "")</f>
        <v>41321</v>
      </c>
      <c r="K15" s="61">
        <f>IF(AND(YEAR(MaySun1+14)=$A$1,MONTH(MaySun1+14)=5),MaySun1+14, "")</f>
        <v>41406</v>
      </c>
      <c r="L15" s="61">
        <f>IF(AND(YEAR(MaySun1+15)=$A$1,MONTH(MaySun1+15)=5),MaySun1+15, "")</f>
        <v>41407</v>
      </c>
      <c r="M15" s="61">
        <f>IF(AND(YEAR(MaySun1+16)=$A$1,MONTH(MaySun1+16)=5),MaySun1+16, "")</f>
        <v>41408</v>
      </c>
      <c r="N15" s="61">
        <f>IF(AND(YEAR(MaySun1+17)=$A$1,MONTH(MaySun1+17)=5),MaySun1+17, "")</f>
        <v>41409</v>
      </c>
      <c r="O15" s="61">
        <f>IF(AND(YEAR(MaySun1+18)=$A$1,MONTH(MaySun1+18)=5),MaySun1+18, "")</f>
        <v>41410</v>
      </c>
      <c r="P15" s="61">
        <f>IF(AND(YEAR(MaySun1+19)=$A$1,MONTH(MaySun1+19)=5),MaySun1+19, "")</f>
        <v>41411</v>
      </c>
      <c r="Q15" s="61">
        <f>IF(AND(YEAR(MaySun1+20)=$A$1,MONTH(MaySun1+20)=5),MaySun1+20, "")</f>
        <v>41412</v>
      </c>
      <c r="S15" s="61">
        <f>IF(AND(YEAR(AugSun1+14)=$A$1,MONTH(AugSun1+14)=8),AugSun1+14, "")</f>
        <v>41497</v>
      </c>
      <c r="T15" s="61">
        <f>IF(AND(YEAR(AugSun1+15)=$A$1,MONTH(AugSun1+15)=8),AugSun1+15, "")</f>
        <v>41498</v>
      </c>
      <c r="U15" s="61">
        <f>IF(AND(YEAR(AugSun1+16)=$A$1,MONTH(AugSun1+16)=8),AugSun1+16, "")</f>
        <v>41499</v>
      </c>
      <c r="V15" s="61">
        <f>IF(AND(YEAR(AugSun1+17)=$A$1,MONTH(AugSun1+17)=8),AugSun1+17, "")</f>
        <v>41500</v>
      </c>
      <c r="W15" s="61">
        <f>IF(AND(YEAR(AugSun1+18)=$A$1,MONTH(AugSun1+18)=8),AugSun1+18, "")</f>
        <v>41501</v>
      </c>
      <c r="X15" s="61">
        <f>IF(AND(YEAR(AugSun1+19)=$A$1,MONTH(AugSun1+19)=8),AugSun1+19, "")</f>
        <v>41502</v>
      </c>
      <c r="Y15" s="61">
        <f>IF(AND(YEAR(AugSun1+20)=$A$1,MONTH(AugSun1+20)=8),AugSun1+20, "")</f>
        <v>41503</v>
      </c>
      <c r="AA15" s="61">
        <f>IF(AND(YEAR(NovSun1+14)=$A$1,MONTH(NovSun1+14)=11),NovSun1+14, "")</f>
        <v>41588</v>
      </c>
      <c r="AB15" s="61">
        <f>IF(AND(YEAR(NovSun1+15)=$A$1,MONTH(NovSun1+15)=11),NovSun1+15, "")</f>
        <v>41589</v>
      </c>
      <c r="AC15" s="61">
        <f>IF(AND(YEAR(NovSun1+16)=$A$1,MONTH(NovSun1+16)=11),NovSun1+16, "")</f>
        <v>41590</v>
      </c>
      <c r="AD15" s="61">
        <f>IF(AND(YEAR(NovSun1+17)=$A$1,MONTH(NovSun1+17)=11),NovSun1+17, "")</f>
        <v>41591</v>
      </c>
      <c r="AE15" s="61">
        <f>IF(AND(YEAR(NovSun1+18)=$A$1,MONTH(NovSun1+18)=11),NovSun1+18, "")</f>
        <v>41592</v>
      </c>
      <c r="AF15" s="61">
        <f>IF(AND(YEAR(NovSun1+19)=$A$1,MONTH(NovSun1+19)=11),NovSun1+19, "")</f>
        <v>41593</v>
      </c>
      <c r="AG15" s="61">
        <f>IF(AND(YEAR(NovSun1+20)=$A$1,MONTH(NovSun1+20)=11),NovSun1+20, "")</f>
        <v>41594</v>
      </c>
    </row>
    <row r="16" spans="1:37" ht="15.95" customHeight="1" x14ac:dyDescent="0.2">
      <c r="C16" s="61">
        <f>IF(AND(YEAR(FebSun1+21)=$A$1,MONTH(FebSun1+21)=2),FebSun1+21, "")</f>
        <v>41322</v>
      </c>
      <c r="D16" s="61">
        <f>IF(AND(YEAR(FebSun1+22)=$A$1,MONTH(FebSun1+22)=2),FebSun1+22, "")</f>
        <v>41323</v>
      </c>
      <c r="E16" s="61">
        <f>IF(AND(YEAR(FebSun1+23)=$A$1,MONTH(FebSun1+23)=2),FebSun1+23, "")</f>
        <v>41324</v>
      </c>
      <c r="F16" s="61">
        <f>IF(AND(YEAR(FebSun1+24)=$A$1,MONTH(FebSun1+24)=2),FebSun1+24, "")</f>
        <v>41325</v>
      </c>
      <c r="G16" s="61">
        <f>IF(AND(YEAR(FebSun1+25)=$A$1,MONTH(FebSun1+25)=2),FebSun1+25, "")</f>
        <v>41326</v>
      </c>
      <c r="H16" s="61">
        <f>IF(AND(YEAR(FebSun1+26)=$A$1,MONTH(FebSun1+26)=2),FebSun1+26, "")</f>
        <v>41327</v>
      </c>
      <c r="I16" s="61">
        <f>IF(AND(YEAR(FebSun1+27)=$A$1,MONTH(FebSun1+27)=2),FebSun1+27, "")</f>
        <v>41328</v>
      </c>
      <c r="K16" s="61">
        <f>IF(AND(YEAR(MaySun1+21)=$A$1,MONTH(MaySun1+21)=5),MaySun1+21, "")</f>
        <v>41413</v>
      </c>
      <c r="L16" s="61">
        <f>IF(AND(YEAR(MaySun1+22)=$A$1,MONTH(MaySun1+22)=5),MaySun1+22, "")</f>
        <v>41414</v>
      </c>
      <c r="M16" s="61">
        <f>IF(AND(YEAR(MaySun1+23)=$A$1,MONTH(MaySun1+23)=5),MaySun1+23, "")</f>
        <v>41415</v>
      </c>
      <c r="N16" s="61">
        <f>IF(AND(YEAR(MaySun1+24)=$A$1,MONTH(MaySun1+24)=5),MaySun1+24, "")</f>
        <v>41416</v>
      </c>
      <c r="O16" s="61">
        <f>IF(AND(YEAR(MaySun1+25)=$A$1,MONTH(MaySun1+25)=5),MaySun1+25, "")</f>
        <v>41417</v>
      </c>
      <c r="P16" s="61">
        <f>IF(AND(YEAR(MaySun1+26)=$A$1,MONTH(MaySun1+26)=5),MaySun1+26, "")</f>
        <v>41418</v>
      </c>
      <c r="Q16" s="61">
        <f>IF(AND(YEAR(MaySun1+27)=$A$1,MONTH(MaySun1+27)=5),MaySun1+27, "")</f>
        <v>41419</v>
      </c>
      <c r="S16" s="61">
        <f>IF(AND(YEAR(AugSun1+21)=$A$1,MONTH(AugSun1+21)=8),AugSun1+21, "")</f>
        <v>41504</v>
      </c>
      <c r="T16" s="61">
        <f>IF(AND(YEAR(AugSun1+22)=$A$1,MONTH(AugSun1+22)=8),AugSun1+22, "")</f>
        <v>41505</v>
      </c>
      <c r="U16" s="61">
        <f>IF(AND(YEAR(AugSun1+23)=$A$1,MONTH(AugSun1+23)=8),AugSun1+23, "")</f>
        <v>41506</v>
      </c>
      <c r="V16" s="61">
        <f>IF(AND(YEAR(AugSun1+24)=$A$1,MONTH(AugSun1+24)=8),AugSun1+24, "")</f>
        <v>41507</v>
      </c>
      <c r="W16" s="61">
        <f>IF(AND(YEAR(AugSun1+25)=$A$1,MONTH(AugSun1+25)=8),AugSun1+25, "")</f>
        <v>41508</v>
      </c>
      <c r="X16" s="61">
        <f>IF(AND(YEAR(AugSun1+26)=$A$1,MONTH(AugSun1+26)=8),AugSun1+26, "")</f>
        <v>41509</v>
      </c>
      <c r="Y16" s="61">
        <f>IF(AND(YEAR(AugSun1+27)=$A$1,MONTH(AugSun1+27)=8),AugSun1+27, "")</f>
        <v>41510</v>
      </c>
      <c r="AA16" s="61">
        <f>IF(AND(YEAR(NovSun1+21)=$A$1,MONTH(NovSun1+21)=11),NovSun1+21, "")</f>
        <v>41595</v>
      </c>
      <c r="AB16" s="61">
        <f>IF(AND(YEAR(NovSun1+22)=$A$1,MONTH(NovSun1+22)=11),NovSun1+22, "")</f>
        <v>41596</v>
      </c>
      <c r="AC16" s="61">
        <f>IF(AND(YEAR(NovSun1+23)=$A$1,MONTH(NovSun1+23)=11),NovSun1+23, "")</f>
        <v>41597</v>
      </c>
      <c r="AD16" s="61">
        <f>IF(AND(YEAR(NovSun1+24)=$A$1,MONTH(NovSun1+24)=11),NovSun1+24, "")</f>
        <v>41598</v>
      </c>
      <c r="AE16" s="66">
        <f>IF(AND(YEAR(NovSun1+25)=$A$1,MONTH(NovSun1+25)=11),NovSun1+25, "")</f>
        <v>41599</v>
      </c>
      <c r="AF16" s="66">
        <f>IF(AND(YEAR(NovSun1+26)=$A$1,MONTH(NovSun1+26)=11),NovSun1+26, "")</f>
        <v>41600</v>
      </c>
      <c r="AG16" s="61">
        <f>IF(AND(YEAR(NovSun1+27)=$A$1,MONTH(NovSun1+27)=11),NovSun1+27, "")</f>
        <v>41601</v>
      </c>
    </row>
    <row r="17" spans="2:34" ht="15.95" customHeight="1" x14ac:dyDescent="0.2">
      <c r="C17" s="61">
        <f>IF(AND(YEAR(FebSun1+28)=$A$1,MONTH(FebSun1+28)=2),FebSun1+28, "")</f>
        <v>41329</v>
      </c>
      <c r="D17" s="61">
        <f>IF(AND(YEAR(FebSun1+29)=$A$1,MONTH(FebSun1+29)=2),FebSun1+29, "")</f>
        <v>41330</v>
      </c>
      <c r="E17" s="61">
        <f>IF(AND(YEAR(FebSun1+30)=$A$1,MONTH(FebSun1+30)=2),FebSun1+30, "")</f>
        <v>41331</v>
      </c>
      <c r="F17" s="61">
        <f>IF(AND(YEAR(FebSun1+31)=$A$1,MONTH(FebSun1+31)=2),FebSun1+31, "")</f>
        <v>41332</v>
      </c>
      <c r="G17" s="61">
        <f>IF(AND(YEAR(FebSun1+32)=$A$1,MONTH(FebSun1+32)=2),FebSun1+32, "")</f>
        <v>41333</v>
      </c>
      <c r="H17" s="61" t="str">
        <f>IF(AND(YEAR(FebSun1+33)=$A$1,MONTH(FebSun1+33)=2),FebSun1+33, "")</f>
        <v/>
      </c>
      <c r="I17" s="61" t="str">
        <f>IF(AND(YEAR(FebSun1+34)=$A$1,MONTH(FebSun1+34)=2),FebSun1+34, "")</f>
        <v/>
      </c>
      <c r="K17" s="61">
        <f>IF(AND(YEAR(MaySun1+28)=$A$1,MONTH(MaySun1+28)=5),MaySun1+28, "")</f>
        <v>41420</v>
      </c>
      <c r="L17" s="61">
        <f>IF(AND(YEAR(MaySun1+29)=$A$1,MONTH(MaySun1+29)=5),MaySun1+29, "")</f>
        <v>41421</v>
      </c>
      <c r="M17" s="61">
        <f>IF(AND(YEAR(MaySun1+30)=$A$1,MONTH(MaySun1+30)=5),MaySun1+30, "")</f>
        <v>41422</v>
      </c>
      <c r="N17" s="61">
        <f>IF(AND(YEAR(MaySun1+31)=$A$1,MONTH(MaySun1+31)=5),MaySun1+31, "")</f>
        <v>41423</v>
      </c>
      <c r="O17" s="61">
        <f>IF(AND(YEAR(MaySun1+32)=$A$1,MONTH(MaySun1+32)=5),MaySun1+32, "")</f>
        <v>41424</v>
      </c>
      <c r="P17" s="61">
        <f>IF(AND(YEAR(MaySun1+33)=$A$1,MONTH(MaySun1+33)=5),MaySun1+33, "")</f>
        <v>41425</v>
      </c>
      <c r="Q17" s="61" t="str">
        <f>IF(AND(YEAR(MaySun1+34)=$A$1,MONTH(MaySun1+34)=5),MaySun1+34, "")</f>
        <v/>
      </c>
      <c r="S17" s="61">
        <f>IF(AND(YEAR(AugSun1+28)=$A$1,MONTH(AugSun1+28)=8),AugSun1+28, "")</f>
        <v>41511</v>
      </c>
      <c r="T17" s="61">
        <f>IF(AND(YEAR(AugSun1+29)=$A$1,MONTH(AugSun1+29)=8),AugSun1+29, "")</f>
        <v>41512</v>
      </c>
      <c r="U17" s="61">
        <f>IF(AND(YEAR(AugSun1+30)=$A$1,MONTH(AugSun1+30)=8),AugSun1+30, "")</f>
        <v>41513</v>
      </c>
      <c r="V17" s="61">
        <f>IF(AND(YEAR(AugSun1+31)=$A$1,MONTH(AugSun1+31)=8),AugSun1+31, "")</f>
        <v>41514</v>
      </c>
      <c r="W17" s="61">
        <f>IF(AND(YEAR(AugSun1+32)=$A$1,MONTH(AugSun1+32)=8),AugSun1+32, "")</f>
        <v>41515</v>
      </c>
      <c r="X17" s="61">
        <f>IF(AND(YEAR(AugSun1+33)=$A$1,MONTH(AugSun1+33)=8),AugSun1+33, "")</f>
        <v>41516</v>
      </c>
      <c r="Y17" s="61">
        <f>IF(AND(YEAR(AugSun1+34)=$A$1,MONTH(AugSun1+34)=8),AugSun1+34, "")</f>
        <v>41517</v>
      </c>
      <c r="AA17" s="61">
        <f>IF(AND(YEAR(NovSun1+28)=$A$1,MONTH(NovSun1+28)=11),NovSun1+28, "")</f>
        <v>41602</v>
      </c>
      <c r="AB17" s="61">
        <f>IF(AND(YEAR(NovSun1+29)=$A$1,MONTH(NovSun1+29)=11),NovSun1+29, "")</f>
        <v>41603</v>
      </c>
      <c r="AC17" s="61">
        <f>IF(AND(YEAR(NovSun1+30)=$A$1,MONTH(NovSun1+30)=11),NovSun1+30, "")</f>
        <v>41604</v>
      </c>
      <c r="AD17" s="61">
        <f>IF(AND(YEAR(NovSun1+31)=$A$1,MONTH(NovSun1+31)=11),NovSun1+31, "")</f>
        <v>41605</v>
      </c>
      <c r="AE17" s="61">
        <f>IF(AND(YEAR(NovSun1+32)=$A$1,MONTH(NovSun1+32)=11),NovSun1+32, "")</f>
        <v>41606</v>
      </c>
      <c r="AF17" s="61">
        <f>IF(AND(YEAR(NovSun1+33)=$A$1,MONTH(NovSun1+33)=11),NovSun1+33, "")</f>
        <v>41607</v>
      </c>
      <c r="AG17" s="61">
        <f>IF(AND(YEAR(NovSun1+34)=$A$1,MONTH(NovSun1+34)=11),NovSun1+34, "")</f>
        <v>41608</v>
      </c>
    </row>
    <row r="18" spans="2:34" ht="15.95" customHeight="1" x14ac:dyDescent="0.2">
      <c r="C18" s="62" t="str">
        <f>IF(AND(YEAR(FebSun1+35)=$A$1,MONTH(FebSun1+35)=2),FebSun1+35, "")</f>
        <v/>
      </c>
      <c r="D18" s="62" t="str">
        <f>IF(AND(YEAR(FebSun1+36)=$A$1,MONTH(FebSun1+36)=2),FebSun1+36, "")</f>
        <v/>
      </c>
      <c r="E18" s="62" t="str">
        <f>IF(AND(YEAR(FebSun1+37)=$A$1,MONTH(FebSun1+37)=2),FebSun1+37, "")</f>
        <v/>
      </c>
      <c r="F18" s="62" t="str">
        <f>IF(AND(YEAR(FebSun1+38)=$A$1,MONTH(FebSun1+38)=2),FebSun1+38, "")</f>
        <v/>
      </c>
      <c r="G18" s="62" t="str">
        <f>IF(AND(YEAR(FebSun1+39)=$A$1,MONTH(FebSun1+39)=2),FebSun1+39, "")</f>
        <v/>
      </c>
      <c r="H18" s="62" t="str">
        <f>IF(AND(YEAR(FebSun1+40)=$A$1,MONTH(FebSun1+40)=2),FebSun1+40, "")</f>
        <v/>
      </c>
      <c r="I18" s="62" t="str">
        <f>IF(AND(YEAR(FebSun1+41)=$A$1,MONTH(FebSun1+41)=2),FebSun1+41, "")</f>
        <v/>
      </c>
      <c r="K18" s="62" t="str">
        <f>IF(AND(YEAR(MaySun1+35)=$A$1,MONTH(MaySun1+35)=5),MaySun1+35, "")</f>
        <v/>
      </c>
      <c r="L18" s="62" t="str">
        <f>IF(AND(YEAR(MaySun1+36)=$A$1,MONTH(MaySun1+36)=5),MaySun1+36, "")</f>
        <v/>
      </c>
      <c r="M18" s="62" t="str">
        <f>IF(AND(YEAR(MaySun1+37)=$A$1,MONTH(MaySun1+37)=5),MaySun1+37, "")</f>
        <v/>
      </c>
      <c r="N18" s="62" t="str">
        <f>IF(AND(YEAR(MaySun1+38)=$A$1,MONTH(MaySun1+38)=5),MaySun1+38, "")</f>
        <v/>
      </c>
      <c r="O18" s="62" t="str">
        <f>IF(AND(YEAR(MaySun1+39)=$A$1,MONTH(MaySun1+39)=5),MaySun1+39, "")</f>
        <v/>
      </c>
      <c r="P18" s="62" t="str">
        <f>IF(AND(YEAR(MaySun1+40)=$A$1,MONTH(MaySun1+40)=5),MaySun1+40, "")</f>
        <v/>
      </c>
      <c r="Q18" s="62" t="str">
        <f>IF(AND(YEAR(MaySun1+41)=$A$1,MONTH(MaySun1+41)=5),MaySun1+41, "")</f>
        <v/>
      </c>
      <c r="S18" s="62" t="str">
        <f>IF(AND(YEAR(AugSun1+35)=$A$1,MONTH(AugSun1+35)=8),AugSun1+35, "")</f>
        <v/>
      </c>
      <c r="T18" s="62" t="str">
        <f>IF(AND(YEAR(AugSun1+36)=$A$1,MONTH(AugSun1+36)=8),AugSun1+36, "")</f>
        <v/>
      </c>
      <c r="U18" s="62" t="str">
        <f>IF(AND(YEAR(AugSun1+37)=$A$1,MONTH(AugSun1+37)=8),AugSun1+37, "")</f>
        <v/>
      </c>
      <c r="V18" s="62" t="str">
        <f>IF(AND(YEAR(AugSun1+38)=$A$1,MONTH(AugSun1+38)=8),AugSun1+38, "")</f>
        <v/>
      </c>
      <c r="W18" s="62" t="str">
        <f>IF(AND(YEAR(AugSun1+39)=$A$1,MONTH(AugSun1+39)=8),AugSun1+39, "")</f>
        <v/>
      </c>
      <c r="X18" s="62" t="str">
        <f>IF(AND(YEAR(AugSun1+40)=$A$1,MONTH(AugSun1+40)=8),AugSun1+40, "")</f>
        <v/>
      </c>
      <c r="Y18" s="62" t="str">
        <f>IF(AND(YEAR(AugSun1+41)=$A$1,MONTH(AugSun1+41)=8),AugSun1+41, "")</f>
        <v/>
      </c>
      <c r="AA18" s="62" t="str">
        <f>IF(AND(YEAR(NovSun1+35)=$A$1,MONTH(NovSun1+35)=11),NovSun1+35, "")</f>
        <v/>
      </c>
      <c r="AB18" s="62" t="str">
        <f>IF(AND(YEAR(NovSun1+36)=$A$1,MONTH(NovSun1+36)=11),NovSun1+36, "")</f>
        <v/>
      </c>
      <c r="AC18" s="62" t="str">
        <f>IF(AND(YEAR(NovSun1+37)=$A$1,MONTH(NovSun1+37)=11),NovSun1+37, "")</f>
        <v/>
      </c>
      <c r="AD18" s="62" t="str">
        <f>IF(AND(YEAR(NovSun1+38)=$A$1,MONTH(NovSun1+38)=11),NovSun1+38, "")</f>
        <v/>
      </c>
      <c r="AE18" s="62" t="str">
        <f>IF(AND(YEAR(NovSun1+39)=$A$1,MONTH(NovSun1+39)=11),NovSun1+39, "")</f>
        <v/>
      </c>
      <c r="AF18" s="62" t="str">
        <f>IF(AND(YEAR(NovSun1+40)=$A$1,MONTH(NovSun1+40)=11),NovSun1+40, "")</f>
        <v/>
      </c>
      <c r="AG18" s="62" t="str">
        <f>IF(AND(YEAR(NovSun1+41)=$A$1,MONTH(NovSun1+41)=11),NovSun1+41, "")</f>
        <v/>
      </c>
    </row>
    <row r="19" spans="2:34" ht="15.95" customHeight="1" x14ac:dyDescent="0.2">
      <c r="B19" s="63"/>
      <c r="C19" s="64"/>
      <c r="D19" s="64"/>
      <c r="E19" s="64"/>
      <c r="F19" s="64"/>
      <c r="G19" s="64"/>
      <c r="H19" s="64"/>
      <c r="I19" s="64"/>
      <c r="J19" s="63"/>
      <c r="K19" s="64"/>
      <c r="L19" s="64"/>
      <c r="M19" s="64"/>
      <c r="N19" s="64"/>
      <c r="O19" s="64"/>
      <c r="P19" s="64"/>
      <c r="Q19" s="64"/>
      <c r="R19" s="63"/>
      <c r="S19" s="64"/>
      <c r="T19" s="64"/>
      <c r="U19" s="64"/>
      <c r="V19" s="64"/>
      <c r="W19" s="64"/>
      <c r="X19" s="64"/>
      <c r="Y19" s="64"/>
      <c r="Z19" s="63"/>
      <c r="AA19" s="64"/>
      <c r="AB19" s="64"/>
      <c r="AC19" s="64"/>
      <c r="AD19" s="64"/>
      <c r="AE19" s="64"/>
      <c r="AF19" s="64"/>
      <c r="AG19" s="64"/>
      <c r="AH19" s="63"/>
    </row>
    <row r="20" spans="2:34" ht="15.95" customHeight="1" x14ac:dyDescent="0.2">
      <c r="C20" s="122" t="s">
        <v>74</v>
      </c>
      <c r="D20" s="123"/>
      <c r="E20" s="123"/>
      <c r="F20" s="123"/>
      <c r="G20" s="123"/>
      <c r="H20" s="123"/>
      <c r="I20" s="124"/>
      <c r="K20" s="122" t="s">
        <v>75</v>
      </c>
      <c r="L20" s="123"/>
      <c r="M20" s="123"/>
      <c r="N20" s="123"/>
      <c r="O20" s="123"/>
      <c r="P20" s="123"/>
      <c r="Q20" s="124"/>
      <c r="S20" s="122" t="s">
        <v>76</v>
      </c>
      <c r="T20" s="123"/>
      <c r="U20" s="123"/>
      <c r="V20" s="123"/>
      <c r="W20" s="123"/>
      <c r="X20" s="123"/>
      <c r="Y20" s="124"/>
      <c r="AA20" s="122" t="s">
        <v>77</v>
      </c>
      <c r="AB20" s="123"/>
      <c r="AC20" s="123"/>
      <c r="AD20" s="123"/>
      <c r="AE20" s="123"/>
      <c r="AF20" s="123"/>
      <c r="AG20" s="124"/>
    </row>
    <row r="21" spans="2:34" ht="15.95" customHeight="1" x14ac:dyDescent="0.2">
      <c r="B21" s="59"/>
      <c r="C21" s="60" t="s">
        <v>65</v>
      </c>
      <c r="D21" s="60" t="s">
        <v>66</v>
      </c>
      <c r="E21" s="60" t="s">
        <v>67</v>
      </c>
      <c r="F21" s="60" t="s">
        <v>68</v>
      </c>
      <c r="G21" s="60" t="s">
        <v>67</v>
      </c>
      <c r="H21" s="60" t="s">
        <v>69</v>
      </c>
      <c r="I21" s="60" t="s">
        <v>65</v>
      </c>
      <c r="K21" s="60" t="s">
        <v>65</v>
      </c>
      <c r="L21" s="60" t="s">
        <v>66</v>
      </c>
      <c r="M21" s="60" t="s">
        <v>67</v>
      </c>
      <c r="N21" s="60" t="s">
        <v>68</v>
      </c>
      <c r="O21" s="60" t="s">
        <v>67</v>
      </c>
      <c r="P21" s="60" t="s">
        <v>69</v>
      </c>
      <c r="Q21" s="60" t="s">
        <v>65</v>
      </c>
      <c r="S21" s="60" t="s">
        <v>65</v>
      </c>
      <c r="T21" s="60" t="s">
        <v>66</v>
      </c>
      <c r="U21" s="60" t="s">
        <v>67</v>
      </c>
      <c r="V21" s="60" t="s">
        <v>68</v>
      </c>
      <c r="W21" s="60" t="s">
        <v>67</v>
      </c>
      <c r="X21" s="60" t="s">
        <v>69</v>
      </c>
      <c r="Y21" s="60" t="s">
        <v>65</v>
      </c>
      <c r="AA21" s="60" t="s">
        <v>65</v>
      </c>
      <c r="AB21" s="60" t="s">
        <v>66</v>
      </c>
      <c r="AC21" s="60" t="s">
        <v>67</v>
      </c>
      <c r="AD21" s="60" t="s">
        <v>68</v>
      </c>
      <c r="AE21" s="60" t="s">
        <v>67</v>
      </c>
      <c r="AF21" s="60" t="s">
        <v>69</v>
      </c>
      <c r="AG21" s="60" t="s">
        <v>65</v>
      </c>
    </row>
    <row r="22" spans="2:34" ht="15.95" customHeight="1" x14ac:dyDescent="0.2">
      <c r="C22" s="61" t="str">
        <f>IF(AND(YEAR(MarSun1)=$A$1,MONTH(MarSun1)=3),MarSun1, "")</f>
        <v/>
      </c>
      <c r="D22" s="61" t="str">
        <f>IF(AND(YEAR(MarSun1+1)=$A$1,MONTH(MarSun1+1)=3),MarSun1+1, "")</f>
        <v/>
      </c>
      <c r="E22" s="61" t="str">
        <f>IF(AND(YEAR(MarSun1+2)=$A$1,MONTH(MarSun1+2)=3),MarSun1+2, "")</f>
        <v/>
      </c>
      <c r="F22" s="61" t="str">
        <f>IF(AND(YEAR(MarSun1+3)=$A$1,MONTH(MarSun1+3)=3),MarSun1+3, "")</f>
        <v/>
      </c>
      <c r="G22" s="61" t="str">
        <f>IF(AND(YEAR(MarSun1+4)=$A$1,MONTH(MarSun1+4)=3),MarSun1+4, "")</f>
        <v/>
      </c>
      <c r="H22" s="61">
        <f>IF(AND(YEAR(MarSun1+5)=$A$1,MONTH(MarSun1+5)=3),MarSun1+5, "")</f>
        <v>41334</v>
      </c>
      <c r="I22" s="61">
        <f>IF(AND(YEAR(MarSun1+6)=$A$1,MONTH(MarSun1+6)=3),MarSun1+6, "")</f>
        <v>41335</v>
      </c>
      <c r="K22" s="61" t="str">
        <f>IF(AND(YEAR(JunSun1)=$A$1,MONTH(JunSun1)=6),JunSun1, "")</f>
        <v/>
      </c>
      <c r="L22" s="61" t="str">
        <f>IF(AND(YEAR(JunSun1+1)=$A$1,MONTH(JunSun1+1)=6),JunSun1+1, "")</f>
        <v/>
      </c>
      <c r="M22" s="61" t="str">
        <f>IF(AND(YEAR(JunSun1+2)=$A$1,MONTH(JunSun1+2)=6),JunSun1+2, "")</f>
        <v/>
      </c>
      <c r="N22" s="61" t="str">
        <f>IF(AND(YEAR(JunSun1+3)=$A$1,MONTH(JunSun1+3)=6),JunSun1+3, "")</f>
        <v/>
      </c>
      <c r="O22" s="61" t="str">
        <f>IF(AND(YEAR(JunSun1+4)=$A$1,MONTH(JunSun1+4)=6),JunSun1+4, "")</f>
        <v/>
      </c>
      <c r="P22" s="61" t="str">
        <f>IF(AND(YEAR(JunSun1+5)=$A$1,MONTH(JunSun1+5)=6),JunSun1+5, "")</f>
        <v/>
      </c>
      <c r="Q22" s="61">
        <f>IF(AND(YEAR(JunSun1+6)=$A$1,MONTH(JunSun1+6)=6),JunSun1+6, "")</f>
        <v>41426</v>
      </c>
      <c r="S22" s="61">
        <f>IF(AND(YEAR(SepSun1)=$A$1,MONTH(SepSun1)=9),SepSun1, "")</f>
        <v>41518</v>
      </c>
      <c r="T22" s="66">
        <f>IF(AND(YEAR(SepSun1+1)=$A$1,MONTH(SepSun1+1)=9),SepSun1+1, "")</f>
        <v>41519</v>
      </c>
      <c r="U22" s="61">
        <f>IF(AND(YEAR(SepSun1+2)=$A$1,MONTH(SepSun1+2)=9),SepSun1+2, "")</f>
        <v>41520</v>
      </c>
      <c r="V22" s="61">
        <f>IF(AND(YEAR(SepSun1+3)=$A$1,MONTH(SepSun1+3)=9),SepSun1+3, "")</f>
        <v>41521</v>
      </c>
      <c r="W22" s="61">
        <f>IF(AND(YEAR(SepSun1+4)=$A$1,MONTH(SepSun1+4)=9),SepSun1+4, "")</f>
        <v>41522</v>
      </c>
      <c r="X22" s="61">
        <f>IF(AND(YEAR(SepSun1+5)=$A$1,MONTH(SepSun1+5)=9),SepSun1+5, "")</f>
        <v>41523</v>
      </c>
      <c r="Y22" s="61">
        <f>IF(AND(YEAR(SepSun1+6)=$A$1,MONTH(SepSun1+6)=9),SepSun1+6, "")</f>
        <v>41524</v>
      </c>
      <c r="AA22" s="61">
        <f>IF(AND(YEAR(DecSun1)=$A$1,MONTH(DecSun1)=12),DecSun1, "")</f>
        <v>41609</v>
      </c>
      <c r="AB22" s="66">
        <f>IF(AND(YEAR(DecSun1+1)=$A$1,MONTH(DecSun1+1)=12),DecSun1+1, "")</f>
        <v>41610</v>
      </c>
      <c r="AC22" s="66">
        <f>IF(AND(YEAR(DecSun1+2)=$A$1,MONTH(DecSun1+2)=12),DecSun1+2, "")</f>
        <v>41611</v>
      </c>
      <c r="AD22" s="61">
        <f>IF(AND(YEAR(DecSun1+3)=$A$1,MONTH(DecSun1+3)=12),DecSun1+3, "")</f>
        <v>41612</v>
      </c>
      <c r="AE22" s="61">
        <f>IF(AND(YEAR(DecSun1+4)=$A$1,MONTH(DecSun1+4)=12),DecSun1+4, "")</f>
        <v>41613</v>
      </c>
      <c r="AF22" s="61">
        <f>IF(AND(YEAR(DecSun1+5)=$A$1,MONTH(DecSun1+5)=12),DecSun1+5, "")</f>
        <v>41614</v>
      </c>
      <c r="AG22" s="61">
        <f>IF(AND(YEAR(DecSun1+6)=$A$1,MONTH(DecSun1+6)=12),DecSun1+6, "")</f>
        <v>41615</v>
      </c>
    </row>
    <row r="23" spans="2:34" ht="15.95" customHeight="1" x14ac:dyDescent="0.2">
      <c r="C23" s="61">
        <f>IF(AND(YEAR(MarSun1+7)=$A$1,MONTH(MarSun1+7)=3),MarSun1+7, "")</f>
        <v>41336</v>
      </c>
      <c r="D23" s="61">
        <f>IF(AND(YEAR(MarSun1+8)=$A$1,MONTH(MarSun1+8)=3),MarSun1+8, "")</f>
        <v>41337</v>
      </c>
      <c r="E23" s="61">
        <f>IF(AND(YEAR(MarSun1+9)=$A$1,MONTH(MarSun1+9)=3),MarSun1+9, "")</f>
        <v>41338</v>
      </c>
      <c r="F23" s="61">
        <f>IF(AND(YEAR(MarSun1+10)=$A$1,MONTH(MarSun1+10)=3),MarSun1+10, "")</f>
        <v>41339</v>
      </c>
      <c r="G23" s="61">
        <f>IF(AND(YEAR(MarSun1+11)=$A$1,MONTH(MarSun1+11)=3),MarSun1+11, "")</f>
        <v>41340</v>
      </c>
      <c r="H23" s="61">
        <f>IF(AND(YEAR(MarSun1+12)=$A$1,MONTH(MarSun1+12)=3),MarSun1+12, "")</f>
        <v>41341</v>
      </c>
      <c r="I23" s="61">
        <f>IF(AND(YEAR(MarSun1+13)=$A$1,MONTH(MarSun1+13)=3),MarSun1+13, "")</f>
        <v>41342</v>
      </c>
      <c r="K23" s="61">
        <f>IF(AND(YEAR(JunSun1+7)=$A$1,MONTH(JunSun1+7)=6),JunSun1+7, "")</f>
        <v>41427</v>
      </c>
      <c r="L23" s="61">
        <f>IF(AND(YEAR(JunSun1+8)=$A$1,MONTH(JunSun1+8)=6),JunSun1+8, "")</f>
        <v>41428</v>
      </c>
      <c r="M23" s="61">
        <f>IF(AND(YEAR(JunSun1+9)=$A$1,MONTH(JunSun1+9)=6),JunSun1+9, "")</f>
        <v>41429</v>
      </c>
      <c r="N23" s="61">
        <f>IF(AND(YEAR(JunSun1+10)=$A$1,MONTH(JunSun1+10)=6),JunSun1+10, "")</f>
        <v>41430</v>
      </c>
      <c r="O23" s="61">
        <f>IF(AND(YEAR(JunSun1+11)=$A$1,MONTH(JunSun1+11)=6),JunSun1+11, "")</f>
        <v>41431</v>
      </c>
      <c r="P23" s="61">
        <f>IF(AND(YEAR(JunSun1+12)=$A$1,MONTH(JunSun1+12)=6),JunSun1+12, "")</f>
        <v>41432</v>
      </c>
      <c r="Q23" s="61">
        <f>IF(AND(YEAR(JunSun1+13)=$A$1,MONTH(JunSun1+13)=6),JunSun1+13, "")</f>
        <v>41433</v>
      </c>
      <c r="S23" s="61">
        <f>IF(AND(YEAR(SepSun1+7)=$A$1,MONTH(SepSun1+7)=9),SepSun1+7, "")</f>
        <v>41525</v>
      </c>
      <c r="T23" s="61">
        <f>IF(AND(YEAR(SepSun1+8)=$A$1,MONTH(SepSun1+8)=9),SepSun1+8, "")</f>
        <v>41526</v>
      </c>
      <c r="U23" s="61">
        <f>IF(AND(YEAR(SepSun1+9)=$A$1,MONTH(SepSun1+9)=9),SepSun1+9, "")</f>
        <v>41527</v>
      </c>
      <c r="V23" s="61">
        <f>IF(AND(YEAR(SepSun1+10)=$A$1,MONTH(SepSun1+10)=9),SepSun1+10, "")</f>
        <v>41528</v>
      </c>
      <c r="W23" s="61">
        <f>IF(AND(YEAR(SepSun1+11)=$A$1,MONTH(SepSun1+11)=9),SepSun1+11, "")</f>
        <v>41529</v>
      </c>
      <c r="X23" s="61">
        <f>IF(AND(YEAR(SepSun1+12)=$A$1,MONTH(SepSun1+12)=9),SepSun1+12, "")</f>
        <v>41530</v>
      </c>
      <c r="Y23" s="61">
        <f>IF(AND(YEAR(SepSun1+13)=$A$1,MONTH(SepSun1+13)=9),SepSun1+13, "")</f>
        <v>41531</v>
      </c>
      <c r="AA23" s="61">
        <f>IF(AND(YEAR(DecSun1+7)=$A$1,MONTH(DecSun1+7)=12),DecSun1+7, "")</f>
        <v>41616</v>
      </c>
      <c r="AB23" s="66">
        <f>IF(AND(YEAR(DecSun1+8)=$A$1,MONTH(DecSun1+8)=12),DecSun1+8, "")</f>
        <v>41617</v>
      </c>
      <c r="AC23" s="66">
        <f>IF(AND(YEAR(DecSun1+9)=$A$1,MONTH(DecSun1+9)=12),DecSun1+9, "")</f>
        <v>41618</v>
      </c>
      <c r="AD23" s="61">
        <f>IF(AND(YEAR(DecSun1+10)=$A$1,MONTH(DecSun1+10)=12),DecSun1+10, "")</f>
        <v>41619</v>
      </c>
      <c r="AE23" s="61">
        <f>IF(AND(YEAR(DecSun1+11)=$A$1,MONTH(DecSun1+11)=12),DecSun1+11, "")</f>
        <v>41620</v>
      </c>
      <c r="AF23" s="61">
        <f>IF(AND(YEAR(DecSun1+12)=$A$1,MONTH(DecSun1+12)=12),DecSun1+12, "")</f>
        <v>41621</v>
      </c>
      <c r="AG23" s="61">
        <f>IF(AND(YEAR(DecSun1+13)=$A$1,MONTH(DecSun1+13)=12),DecSun1+13, "")</f>
        <v>41622</v>
      </c>
    </row>
    <row r="24" spans="2:34" ht="15.95" customHeight="1" x14ac:dyDescent="0.2">
      <c r="C24" s="61">
        <f>IF(AND(YEAR(MarSun1+14)=$A$1,MONTH(MarSun1+14)=3),MarSun1+14, "")</f>
        <v>41343</v>
      </c>
      <c r="D24" s="61">
        <f>IF(AND(YEAR(MarSun1+15)=$A$1,MONTH(MarSun1+15)=3),MarSun1+15, "")</f>
        <v>41344</v>
      </c>
      <c r="E24" s="61">
        <f>IF(AND(YEAR(MarSun1+16)=$A$1,MONTH(MarSun1+16)=3),MarSun1+16, "")</f>
        <v>41345</v>
      </c>
      <c r="F24" s="61">
        <f>IF(AND(YEAR(MarSun1+17)=$A$1,MONTH(MarSun1+17)=3),MarSun1+17, "")</f>
        <v>41346</v>
      </c>
      <c r="G24" s="61">
        <f>IF(AND(YEAR(MarSun1+18)=$A$1,MONTH(MarSun1+18)=3),MarSun1+18, "")</f>
        <v>41347</v>
      </c>
      <c r="H24" s="61">
        <f>IF(AND(YEAR(MarSun1+19)=$A$1,MONTH(MarSun1+19)=3),MarSun1+19, "")</f>
        <v>41348</v>
      </c>
      <c r="I24" s="61">
        <f>IF(AND(YEAR(MarSun1+20)=$A$1,MONTH(MarSun1+20)=3),MarSun1+20, "")</f>
        <v>41349</v>
      </c>
      <c r="K24" s="61">
        <f>IF(AND(YEAR(JunSun1+14)=$A$1,MONTH(JunSun1+14)=6),JunSun1+14, "")</f>
        <v>41434</v>
      </c>
      <c r="L24" s="61">
        <f>IF(AND(YEAR(JunSun1+15)=$A$1,MONTH(JunSun1+15)=6),JunSun1+15, "")</f>
        <v>41435</v>
      </c>
      <c r="M24" s="61">
        <f>IF(AND(YEAR(JunSun1+16)=$A$1,MONTH(JunSun1+16)=6),JunSun1+16, "")</f>
        <v>41436</v>
      </c>
      <c r="N24" s="61">
        <f>IF(AND(YEAR(JunSun1+17)=$A$1,MONTH(JunSun1+17)=6),JunSun1+17, "")</f>
        <v>41437</v>
      </c>
      <c r="O24" s="61">
        <f>IF(AND(YEAR(JunSun1+18)=$A$1,MONTH(JunSun1+18)=6),JunSun1+18, "")</f>
        <v>41438</v>
      </c>
      <c r="P24" s="61">
        <f>IF(AND(YEAR(JunSun1+19)=$A$1,MONTH(JunSun1+19)=6),JunSun1+19, "")</f>
        <v>41439</v>
      </c>
      <c r="Q24" s="61">
        <f>IF(AND(YEAR(JunSun1+20)=$A$1,MONTH(JunSun1+20)=6),JunSun1+20, "")</f>
        <v>41440</v>
      </c>
      <c r="S24" s="61">
        <f>IF(AND(YEAR(SepSun1+14)=$A$1,MONTH(SepSun1+14)=9),SepSun1+14, "")</f>
        <v>41532</v>
      </c>
      <c r="T24" s="61">
        <f>IF(AND(YEAR(SepSun1+15)=$A$1,MONTH(SepSun1+15)=9),SepSun1+15, "")</f>
        <v>41533</v>
      </c>
      <c r="U24" s="61">
        <f>IF(AND(YEAR(SepSun1+16)=$A$1,MONTH(SepSun1+16)=9),SepSun1+16, "")</f>
        <v>41534</v>
      </c>
      <c r="V24" s="61">
        <f>IF(AND(YEAR(SepSun1+17)=$A$1,MONTH(SepSun1+17)=9),SepSun1+17, "")</f>
        <v>41535</v>
      </c>
      <c r="W24" s="61">
        <f>IF(AND(YEAR(SepSun1+18)=$A$1,MONTH(SepSun1+18)=9),SepSun1+18, "")</f>
        <v>41536</v>
      </c>
      <c r="X24" s="61">
        <f>IF(AND(YEAR(SepSun1+19)=$A$1,MONTH(SepSun1+19)=9),SepSun1+19, "")</f>
        <v>41537</v>
      </c>
      <c r="Y24" s="61">
        <f>IF(AND(YEAR(SepSun1+20)=$A$1,MONTH(SepSun1+20)=9),SepSun1+20, "")</f>
        <v>41538</v>
      </c>
      <c r="AA24" s="61">
        <f>IF(AND(YEAR(DecSun1+14)=$A$1,MONTH(DecSun1+14)=12),DecSun1+14, "")</f>
        <v>41623</v>
      </c>
      <c r="AB24" s="61">
        <f>IF(AND(YEAR(DecSun1+15)=$A$1,MONTH(DecSun1+15)=12),DecSun1+15, "")</f>
        <v>41624</v>
      </c>
      <c r="AC24" s="61">
        <f>IF(AND(YEAR(DecSun1+16)=$A$1,MONTH(DecSun1+16)=12),DecSun1+16, "")</f>
        <v>41625</v>
      </c>
      <c r="AD24" s="61">
        <f>IF(AND(YEAR(DecSun1+17)=$A$1,MONTH(DecSun1+17)=12),DecSun1+17, "")</f>
        <v>41626</v>
      </c>
      <c r="AE24" s="61">
        <f>IF(AND(YEAR(DecSun1+18)=$A$1,MONTH(DecSun1+18)=12),DecSun1+18, "")</f>
        <v>41627</v>
      </c>
      <c r="AF24" s="61">
        <f>IF(AND(YEAR(DecSun1+19)=$A$1,MONTH(DecSun1+19)=12),DecSun1+19, "")</f>
        <v>41628</v>
      </c>
      <c r="AG24" s="61">
        <f>IF(AND(YEAR(DecSun1+20)=$A$1,MONTH(DecSun1+20)=12),DecSun1+20, "")</f>
        <v>41629</v>
      </c>
    </row>
    <row r="25" spans="2:34" ht="15.95" customHeight="1" x14ac:dyDescent="0.2">
      <c r="C25" s="61">
        <f>IF(AND(YEAR(MarSun1+21)=$A$1,MONTH(MarSun1+21)=3),MarSun1+21, "")</f>
        <v>41350</v>
      </c>
      <c r="D25" s="61">
        <f>IF(AND(YEAR(MarSun1+22)=$A$1,MONTH(MarSun1+22)=3),MarSun1+22, "")</f>
        <v>41351</v>
      </c>
      <c r="E25" s="61">
        <f>IF(AND(YEAR(MarSun1+23)=$A$1,MONTH(MarSun1+23)=3),MarSun1+23, "")</f>
        <v>41352</v>
      </c>
      <c r="F25" s="61">
        <f>IF(AND(YEAR(MarSun1+24)=$A$1,MONTH(MarSun1+24)=3),MarSun1+24, "")</f>
        <v>41353</v>
      </c>
      <c r="G25" s="61">
        <f>IF(AND(YEAR(MarSun1+25)=$A$1,MONTH(MarSun1+25)=3),MarSun1+25, "")</f>
        <v>41354</v>
      </c>
      <c r="H25" s="61">
        <f>IF(AND(YEAR(MarSun1+26)=$A$1,MONTH(MarSun1+26)=3),MarSun1+26, "")</f>
        <v>41355</v>
      </c>
      <c r="I25" s="61">
        <f>IF(AND(YEAR(MarSun1+27)=$A$1,MONTH(MarSun1+27)=3),MarSun1+27, "")</f>
        <v>41356</v>
      </c>
      <c r="K25" s="61">
        <f>IF(AND(YEAR(JunSun1+21)=$A$1,MONTH(JunSun1+21)=6),JunSun1+21, "")</f>
        <v>41441</v>
      </c>
      <c r="L25" s="61">
        <f>IF(AND(YEAR(JunSun1+22)=$A$1,MONTH(JunSun1+22)=6),JunSun1+22, "")</f>
        <v>41442</v>
      </c>
      <c r="M25" s="61">
        <f>IF(AND(YEAR(JunSun1+23)=$A$1,MONTH(JunSun1+23)=6),JunSun1+23, "")</f>
        <v>41443</v>
      </c>
      <c r="N25" s="61">
        <f>IF(AND(YEAR(JunSun1+24)=$A$1,MONTH(JunSun1+24)=6),JunSun1+24, "")</f>
        <v>41444</v>
      </c>
      <c r="O25" s="61">
        <f>IF(AND(YEAR(JunSun1+25)=$A$1,MONTH(JunSun1+25)=6),JunSun1+25, "")</f>
        <v>41445</v>
      </c>
      <c r="P25" s="61">
        <f>IF(AND(YEAR(JunSun1+26)=$A$1,MONTH(JunSun1+26)=6),JunSun1+26, "")</f>
        <v>41446</v>
      </c>
      <c r="Q25" s="61">
        <f>IF(AND(YEAR(JunSun1+27)=$A$1,MONTH(JunSun1+27)=6),JunSun1+27, "")</f>
        <v>41447</v>
      </c>
      <c r="S25" s="61">
        <f>IF(AND(YEAR(SepSun1+21)=$A$1,MONTH(SepSun1+21)=9),SepSun1+21, "")</f>
        <v>41539</v>
      </c>
      <c r="T25" s="61">
        <f>IF(AND(YEAR(SepSun1+22)=$A$1,MONTH(SepSun1+22)=9),SepSun1+22, "")</f>
        <v>41540</v>
      </c>
      <c r="U25" s="61">
        <f>IF(AND(YEAR(SepSun1+23)=$A$1,MONTH(SepSun1+23)=9),SepSun1+23, "")</f>
        <v>41541</v>
      </c>
      <c r="V25" s="61">
        <f>IF(AND(YEAR(SepSun1+24)=$A$1,MONTH(SepSun1+24)=9),SepSun1+24, "")</f>
        <v>41542</v>
      </c>
      <c r="W25" s="61">
        <f>IF(AND(YEAR(SepSun1+25)=$A$1,MONTH(SepSun1+25)=9),SepSun1+25, "")</f>
        <v>41543</v>
      </c>
      <c r="X25" s="61">
        <f>IF(AND(YEAR(SepSun1+26)=$A$1,MONTH(SepSun1+26)=9),SepSun1+26, "")</f>
        <v>41544</v>
      </c>
      <c r="Y25" s="61">
        <f>IF(AND(YEAR(SepSun1+27)=$A$1,MONTH(SepSun1+27)=9),SepSun1+27, "")</f>
        <v>41545</v>
      </c>
      <c r="AA25" s="61">
        <f>IF(AND(YEAR(DecSun1+21)=$A$1,MONTH(DecSun1+21)=12),DecSun1+21, "")</f>
        <v>41630</v>
      </c>
      <c r="AB25" s="61">
        <f>IF(AND(YEAR(DecSun1+22)=$A$1,MONTH(DecSun1+22)=12),DecSun1+22, "")</f>
        <v>41631</v>
      </c>
      <c r="AC25" s="61">
        <f>IF(AND(YEAR(DecSun1+23)=$A$1,MONTH(DecSun1+23)=12),DecSun1+23, "")</f>
        <v>41632</v>
      </c>
      <c r="AD25" s="61">
        <f>IF(AND(YEAR(DecSun1+24)=$A$1,MONTH(DecSun1+24)=12),DecSun1+24, "")</f>
        <v>41633</v>
      </c>
      <c r="AE25" s="61">
        <f>IF(AND(YEAR(DecSun1+25)=$A$1,MONTH(DecSun1+25)=12),DecSun1+25, "")</f>
        <v>41634</v>
      </c>
      <c r="AF25" s="61">
        <f>IF(AND(YEAR(DecSun1+26)=$A$1,MONTH(DecSun1+26)=12),DecSun1+26, "")</f>
        <v>41635</v>
      </c>
      <c r="AG25" s="61">
        <f>IF(AND(YEAR(DecSun1+27)=$A$1,MONTH(DecSun1+27)=12),DecSun1+27, "")</f>
        <v>41636</v>
      </c>
    </row>
    <row r="26" spans="2:34" ht="15.95" customHeight="1" x14ac:dyDescent="0.2">
      <c r="C26" s="61">
        <f>IF(AND(YEAR(MarSun1+28)=$A$1,MONTH(MarSun1+28)=3),MarSun1+28, "")</f>
        <v>41357</v>
      </c>
      <c r="D26" s="61">
        <f>IF(AND(YEAR(MarSun1+29)=$A$1,MONTH(MarSun1+29)=3),MarSun1+29, "")</f>
        <v>41358</v>
      </c>
      <c r="E26" s="61">
        <f>IF(AND(YEAR(MarSun1+30)=$A$1,MONTH(MarSun1+30)=3),MarSun1+30, "")</f>
        <v>41359</v>
      </c>
      <c r="F26" s="61">
        <f>IF(AND(YEAR(MarSun1+31)=$A$1,MONTH(MarSun1+31)=3),MarSun1+31, "")</f>
        <v>41360</v>
      </c>
      <c r="G26" s="61">
        <f>IF(AND(YEAR(MarSun1+32)=$A$1,MONTH(MarSun1+32)=3),MarSun1+32, "")</f>
        <v>41361</v>
      </c>
      <c r="H26" s="61">
        <f>IF(AND(YEAR(MarSun1+33)=$A$1,MONTH(MarSun1+33)=3),MarSun1+33, "")</f>
        <v>41362</v>
      </c>
      <c r="I26" s="61">
        <f>IF(AND(YEAR(MarSun1+34)=$A$1,MONTH(MarSun1+34)=3),MarSun1+34, "")</f>
        <v>41363</v>
      </c>
      <c r="K26" s="61">
        <f>IF(AND(YEAR(JunSun1+28)=$A$1,MONTH(JunSun1+28)=6),JunSun1+28, "")</f>
        <v>41448</v>
      </c>
      <c r="L26" s="61">
        <f>IF(AND(YEAR(JunSun1+29)=$A$1,MONTH(JunSun1+29)=6),JunSun1+29, "")</f>
        <v>41449</v>
      </c>
      <c r="M26" s="61">
        <f>IF(AND(YEAR(JunSun1+30)=$A$1,MONTH(JunSun1+30)=6),JunSun1+30, "")</f>
        <v>41450</v>
      </c>
      <c r="N26" s="61">
        <f>IF(AND(YEAR(JunSun1+31)=$A$1,MONTH(JunSun1+31)=6),JunSun1+31, "")</f>
        <v>41451</v>
      </c>
      <c r="O26" s="61">
        <f>IF(AND(YEAR(JunSun1+32)=$A$1,MONTH(JunSun1+32)=6),JunSun1+32, "")</f>
        <v>41452</v>
      </c>
      <c r="P26" s="61">
        <f>IF(AND(YEAR(JunSun1+33)=$A$1,MONTH(JunSun1+33)=6),JunSun1+33, "")</f>
        <v>41453</v>
      </c>
      <c r="Q26" s="61">
        <f>IF(AND(YEAR(JunSun1+34)=$A$1,MONTH(JunSun1+34)=6),JunSun1+34, "")</f>
        <v>41454</v>
      </c>
      <c r="S26" s="61">
        <f>IF(AND(YEAR(SepSun1+28)=$A$1,MONTH(SepSun1+28)=9),SepSun1+28, "")</f>
        <v>41546</v>
      </c>
      <c r="T26" s="61">
        <f>IF(AND(YEAR(SepSun1+29)=$A$1,MONTH(SepSun1+29)=9),SepSun1+29, "")</f>
        <v>41547</v>
      </c>
      <c r="U26" s="61" t="str">
        <f>IF(AND(YEAR(SepSun1+30)=$A$1,MONTH(SepSun1+30)=9),SepSun1+30, "")</f>
        <v/>
      </c>
      <c r="V26" s="61" t="str">
        <f>IF(AND(YEAR(SepSun1+31)=$A$1,MONTH(SepSun1+31)=9),SepSun1+31, "")</f>
        <v/>
      </c>
      <c r="W26" s="61" t="str">
        <f>IF(AND(YEAR(SepSun1+32)=$A$1,MONTH(SepSun1+32)=9),SepSun1+32, "")</f>
        <v/>
      </c>
      <c r="X26" s="61" t="str">
        <f>IF(AND(YEAR(SepSun1+33)=$A$1,MONTH(SepSun1+33)=9),SepSun1+33, "")</f>
        <v/>
      </c>
      <c r="Y26" s="61" t="str">
        <f>IF(AND(YEAR(SepSun1+34)=$A$1,MONTH(SepSun1+34)=9),SepSun1+34, "")</f>
        <v/>
      </c>
      <c r="AA26" s="61">
        <f>IF(AND(YEAR(DecSun1+28)=$A$1,MONTH(DecSun1+28)=12),DecSun1+28, "")</f>
        <v>41637</v>
      </c>
      <c r="AB26" s="61">
        <f>IF(AND(YEAR(DecSun1+29)=$A$1,MONTH(DecSun1+29)=12),DecSun1+29, "")</f>
        <v>41638</v>
      </c>
      <c r="AC26" s="61">
        <f>IF(AND(YEAR(DecSun1+30)=$A$1,MONTH(DecSun1+30)=12),DecSun1+30, "")</f>
        <v>41639</v>
      </c>
      <c r="AD26" s="61" t="str">
        <f>IF(AND(YEAR(DecSun1+31)=$A$1,MONTH(DecSun1+31)=12),DecSun1+31, "")</f>
        <v/>
      </c>
      <c r="AE26" s="61" t="str">
        <f>IF(AND(YEAR(DecSun1+32)=$A$1,MONTH(DecSun1+32)=12),DecSun1+32, "")</f>
        <v/>
      </c>
      <c r="AF26" s="61" t="str">
        <f>IF(AND(YEAR(DecSun1+33)=$A$1,MONTH(DecSun1+33)=12),DecSun1+33, "")</f>
        <v/>
      </c>
      <c r="AG26" s="61" t="str">
        <f>IF(AND(YEAR(DecSun1+34)=$A$1,MONTH(DecSun1+34)=12),DecSun1+34, "")</f>
        <v/>
      </c>
    </row>
    <row r="27" spans="2:34" ht="15.95" customHeight="1" x14ac:dyDescent="0.2">
      <c r="C27" s="61">
        <f>IF(AND(YEAR(MarSun1+35)=$A$1,MONTH(MarSun1+35)=3),MarSun1+35, "")</f>
        <v>41364</v>
      </c>
      <c r="D27" s="61" t="str">
        <f>IF(AND(YEAR(MarSun1+36)=$A$1,MONTH(MarSun1+36)=3),MarSun1+36, "")</f>
        <v/>
      </c>
      <c r="E27" s="61" t="str">
        <f>IF(AND(YEAR(MarSun1+37)=$A$1,MONTH(MarSun1+37)=3),MarSun1+37, "")</f>
        <v/>
      </c>
      <c r="F27" s="61" t="str">
        <f>IF(AND(YEAR(MarSun1+38)=$A$1,MONTH(MarSun1+38)=3),MarSun1+38, "")</f>
        <v/>
      </c>
      <c r="G27" s="61" t="str">
        <f>IF(AND(YEAR(MarSun1+39)=$A$1,MONTH(MarSun1+39)=3),MarSun1+39, "")</f>
        <v/>
      </c>
      <c r="H27" s="61" t="str">
        <f>IF(AND(YEAR(MarSun1+40)=$A$1,MONTH(MarSun1+40)=3),MarSun1+40, "")</f>
        <v/>
      </c>
      <c r="I27" s="61" t="str">
        <f>IF(AND(YEAR(MarSun1+41)=$A$1,MONTH(MarSun1+41)=3),MarSun1+41, "")</f>
        <v/>
      </c>
      <c r="K27" s="61">
        <f>IF(AND(YEAR(JunSun1+35)=$A$1,MONTH(JunSun1+35)=6),JunSun1+35, "")</f>
        <v>41455</v>
      </c>
      <c r="L27" s="61" t="str">
        <f>IF(AND(YEAR(JunSun1+36)=$A$1,MONTH(JunSun1+36)=6),JunSun1+36, "")</f>
        <v/>
      </c>
      <c r="M27" s="61" t="str">
        <f>IF(AND(YEAR(JunSun1+37)=$A$1,MONTH(JunSun1+37)=6),JunSun1+37, "")</f>
        <v/>
      </c>
      <c r="N27" s="61" t="str">
        <f>IF(AND(YEAR(JunSun1+38)=$A$1,MONTH(JunSun1+38)=6),JunSun1+38, "")</f>
        <v/>
      </c>
      <c r="O27" s="61" t="str">
        <f>IF(AND(YEAR(JunSun1+39)=$A$1,MONTH(JunSun1+39)=6),JunSun1+39, "")</f>
        <v/>
      </c>
      <c r="P27" s="61" t="str">
        <f>IF(AND(YEAR(JunSun1+40)=$A$1,MONTH(JunSun1+40)=6),JunSun1+40, "")</f>
        <v/>
      </c>
      <c r="Q27" s="61" t="str">
        <f>IF(AND(YEAR(JunSun1+41)=$A$1,MONTH(JunSun1+41)=6),JunSun1+41, "")</f>
        <v/>
      </c>
      <c r="S27" s="61" t="str">
        <f>IF(AND(YEAR(SepSun1+35)=$A$1,MONTH(SepSun1+35)=9),SepSun1+35, "")</f>
        <v/>
      </c>
      <c r="T27" s="61" t="str">
        <f>IF(AND(YEAR(SepSun1+36)=$A$1,MONTH(SepSun1+36)=9),SepSun1+36, "")</f>
        <v/>
      </c>
      <c r="U27" s="61" t="str">
        <f>IF(AND(YEAR(SepSun1+37)=$A$1,MONTH(SepSun1+37)=9),SepSun1+37, "")</f>
        <v/>
      </c>
      <c r="V27" s="61" t="str">
        <f>IF(AND(YEAR(SepSun1+38)=$A$1,MONTH(SepSun1+38)=9),SepSun1+38, "")</f>
        <v/>
      </c>
      <c r="W27" s="61" t="str">
        <f>IF(AND(YEAR(SepSun1+39)=$A$1,MONTH(SepSun1+39)=9),SepSun1+39, "")</f>
        <v/>
      </c>
      <c r="X27" s="61" t="str">
        <f>IF(AND(YEAR(SepSun1+40)=$A$1,MONTH(SepSun1+40)=9),SepSun1+40, "")</f>
        <v/>
      </c>
      <c r="Y27" s="61" t="str">
        <f>IF(AND(YEAR(SepSun1+41)=$A$1,MONTH(SepSun1+41)=9),SepSun1+41, "")</f>
        <v/>
      </c>
      <c r="AA27" s="61" t="str">
        <f>IF(AND(YEAR(DecSun1+35)=$A$1,MONTH(DecSun1+35)=12),DecSun1+35, "")</f>
        <v/>
      </c>
      <c r="AB27" s="61" t="str">
        <f>IF(AND(YEAR(DecSun1+36)=$A$1,MONTH(DecSun1+36)=12),DecSun1+36, "")</f>
        <v/>
      </c>
      <c r="AC27" s="61" t="str">
        <f>IF(AND(YEAR(DecSun1+37)=$A$1,MONTH(DecSun1+37)=12),DecSun1+37, "")</f>
        <v/>
      </c>
      <c r="AD27" s="61" t="str">
        <f>IF(AND(YEAR(DecSun1+38)=$A$1,MONTH(DecSun1+38)=12),DecSun1+38, "")</f>
        <v/>
      </c>
      <c r="AE27" s="61" t="str">
        <f>IF(AND(YEAR(DecSun1+39)=$A$1,MONTH(DecSun1+39)=12),DecSun1+39, "")</f>
        <v/>
      </c>
      <c r="AF27" s="61" t="str">
        <f>IF(AND(YEAR(DecSun1+40)=$A$1,MONTH(DecSun1+40)=12),DecSun1+40, "")</f>
        <v/>
      </c>
      <c r="AG27" s="61" t="str">
        <f>IF(AND(YEAR(DecSun1+41)=$A$1,MONTH(DecSun1+41)=12),DecSun1+41, "")</f>
        <v/>
      </c>
    </row>
    <row r="28" spans="2:34" x14ac:dyDescent="0.2">
      <c r="B28" s="65"/>
      <c r="C28" s="65"/>
      <c r="D28" s="65"/>
      <c r="E28" s="65"/>
      <c r="F28" s="65"/>
      <c r="G28" s="65"/>
      <c r="H28" s="65"/>
      <c r="I28" s="65"/>
      <c r="K28" s="65"/>
      <c r="L28" s="65"/>
      <c r="M28" s="65"/>
      <c r="N28" s="65"/>
      <c r="O28" s="65"/>
      <c r="P28" s="65"/>
      <c r="Q28" s="65"/>
      <c r="S28" s="65"/>
      <c r="T28" s="65"/>
      <c r="U28" s="65"/>
      <c r="V28" s="65"/>
      <c r="W28" s="65"/>
      <c r="X28" s="65"/>
      <c r="Y28" s="65"/>
      <c r="AA28" s="65"/>
      <c r="AB28" s="65"/>
      <c r="AC28" s="65"/>
      <c r="AD28" s="65"/>
      <c r="AE28" s="65"/>
      <c r="AF28" s="65"/>
      <c r="AG28" s="65"/>
    </row>
    <row r="29" spans="2:34" x14ac:dyDescent="0.2">
      <c r="B29" s="65"/>
      <c r="C29" s="65"/>
      <c r="D29" s="65"/>
      <c r="E29" s="65"/>
      <c r="F29" s="65"/>
      <c r="G29" s="65"/>
      <c r="H29" s="65"/>
      <c r="I29" s="65"/>
      <c r="K29" s="65"/>
      <c r="L29" s="65"/>
      <c r="M29" s="65"/>
      <c r="N29" s="65"/>
      <c r="O29" s="65"/>
      <c r="P29" s="65"/>
      <c r="Q29" s="65"/>
      <c r="S29" s="65"/>
      <c r="T29" s="65"/>
      <c r="U29" s="65"/>
      <c r="V29" s="65"/>
      <c r="W29" s="65"/>
      <c r="X29" s="65"/>
      <c r="Y29" s="65"/>
      <c r="AA29" s="65"/>
      <c r="AB29" s="65"/>
      <c r="AC29" s="65"/>
      <c r="AD29" s="65"/>
      <c r="AE29" s="65"/>
      <c r="AF29" s="65"/>
      <c r="AG29" s="65"/>
    </row>
    <row r="30" spans="2:34" x14ac:dyDescent="0.2">
      <c r="B30" s="65"/>
      <c r="C30" s="65"/>
      <c r="D30" s="65"/>
      <c r="E30" s="65"/>
      <c r="F30" s="65"/>
      <c r="G30" s="65"/>
      <c r="H30" s="65"/>
      <c r="I30" s="65"/>
      <c r="K30" s="65"/>
      <c r="L30" s="65"/>
      <c r="M30" s="65"/>
      <c r="N30" s="65"/>
      <c r="O30" s="65"/>
      <c r="P30" s="65"/>
      <c r="Q30" s="65"/>
      <c r="S30" s="65"/>
      <c r="T30" s="65"/>
      <c r="U30" s="65"/>
      <c r="V30" s="65"/>
      <c r="W30" s="65"/>
      <c r="X30" s="65"/>
      <c r="Y30" s="65"/>
      <c r="AA30" s="65"/>
      <c r="AB30" s="65"/>
      <c r="AC30" s="65"/>
      <c r="AD30" s="65"/>
      <c r="AE30" s="65"/>
      <c r="AF30" s="65"/>
      <c r="AG30" s="65"/>
    </row>
    <row r="31" spans="2:34" x14ac:dyDescent="0.2">
      <c r="B31" s="65"/>
      <c r="C31" s="65"/>
      <c r="D31" s="65"/>
      <c r="E31" s="65"/>
      <c r="F31" s="65"/>
      <c r="G31" s="65"/>
      <c r="H31" s="65"/>
      <c r="I31" s="65"/>
      <c r="K31" s="65"/>
      <c r="L31" s="65"/>
      <c r="M31" s="65"/>
      <c r="N31" s="65"/>
      <c r="O31" s="65"/>
      <c r="P31" s="65"/>
      <c r="Q31" s="65"/>
      <c r="S31" s="65"/>
      <c r="T31" s="65"/>
      <c r="U31" s="65"/>
      <c r="V31" s="65"/>
      <c r="W31" s="65"/>
      <c r="X31" s="65"/>
      <c r="Y31" s="65"/>
      <c r="AA31" s="65"/>
      <c r="AB31" s="65"/>
      <c r="AC31" s="65"/>
      <c r="AD31" s="65"/>
      <c r="AE31" s="65"/>
      <c r="AF31" s="65"/>
      <c r="AG31" s="65"/>
    </row>
    <row r="32" spans="2:34" x14ac:dyDescent="0.2">
      <c r="B32" s="65"/>
      <c r="C32" s="65"/>
      <c r="D32" s="65"/>
      <c r="E32" s="65"/>
      <c r="F32" s="65"/>
      <c r="G32" s="65"/>
      <c r="H32" s="65"/>
      <c r="I32" s="65"/>
      <c r="K32" s="65"/>
      <c r="L32" s="65"/>
      <c r="M32" s="65"/>
      <c r="N32" s="65"/>
      <c r="O32" s="65"/>
      <c r="P32" s="65"/>
      <c r="Q32" s="65"/>
      <c r="S32" s="65"/>
      <c r="T32" s="65"/>
      <c r="U32" s="65"/>
      <c r="V32" s="65"/>
      <c r="W32" s="65"/>
      <c r="X32" s="65"/>
      <c r="Y32" s="65"/>
      <c r="AA32" s="65"/>
      <c r="AB32" s="65"/>
      <c r="AC32" s="65"/>
      <c r="AD32" s="65"/>
      <c r="AE32" s="65"/>
      <c r="AF32" s="65"/>
      <c r="AG32" s="65"/>
    </row>
    <row r="33" spans="2:33" x14ac:dyDescent="0.2">
      <c r="B33" s="65"/>
      <c r="C33" s="65"/>
      <c r="D33" s="65"/>
      <c r="E33" s="65"/>
      <c r="F33" s="65"/>
      <c r="G33" s="65"/>
      <c r="H33" s="65"/>
      <c r="I33" s="65"/>
      <c r="K33" s="65"/>
      <c r="L33" s="65"/>
      <c r="M33" s="65"/>
      <c r="N33" s="65"/>
      <c r="O33" s="65"/>
      <c r="P33" s="65"/>
      <c r="Q33" s="65"/>
      <c r="S33" s="65"/>
      <c r="T33" s="65"/>
      <c r="U33" s="65"/>
      <c r="V33" s="65"/>
      <c r="W33" s="65"/>
      <c r="X33" s="65"/>
      <c r="Y33" s="65"/>
      <c r="AA33" s="65"/>
      <c r="AB33" s="65"/>
      <c r="AC33" s="65"/>
      <c r="AD33" s="65"/>
      <c r="AE33" s="65"/>
      <c r="AF33" s="65"/>
      <c r="AG33" s="65"/>
    </row>
  </sheetData>
  <mergeCells count="12">
    <mergeCell ref="C20:I20"/>
    <mergeCell ref="K20:Q20"/>
    <mergeCell ref="S20:Y20"/>
    <mergeCell ref="AA20:AG20"/>
    <mergeCell ref="C2:I2"/>
    <mergeCell ref="K2:Q2"/>
    <mergeCell ref="S2:Y2"/>
    <mergeCell ref="AA2:AG2"/>
    <mergeCell ref="C11:I11"/>
    <mergeCell ref="K11:Q11"/>
    <mergeCell ref="S11:Y11"/>
    <mergeCell ref="AA11:AG11"/>
  </mergeCells>
  <dataValidations count="1">
    <dataValidation type="whole" allowBlank="1" showInputMessage="1" showErrorMessage="1" sqref="A1:B1">
      <formula1>1900</formula1>
      <formula2>9999</formula2>
    </dataValidation>
  </dataValidations>
  <printOptions horizontalCentered="1" verticalCentered="1"/>
  <pageMargins left="0.5" right="0.5" top="0.5" bottom="0.5" header="0.5" footer="0.5"/>
  <pageSetup orientation="landscape"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pinner 1">
              <controlPr defaultSize="0" print="0" autoPict="0">
                <anchor moveWithCells="1">
                  <from>
                    <xdr:col>1</xdr:col>
                    <xdr:colOff>9525</xdr:colOff>
                    <xdr:row>0</xdr:row>
                    <xdr:rowOff>0</xdr:rowOff>
                  </from>
                  <to>
                    <xdr:col>1</xdr:col>
                    <xdr:colOff>209550</xdr:colOff>
                    <xdr:row>1</xdr:row>
                    <xdr:rowOff>9525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13"/>
  <sheetViews>
    <sheetView showGridLines="0" view="pageLayout" zoomScaleNormal="100" workbookViewId="0">
      <selection activeCell="E4" sqref="E4"/>
    </sheetView>
  </sheetViews>
  <sheetFormatPr defaultRowHeight="15" x14ac:dyDescent="0.25"/>
  <cols>
    <col min="1" max="1" width="3" bestFit="1" customWidth="1"/>
    <col min="2" max="2" width="37.7109375" customWidth="1"/>
    <col min="3" max="3" width="16" customWidth="1"/>
    <col min="4" max="5" width="16.28515625" customWidth="1"/>
    <col min="6" max="6" width="13.28515625" style="14" bestFit="1" customWidth="1"/>
  </cols>
  <sheetData>
    <row r="1" spans="1:6" ht="4.5" customHeight="1" x14ac:dyDescent="0.25">
      <c r="A1" s="113"/>
      <c r="B1" s="114"/>
      <c r="C1" s="114"/>
      <c r="D1" s="114"/>
      <c r="E1" s="114"/>
      <c r="F1" s="115"/>
    </row>
    <row r="2" spans="1:6" ht="45" x14ac:dyDescent="0.25">
      <c r="A2" s="15" t="s">
        <v>59</v>
      </c>
      <c r="B2" s="16" t="s">
        <v>53</v>
      </c>
      <c r="C2" s="18" t="s">
        <v>117</v>
      </c>
      <c r="D2" s="18" t="s">
        <v>118</v>
      </c>
      <c r="E2" s="74" t="s">
        <v>119</v>
      </c>
      <c r="F2" s="17" t="s">
        <v>120</v>
      </c>
    </row>
    <row r="3" spans="1:6" ht="4.5" customHeight="1" x14ac:dyDescent="0.25">
      <c r="A3" s="131"/>
      <c r="B3" s="132"/>
      <c r="C3" s="132"/>
      <c r="D3" s="132"/>
      <c r="E3" s="132"/>
      <c r="F3" s="133"/>
    </row>
    <row r="4" spans="1:6" x14ac:dyDescent="0.25">
      <c r="A4" s="91">
        <v>1</v>
      </c>
      <c r="B4" s="99" t="s">
        <v>125</v>
      </c>
      <c r="C4" s="91" t="s">
        <v>124</v>
      </c>
      <c r="D4" s="92" t="s">
        <v>124</v>
      </c>
      <c r="E4" s="92" t="s">
        <v>124</v>
      </c>
      <c r="F4" s="93"/>
    </row>
    <row r="5" spans="1:6" x14ac:dyDescent="0.25">
      <c r="A5" s="94">
        <v>4</v>
      </c>
      <c r="B5" s="98"/>
      <c r="C5" s="94"/>
      <c r="D5" s="95"/>
      <c r="E5" s="95"/>
      <c r="F5" s="96"/>
    </row>
    <row r="6" spans="1:6" x14ac:dyDescent="0.25">
      <c r="A6" s="85">
        <v>7</v>
      </c>
      <c r="B6" s="97"/>
      <c r="C6" s="85"/>
      <c r="D6" s="86"/>
      <c r="E6" s="86"/>
      <c r="F6" s="87"/>
    </row>
    <row r="7" spans="1:6" x14ac:dyDescent="0.25">
      <c r="A7" s="85">
        <v>10</v>
      </c>
      <c r="B7" s="97"/>
      <c r="C7" s="85"/>
      <c r="D7" s="86"/>
      <c r="E7" s="86"/>
      <c r="F7" s="87"/>
    </row>
    <row r="8" spans="1:6" x14ac:dyDescent="0.25">
      <c r="A8" s="79">
        <v>13</v>
      </c>
      <c r="B8" s="100"/>
      <c r="C8" s="79"/>
      <c r="D8" s="80"/>
      <c r="E8" s="80"/>
      <c r="F8" s="81"/>
    </row>
    <row r="9" spans="1:6" x14ac:dyDescent="0.25">
      <c r="A9" s="82">
        <v>16</v>
      </c>
      <c r="B9" s="83"/>
      <c r="C9" s="82"/>
      <c r="D9" s="83"/>
      <c r="E9" s="83"/>
      <c r="F9" s="84"/>
    </row>
    <row r="10" spans="1:6" x14ac:dyDescent="0.25">
      <c r="A10" s="76">
        <v>17</v>
      </c>
      <c r="B10" s="77"/>
      <c r="C10" s="76"/>
      <c r="D10" s="77"/>
      <c r="E10" s="77"/>
      <c r="F10" s="78"/>
    </row>
    <row r="11" spans="1:6" x14ac:dyDescent="0.25">
      <c r="A11" s="88">
        <v>18</v>
      </c>
      <c r="B11" s="89"/>
      <c r="C11" s="88"/>
      <c r="D11" s="89"/>
      <c r="E11" s="89"/>
      <c r="F11" s="90"/>
    </row>
    <row r="12" spans="1:6" x14ac:dyDescent="0.25">
      <c r="A12" s="4">
        <v>19</v>
      </c>
      <c r="B12" s="5"/>
      <c r="C12" s="4"/>
      <c r="D12" s="5"/>
      <c r="E12" s="5"/>
      <c r="F12" s="6"/>
    </row>
    <row r="13" spans="1:6" x14ac:dyDescent="0.25">
      <c r="A13" s="4">
        <v>20</v>
      </c>
      <c r="B13" s="5"/>
      <c r="C13" s="4"/>
      <c r="D13" s="5"/>
      <c r="E13" s="5"/>
      <c r="F13" s="6"/>
    </row>
  </sheetData>
  <customSheetViews>
    <customSheetView guid="{79CFC90F-9797-4F95-B835-584B9BD0A801}" showPageBreaks="1" showGridLines="0" view="pageLayout">
      <selection activeCell="B4" sqref="B4"/>
    </customSheetView>
  </customSheetViews>
  <mergeCells count="2">
    <mergeCell ref="A1:F1"/>
    <mergeCell ref="A3:F3"/>
  </mergeCells>
  <pageMargins left="0.25" right="0.25" top="1" bottom="0.75" header="0.3" footer="0.3"/>
  <pageSetup orientation="landscape" r:id="rId1"/>
  <headerFooter>
    <oddHeader>&amp;C&amp;"-,Bold"&amp;18SME Team Members&amp;"-,Regular"&amp;11
&amp;10(Content Development Team)</oddHeader>
    <oddFooter>&amp;C&amp;G</oddFoot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Links!$E$2:$E$4</xm:f>
          </x14:formula1>
          <xm:sqref>F4:F13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3"/>
  <sheetViews>
    <sheetView showGridLines="0" view="pageLayout" zoomScaleNormal="100" workbookViewId="0">
      <selection activeCell="B5" sqref="B5"/>
    </sheetView>
  </sheetViews>
  <sheetFormatPr defaultRowHeight="15" x14ac:dyDescent="0.25"/>
  <cols>
    <col min="1" max="1" width="2.85546875" bestFit="1" customWidth="1"/>
    <col min="2" max="2" width="41.140625" customWidth="1"/>
    <col min="3" max="3" width="17.5703125" customWidth="1"/>
    <col min="4" max="4" width="10.5703125" style="14" customWidth="1"/>
    <col min="5" max="5" width="10.28515625" style="14" customWidth="1"/>
    <col min="6" max="6" width="34" style="14" customWidth="1"/>
    <col min="7" max="7" width="9.28515625" style="14" customWidth="1"/>
  </cols>
  <sheetData>
    <row r="1" spans="1:7" ht="4.5" customHeight="1" x14ac:dyDescent="0.25">
      <c r="A1" s="113"/>
      <c r="B1" s="114"/>
      <c r="C1" s="114"/>
      <c r="D1" s="114"/>
      <c r="E1" s="114"/>
      <c r="F1" s="114"/>
      <c r="G1" s="115"/>
    </row>
    <row r="2" spans="1:7" ht="45" x14ac:dyDescent="0.25">
      <c r="A2" s="15" t="s">
        <v>59</v>
      </c>
      <c r="B2" s="16" t="s">
        <v>8</v>
      </c>
      <c r="C2" s="16" t="s">
        <v>9</v>
      </c>
      <c r="D2" s="18" t="s">
        <v>11</v>
      </c>
      <c r="E2" s="18" t="s">
        <v>10</v>
      </c>
      <c r="F2" s="18" t="s">
        <v>6</v>
      </c>
      <c r="G2" s="17" t="s">
        <v>52</v>
      </c>
    </row>
    <row r="3" spans="1:7" ht="4.5" customHeight="1" x14ac:dyDescent="0.25">
      <c r="A3" s="134"/>
      <c r="B3" s="135"/>
      <c r="C3" s="135"/>
      <c r="D3" s="135"/>
      <c r="E3" s="135"/>
      <c r="F3" s="135"/>
      <c r="G3" s="136"/>
    </row>
    <row r="4" spans="1:7" x14ac:dyDescent="0.25">
      <c r="A4" s="4">
        <v>1</v>
      </c>
      <c r="B4" s="5"/>
      <c r="C4" s="5"/>
      <c r="D4" s="6"/>
      <c r="E4" s="6"/>
      <c r="F4" s="6"/>
      <c r="G4" s="25"/>
    </row>
    <row r="5" spans="1:7" x14ac:dyDescent="0.25">
      <c r="A5" s="4">
        <v>2</v>
      </c>
      <c r="B5" s="5"/>
      <c r="C5" s="5"/>
      <c r="D5" s="6"/>
      <c r="E5" s="6"/>
      <c r="F5" s="6"/>
      <c r="G5" s="25"/>
    </row>
    <row r="6" spans="1:7" x14ac:dyDescent="0.25">
      <c r="A6" s="4">
        <v>3</v>
      </c>
      <c r="B6" s="5"/>
      <c r="C6" s="5"/>
      <c r="D6" s="6"/>
      <c r="E6" s="6"/>
      <c r="F6" s="6"/>
      <c r="G6" s="25"/>
    </row>
    <row r="7" spans="1:7" x14ac:dyDescent="0.25">
      <c r="A7" s="4">
        <v>4</v>
      </c>
      <c r="B7" s="5"/>
      <c r="C7" s="5"/>
      <c r="D7" s="6"/>
      <c r="E7" s="6"/>
      <c r="F7" s="6"/>
      <c r="G7" s="25"/>
    </row>
    <row r="8" spans="1:7" x14ac:dyDescent="0.25">
      <c r="A8" s="4">
        <v>5</v>
      </c>
      <c r="B8" s="5"/>
      <c r="C8" s="5"/>
      <c r="D8" s="6"/>
      <c r="E8" s="6"/>
      <c r="F8" s="6"/>
      <c r="G8" s="25"/>
    </row>
    <row r="9" spans="1:7" x14ac:dyDescent="0.25">
      <c r="A9" s="4">
        <v>6</v>
      </c>
      <c r="B9" s="5"/>
      <c r="C9" s="5"/>
      <c r="D9" s="6"/>
      <c r="E9" s="6"/>
      <c r="F9" s="6"/>
      <c r="G9" s="25"/>
    </row>
    <row r="10" spans="1:7" x14ac:dyDescent="0.25">
      <c r="A10" s="4">
        <v>7</v>
      </c>
      <c r="B10" s="5"/>
      <c r="C10" s="5"/>
      <c r="D10" s="6"/>
      <c r="E10" s="6"/>
      <c r="F10" s="6"/>
      <c r="G10" s="25"/>
    </row>
    <row r="11" spans="1:7" x14ac:dyDescent="0.25">
      <c r="A11" s="4">
        <v>8</v>
      </c>
      <c r="B11" s="5"/>
      <c r="C11" s="5"/>
      <c r="D11" s="6"/>
      <c r="E11" s="6"/>
      <c r="F11" s="6"/>
      <c r="G11" s="25"/>
    </row>
    <row r="12" spans="1:7" x14ac:dyDescent="0.25">
      <c r="A12" s="4">
        <v>9</v>
      </c>
      <c r="B12" s="5"/>
      <c r="C12" s="5"/>
      <c r="D12" s="6"/>
      <c r="E12" s="6"/>
      <c r="F12" s="6"/>
      <c r="G12" s="25"/>
    </row>
    <row r="13" spans="1:7" x14ac:dyDescent="0.25">
      <c r="A13" s="4">
        <v>10</v>
      </c>
      <c r="B13" s="5"/>
      <c r="C13" s="5"/>
      <c r="D13" s="6"/>
      <c r="E13" s="6"/>
      <c r="F13" s="6"/>
      <c r="G13" s="25"/>
    </row>
    <row r="14" spans="1:7" x14ac:dyDescent="0.25">
      <c r="A14" s="4">
        <v>11</v>
      </c>
      <c r="B14" s="5"/>
      <c r="C14" s="5"/>
      <c r="D14" s="6"/>
      <c r="E14" s="6"/>
      <c r="F14" s="6"/>
      <c r="G14" s="25"/>
    </row>
    <row r="15" spans="1:7" x14ac:dyDescent="0.25">
      <c r="A15" s="4">
        <v>12</v>
      </c>
      <c r="B15" s="5"/>
      <c r="C15" s="5"/>
      <c r="D15" s="6"/>
      <c r="E15" s="6"/>
      <c r="F15" s="6"/>
      <c r="G15" s="25"/>
    </row>
    <row r="16" spans="1:7" x14ac:dyDescent="0.25">
      <c r="A16" s="4">
        <v>13</v>
      </c>
      <c r="B16" s="5"/>
      <c r="C16" s="5"/>
      <c r="D16" s="6"/>
      <c r="E16" s="6"/>
      <c r="F16" s="6"/>
      <c r="G16" s="25"/>
    </row>
    <row r="17" spans="1:7" x14ac:dyDescent="0.25">
      <c r="A17" s="4">
        <v>14</v>
      </c>
      <c r="B17" s="5"/>
      <c r="C17" s="5"/>
      <c r="D17" s="6"/>
      <c r="E17" s="6"/>
      <c r="F17" s="6"/>
      <c r="G17" s="25"/>
    </row>
    <row r="18" spans="1:7" x14ac:dyDescent="0.25">
      <c r="A18" s="4">
        <v>15</v>
      </c>
      <c r="B18" s="5"/>
      <c r="C18" s="5"/>
      <c r="D18" s="6"/>
      <c r="E18" s="6"/>
      <c r="F18" s="6"/>
      <c r="G18" s="25"/>
    </row>
    <row r="19" spans="1:7" x14ac:dyDescent="0.25">
      <c r="A19" s="4">
        <v>16</v>
      </c>
      <c r="B19" s="5"/>
      <c r="C19" s="5"/>
      <c r="D19" s="6"/>
      <c r="E19" s="6"/>
      <c r="F19" s="6"/>
      <c r="G19" s="25"/>
    </row>
    <row r="20" spans="1:7" x14ac:dyDescent="0.25">
      <c r="A20" s="4">
        <v>17</v>
      </c>
      <c r="B20" s="5"/>
      <c r="C20" s="5"/>
      <c r="D20" s="6"/>
      <c r="E20" s="6"/>
      <c r="F20" s="6"/>
      <c r="G20" s="25"/>
    </row>
    <row r="21" spans="1:7" x14ac:dyDescent="0.25">
      <c r="A21" s="4">
        <v>18</v>
      </c>
      <c r="B21" s="5"/>
      <c r="C21" s="5"/>
      <c r="D21" s="6"/>
      <c r="E21" s="6"/>
      <c r="F21" s="6"/>
      <c r="G21" s="25"/>
    </row>
    <row r="22" spans="1:7" x14ac:dyDescent="0.25">
      <c r="A22" s="4">
        <v>19</v>
      </c>
      <c r="B22" s="5"/>
      <c r="C22" s="5"/>
      <c r="D22" s="6"/>
      <c r="E22" s="6"/>
      <c r="F22" s="6"/>
      <c r="G22" s="25"/>
    </row>
    <row r="23" spans="1:7" x14ac:dyDescent="0.25">
      <c r="A23" s="4">
        <v>20</v>
      </c>
      <c r="B23" s="5"/>
      <c r="C23" s="5"/>
      <c r="D23" s="6"/>
      <c r="E23" s="6"/>
      <c r="F23" s="6"/>
      <c r="G23" s="25"/>
    </row>
  </sheetData>
  <customSheetViews>
    <customSheetView guid="{79CFC90F-9797-4F95-B835-584B9BD0A801}" showPageBreaks="1" showGridLines="0" view="pageLayout">
      <selection activeCell="B4" sqref="B4"/>
    </customSheetView>
  </customSheetViews>
  <mergeCells count="2">
    <mergeCell ref="A1:G1"/>
    <mergeCell ref="A3:G3"/>
  </mergeCells>
  <conditionalFormatting sqref="A4:G23">
    <cfRule type="expression" dxfId="24" priority="21">
      <formula>IF($G4="Y", TRUE, FALSE)</formula>
    </cfRule>
  </conditionalFormatting>
  <pageMargins left="0.25" right="0.25" top="1" bottom="0.75" header="0.3" footer="0.3"/>
  <pageSetup orientation="landscape" r:id="rId1"/>
  <headerFooter>
    <oddHeader>&amp;C&amp;"-,Bold"&amp;18Decision Log</oddHeader>
    <oddFooter>&amp;C&amp;G</oddFooter>
  </headerFooter>
  <legacyDrawingHF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Links!$E$2:$E$4</xm:f>
          </x14:formula1>
          <xm:sqref>G4:G23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23"/>
  <sheetViews>
    <sheetView showGridLines="0" tabSelected="1" view="pageLayout" zoomScaleNormal="100" workbookViewId="0">
      <selection activeCell="D26" sqref="D26"/>
    </sheetView>
  </sheetViews>
  <sheetFormatPr defaultRowHeight="15" x14ac:dyDescent="0.25"/>
  <cols>
    <col min="1" max="1" width="2.85546875" bestFit="1" customWidth="1"/>
    <col min="2" max="2" width="41.140625" customWidth="1"/>
    <col min="3" max="3" width="10.42578125" customWidth="1"/>
    <col min="4" max="4" width="14.140625" customWidth="1"/>
    <col min="5" max="5" width="34.28515625" style="14" customWidth="1"/>
    <col min="6" max="6" width="10.5703125" style="14" customWidth="1"/>
    <col min="7" max="7" width="11.28515625" style="14" customWidth="1"/>
    <col min="8" max="8" width="6.7109375" bestFit="1" customWidth="1"/>
  </cols>
  <sheetData>
    <row r="1" spans="1:8" ht="4.5" customHeight="1" x14ac:dyDescent="0.25">
      <c r="A1" s="19"/>
      <c r="B1" s="20"/>
      <c r="C1" s="20"/>
      <c r="D1" s="20"/>
      <c r="E1" s="20"/>
      <c r="F1" s="20"/>
      <c r="G1" s="20"/>
      <c r="H1" s="21"/>
    </row>
    <row r="2" spans="1:8" ht="59.25" customHeight="1" x14ac:dyDescent="0.25">
      <c r="A2" s="15" t="s">
        <v>59</v>
      </c>
      <c r="B2" s="16" t="s">
        <v>24</v>
      </c>
      <c r="C2" s="18" t="s">
        <v>25</v>
      </c>
      <c r="D2" s="18" t="s">
        <v>26</v>
      </c>
      <c r="E2" s="18" t="s">
        <v>27</v>
      </c>
      <c r="F2" s="18" t="s">
        <v>28</v>
      </c>
      <c r="G2" s="18" t="s">
        <v>29</v>
      </c>
      <c r="H2" s="28" t="s">
        <v>51</v>
      </c>
    </row>
    <row r="3" spans="1:8" ht="4.5" customHeight="1" x14ac:dyDescent="0.25">
      <c r="A3" s="22"/>
      <c r="B3" s="23"/>
      <c r="C3" s="23"/>
      <c r="D3" s="23"/>
      <c r="E3" s="23"/>
      <c r="F3" s="23"/>
      <c r="G3" s="23"/>
      <c r="H3" s="24"/>
    </row>
    <row r="4" spans="1:8" x14ac:dyDescent="0.25">
      <c r="A4" s="4">
        <v>1</v>
      </c>
      <c r="B4" s="5"/>
      <c r="C4" s="6"/>
      <c r="D4" s="5"/>
      <c r="E4" s="6"/>
      <c r="F4" s="6"/>
      <c r="G4" s="6"/>
      <c r="H4" s="6"/>
    </row>
    <row r="5" spans="1:8" x14ac:dyDescent="0.25">
      <c r="A5" s="4">
        <v>2</v>
      </c>
      <c r="B5" s="5"/>
      <c r="C5" s="6"/>
      <c r="D5" s="5"/>
      <c r="E5" s="6"/>
      <c r="F5" s="6"/>
      <c r="G5" s="6"/>
      <c r="H5" s="6"/>
    </row>
    <row r="6" spans="1:8" x14ac:dyDescent="0.25">
      <c r="A6" s="4">
        <v>3</v>
      </c>
      <c r="B6" s="5"/>
      <c r="C6" s="6"/>
      <c r="D6" s="5"/>
      <c r="E6" s="6"/>
      <c r="F6" s="6"/>
      <c r="G6" s="6"/>
      <c r="H6" s="6"/>
    </row>
    <row r="7" spans="1:8" x14ac:dyDescent="0.25">
      <c r="A7" s="4">
        <v>4</v>
      </c>
      <c r="B7" s="5"/>
      <c r="C7" s="6"/>
      <c r="D7" s="5"/>
      <c r="E7" s="6"/>
      <c r="F7" s="6"/>
      <c r="G7" s="6"/>
      <c r="H7" s="6"/>
    </row>
    <row r="8" spans="1:8" x14ac:dyDescent="0.25">
      <c r="A8" s="4">
        <v>5</v>
      </c>
      <c r="B8" s="5"/>
      <c r="C8" s="6"/>
      <c r="D8" s="5"/>
      <c r="E8" s="6"/>
      <c r="F8" s="6"/>
      <c r="G8" s="6"/>
      <c r="H8" s="6"/>
    </row>
    <row r="9" spans="1:8" x14ac:dyDescent="0.25">
      <c r="A9" s="4">
        <v>6</v>
      </c>
      <c r="B9" s="5"/>
      <c r="C9" s="6"/>
      <c r="D9" s="5"/>
      <c r="E9" s="6"/>
      <c r="F9" s="6"/>
      <c r="G9" s="6"/>
      <c r="H9" s="6"/>
    </row>
    <row r="10" spans="1:8" x14ac:dyDescent="0.25">
      <c r="A10" s="4">
        <v>7</v>
      </c>
      <c r="B10" s="5"/>
      <c r="C10" s="6"/>
      <c r="D10" s="5"/>
      <c r="E10" s="6"/>
      <c r="F10" s="6"/>
      <c r="G10" s="6"/>
      <c r="H10" s="6"/>
    </row>
    <row r="11" spans="1:8" x14ac:dyDescent="0.25">
      <c r="A11" s="4">
        <v>8</v>
      </c>
      <c r="B11" s="5"/>
      <c r="C11" s="6"/>
      <c r="D11" s="5"/>
      <c r="E11" s="6"/>
      <c r="F11" s="6"/>
      <c r="G11" s="6"/>
      <c r="H11" s="6"/>
    </row>
    <row r="12" spans="1:8" x14ac:dyDescent="0.25">
      <c r="A12" s="4">
        <v>9</v>
      </c>
      <c r="B12" s="5"/>
      <c r="C12" s="6"/>
      <c r="D12" s="5"/>
      <c r="E12" s="6"/>
      <c r="F12" s="6"/>
      <c r="G12" s="6"/>
      <c r="H12" s="6"/>
    </row>
    <row r="13" spans="1:8" x14ac:dyDescent="0.25">
      <c r="A13" s="4">
        <v>10</v>
      </c>
      <c r="B13" s="5"/>
      <c r="C13" s="6"/>
      <c r="D13" s="5"/>
      <c r="E13" s="6"/>
      <c r="F13" s="6"/>
      <c r="G13" s="6"/>
      <c r="H13" s="6"/>
    </row>
    <row r="14" spans="1:8" x14ac:dyDescent="0.25">
      <c r="A14" s="4">
        <v>11</v>
      </c>
      <c r="B14" s="5"/>
      <c r="C14" s="6"/>
      <c r="D14" s="5"/>
      <c r="E14" s="6"/>
      <c r="F14" s="6"/>
      <c r="G14" s="6"/>
      <c r="H14" s="6"/>
    </row>
    <row r="15" spans="1:8" x14ac:dyDescent="0.25">
      <c r="A15" s="4">
        <v>12</v>
      </c>
      <c r="B15" s="5"/>
      <c r="C15" s="6"/>
      <c r="D15" s="5"/>
      <c r="E15" s="6"/>
      <c r="F15" s="6"/>
      <c r="G15" s="6"/>
      <c r="H15" s="6"/>
    </row>
    <row r="16" spans="1:8" x14ac:dyDescent="0.25">
      <c r="A16" s="4">
        <v>13</v>
      </c>
      <c r="B16" s="5"/>
      <c r="C16" s="6"/>
      <c r="D16" s="5"/>
      <c r="E16" s="6"/>
      <c r="F16" s="6"/>
      <c r="G16" s="6"/>
      <c r="H16" s="6"/>
    </row>
    <row r="17" spans="1:8" x14ac:dyDescent="0.25">
      <c r="A17" s="4">
        <v>14</v>
      </c>
      <c r="B17" s="5"/>
      <c r="C17" s="6"/>
      <c r="D17" s="5"/>
      <c r="E17" s="6"/>
      <c r="F17" s="6"/>
      <c r="G17" s="6"/>
      <c r="H17" s="6"/>
    </row>
    <row r="18" spans="1:8" x14ac:dyDescent="0.25">
      <c r="A18" s="4">
        <v>15</v>
      </c>
      <c r="B18" s="5"/>
      <c r="C18" s="6"/>
      <c r="D18" s="5"/>
      <c r="E18" s="6"/>
      <c r="F18" s="6"/>
      <c r="G18" s="6"/>
      <c r="H18" s="6"/>
    </row>
    <row r="19" spans="1:8" x14ac:dyDescent="0.25">
      <c r="A19" s="4">
        <v>16</v>
      </c>
      <c r="B19" s="5"/>
      <c r="C19" s="6"/>
      <c r="D19" s="5"/>
      <c r="E19" s="6"/>
      <c r="F19" s="6"/>
      <c r="G19" s="6"/>
      <c r="H19" s="6"/>
    </row>
    <row r="20" spans="1:8" x14ac:dyDescent="0.25">
      <c r="A20" s="4">
        <v>17</v>
      </c>
      <c r="B20" s="5"/>
      <c r="C20" s="6"/>
      <c r="D20" s="5"/>
      <c r="E20" s="6"/>
      <c r="F20" s="6"/>
      <c r="G20" s="6"/>
      <c r="H20" s="6"/>
    </row>
    <row r="21" spans="1:8" x14ac:dyDescent="0.25">
      <c r="A21" s="4">
        <v>18</v>
      </c>
      <c r="B21" s="5"/>
      <c r="C21" s="6"/>
      <c r="D21" s="5"/>
      <c r="E21" s="6"/>
      <c r="F21" s="6"/>
      <c r="G21" s="6"/>
      <c r="H21" s="6"/>
    </row>
    <row r="22" spans="1:8" x14ac:dyDescent="0.25">
      <c r="A22" s="4">
        <v>19</v>
      </c>
      <c r="B22" s="5"/>
      <c r="C22" s="6"/>
      <c r="D22" s="5"/>
      <c r="E22" s="6"/>
      <c r="F22" s="6"/>
      <c r="G22" s="6"/>
      <c r="H22" s="6"/>
    </row>
    <row r="23" spans="1:8" x14ac:dyDescent="0.25">
      <c r="A23" s="4">
        <v>20</v>
      </c>
      <c r="B23" s="5"/>
      <c r="C23" s="6"/>
      <c r="D23" s="5"/>
      <c r="E23" s="6"/>
      <c r="F23" s="6"/>
      <c r="G23" s="6"/>
      <c r="H23" s="6"/>
    </row>
  </sheetData>
  <customSheetViews>
    <customSheetView guid="{79CFC90F-9797-4F95-B835-584B9BD0A801}" showPageBreaks="1" showGridLines="0" view="pageLayout">
      <selection activeCell="B4" sqref="B4"/>
    </customSheetView>
  </customSheetViews>
  <conditionalFormatting sqref="A4:H23">
    <cfRule type="expression" dxfId="23" priority="1">
      <formula>IF($H4="X", TRUE, FALSE)</formula>
    </cfRule>
  </conditionalFormatting>
  <pageMargins left="0.25" right="0.25" top="1" bottom="0.75" header="0.3" footer="0.3"/>
  <pageSetup orientation="landscape" r:id="rId1"/>
  <headerFooter>
    <oddHeader>&amp;C&amp;"-,Bold"&amp;18Question Log</oddHeader>
    <oddFooter>&amp;C&amp;G</oddFooter>
  </headerFooter>
  <legacyDrawingHF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Links!$G$2:$G$3</xm:f>
          </x14:formula1>
          <xm:sqref>H4:H23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3"/>
  <sheetViews>
    <sheetView showGridLines="0" view="pageLayout" topLeftCell="D1" zoomScaleNormal="100" workbookViewId="0">
      <selection activeCell="K4" sqref="K4"/>
    </sheetView>
  </sheetViews>
  <sheetFormatPr defaultRowHeight="15" x14ac:dyDescent="0.25"/>
  <cols>
    <col min="1" max="1" width="2.85546875" style="36" bestFit="1" customWidth="1"/>
    <col min="2" max="2" width="3.42578125" style="36" customWidth="1"/>
    <col min="3" max="3" width="14.140625" style="36" customWidth="1"/>
    <col min="4" max="4" width="27.42578125" style="36" customWidth="1"/>
    <col min="5" max="5" width="5.42578125" style="36" bestFit="1" customWidth="1"/>
    <col min="6" max="6" width="10.5703125" style="36" customWidth="1"/>
    <col min="7" max="7" width="22.28515625" style="36" customWidth="1"/>
    <col min="8" max="8" width="10.42578125" style="36" customWidth="1"/>
    <col min="9" max="9" width="23.42578125" style="36" customWidth="1"/>
    <col min="10" max="10" width="9.140625" style="36"/>
    <col min="11" max="11" width="3.85546875" style="36" bestFit="1" customWidth="1"/>
    <col min="12" max="16384" width="9.140625" style="36"/>
  </cols>
  <sheetData>
    <row r="1" spans="1:13" ht="4.5" customHeight="1" x14ac:dyDescent="0.25">
      <c r="A1" s="33"/>
      <c r="B1" s="34"/>
      <c r="C1" s="34"/>
      <c r="D1" s="34"/>
      <c r="E1" s="34"/>
      <c r="F1" s="34"/>
      <c r="G1" s="34"/>
      <c r="H1" s="34"/>
      <c r="I1" s="34"/>
      <c r="J1" s="34"/>
      <c r="K1" s="35"/>
    </row>
    <row r="2" spans="1:13" ht="51.75" customHeight="1" x14ac:dyDescent="0.25">
      <c r="A2" s="54" t="s">
        <v>60</v>
      </c>
      <c r="B2" s="37"/>
      <c r="C2" s="38" t="s">
        <v>12</v>
      </c>
      <c r="D2" s="38" t="s">
        <v>8</v>
      </c>
      <c r="E2" s="39" t="s">
        <v>13</v>
      </c>
      <c r="F2" s="40" t="s">
        <v>14</v>
      </c>
      <c r="G2" s="40" t="s">
        <v>15</v>
      </c>
      <c r="H2" s="40" t="s">
        <v>16</v>
      </c>
      <c r="I2" s="40" t="s">
        <v>17</v>
      </c>
      <c r="J2" s="40" t="s">
        <v>18</v>
      </c>
      <c r="K2" s="41" t="s">
        <v>30</v>
      </c>
      <c r="L2" s="42"/>
      <c r="M2" s="42"/>
    </row>
    <row r="3" spans="1:13" ht="4.5" customHeight="1" x14ac:dyDescent="0.25">
      <c r="A3" s="43"/>
      <c r="B3" s="44"/>
      <c r="C3" s="44"/>
      <c r="D3" s="44"/>
      <c r="E3" s="44"/>
      <c r="F3" s="44"/>
      <c r="G3" s="44"/>
      <c r="H3" s="44"/>
      <c r="I3" s="44"/>
      <c r="J3" s="44"/>
      <c r="K3" s="45"/>
    </row>
    <row r="4" spans="1:13" x14ac:dyDescent="0.25">
      <c r="A4" s="46">
        <v>1</v>
      </c>
      <c r="B4" s="50" t="str">
        <f>IF(E4="High", "H",IF(E4="Alert", "A",IF(E4="Low","L"," ")))</f>
        <v>L</v>
      </c>
      <c r="C4" s="48" t="s">
        <v>121</v>
      </c>
      <c r="D4" s="49" t="s">
        <v>122</v>
      </c>
      <c r="E4" s="49" t="s">
        <v>21</v>
      </c>
      <c r="F4" s="49"/>
      <c r="G4" s="49" t="s">
        <v>123</v>
      </c>
      <c r="H4" s="73"/>
      <c r="I4" s="49"/>
      <c r="J4" s="49"/>
      <c r="K4" s="47" t="s">
        <v>23</v>
      </c>
    </row>
    <row r="5" spans="1:13" x14ac:dyDescent="0.25">
      <c r="A5" s="46">
        <v>2</v>
      </c>
      <c r="B5" s="50" t="str">
        <f t="shared" ref="B5:B23" si="0">IF(E5="High", "H",IF(E5="Alert", "A",IF(E5="Low","L"," ")))</f>
        <v xml:space="preserve"> </v>
      </c>
      <c r="C5" s="48"/>
      <c r="D5" s="49"/>
      <c r="E5" s="49"/>
      <c r="F5" s="49"/>
      <c r="G5" s="49"/>
      <c r="H5" s="49"/>
      <c r="I5" s="49"/>
      <c r="J5" s="49"/>
      <c r="K5" s="47"/>
    </row>
    <row r="6" spans="1:13" x14ac:dyDescent="0.25">
      <c r="A6" s="46">
        <v>3</v>
      </c>
      <c r="B6" s="50" t="str">
        <f t="shared" si="0"/>
        <v xml:space="preserve"> </v>
      </c>
      <c r="C6" s="48"/>
      <c r="D6" s="49"/>
      <c r="E6" s="49"/>
      <c r="F6" s="49"/>
      <c r="G6" s="49"/>
      <c r="H6" s="49"/>
      <c r="I6" s="49"/>
      <c r="J6" s="49"/>
      <c r="K6" s="47"/>
    </row>
    <row r="7" spans="1:13" x14ac:dyDescent="0.25">
      <c r="A7" s="46">
        <v>4</v>
      </c>
      <c r="B7" s="50" t="str">
        <f t="shared" si="0"/>
        <v xml:space="preserve"> </v>
      </c>
      <c r="C7" s="48"/>
      <c r="D7" s="49"/>
      <c r="E7" s="49"/>
      <c r="F7" s="49"/>
      <c r="G7" s="49"/>
      <c r="H7" s="49"/>
      <c r="I7" s="49"/>
      <c r="J7" s="49"/>
      <c r="K7" s="47"/>
    </row>
    <row r="8" spans="1:13" x14ac:dyDescent="0.25">
      <c r="A8" s="46">
        <v>5</v>
      </c>
      <c r="B8" s="50" t="str">
        <f t="shared" si="0"/>
        <v xml:space="preserve"> </v>
      </c>
      <c r="C8" s="48"/>
      <c r="D8" s="49"/>
      <c r="E8" s="49"/>
      <c r="F8" s="49"/>
      <c r="G8" s="49"/>
      <c r="H8" s="49"/>
      <c r="I8" s="49"/>
      <c r="J8" s="49"/>
      <c r="K8" s="47"/>
    </row>
    <row r="9" spans="1:13" x14ac:dyDescent="0.25">
      <c r="A9" s="46">
        <v>6</v>
      </c>
      <c r="B9" s="50" t="str">
        <f t="shared" si="0"/>
        <v xml:space="preserve"> </v>
      </c>
      <c r="C9" s="48"/>
      <c r="D9" s="49"/>
      <c r="E9" s="49"/>
      <c r="F9" s="49"/>
      <c r="G9" s="49"/>
      <c r="H9" s="49"/>
      <c r="I9" s="49"/>
      <c r="J9" s="49"/>
      <c r="K9" s="47"/>
    </row>
    <row r="10" spans="1:13" x14ac:dyDescent="0.25">
      <c r="A10" s="46">
        <v>7</v>
      </c>
      <c r="B10" s="50" t="str">
        <f t="shared" si="0"/>
        <v xml:space="preserve"> </v>
      </c>
      <c r="C10" s="48"/>
      <c r="D10" s="49"/>
      <c r="E10" s="49"/>
      <c r="F10" s="49"/>
      <c r="G10" s="49"/>
      <c r="H10" s="49"/>
      <c r="I10" s="49"/>
      <c r="J10" s="49"/>
      <c r="K10" s="47"/>
    </row>
    <row r="11" spans="1:13" x14ac:dyDescent="0.25">
      <c r="A11" s="46">
        <v>8</v>
      </c>
      <c r="B11" s="50" t="str">
        <f t="shared" si="0"/>
        <v xml:space="preserve"> </v>
      </c>
      <c r="C11" s="48"/>
      <c r="D11" s="49"/>
      <c r="E11" s="49"/>
      <c r="F11" s="49"/>
      <c r="G11" s="49"/>
      <c r="H11" s="49"/>
      <c r="I11" s="49"/>
      <c r="J11" s="49"/>
      <c r="K11" s="47"/>
    </row>
    <row r="12" spans="1:13" x14ac:dyDescent="0.25">
      <c r="A12" s="46">
        <v>9</v>
      </c>
      <c r="B12" s="50" t="str">
        <f t="shared" si="0"/>
        <v xml:space="preserve"> </v>
      </c>
      <c r="C12" s="48"/>
      <c r="D12" s="49"/>
      <c r="E12" s="49"/>
      <c r="F12" s="49"/>
      <c r="G12" s="49"/>
      <c r="H12" s="49"/>
      <c r="I12" s="49"/>
      <c r="J12" s="49"/>
      <c r="K12" s="47"/>
    </row>
    <row r="13" spans="1:13" x14ac:dyDescent="0.25">
      <c r="A13" s="46">
        <v>10</v>
      </c>
      <c r="B13" s="50" t="str">
        <f t="shared" si="0"/>
        <v xml:space="preserve"> </v>
      </c>
      <c r="C13" s="48"/>
      <c r="D13" s="49"/>
      <c r="E13" s="49"/>
      <c r="F13" s="49"/>
      <c r="G13" s="49"/>
      <c r="H13" s="49"/>
      <c r="I13" s="49"/>
      <c r="J13" s="49"/>
      <c r="K13" s="47"/>
    </row>
    <row r="14" spans="1:13" x14ac:dyDescent="0.25">
      <c r="A14" s="46">
        <v>11</v>
      </c>
      <c r="B14" s="50" t="str">
        <f t="shared" si="0"/>
        <v xml:space="preserve"> </v>
      </c>
      <c r="C14" s="48"/>
      <c r="D14" s="49"/>
      <c r="E14" s="49"/>
      <c r="F14" s="49"/>
      <c r="G14" s="49"/>
      <c r="H14" s="49"/>
      <c r="I14" s="49"/>
      <c r="J14" s="49"/>
      <c r="K14" s="47"/>
    </row>
    <row r="15" spans="1:13" x14ac:dyDescent="0.25">
      <c r="A15" s="46">
        <v>12</v>
      </c>
      <c r="B15" s="50" t="str">
        <f t="shared" si="0"/>
        <v xml:space="preserve"> </v>
      </c>
      <c r="C15" s="48"/>
      <c r="D15" s="49"/>
      <c r="E15" s="49"/>
      <c r="F15" s="49"/>
      <c r="G15" s="49"/>
      <c r="H15" s="49"/>
      <c r="I15" s="49"/>
      <c r="J15" s="49"/>
      <c r="K15" s="47"/>
    </row>
    <row r="16" spans="1:13" x14ac:dyDescent="0.25">
      <c r="A16" s="46">
        <v>13</v>
      </c>
      <c r="B16" s="50" t="str">
        <f t="shared" si="0"/>
        <v xml:space="preserve"> </v>
      </c>
      <c r="C16" s="48"/>
      <c r="D16" s="49"/>
      <c r="E16" s="49"/>
      <c r="F16" s="49"/>
      <c r="G16" s="49"/>
      <c r="H16" s="49"/>
      <c r="I16" s="49"/>
      <c r="J16" s="49"/>
      <c r="K16" s="47"/>
    </row>
    <row r="17" spans="1:11" x14ac:dyDescent="0.25">
      <c r="A17" s="46">
        <v>14</v>
      </c>
      <c r="B17" s="50" t="str">
        <f t="shared" si="0"/>
        <v xml:space="preserve"> </v>
      </c>
      <c r="C17" s="48"/>
      <c r="D17" s="49"/>
      <c r="E17" s="49"/>
      <c r="F17" s="49"/>
      <c r="G17" s="49"/>
      <c r="H17" s="49"/>
      <c r="I17" s="49"/>
      <c r="J17" s="49"/>
      <c r="K17" s="47"/>
    </row>
    <row r="18" spans="1:11" x14ac:dyDescent="0.25">
      <c r="A18" s="46">
        <v>15</v>
      </c>
      <c r="B18" s="50" t="str">
        <f t="shared" si="0"/>
        <v xml:space="preserve"> </v>
      </c>
      <c r="C18" s="48"/>
      <c r="D18" s="49"/>
      <c r="E18" s="49"/>
      <c r="F18" s="49"/>
      <c r="G18" s="49"/>
      <c r="H18" s="49"/>
      <c r="I18" s="49"/>
      <c r="J18" s="49"/>
      <c r="K18" s="47"/>
    </row>
    <row r="19" spans="1:11" x14ac:dyDescent="0.25">
      <c r="A19" s="46">
        <v>16</v>
      </c>
      <c r="B19" s="50" t="str">
        <f t="shared" si="0"/>
        <v xml:space="preserve"> </v>
      </c>
      <c r="C19" s="48"/>
      <c r="D19" s="49"/>
      <c r="E19" s="49"/>
      <c r="F19" s="49"/>
      <c r="G19" s="49"/>
      <c r="H19" s="49"/>
      <c r="I19" s="49"/>
      <c r="J19" s="49"/>
      <c r="K19" s="47"/>
    </row>
    <row r="20" spans="1:11" x14ac:dyDescent="0.25">
      <c r="A20" s="46">
        <v>17</v>
      </c>
      <c r="B20" s="50" t="str">
        <f t="shared" si="0"/>
        <v xml:space="preserve"> </v>
      </c>
      <c r="C20" s="48"/>
      <c r="D20" s="49"/>
      <c r="E20" s="49"/>
      <c r="F20" s="49"/>
      <c r="G20" s="49"/>
      <c r="H20" s="49"/>
      <c r="I20" s="49"/>
      <c r="J20" s="49"/>
      <c r="K20" s="47"/>
    </row>
    <row r="21" spans="1:11" x14ac:dyDescent="0.25">
      <c r="A21" s="46">
        <v>18</v>
      </c>
      <c r="B21" s="50" t="str">
        <f t="shared" si="0"/>
        <v xml:space="preserve"> </v>
      </c>
      <c r="C21" s="48"/>
      <c r="D21" s="49"/>
      <c r="E21" s="49"/>
      <c r="F21" s="49"/>
      <c r="G21" s="49"/>
      <c r="H21" s="49"/>
      <c r="I21" s="49"/>
      <c r="J21" s="49"/>
      <c r="K21" s="47"/>
    </row>
    <row r="22" spans="1:11" x14ac:dyDescent="0.25">
      <c r="A22" s="46">
        <v>19</v>
      </c>
      <c r="B22" s="50" t="str">
        <f t="shared" si="0"/>
        <v xml:space="preserve"> </v>
      </c>
      <c r="C22" s="48"/>
      <c r="D22" s="49"/>
      <c r="E22" s="49"/>
      <c r="F22" s="49"/>
      <c r="G22" s="49"/>
      <c r="H22" s="49"/>
      <c r="I22" s="49"/>
      <c r="J22" s="49"/>
      <c r="K22" s="47"/>
    </row>
    <row r="23" spans="1:11" x14ac:dyDescent="0.25">
      <c r="A23" s="46">
        <v>20</v>
      </c>
      <c r="B23" s="50" t="str">
        <f t="shared" si="0"/>
        <v xml:space="preserve"> </v>
      </c>
      <c r="C23" s="48"/>
      <c r="D23" s="49"/>
      <c r="E23" s="49"/>
      <c r="F23" s="49"/>
      <c r="G23" s="49"/>
      <c r="H23" s="49"/>
      <c r="I23" s="49"/>
      <c r="J23" s="49"/>
      <c r="K23" s="47"/>
    </row>
  </sheetData>
  <sheetProtection selectLockedCells="1"/>
  <customSheetViews>
    <customSheetView guid="{79CFC90F-9797-4F95-B835-584B9BD0A801}" showPageBreaks="1" showGridLines="0" view="pageLayout">
      <selection activeCell="E4" sqref="E4"/>
    </customSheetView>
  </customSheetViews>
  <conditionalFormatting sqref="B4:B23">
    <cfRule type="expression" dxfId="22" priority="6">
      <formula>IF($B4="L", TRUE, FALSE)</formula>
    </cfRule>
    <cfRule type="expression" dxfId="21" priority="7">
      <formula>IF($B4="A", TRUE, FALSE)</formula>
    </cfRule>
    <cfRule type="expression" dxfId="20" priority="8">
      <formula>IF($B4="H", TRUE, FALSE)</formula>
    </cfRule>
  </conditionalFormatting>
  <conditionalFormatting sqref="B4:K23">
    <cfRule type="expression" dxfId="19" priority="5">
      <formula>IF($K4="Y", TRUE, FALSE)</formula>
    </cfRule>
  </conditionalFormatting>
  <conditionalFormatting sqref="A4:A23">
    <cfRule type="expression" dxfId="18" priority="2">
      <formula>IF($B4="L", TRUE, FALSE)</formula>
    </cfRule>
    <cfRule type="expression" dxfId="17" priority="3">
      <formula>IF($B4="A", TRUE, FALSE)</formula>
    </cfRule>
    <cfRule type="expression" dxfId="16" priority="4">
      <formula>IF($B4="H", TRUE, FALSE)</formula>
    </cfRule>
  </conditionalFormatting>
  <conditionalFormatting sqref="A4:A23">
    <cfRule type="expression" dxfId="15" priority="1">
      <formula>IF($K4="Y", TRUE, FALSE)</formula>
    </cfRule>
  </conditionalFormatting>
  <dataValidations count="1">
    <dataValidation allowBlank="1" showInputMessage="1" showErrorMessage="1" promptTitle="Risk Alert" prompt="This cell will auto-populate based on the Priority that was selected" sqref="B2"/>
  </dataValidations>
  <pageMargins left="0.25" right="0.25" top="1" bottom="0.75" header="0.3" footer="0.3"/>
  <pageSetup orientation="landscape" r:id="rId1"/>
  <headerFooter>
    <oddHeader>&amp;C&amp;"-,Bold"&amp;18Risk Log</oddHeader>
    <oddFooter>&amp;C&amp;G</oddFooter>
  </headerFooter>
  <legacyDrawingHF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Links!$A$2:$A$5</xm:f>
          </x14:formula1>
          <xm:sqref>E4:E23</xm:sqref>
        </x14:dataValidation>
        <x14:dataValidation type="list" allowBlank="1" showInputMessage="1" showErrorMessage="1">
          <x14:formula1>
            <xm:f>Links!$E$2:$E$4</xm:f>
          </x14:formula1>
          <xm:sqref>K4:K23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23"/>
  <sheetViews>
    <sheetView showGridLines="0" view="pageLayout" zoomScaleNormal="100" workbookViewId="0">
      <selection activeCell="G4" sqref="G4"/>
    </sheetView>
  </sheetViews>
  <sheetFormatPr defaultRowHeight="15" x14ac:dyDescent="0.25"/>
  <cols>
    <col min="1" max="1" width="2.85546875" bestFit="1" customWidth="1"/>
    <col min="2" max="2" width="24.140625" customWidth="1"/>
    <col min="3" max="3" width="13.7109375" customWidth="1"/>
    <col min="4" max="5" width="14.85546875" customWidth="1"/>
    <col min="6" max="6" width="13.7109375" customWidth="1"/>
    <col min="7" max="7" width="14.42578125" customWidth="1"/>
    <col min="8" max="8" width="15.42578125" bestFit="1" customWidth="1"/>
    <col min="9" max="9" width="19.28515625" customWidth="1"/>
  </cols>
  <sheetData>
    <row r="1" spans="1:27" ht="4.5" customHeight="1" x14ac:dyDescent="0.25">
      <c r="A1" s="19"/>
      <c r="B1" s="20"/>
      <c r="C1" s="20"/>
      <c r="D1" s="20"/>
      <c r="E1" s="20"/>
      <c r="F1" s="20"/>
      <c r="G1" s="20"/>
      <c r="H1" s="20"/>
      <c r="I1" s="21"/>
    </row>
    <row r="2" spans="1:27" ht="51.75" customHeight="1" x14ac:dyDescent="0.25">
      <c r="A2" s="53" t="s">
        <v>0</v>
      </c>
      <c r="B2" s="16" t="s">
        <v>32</v>
      </c>
      <c r="C2" s="16" t="s">
        <v>33</v>
      </c>
      <c r="D2" s="18" t="s">
        <v>34</v>
      </c>
      <c r="E2" s="18" t="s">
        <v>35</v>
      </c>
      <c r="F2" s="18" t="s">
        <v>36</v>
      </c>
      <c r="G2" s="18" t="s">
        <v>37</v>
      </c>
      <c r="H2" s="18" t="s">
        <v>17</v>
      </c>
      <c r="I2" s="17" t="s">
        <v>6</v>
      </c>
      <c r="J2" s="2"/>
      <c r="K2" s="2"/>
    </row>
    <row r="3" spans="1:27" ht="4.5" customHeight="1" x14ac:dyDescent="0.25">
      <c r="A3" s="22"/>
      <c r="B3" s="23"/>
      <c r="C3" s="23"/>
      <c r="D3" s="23"/>
      <c r="E3" s="23"/>
      <c r="F3" s="23"/>
      <c r="G3" s="23"/>
      <c r="H3" s="23"/>
      <c r="I3" s="24"/>
    </row>
    <row r="4" spans="1:27" x14ac:dyDescent="0.25">
      <c r="A4" s="29">
        <v>1</v>
      </c>
      <c r="B4" s="5"/>
      <c r="C4" s="4"/>
      <c r="D4" s="4"/>
      <c r="E4" s="4"/>
      <c r="F4" s="4"/>
      <c r="G4" s="4"/>
      <c r="H4" s="4"/>
      <c r="I4" s="6"/>
      <c r="AA4" t="s">
        <v>17</v>
      </c>
    </row>
    <row r="5" spans="1:27" x14ac:dyDescent="0.25">
      <c r="A5" s="29">
        <v>2</v>
      </c>
      <c r="B5" s="5"/>
      <c r="C5" s="4"/>
      <c r="D5" s="4"/>
      <c r="E5" s="4"/>
      <c r="F5" s="4"/>
      <c r="G5" s="4"/>
      <c r="H5" s="4"/>
      <c r="I5" s="6"/>
      <c r="AA5" t="s">
        <v>39</v>
      </c>
    </row>
    <row r="6" spans="1:27" x14ac:dyDescent="0.25">
      <c r="A6" s="29">
        <v>3</v>
      </c>
      <c r="B6" s="5"/>
      <c r="C6" s="4"/>
      <c r="D6" s="4"/>
      <c r="E6" s="4"/>
      <c r="F6" s="4"/>
      <c r="G6" s="4"/>
      <c r="H6" s="4"/>
      <c r="I6" s="6"/>
      <c r="AA6" t="s">
        <v>40</v>
      </c>
    </row>
    <row r="7" spans="1:27" x14ac:dyDescent="0.25">
      <c r="A7" s="29">
        <v>4</v>
      </c>
      <c r="B7" s="5"/>
      <c r="C7" s="4"/>
      <c r="D7" s="4"/>
      <c r="E7" s="4"/>
      <c r="F7" s="4"/>
      <c r="G7" s="4"/>
      <c r="H7" s="4"/>
      <c r="I7" s="6"/>
      <c r="AA7" t="s">
        <v>41</v>
      </c>
    </row>
    <row r="8" spans="1:27" x14ac:dyDescent="0.25">
      <c r="A8" s="29">
        <v>5</v>
      </c>
      <c r="B8" s="5"/>
      <c r="C8" s="4"/>
      <c r="D8" s="4"/>
      <c r="E8" s="4"/>
      <c r="F8" s="4"/>
      <c r="G8" s="4"/>
      <c r="H8" s="4"/>
      <c r="I8" s="6"/>
    </row>
    <row r="9" spans="1:27" x14ac:dyDescent="0.25">
      <c r="A9" s="29">
        <v>6</v>
      </c>
      <c r="B9" s="5"/>
      <c r="C9" s="4"/>
      <c r="D9" s="4"/>
      <c r="E9" s="4"/>
      <c r="F9" s="4"/>
      <c r="G9" s="4"/>
      <c r="H9" s="4"/>
      <c r="I9" s="6"/>
    </row>
    <row r="10" spans="1:27" x14ac:dyDescent="0.25">
      <c r="A10" s="29">
        <v>7</v>
      </c>
      <c r="B10" s="5"/>
      <c r="C10" s="4"/>
      <c r="D10" s="4"/>
      <c r="E10" s="4"/>
      <c r="F10" s="4"/>
      <c r="G10" s="4"/>
      <c r="H10" s="4"/>
      <c r="I10" s="6"/>
    </row>
    <row r="11" spans="1:27" x14ac:dyDescent="0.25">
      <c r="A11" s="29">
        <v>8</v>
      </c>
      <c r="B11" s="5"/>
      <c r="C11" s="4"/>
      <c r="D11" s="4"/>
      <c r="E11" s="4"/>
      <c r="F11" s="4"/>
      <c r="G11" s="4"/>
      <c r="H11" s="4"/>
      <c r="I11" s="6"/>
    </row>
    <row r="12" spans="1:27" x14ac:dyDescent="0.25">
      <c r="A12" s="29">
        <v>9</v>
      </c>
      <c r="B12" s="5"/>
      <c r="C12" s="4"/>
      <c r="D12" s="4"/>
      <c r="E12" s="4"/>
      <c r="F12" s="4"/>
      <c r="G12" s="4"/>
      <c r="H12" s="4"/>
      <c r="I12" s="6"/>
    </row>
    <row r="13" spans="1:27" x14ac:dyDescent="0.25">
      <c r="A13" s="29">
        <v>10</v>
      </c>
      <c r="B13" s="5"/>
      <c r="C13" s="4"/>
      <c r="D13" s="4"/>
      <c r="E13" s="4"/>
      <c r="F13" s="4"/>
      <c r="G13" s="4"/>
      <c r="H13" s="4"/>
      <c r="I13" s="6"/>
    </row>
    <row r="14" spans="1:27" x14ac:dyDescent="0.25">
      <c r="A14" s="29">
        <v>11</v>
      </c>
      <c r="B14" s="5"/>
      <c r="C14" s="4"/>
      <c r="D14" s="4"/>
      <c r="E14" s="4"/>
      <c r="F14" s="4"/>
      <c r="G14" s="4"/>
      <c r="H14" s="4"/>
      <c r="I14" s="6"/>
    </row>
    <row r="15" spans="1:27" x14ac:dyDescent="0.25">
      <c r="A15" s="29">
        <v>12</v>
      </c>
      <c r="B15" s="5"/>
      <c r="C15" s="4"/>
      <c r="D15" s="4"/>
      <c r="E15" s="4"/>
      <c r="F15" s="4"/>
      <c r="G15" s="4"/>
      <c r="H15" s="4"/>
      <c r="I15" s="6"/>
    </row>
    <row r="16" spans="1:27" x14ac:dyDescent="0.25">
      <c r="A16" s="29">
        <v>13</v>
      </c>
      <c r="B16" s="5"/>
      <c r="C16" s="4"/>
      <c r="D16" s="4"/>
      <c r="E16" s="4"/>
      <c r="F16" s="4"/>
      <c r="G16" s="4"/>
      <c r="H16" s="4"/>
      <c r="I16" s="6"/>
    </row>
    <row r="17" spans="1:9" x14ac:dyDescent="0.25">
      <c r="A17" s="29">
        <v>14</v>
      </c>
      <c r="B17" s="5"/>
      <c r="C17" s="4"/>
      <c r="D17" s="4"/>
      <c r="E17" s="4"/>
      <c r="F17" s="4"/>
      <c r="G17" s="4"/>
      <c r="H17" s="4"/>
      <c r="I17" s="6"/>
    </row>
    <row r="18" spans="1:9" x14ac:dyDescent="0.25">
      <c r="A18" s="29">
        <v>15</v>
      </c>
      <c r="B18" s="5"/>
      <c r="C18" s="4"/>
      <c r="D18" s="4"/>
      <c r="E18" s="4"/>
      <c r="F18" s="4"/>
      <c r="G18" s="4"/>
      <c r="H18" s="4"/>
      <c r="I18" s="6"/>
    </row>
    <row r="19" spans="1:9" x14ac:dyDescent="0.25">
      <c r="A19" s="29">
        <v>16</v>
      </c>
      <c r="B19" s="5"/>
      <c r="C19" s="4"/>
      <c r="D19" s="4"/>
      <c r="E19" s="4"/>
      <c r="F19" s="4"/>
      <c r="G19" s="4"/>
      <c r="H19" s="4"/>
      <c r="I19" s="6"/>
    </row>
    <row r="20" spans="1:9" x14ac:dyDescent="0.25">
      <c r="A20" s="29">
        <v>17</v>
      </c>
      <c r="B20" s="5"/>
      <c r="C20" s="4"/>
      <c r="D20" s="4"/>
      <c r="E20" s="4"/>
      <c r="F20" s="4"/>
      <c r="G20" s="4"/>
      <c r="H20" s="4"/>
      <c r="I20" s="6"/>
    </row>
    <row r="21" spans="1:9" x14ac:dyDescent="0.25">
      <c r="A21" s="29">
        <v>18</v>
      </c>
      <c r="B21" s="5"/>
      <c r="C21" s="4"/>
      <c r="D21" s="4"/>
      <c r="E21" s="4"/>
      <c r="F21" s="4"/>
      <c r="G21" s="4"/>
      <c r="H21" s="4"/>
      <c r="I21" s="6"/>
    </row>
    <row r="22" spans="1:9" x14ac:dyDescent="0.25">
      <c r="A22" s="29">
        <v>19</v>
      </c>
      <c r="B22" s="5"/>
      <c r="C22" s="4"/>
      <c r="D22" s="4"/>
      <c r="E22" s="4"/>
      <c r="F22" s="4"/>
      <c r="G22" s="4"/>
      <c r="H22" s="4"/>
      <c r="I22" s="6"/>
    </row>
    <row r="23" spans="1:9" x14ac:dyDescent="0.25">
      <c r="A23" s="29">
        <v>20</v>
      </c>
      <c r="B23" s="5"/>
      <c r="C23" s="4"/>
      <c r="D23" s="4"/>
      <c r="E23" s="4"/>
      <c r="F23" s="4"/>
      <c r="G23" s="4"/>
      <c r="H23" s="4"/>
      <c r="I23" s="6"/>
    </row>
  </sheetData>
  <customSheetViews>
    <customSheetView guid="{79CFC90F-9797-4F95-B835-584B9BD0A801}" showPageBreaks="1" showGridLines="0" view="pageLayout">
      <selection activeCell="B4" sqref="B4"/>
    </customSheetView>
  </customSheetViews>
  <dataValidations disablePrompts="1" count="1">
    <dataValidation type="list" allowBlank="1" showInputMessage="1" showErrorMessage="1" sqref="H4:H23">
      <formula1>"Complete, In Development, Pending, "</formula1>
    </dataValidation>
  </dataValidations>
  <pageMargins left="0.25" right="0.25" top="1" bottom="0.75" header="0.3" footer="0.3"/>
  <pageSetup orientation="landscape" r:id="rId1"/>
  <headerFooter>
    <oddHeader>&amp;C&amp;"-,Bold"&amp;18Storyboard Schedule</oddHeader>
    <oddFooter>&amp;C&amp;G</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23"/>
  <sheetViews>
    <sheetView showGridLines="0" view="pageLayout" zoomScaleNormal="100" workbookViewId="0">
      <selection activeCell="F4" sqref="F4"/>
    </sheetView>
  </sheetViews>
  <sheetFormatPr defaultRowHeight="15" x14ac:dyDescent="0.25"/>
  <cols>
    <col min="1" max="1" width="2.85546875" bestFit="1" customWidth="1"/>
    <col min="2" max="2" width="24.140625" customWidth="1"/>
    <col min="3" max="3" width="13.7109375" customWidth="1"/>
    <col min="4" max="5" width="14.85546875" customWidth="1"/>
    <col min="6" max="7" width="4.85546875" customWidth="1"/>
    <col min="8" max="8" width="15.42578125" bestFit="1" customWidth="1"/>
    <col min="9" max="9" width="19.28515625" customWidth="1"/>
  </cols>
  <sheetData>
    <row r="1" spans="1:11" ht="4.5" customHeight="1" x14ac:dyDescent="0.25">
      <c r="A1" s="19"/>
      <c r="B1" s="20"/>
      <c r="C1" s="20"/>
      <c r="D1" s="20"/>
      <c r="E1" s="20"/>
      <c r="F1" s="20"/>
      <c r="G1" s="20"/>
      <c r="H1" s="20"/>
      <c r="I1" s="21"/>
    </row>
    <row r="2" spans="1:11" ht="51.75" customHeight="1" x14ac:dyDescent="0.25">
      <c r="A2" s="15" t="s">
        <v>59</v>
      </c>
      <c r="B2" s="16" t="s">
        <v>53</v>
      </c>
      <c r="C2" s="16" t="s">
        <v>33</v>
      </c>
      <c r="D2" s="18" t="s">
        <v>34</v>
      </c>
      <c r="E2" s="18" t="s">
        <v>35</v>
      </c>
      <c r="F2" s="30" t="s">
        <v>137</v>
      </c>
      <c r="G2" s="30" t="s">
        <v>138</v>
      </c>
      <c r="H2" s="18" t="s">
        <v>17</v>
      </c>
      <c r="I2" s="17" t="s">
        <v>6</v>
      </c>
      <c r="J2" s="2"/>
      <c r="K2" s="2"/>
    </row>
    <row r="3" spans="1:11" ht="4.5" customHeight="1" x14ac:dyDescent="0.25">
      <c r="A3" s="22"/>
      <c r="B3" s="23"/>
      <c r="C3" s="23"/>
      <c r="D3" s="23"/>
      <c r="E3" s="23"/>
      <c r="F3" s="23"/>
      <c r="G3" s="23"/>
      <c r="H3" s="23"/>
      <c r="I3" s="24"/>
    </row>
    <row r="4" spans="1:11" x14ac:dyDescent="0.25">
      <c r="A4" s="29">
        <v>1</v>
      </c>
      <c r="B4" s="5"/>
      <c r="C4" s="4"/>
      <c r="D4" s="4"/>
      <c r="E4" s="4"/>
      <c r="F4" s="6"/>
      <c r="G4" s="6"/>
      <c r="H4" s="4"/>
      <c r="I4" s="6"/>
    </row>
    <row r="5" spans="1:11" x14ac:dyDescent="0.25">
      <c r="A5" s="29">
        <v>2</v>
      </c>
      <c r="B5" s="5"/>
      <c r="C5" s="4"/>
      <c r="D5" s="4"/>
      <c r="E5" s="4"/>
      <c r="F5" s="6"/>
      <c r="G5" s="6"/>
      <c r="H5" s="4"/>
      <c r="I5" s="6"/>
    </row>
    <row r="6" spans="1:11" x14ac:dyDescent="0.25">
      <c r="A6" s="29">
        <v>3</v>
      </c>
      <c r="B6" s="5"/>
      <c r="C6" s="4"/>
      <c r="D6" s="4"/>
      <c r="E6" s="4"/>
      <c r="F6" s="6"/>
      <c r="G6" s="6"/>
      <c r="H6" s="4"/>
      <c r="I6" s="6"/>
    </row>
    <row r="7" spans="1:11" x14ac:dyDescent="0.25">
      <c r="A7" s="29">
        <v>4</v>
      </c>
      <c r="B7" s="5"/>
      <c r="C7" s="4"/>
      <c r="D7" s="4"/>
      <c r="E7" s="4"/>
      <c r="F7" s="6"/>
      <c r="G7" s="6"/>
      <c r="H7" s="4"/>
      <c r="I7" s="6"/>
    </row>
    <row r="8" spans="1:11" x14ac:dyDescent="0.25">
      <c r="A8" s="29">
        <v>5</v>
      </c>
      <c r="B8" s="5"/>
      <c r="C8" s="4"/>
      <c r="D8" s="4"/>
      <c r="E8" s="4"/>
      <c r="F8" s="6"/>
      <c r="G8" s="6"/>
      <c r="H8" s="4"/>
      <c r="I8" s="6"/>
    </row>
    <row r="9" spans="1:11" x14ac:dyDescent="0.25">
      <c r="A9" s="29">
        <v>6</v>
      </c>
      <c r="B9" s="5"/>
      <c r="C9" s="4"/>
      <c r="D9" s="4"/>
      <c r="E9" s="4"/>
      <c r="F9" s="6"/>
      <c r="G9" s="6"/>
      <c r="H9" s="4"/>
      <c r="I9" s="6"/>
    </row>
    <row r="10" spans="1:11" x14ac:dyDescent="0.25">
      <c r="A10" s="29">
        <v>7</v>
      </c>
      <c r="B10" s="5"/>
      <c r="C10" s="4"/>
      <c r="D10" s="4"/>
      <c r="E10" s="4"/>
      <c r="F10" s="6"/>
      <c r="G10" s="6"/>
      <c r="H10" s="4"/>
      <c r="I10" s="6"/>
    </row>
    <row r="11" spans="1:11" x14ac:dyDescent="0.25">
      <c r="A11" s="29">
        <v>8</v>
      </c>
      <c r="B11" s="5"/>
      <c r="C11" s="4"/>
      <c r="D11" s="4"/>
      <c r="E11" s="4"/>
      <c r="F11" s="6"/>
      <c r="G11" s="6"/>
      <c r="H11" s="4"/>
      <c r="I11" s="6"/>
    </row>
    <row r="12" spans="1:11" x14ac:dyDescent="0.25">
      <c r="A12" s="29">
        <v>9</v>
      </c>
      <c r="B12" s="5"/>
      <c r="C12" s="4"/>
      <c r="D12" s="4"/>
      <c r="E12" s="4"/>
      <c r="F12" s="6"/>
      <c r="G12" s="6"/>
      <c r="H12" s="4"/>
      <c r="I12" s="6"/>
    </row>
    <row r="13" spans="1:11" x14ac:dyDescent="0.25">
      <c r="A13" s="29">
        <v>10</v>
      </c>
      <c r="B13" s="5"/>
      <c r="C13" s="4"/>
      <c r="D13" s="4"/>
      <c r="E13" s="4"/>
      <c r="F13" s="6"/>
      <c r="G13" s="6"/>
      <c r="H13" s="4"/>
      <c r="I13" s="6"/>
    </row>
    <row r="14" spans="1:11" x14ac:dyDescent="0.25">
      <c r="A14" s="29">
        <v>11</v>
      </c>
      <c r="B14" s="5"/>
      <c r="C14" s="4"/>
      <c r="D14" s="4"/>
      <c r="E14" s="4"/>
      <c r="F14" s="6"/>
      <c r="G14" s="6"/>
      <c r="H14" s="4"/>
      <c r="I14" s="6"/>
    </row>
    <row r="15" spans="1:11" x14ac:dyDescent="0.25">
      <c r="A15" s="29">
        <v>12</v>
      </c>
      <c r="B15" s="5"/>
      <c r="C15" s="4"/>
      <c r="D15" s="4"/>
      <c r="E15" s="4"/>
      <c r="F15" s="6"/>
      <c r="G15" s="6"/>
      <c r="H15" s="4"/>
      <c r="I15" s="6"/>
    </row>
    <row r="16" spans="1:11" x14ac:dyDescent="0.25">
      <c r="A16" s="29">
        <v>13</v>
      </c>
      <c r="B16" s="5"/>
      <c r="C16" s="4"/>
      <c r="D16" s="4"/>
      <c r="E16" s="4"/>
      <c r="F16" s="6"/>
      <c r="G16" s="6"/>
      <c r="H16" s="4"/>
      <c r="I16" s="6"/>
    </row>
    <row r="17" spans="1:9" x14ac:dyDescent="0.25">
      <c r="A17" s="29">
        <v>14</v>
      </c>
      <c r="B17" s="5"/>
      <c r="C17" s="4"/>
      <c r="D17" s="4"/>
      <c r="E17" s="4"/>
      <c r="F17" s="6"/>
      <c r="G17" s="6"/>
      <c r="H17" s="4"/>
      <c r="I17" s="6"/>
    </row>
    <row r="18" spans="1:9" x14ac:dyDescent="0.25">
      <c r="A18" s="29">
        <v>15</v>
      </c>
      <c r="B18" s="5"/>
      <c r="C18" s="4"/>
      <c r="D18" s="4"/>
      <c r="E18" s="4"/>
      <c r="F18" s="6"/>
      <c r="G18" s="6"/>
      <c r="H18" s="4"/>
      <c r="I18" s="6"/>
    </row>
    <row r="19" spans="1:9" x14ac:dyDescent="0.25">
      <c r="A19" s="29">
        <v>16</v>
      </c>
      <c r="B19" s="5"/>
      <c r="C19" s="4"/>
      <c r="D19" s="4"/>
      <c r="E19" s="4"/>
      <c r="F19" s="6"/>
      <c r="G19" s="6"/>
      <c r="H19" s="4"/>
      <c r="I19" s="6"/>
    </row>
    <row r="20" spans="1:9" x14ac:dyDescent="0.25">
      <c r="A20" s="29">
        <v>17</v>
      </c>
      <c r="B20" s="5"/>
      <c r="C20" s="4"/>
      <c r="D20" s="4"/>
      <c r="E20" s="4"/>
      <c r="F20" s="6"/>
      <c r="G20" s="6"/>
      <c r="H20" s="4"/>
      <c r="I20" s="6"/>
    </row>
    <row r="21" spans="1:9" x14ac:dyDescent="0.25">
      <c r="A21" s="29">
        <v>18</v>
      </c>
      <c r="B21" s="5"/>
      <c r="C21" s="4"/>
      <c r="D21" s="4"/>
      <c r="E21" s="4"/>
      <c r="F21" s="6"/>
      <c r="G21" s="6"/>
      <c r="H21" s="4"/>
      <c r="I21" s="6"/>
    </row>
    <row r="22" spans="1:9" x14ac:dyDescent="0.25">
      <c r="A22" s="29">
        <v>19</v>
      </c>
      <c r="B22" s="5"/>
      <c r="C22" s="4"/>
      <c r="D22" s="4"/>
      <c r="E22" s="4"/>
      <c r="F22" s="6"/>
      <c r="G22" s="6"/>
      <c r="H22" s="4"/>
      <c r="I22" s="6"/>
    </row>
    <row r="23" spans="1:9" x14ac:dyDescent="0.25">
      <c r="A23" s="29">
        <v>20</v>
      </c>
      <c r="B23" s="5"/>
      <c r="C23" s="4"/>
      <c r="D23" s="4"/>
      <c r="E23" s="4"/>
      <c r="F23" s="6"/>
      <c r="G23" s="6"/>
      <c r="H23" s="4"/>
      <c r="I23" s="6"/>
    </row>
  </sheetData>
  <customSheetViews>
    <customSheetView guid="{79CFC90F-9797-4F95-B835-584B9BD0A801}" showPageBreaks="1" showGridLines="0" view="pageLayout">
      <selection activeCell="B4" sqref="B4"/>
    </customSheetView>
  </customSheetViews>
  <pageMargins left="0.25" right="0.25" top="1" bottom="0.75" header="0.3" footer="0.3"/>
  <pageSetup orientation="landscape" r:id="rId1"/>
  <headerFooter>
    <oddHeader>&amp;C&amp;"-,Bold"&amp;18 Modules Posted</oddHead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Links!$E$2:$E$4</xm:f>
          </x14:formula1>
          <xm:sqref>F4:G23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0" tint="-4.9989318521683403E-2"/>
    <outlinePr summaryBelow="0"/>
  </sheetPr>
  <dimension ref="A1:H63"/>
  <sheetViews>
    <sheetView showGridLines="0" showWhiteSpace="0" view="pageLayout" zoomScaleNormal="100" workbookViewId="0">
      <selection activeCell="C10" sqref="C10"/>
    </sheetView>
  </sheetViews>
  <sheetFormatPr defaultRowHeight="15" outlineLevelRow="1" x14ac:dyDescent="0.25"/>
  <cols>
    <col min="1" max="1" width="7.140625" style="1" bestFit="1" customWidth="1"/>
    <col min="2" max="2" width="46.5703125" style="2" customWidth="1"/>
    <col min="3" max="3" width="16" customWidth="1"/>
    <col min="4" max="4" width="8.85546875" customWidth="1"/>
    <col min="5" max="5" width="8.28515625" customWidth="1"/>
    <col min="6" max="6" width="8.140625" customWidth="1"/>
    <col min="7" max="7" width="30.7109375" style="2" customWidth="1"/>
    <col min="8" max="8" width="4.85546875" style="3" customWidth="1"/>
  </cols>
  <sheetData>
    <row r="1" spans="1:8" ht="4.5" customHeight="1" x14ac:dyDescent="0.25">
      <c r="A1" s="113"/>
      <c r="B1" s="114"/>
      <c r="C1" s="114"/>
      <c r="D1" s="114"/>
      <c r="E1" s="114"/>
      <c r="F1" s="114"/>
      <c r="G1" s="114"/>
      <c r="H1" s="115"/>
    </row>
    <row r="2" spans="1:8" ht="60.75" customHeight="1" x14ac:dyDescent="0.25">
      <c r="A2" s="15" t="s">
        <v>0</v>
      </c>
      <c r="B2" s="16" t="s">
        <v>1</v>
      </c>
      <c r="C2" s="27" t="s">
        <v>2</v>
      </c>
      <c r="D2" s="18" t="s">
        <v>3</v>
      </c>
      <c r="E2" s="18" t="s">
        <v>4</v>
      </c>
      <c r="F2" s="18" t="s">
        <v>5</v>
      </c>
      <c r="G2" s="16" t="s">
        <v>6</v>
      </c>
      <c r="H2" s="28" t="s">
        <v>31</v>
      </c>
    </row>
    <row r="3" spans="1:8" ht="4.5" customHeight="1" x14ac:dyDescent="0.25">
      <c r="A3" s="116"/>
      <c r="B3" s="117"/>
      <c r="C3" s="117"/>
      <c r="D3" s="117"/>
      <c r="E3" s="117"/>
      <c r="F3" s="117"/>
      <c r="G3" s="117"/>
      <c r="H3" s="118"/>
    </row>
    <row r="4" spans="1:8" collapsed="1" x14ac:dyDescent="0.25">
      <c r="A4" s="13">
        <v>1</v>
      </c>
      <c r="B4" s="119" t="s">
        <v>115</v>
      </c>
      <c r="C4" s="120"/>
      <c r="D4" s="120"/>
      <c r="E4" s="120"/>
      <c r="F4" s="120"/>
      <c r="G4" s="120"/>
      <c r="H4" s="121"/>
    </row>
    <row r="5" spans="1:8" ht="16.5" hidden="1" outlineLevel="1" x14ac:dyDescent="0.25">
      <c r="A5" s="7">
        <v>1.1000000000000001</v>
      </c>
      <c r="B5" s="31" t="s">
        <v>92</v>
      </c>
      <c r="C5" s="4" t="s">
        <v>126</v>
      </c>
      <c r="D5" s="69"/>
      <c r="E5" s="4"/>
      <c r="F5" s="4"/>
      <c r="G5" s="5"/>
      <c r="H5" s="6"/>
    </row>
    <row r="6" spans="1:8" ht="16.5" hidden="1" outlineLevel="1" x14ac:dyDescent="0.25">
      <c r="A6" s="7">
        <v>1.2</v>
      </c>
      <c r="B6" s="31" t="s">
        <v>47</v>
      </c>
      <c r="C6" s="4" t="s">
        <v>97</v>
      </c>
      <c r="D6" s="69"/>
      <c r="E6" s="4"/>
      <c r="F6" s="4"/>
      <c r="G6" s="5"/>
      <c r="H6" s="6"/>
    </row>
    <row r="7" spans="1:8" ht="16.5" hidden="1" outlineLevel="1" x14ac:dyDescent="0.25">
      <c r="A7" s="7">
        <v>1.3</v>
      </c>
      <c r="B7" s="31" t="s">
        <v>93</v>
      </c>
      <c r="C7" s="4" t="s">
        <v>127</v>
      </c>
      <c r="D7" s="69"/>
      <c r="E7" s="4"/>
      <c r="F7" s="4"/>
      <c r="G7" s="5"/>
      <c r="H7" s="6"/>
    </row>
    <row r="8" spans="1:8" ht="16.5" hidden="1" outlineLevel="1" x14ac:dyDescent="0.25">
      <c r="A8" s="1">
        <v>1.4</v>
      </c>
      <c r="B8" s="31" t="s">
        <v>43</v>
      </c>
      <c r="C8" s="4" t="s">
        <v>127</v>
      </c>
      <c r="D8" s="69"/>
      <c r="E8" s="4"/>
      <c r="F8" s="4"/>
      <c r="G8" s="5"/>
      <c r="H8" s="6"/>
    </row>
    <row r="9" spans="1:8" ht="16.5" hidden="1" outlineLevel="1" x14ac:dyDescent="0.25">
      <c r="A9" s="7">
        <v>1.5</v>
      </c>
      <c r="B9" s="31" t="s">
        <v>44</v>
      </c>
      <c r="C9" s="4" t="s">
        <v>97</v>
      </c>
      <c r="D9" s="69"/>
      <c r="E9" s="4"/>
      <c r="F9" s="4"/>
      <c r="G9" s="5"/>
      <c r="H9" s="6"/>
    </row>
    <row r="10" spans="1:8" ht="33" hidden="1" outlineLevel="1" x14ac:dyDescent="0.25">
      <c r="A10" s="7">
        <v>1.6</v>
      </c>
      <c r="B10" s="31" t="s">
        <v>94</v>
      </c>
      <c r="C10" s="4" t="s">
        <v>127</v>
      </c>
      <c r="D10" s="69"/>
      <c r="E10" s="4"/>
      <c r="F10" s="4"/>
      <c r="G10" s="5"/>
      <c r="H10" s="6"/>
    </row>
    <row r="11" spans="1:8" ht="33" hidden="1" outlineLevel="1" x14ac:dyDescent="0.25">
      <c r="A11" s="7">
        <v>1.7</v>
      </c>
      <c r="B11" s="32" t="s">
        <v>89</v>
      </c>
      <c r="C11" s="4" t="s">
        <v>97</v>
      </c>
      <c r="D11" s="69"/>
      <c r="E11" s="4"/>
      <c r="F11" s="4"/>
      <c r="G11" s="5"/>
      <c r="H11" s="6"/>
    </row>
    <row r="12" spans="1:8" ht="16.5" hidden="1" outlineLevel="1" x14ac:dyDescent="0.25">
      <c r="A12" s="7">
        <v>1.8</v>
      </c>
      <c r="B12" s="31" t="s">
        <v>86</v>
      </c>
      <c r="C12" s="4" t="s">
        <v>127</v>
      </c>
      <c r="D12" s="69"/>
      <c r="E12" s="4"/>
      <c r="F12" s="4"/>
      <c r="G12" s="5"/>
      <c r="H12" s="6"/>
    </row>
    <row r="13" spans="1:8" ht="16.5" hidden="1" outlineLevel="1" x14ac:dyDescent="0.25">
      <c r="A13" s="7">
        <v>1.9</v>
      </c>
      <c r="B13" s="31" t="s">
        <v>90</v>
      </c>
      <c r="C13" s="4" t="s">
        <v>127</v>
      </c>
      <c r="D13" s="69"/>
      <c r="E13" s="4"/>
      <c r="F13" s="4"/>
      <c r="G13" s="5"/>
      <c r="H13" s="6"/>
    </row>
    <row r="14" spans="1:8" ht="16.5" hidden="1" outlineLevel="1" x14ac:dyDescent="0.25">
      <c r="A14" s="12">
        <v>1.1000000000000001</v>
      </c>
      <c r="B14" s="31" t="s">
        <v>91</v>
      </c>
      <c r="C14" s="4" t="s">
        <v>127</v>
      </c>
      <c r="D14" s="69"/>
      <c r="E14" s="4"/>
      <c r="F14" s="4"/>
      <c r="G14" s="5"/>
      <c r="H14" s="6"/>
    </row>
    <row r="15" spans="1:8" ht="16.5" hidden="1" outlineLevel="1" x14ac:dyDescent="0.25">
      <c r="A15" s="12">
        <v>1.1100000000000001</v>
      </c>
      <c r="B15" s="31" t="s">
        <v>95</v>
      </c>
      <c r="C15" s="4" t="s">
        <v>97</v>
      </c>
      <c r="D15" s="69"/>
      <c r="E15" s="4"/>
      <c r="F15" s="4"/>
      <c r="G15" s="5"/>
      <c r="H15" s="6"/>
    </row>
    <row r="16" spans="1:8" ht="16.5" hidden="1" outlineLevel="1" x14ac:dyDescent="0.25">
      <c r="A16" s="12">
        <v>1.1200000000000001</v>
      </c>
      <c r="B16" s="32" t="s">
        <v>85</v>
      </c>
      <c r="C16" s="4" t="s">
        <v>97</v>
      </c>
      <c r="D16" s="69"/>
      <c r="E16" s="4"/>
      <c r="F16" s="4"/>
      <c r="G16" s="5"/>
      <c r="H16" s="6"/>
    </row>
    <row r="17" spans="1:8" ht="16.5" hidden="1" outlineLevel="1" x14ac:dyDescent="0.25">
      <c r="A17" s="12">
        <v>1.1299999999999999</v>
      </c>
      <c r="B17" s="31" t="s">
        <v>45</v>
      </c>
      <c r="C17" s="4" t="s">
        <v>127</v>
      </c>
      <c r="D17" s="69"/>
      <c r="E17" s="4"/>
      <c r="F17" s="4"/>
      <c r="G17" s="5"/>
      <c r="H17" s="6"/>
    </row>
    <row r="18" spans="1:8" ht="16.5" hidden="1" outlineLevel="1" x14ac:dyDescent="0.25">
      <c r="A18" s="12">
        <v>1.1399999999999999</v>
      </c>
      <c r="B18" s="32" t="s">
        <v>81</v>
      </c>
      <c r="C18" s="4" t="s">
        <v>127</v>
      </c>
      <c r="D18" s="69"/>
      <c r="E18" s="4"/>
      <c r="F18" s="4"/>
      <c r="G18" s="5"/>
      <c r="H18" s="6"/>
    </row>
    <row r="19" spans="1:8" ht="16.5" hidden="1" outlineLevel="1" x14ac:dyDescent="0.25">
      <c r="A19" s="12">
        <v>1.1499999999999999</v>
      </c>
      <c r="B19" s="32" t="s">
        <v>87</v>
      </c>
      <c r="C19" s="4" t="s">
        <v>127</v>
      </c>
      <c r="D19" s="69"/>
      <c r="E19" s="4"/>
      <c r="F19" s="4"/>
      <c r="G19" s="5"/>
      <c r="H19" s="6"/>
    </row>
    <row r="20" spans="1:8" ht="16.5" hidden="1" outlineLevel="1" x14ac:dyDescent="0.25">
      <c r="A20" s="12">
        <v>1.1599999999999999</v>
      </c>
      <c r="B20" s="31" t="s">
        <v>99</v>
      </c>
      <c r="C20" s="4" t="s">
        <v>127</v>
      </c>
      <c r="D20" s="69"/>
      <c r="E20" s="4"/>
      <c r="F20" s="4"/>
      <c r="G20" s="5"/>
      <c r="H20" s="6"/>
    </row>
    <row r="21" spans="1:8" ht="16.5" hidden="1" outlineLevel="1" x14ac:dyDescent="0.25">
      <c r="A21" s="12">
        <v>1.17</v>
      </c>
      <c r="B21" s="31" t="s">
        <v>100</v>
      </c>
      <c r="C21" s="4" t="s">
        <v>127</v>
      </c>
      <c r="D21" s="69"/>
      <c r="E21" s="4"/>
      <c r="F21" s="4"/>
      <c r="G21" s="5"/>
      <c r="H21" s="6"/>
    </row>
    <row r="22" spans="1:8" ht="16.5" hidden="1" outlineLevel="1" x14ac:dyDescent="0.25">
      <c r="A22" s="12">
        <v>1.18</v>
      </c>
      <c r="B22" s="31" t="s">
        <v>46</v>
      </c>
      <c r="C22" s="4" t="s">
        <v>127</v>
      </c>
      <c r="D22" s="69"/>
      <c r="E22" s="68"/>
      <c r="F22" s="4"/>
      <c r="G22" s="5"/>
      <c r="H22" s="6"/>
    </row>
    <row r="23" spans="1:8" ht="4.5" customHeight="1" x14ac:dyDescent="0.25">
      <c r="A23" s="111"/>
      <c r="B23" s="111"/>
      <c r="C23" s="111"/>
      <c r="D23" s="111"/>
      <c r="E23" s="111"/>
      <c r="F23" s="111"/>
      <c r="G23" s="111"/>
      <c r="H23" s="111"/>
    </row>
    <row r="24" spans="1:8" collapsed="1" x14ac:dyDescent="0.25">
      <c r="A24" s="13">
        <v>2</v>
      </c>
      <c r="B24" s="105" t="s">
        <v>82</v>
      </c>
      <c r="C24" s="106"/>
      <c r="D24" s="106"/>
      <c r="E24" s="106"/>
      <c r="F24" s="106"/>
      <c r="G24" s="106"/>
      <c r="H24" s="107"/>
    </row>
    <row r="25" spans="1:8" ht="16.5" hidden="1" outlineLevel="1" x14ac:dyDescent="0.25">
      <c r="A25" s="7">
        <v>2.1</v>
      </c>
      <c r="B25" s="32" t="s">
        <v>96</v>
      </c>
      <c r="C25" s="4" t="s">
        <v>126</v>
      </c>
      <c r="D25" s="69"/>
      <c r="E25" s="4"/>
      <c r="F25" s="4"/>
      <c r="G25" s="5"/>
      <c r="H25" s="6"/>
    </row>
    <row r="26" spans="1:8" ht="16.5" hidden="1" outlineLevel="1" x14ac:dyDescent="0.25">
      <c r="A26" s="7">
        <v>2.2000000000000002</v>
      </c>
      <c r="B26" s="31" t="s">
        <v>83</v>
      </c>
      <c r="C26" s="4" t="s">
        <v>127</v>
      </c>
      <c r="D26" s="69"/>
      <c r="E26" s="4"/>
      <c r="F26" s="4"/>
      <c r="G26" s="5"/>
      <c r="H26" s="6"/>
    </row>
    <row r="27" spans="1:8" ht="16.5" hidden="1" outlineLevel="1" x14ac:dyDescent="0.25">
      <c r="A27" s="7">
        <v>2.2999999999999998</v>
      </c>
      <c r="B27" s="32" t="s">
        <v>88</v>
      </c>
      <c r="C27" s="4" t="s">
        <v>97</v>
      </c>
      <c r="D27" s="69"/>
      <c r="E27" s="4"/>
      <c r="F27" s="4"/>
      <c r="G27" s="5"/>
      <c r="H27" s="6"/>
    </row>
    <row r="28" spans="1:8" ht="16.5" hidden="1" outlineLevel="1" x14ac:dyDescent="0.25">
      <c r="A28" s="7">
        <v>2.4</v>
      </c>
      <c r="B28" s="31" t="s">
        <v>45</v>
      </c>
      <c r="C28" s="4" t="s">
        <v>127</v>
      </c>
      <c r="D28" s="69"/>
      <c r="E28" s="4"/>
      <c r="F28" s="4"/>
      <c r="G28" s="5"/>
      <c r="H28" s="6"/>
    </row>
    <row r="29" spans="1:8" ht="16.5" hidden="1" outlineLevel="1" x14ac:dyDescent="0.25">
      <c r="A29" s="7">
        <v>2.5</v>
      </c>
      <c r="B29" s="32" t="s">
        <v>84</v>
      </c>
      <c r="C29" s="4" t="s">
        <v>127</v>
      </c>
      <c r="D29" s="69"/>
      <c r="E29" s="4"/>
      <c r="F29" s="4"/>
      <c r="G29" s="5"/>
      <c r="H29" s="6"/>
    </row>
    <row r="30" spans="1:8" ht="16.5" hidden="1" outlineLevel="1" x14ac:dyDescent="0.25">
      <c r="A30" s="7">
        <v>2.6</v>
      </c>
      <c r="B30" s="31" t="s">
        <v>101</v>
      </c>
      <c r="C30" s="4" t="s">
        <v>127</v>
      </c>
      <c r="D30" s="69"/>
      <c r="E30" s="4"/>
      <c r="F30" s="4"/>
      <c r="G30" s="5"/>
      <c r="H30" s="6"/>
    </row>
    <row r="31" spans="1:8" hidden="1" outlineLevel="1" x14ac:dyDescent="0.25">
      <c r="A31" s="7"/>
      <c r="B31" s="5"/>
      <c r="C31" s="4"/>
      <c r="D31" s="69"/>
      <c r="E31" s="4"/>
      <c r="F31" s="4"/>
      <c r="G31" s="5"/>
      <c r="H31" s="6"/>
    </row>
    <row r="32" spans="1:8" ht="4.5" customHeight="1" collapsed="1" x14ac:dyDescent="0.25">
      <c r="A32" s="111"/>
      <c r="B32" s="111"/>
      <c r="C32" s="111"/>
      <c r="D32" s="111"/>
      <c r="E32" s="111"/>
      <c r="F32" s="111"/>
      <c r="G32" s="111"/>
      <c r="H32" s="111"/>
    </row>
    <row r="33" spans="1:8" collapsed="1" x14ac:dyDescent="0.25">
      <c r="A33" s="13">
        <v>3</v>
      </c>
      <c r="B33" s="108"/>
      <c r="C33" s="109"/>
      <c r="D33" s="109"/>
      <c r="E33" s="109"/>
      <c r="F33" s="109"/>
      <c r="G33" s="109"/>
      <c r="H33" s="110"/>
    </row>
    <row r="34" spans="1:8" hidden="1" outlineLevel="1" x14ac:dyDescent="0.25">
      <c r="A34" s="7">
        <v>3.1</v>
      </c>
      <c r="B34" s="5"/>
      <c r="C34" s="4"/>
      <c r="D34" s="4"/>
      <c r="E34" s="4"/>
      <c r="F34" s="4"/>
      <c r="G34" s="5"/>
      <c r="H34" s="6"/>
    </row>
    <row r="35" spans="1:8" hidden="1" outlineLevel="1" x14ac:dyDescent="0.25">
      <c r="A35" s="7">
        <v>3.2</v>
      </c>
      <c r="B35" s="5"/>
      <c r="C35" s="4"/>
      <c r="D35" s="4"/>
      <c r="E35" s="4"/>
      <c r="F35" s="4"/>
      <c r="G35" s="5"/>
      <c r="H35" s="6"/>
    </row>
    <row r="36" spans="1:8" hidden="1" outlineLevel="1" x14ac:dyDescent="0.25">
      <c r="A36" s="7">
        <v>3.3</v>
      </c>
      <c r="B36" s="5"/>
      <c r="C36" s="4"/>
      <c r="D36" s="4"/>
      <c r="E36" s="4"/>
      <c r="F36" s="4"/>
      <c r="G36" s="5"/>
      <c r="H36" s="6"/>
    </row>
    <row r="37" spans="1:8" hidden="1" outlineLevel="1" x14ac:dyDescent="0.25">
      <c r="A37" s="7">
        <v>3.4</v>
      </c>
      <c r="B37" s="5"/>
      <c r="C37" s="4"/>
      <c r="D37" s="4"/>
      <c r="E37" s="4"/>
      <c r="F37" s="4"/>
      <c r="G37" s="5"/>
      <c r="H37" s="6"/>
    </row>
    <row r="38" spans="1:8" hidden="1" outlineLevel="1" x14ac:dyDescent="0.25">
      <c r="A38" s="7">
        <v>3.5</v>
      </c>
      <c r="B38" s="5"/>
      <c r="C38" s="4"/>
      <c r="D38" s="4"/>
      <c r="E38" s="4"/>
      <c r="F38" s="4"/>
      <c r="G38" s="5"/>
      <c r="H38" s="6"/>
    </row>
    <row r="39" spans="1:8" ht="4.5" customHeight="1" collapsed="1" x14ac:dyDescent="0.25">
      <c r="A39" s="111"/>
      <c r="B39" s="111"/>
      <c r="C39" s="111"/>
      <c r="D39" s="111"/>
      <c r="E39" s="111"/>
      <c r="F39" s="111"/>
      <c r="G39" s="111"/>
      <c r="H39" s="111"/>
    </row>
    <row r="40" spans="1:8" collapsed="1" x14ac:dyDescent="0.25">
      <c r="A40" s="13">
        <v>4</v>
      </c>
      <c r="B40" s="108"/>
      <c r="C40" s="109"/>
      <c r="D40" s="109"/>
      <c r="E40" s="109"/>
      <c r="F40" s="109"/>
      <c r="G40" s="109"/>
      <c r="H40" s="110"/>
    </row>
    <row r="41" spans="1:8" hidden="1" outlineLevel="1" x14ac:dyDescent="0.25">
      <c r="A41" s="7">
        <v>4.0999999999999996</v>
      </c>
      <c r="B41" s="5"/>
      <c r="C41" s="4"/>
      <c r="D41" s="4"/>
      <c r="E41" s="4"/>
      <c r="F41" s="4"/>
      <c r="G41" s="5"/>
      <c r="H41" s="6"/>
    </row>
    <row r="42" spans="1:8" hidden="1" outlineLevel="1" x14ac:dyDescent="0.25">
      <c r="A42" s="7">
        <v>4.2</v>
      </c>
      <c r="B42" s="5"/>
      <c r="C42" s="4"/>
      <c r="D42" s="4"/>
      <c r="E42" s="4"/>
      <c r="F42" s="4"/>
      <c r="G42" s="5"/>
      <c r="H42" s="6"/>
    </row>
    <row r="43" spans="1:8" hidden="1" outlineLevel="1" x14ac:dyDescent="0.25">
      <c r="A43" s="7">
        <v>4.3</v>
      </c>
      <c r="B43" s="5"/>
      <c r="C43" s="4"/>
      <c r="D43" s="4"/>
      <c r="E43" s="4"/>
      <c r="F43" s="4"/>
      <c r="G43" s="5"/>
      <c r="H43" s="6"/>
    </row>
    <row r="44" spans="1:8" hidden="1" outlineLevel="1" x14ac:dyDescent="0.25">
      <c r="A44" s="7">
        <v>4.4000000000000004</v>
      </c>
      <c r="B44" s="5"/>
      <c r="C44" s="4"/>
      <c r="D44" s="4"/>
      <c r="E44" s="4"/>
      <c r="F44" s="4"/>
      <c r="G44" s="5"/>
      <c r="H44" s="6"/>
    </row>
    <row r="45" spans="1:8" hidden="1" outlineLevel="1" x14ac:dyDescent="0.25">
      <c r="A45" s="7">
        <v>4.5</v>
      </c>
      <c r="B45" s="5"/>
      <c r="C45" s="4"/>
      <c r="D45" s="4"/>
      <c r="E45" s="4"/>
      <c r="F45" s="4"/>
      <c r="G45" s="5"/>
      <c r="H45" s="6"/>
    </row>
    <row r="46" spans="1:8" ht="4.5" customHeight="1" collapsed="1" x14ac:dyDescent="0.25">
      <c r="A46" s="111"/>
      <c r="B46" s="111"/>
      <c r="C46" s="111"/>
      <c r="D46" s="111"/>
      <c r="E46" s="111"/>
      <c r="F46" s="111"/>
      <c r="G46" s="111"/>
      <c r="H46" s="111"/>
    </row>
    <row r="47" spans="1:8" collapsed="1" x14ac:dyDescent="0.25">
      <c r="A47" s="13">
        <v>5</v>
      </c>
      <c r="B47" s="108"/>
      <c r="C47" s="109"/>
      <c r="D47" s="109"/>
      <c r="E47" s="109"/>
      <c r="F47" s="109"/>
      <c r="G47" s="109"/>
      <c r="H47" s="110"/>
    </row>
    <row r="48" spans="1:8" hidden="1" outlineLevel="1" x14ac:dyDescent="0.25">
      <c r="A48" s="7">
        <v>5.0999999999999996</v>
      </c>
      <c r="B48" s="5"/>
      <c r="C48" s="4"/>
      <c r="D48" s="4"/>
      <c r="E48" s="4"/>
      <c r="F48" s="4"/>
      <c r="G48" s="5"/>
      <c r="H48" s="6"/>
    </row>
    <row r="49" spans="1:8" hidden="1" outlineLevel="1" x14ac:dyDescent="0.25">
      <c r="A49" s="7">
        <v>5.2</v>
      </c>
      <c r="B49" s="5"/>
      <c r="C49" s="4"/>
      <c r="D49" s="4"/>
      <c r="E49" s="4"/>
      <c r="F49" s="4"/>
      <c r="G49" s="5"/>
      <c r="H49" s="6"/>
    </row>
    <row r="50" spans="1:8" hidden="1" outlineLevel="1" x14ac:dyDescent="0.25">
      <c r="A50" s="7">
        <v>5.3</v>
      </c>
      <c r="B50" s="5"/>
      <c r="C50" s="4"/>
      <c r="D50" s="4"/>
      <c r="E50" s="4"/>
      <c r="F50" s="4"/>
      <c r="G50" s="5"/>
      <c r="H50" s="6"/>
    </row>
    <row r="51" spans="1:8" hidden="1" outlineLevel="1" x14ac:dyDescent="0.25">
      <c r="A51" s="7">
        <v>5.4</v>
      </c>
      <c r="B51" s="5"/>
      <c r="C51" s="4"/>
      <c r="D51" s="4"/>
      <c r="E51" s="4"/>
      <c r="F51" s="4"/>
      <c r="G51" s="5"/>
      <c r="H51" s="6"/>
    </row>
    <row r="52" spans="1:8" hidden="1" outlineLevel="1" x14ac:dyDescent="0.25">
      <c r="A52" s="7">
        <v>5.5</v>
      </c>
      <c r="B52" s="5"/>
      <c r="C52" s="4"/>
      <c r="D52" s="4"/>
      <c r="E52" s="4"/>
      <c r="F52" s="4"/>
      <c r="G52" s="5"/>
      <c r="H52" s="6"/>
    </row>
    <row r="53" spans="1:8" ht="4.5" customHeight="1" collapsed="1" x14ac:dyDescent="0.25">
      <c r="A53" s="111"/>
      <c r="B53" s="111"/>
      <c r="C53" s="111"/>
      <c r="D53" s="111"/>
      <c r="E53" s="111"/>
      <c r="F53" s="111"/>
      <c r="G53" s="111"/>
      <c r="H53" s="111"/>
    </row>
    <row r="54" spans="1:8" collapsed="1" x14ac:dyDescent="0.25">
      <c r="A54" s="13">
        <v>6</v>
      </c>
      <c r="B54" s="108"/>
      <c r="C54" s="109"/>
      <c r="D54" s="109"/>
      <c r="E54" s="109"/>
      <c r="F54" s="109"/>
      <c r="G54" s="109"/>
      <c r="H54" s="110"/>
    </row>
    <row r="55" spans="1:8" hidden="1" outlineLevel="1" x14ac:dyDescent="0.25">
      <c r="A55" s="7">
        <v>6.1</v>
      </c>
      <c r="B55" s="5"/>
      <c r="C55" s="4"/>
      <c r="D55" s="4"/>
      <c r="E55" s="4"/>
      <c r="F55" s="4"/>
      <c r="G55" s="5"/>
      <c r="H55" s="6"/>
    </row>
    <row r="56" spans="1:8" hidden="1" outlineLevel="1" x14ac:dyDescent="0.25">
      <c r="A56" s="7">
        <v>6.2</v>
      </c>
      <c r="B56" s="5"/>
      <c r="C56" s="4"/>
      <c r="D56" s="4"/>
      <c r="E56" s="4"/>
      <c r="F56" s="4"/>
      <c r="G56" s="5"/>
      <c r="H56" s="6"/>
    </row>
    <row r="57" spans="1:8" hidden="1" outlineLevel="1" x14ac:dyDescent="0.25">
      <c r="A57" s="7">
        <v>6.3</v>
      </c>
      <c r="B57" s="5"/>
      <c r="C57" s="4"/>
      <c r="D57" s="4"/>
      <c r="E57" s="4"/>
      <c r="F57" s="4"/>
      <c r="G57" s="5"/>
      <c r="H57" s="6"/>
    </row>
    <row r="58" spans="1:8" hidden="1" outlineLevel="1" x14ac:dyDescent="0.25">
      <c r="A58" s="7">
        <v>6.4</v>
      </c>
      <c r="B58" s="5"/>
      <c r="C58" s="4"/>
      <c r="D58" s="4"/>
      <c r="E58" s="4"/>
      <c r="F58" s="4"/>
      <c r="G58" s="5"/>
      <c r="H58" s="6"/>
    </row>
    <row r="59" spans="1:8" hidden="1" outlineLevel="1" x14ac:dyDescent="0.25">
      <c r="A59" s="7">
        <v>6.5</v>
      </c>
      <c r="B59" s="5"/>
      <c r="C59" s="4"/>
      <c r="D59" s="4"/>
      <c r="E59" s="4"/>
      <c r="F59" s="4"/>
      <c r="G59" s="5"/>
      <c r="H59" s="6"/>
    </row>
    <row r="60" spans="1:8" collapsed="1" x14ac:dyDescent="0.25">
      <c r="A60" s="8"/>
      <c r="B60" s="9"/>
      <c r="C60" s="10"/>
      <c r="D60" s="10"/>
      <c r="E60" s="10"/>
      <c r="F60" s="10"/>
      <c r="G60" s="9"/>
      <c r="H60" s="11"/>
    </row>
    <row r="61" spans="1:8" x14ac:dyDescent="0.25">
      <c r="A61" s="8"/>
      <c r="B61" s="9"/>
      <c r="C61" s="10"/>
      <c r="D61" s="10"/>
      <c r="E61" s="10"/>
      <c r="F61" s="10"/>
      <c r="G61" s="9"/>
      <c r="H61" s="11"/>
    </row>
    <row r="62" spans="1:8" x14ac:dyDescent="0.25">
      <c r="A62" s="8"/>
      <c r="B62" s="9"/>
      <c r="C62" s="10"/>
      <c r="D62" s="10"/>
      <c r="E62" s="10"/>
      <c r="F62" s="10"/>
      <c r="G62" s="9"/>
      <c r="H62" s="11"/>
    </row>
    <row r="63" spans="1:8" x14ac:dyDescent="0.25">
      <c r="A63" s="8"/>
      <c r="B63" s="9"/>
      <c r="C63" s="10"/>
      <c r="D63" s="10"/>
      <c r="E63" s="10"/>
      <c r="F63" s="10"/>
      <c r="G63" s="9"/>
      <c r="H63" s="11"/>
    </row>
  </sheetData>
  <customSheetViews>
    <customSheetView guid="{79CFC90F-9797-4F95-B835-584B9BD0A801}" showPageBreaks="1" showGridLines="0" view="pageLayout">
      <selection activeCell="B5" sqref="B5"/>
    </customSheetView>
  </customSheetViews>
  <mergeCells count="13">
    <mergeCell ref="B54:H54"/>
    <mergeCell ref="B33:H33"/>
    <mergeCell ref="A39:H39"/>
    <mergeCell ref="B40:H40"/>
    <mergeCell ref="A46:H46"/>
    <mergeCell ref="B47:H47"/>
    <mergeCell ref="A53:H53"/>
    <mergeCell ref="A32:H32"/>
    <mergeCell ref="A1:H1"/>
    <mergeCell ref="A3:H3"/>
    <mergeCell ref="B4:H4"/>
    <mergeCell ref="A23:H23"/>
    <mergeCell ref="B24:H24"/>
  </mergeCells>
  <conditionalFormatting sqref="A24:B24 A33 A40:B40 A47:B47 A54:B54 A34:H38 A41:H45 A48:H52 A55:H199 A31:H31 A5:H5 A4:B4 A6 C6:H6 A9:H14 B7:H8 A25:A30 C25:H30 B15:H22">
    <cfRule type="expression" dxfId="14" priority="7">
      <formula>IF($H4="X", TRUE, FALSE)</formula>
    </cfRule>
  </conditionalFormatting>
  <conditionalFormatting sqref="B26 B28 B30">
    <cfRule type="expression" dxfId="13" priority="3">
      <formula>IF($H26="X", TRUE, FALSE)</formula>
    </cfRule>
  </conditionalFormatting>
  <conditionalFormatting sqref="B6">
    <cfRule type="expression" dxfId="12" priority="28">
      <formula>IF(#REF!="X", TRUE, FALSE)</formula>
    </cfRule>
  </conditionalFormatting>
  <conditionalFormatting sqref="A7">
    <cfRule type="expression" dxfId="11" priority="30">
      <formula>IF($H8="X", TRUE, FALSE)</formula>
    </cfRule>
  </conditionalFormatting>
  <conditionalFormatting sqref="B25 B27 B29">
    <cfRule type="expression" dxfId="10" priority="4">
      <formula>IF($H25="X", TRUE, FALSE)</formula>
    </cfRule>
  </conditionalFormatting>
  <conditionalFormatting sqref="A15">
    <cfRule type="expression" dxfId="9" priority="32">
      <formula>IF($H17="X", TRUE, FALSE)</formula>
    </cfRule>
  </conditionalFormatting>
  <conditionalFormatting sqref="A16:A18">
    <cfRule type="expression" dxfId="8" priority="34">
      <formula>IF($H19="X", TRUE, FALSE)</formula>
    </cfRule>
  </conditionalFormatting>
  <conditionalFormatting sqref="A19">
    <cfRule type="expression" dxfId="7" priority="2">
      <formula>IF($H22="X", TRUE, FALSE)</formula>
    </cfRule>
  </conditionalFormatting>
  <conditionalFormatting sqref="A20:A22">
    <cfRule type="expression" dxfId="6" priority="1">
      <formula>IF($H23="X", TRUE, FALSE)</formula>
    </cfRule>
  </conditionalFormatting>
  <pageMargins left="0.25" right="0.25" top="1" bottom="0.75" header="0.3" footer="0.3"/>
  <pageSetup orientation="landscape" r:id="rId1"/>
  <headerFooter>
    <oddHeader>&amp;C&amp;"-,Bold"&amp;18eLearning Project Plan
&amp;"-,Bold Italic"Manual Material Handling</oddHead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Links!$G$2:$G$3</xm:f>
          </x14:formula1>
          <xm:sqref>H25:H31 H34:H38 H41:H45 H48:H52 H55:H59 H5:H22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outlinePr summaryBelow="0"/>
  </sheetPr>
  <dimension ref="A1:G23"/>
  <sheetViews>
    <sheetView showGridLines="0" view="pageLayout" zoomScaleNormal="100" workbookViewId="0">
      <selection activeCell="E5" sqref="E5:E19"/>
    </sheetView>
  </sheetViews>
  <sheetFormatPr defaultRowHeight="15" x14ac:dyDescent="0.25"/>
  <cols>
    <col min="1" max="1" width="3.85546875" style="1" bestFit="1" customWidth="1"/>
    <col min="2" max="2" width="25.28515625" style="2" customWidth="1"/>
    <col min="3" max="3" width="15" style="2" customWidth="1"/>
    <col min="4" max="4" width="34.7109375" style="2" customWidth="1"/>
    <col min="5" max="5" width="16" customWidth="1"/>
    <col min="6" max="6" width="33" style="2" customWidth="1"/>
    <col min="7" max="7" width="4.85546875" style="3" customWidth="1"/>
  </cols>
  <sheetData>
    <row r="1" spans="1:7" ht="4.5" customHeight="1" x14ac:dyDescent="0.25">
      <c r="A1" s="113"/>
      <c r="B1" s="114"/>
      <c r="C1" s="114"/>
      <c r="D1" s="114"/>
      <c r="E1" s="114"/>
      <c r="F1" s="114"/>
      <c r="G1" s="115"/>
    </row>
    <row r="2" spans="1:7" s="14" customFormat="1" ht="60.75" customHeight="1" x14ac:dyDescent="0.25">
      <c r="A2" s="55" t="s">
        <v>0</v>
      </c>
      <c r="B2" s="18" t="s">
        <v>53</v>
      </c>
      <c r="C2" s="18" t="s">
        <v>56</v>
      </c>
      <c r="D2" s="18" t="s">
        <v>55</v>
      </c>
      <c r="E2" s="27" t="s">
        <v>54</v>
      </c>
      <c r="F2" s="18" t="s">
        <v>57</v>
      </c>
      <c r="G2" s="28" t="s">
        <v>51</v>
      </c>
    </row>
    <row r="3" spans="1:7" ht="4.5" customHeight="1" x14ac:dyDescent="0.25">
      <c r="A3" s="116"/>
      <c r="B3" s="117"/>
      <c r="C3" s="117"/>
      <c r="D3" s="117"/>
      <c r="E3" s="117"/>
      <c r="F3" s="117"/>
      <c r="G3" s="118"/>
    </row>
    <row r="4" spans="1:7" ht="16.5" x14ac:dyDescent="0.25">
      <c r="A4" s="51">
        <v>1</v>
      </c>
      <c r="B4" s="31"/>
      <c r="C4" s="31"/>
      <c r="D4" s="31"/>
      <c r="E4" s="4" t="s">
        <v>127</v>
      </c>
      <c r="F4" s="5"/>
      <c r="G4" s="6"/>
    </row>
    <row r="5" spans="1:7" ht="16.5" x14ac:dyDescent="0.25">
      <c r="A5" s="51">
        <v>2</v>
      </c>
      <c r="B5" s="31"/>
      <c r="C5" s="31"/>
      <c r="D5" s="31"/>
      <c r="E5" s="4"/>
      <c r="F5" s="5"/>
      <c r="G5" s="6"/>
    </row>
    <row r="6" spans="1:7" ht="16.5" x14ac:dyDescent="0.25">
      <c r="A6" s="51">
        <v>3</v>
      </c>
      <c r="B6" s="32"/>
      <c r="C6" s="31"/>
      <c r="D6" s="31"/>
      <c r="E6" s="4"/>
      <c r="F6" s="5"/>
      <c r="G6" s="6"/>
    </row>
    <row r="7" spans="1:7" ht="16.5" x14ac:dyDescent="0.25">
      <c r="A7" s="51">
        <v>4</v>
      </c>
      <c r="B7" s="31"/>
      <c r="C7" s="31"/>
      <c r="D7" s="31"/>
      <c r="E7" s="4"/>
      <c r="F7" s="5"/>
      <c r="G7" s="6"/>
    </row>
    <row r="8" spans="1:7" ht="16.5" x14ac:dyDescent="0.25">
      <c r="A8" s="51">
        <v>5</v>
      </c>
      <c r="B8" s="32"/>
      <c r="C8" s="32"/>
      <c r="D8" s="31"/>
      <c r="E8" s="4"/>
      <c r="F8" s="5"/>
      <c r="G8" s="6"/>
    </row>
    <row r="9" spans="1:7" ht="16.5" x14ac:dyDescent="0.25">
      <c r="A9" s="51">
        <v>6</v>
      </c>
      <c r="B9" s="31"/>
      <c r="C9" s="31"/>
      <c r="D9" s="32"/>
      <c r="E9" s="4"/>
      <c r="F9" s="5"/>
      <c r="G9" s="6"/>
    </row>
    <row r="10" spans="1:7" ht="16.5" x14ac:dyDescent="0.25">
      <c r="A10" s="51">
        <v>7</v>
      </c>
      <c r="B10" s="31"/>
      <c r="C10" s="32"/>
      <c r="D10" s="31"/>
      <c r="E10" s="4"/>
      <c r="F10" s="5"/>
      <c r="G10" s="6"/>
    </row>
    <row r="11" spans="1:7" ht="16.5" x14ac:dyDescent="0.25">
      <c r="A11" s="51">
        <v>8</v>
      </c>
      <c r="B11" s="31"/>
      <c r="C11" s="31"/>
      <c r="D11" s="32"/>
      <c r="E11" s="4"/>
      <c r="F11" s="5"/>
      <c r="G11" s="6"/>
    </row>
    <row r="12" spans="1:7" ht="16.5" x14ac:dyDescent="0.25">
      <c r="A12" s="51">
        <v>9</v>
      </c>
      <c r="B12" s="32"/>
      <c r="C12" s="31"/>
      <c r="D12" s="31"/>
      <c r="E12" s="4"/>
      <c r="F12" s="5"/>
      <c r="G12" s="6"/>
    </row>
    <row r="13" spans="1:7" ht="16.5" x14ac:dyDescent="0.25">
      <c r="A13" s="51">
        <v>10</v>
      </c>
      <c r="B13" s="31"/>
      <c r="C13" s="31"/>
      <c r="D13" s="31"/>
      <c r="E13" s="4"/>
      <c r="F13" s="5"/>
      <c r="G13" s="6"/>
    </row>
    <row r="14" spans="1:7" ht="16.5" x14ac:dyDescent="0.25">
      <c r="A14" s="51">
        <v>11</v>
      </c>
      <c r="B14" s="31"/>
      <c r="C14" s="32"/>
      <c r="D14" s="31"/>
      <c r="E14" s="4"/>
      <c r="F14" s="5"/>
      <c r="G14" s="6"/>
    </row>
    <row r="15" spans="1:7" ht="16.5" x14ac:dyDescent="0.25">
      <c r="A15" s="51">
        <v>12</v>
      </c>
      <c r="B15" s="31"/>
      <c r="C15" s="31"/>
      <c r="D15" s="32"/>
      <c r="E15" s="4"/>
      <c r="F15" s="5"/>
      <c r="G15" s="6"/>
    </row>
    <row r="16" spans="1:7" ht="16.5" x14ac:dyDescent="0.25">
      <c r="A16" s="51">
        <v>13</v>
      </c>
      <c r="B16" s="31"/>
      <c r="C16" s="31"/>
      <c r="D16" s="31"/>
      <c r="E16" s="4"/>
      <c r="F16" s="5"/>
      <c r="G16" s="6"/>
    </row>
    <row r="17" spans="1:7" ht="16.5" x14ac:dyDescent="0.25">
      <c r="A17" s="51">
        <v>14</v>
      </c>
      <c r="B17" s="5"/>
      <c r="C17" s="31"/>
      <c r="D17" s="31"/>
      <c r="E17" s="4"/>
      <c r="F17" s="5"/>
      <c r="G17" s="6"/>
    </row>
    <row r="18" spans="1:7" ht="16.5" x14ac:dyDescent="0.25">
      <c r="A18" s="51">
        <v>15</v>
      </c>
      <c r="B18" s="5"/>
      <c r="C18" s="31"/>
      <c r="D18" s="31"/>
      <c r="E18" s="4"/>
      <c r="F18" s="5"/>
      <c r="G18" s="6"/>
    </row>
    <row r="19" spans="1:7" ht="16.5" x14ac:dyDescent="0.25">
      <c r="A19" s="51">
        <v>16</v>
      </c>
      <c r="B19" s="5"/>
      <c r="C19" s="5"/>
      <c r="D19" s="31"/>
      <c r="E19" s="4"/>
      <c r="F19" s="5"/>
      <c r="G19" s="6"/>
    </row>
    <row r="20" spans="1:7" collapsed="1" x14ac:dyDescent="0.25">
      <c r="A20" s="8"/>
      <c r="B20" s="9"/>
      <c r="C20" s="9"/>
      <c r="D20" s="9"/>
      <c r="E20" s="11"/>
      <c r="F20"/>
      <c r="G20"/>
    </row>
    <row r="21" spans="1:7" x14ac:dyDescent="0.25">
      <c r="A21" s="8"/>
      <c r="C21" s="9"/>
      <c r="D21" s="9"/>
      <c r="E21" s="10"/>
      <c r="F21" s="9"/>
      <c r="G21" s="11"/>
    </row>
    <row r="22" spans="1:7" x14ac:dyDescent="0.25">
      <c r="A22" s="8"/>
      <c r="C22" s="9"/>
      <c r="D22" s="9"/>
      <c r="E22" s="10"/>
      <c r="F22" s="9"/>
      <c r="G22" s="11"/>
    </row>
    <row r="23" spans="1:7" x14ac:dyDescent="0.25">
      <c r="A23" s="8"/>
      <c r="D23" s="9"/>
      <c r="E23" s="10"/>
      <c r="F23" s="9"/>
      <c r="G23" s="11"/>
    </row>
  </sheetData>
  <customSheetViews>
    <customSheetView guid="{79CFC90F-9797-4F95-B835-584B9BD0A801}" showPageBreaks="1" showGridLines="0" view="pageLayout">
      <selection activeCell="B4" sqref="B4"/>
    </customSheetView>
  </customSheetViews>
  <mergeCells count="2">
    <mergeCell ref="A1:G1"/>
    <mergeCell ref="A3:G3"/>
  </mergeCells>
  <conditionalFormatting sqref="A4:G5 D6:G19 D21:G159 A6:A19 A21:A159">
    <cfRule type="expression" dxfId="5" priority="1">
      <formula>IF($G4="X", TRUE, FALSE)</formula>
    </cfRule>
  </conditionalFormatting>
  <conditionalFormatting sqref="C6:C18 C20:C158">
    <cfRule type="expression" dxfId="4" priority="10">
      <formula>IF($G7="X", TRUE, FALSE)</formula>
    </cfRule>
  </conditionalFormatting>
  <conditionalFormatting sqref="B6:B16 B18:B156">
    <cfRule type="expression" dxfId="3" priority="12">
      <formula>IF($G9="X", TRUE, FALSE)</formula>
    </cfRule>
  </conditionalFormatting>
  <conditionalFormatting sqref="A20 D20:E20">
    <cfRule type="expression" dxfId="2" priority="14">
      <formula>IF($E20="X", TRUE, FALSE)</formula>
    </cfRule>
  </conditionalFormatting>
  <conditionalFormatting sqref="C19">
    <cfRule type="expression" dxfId="1" priority="18">
      <formula>IF($E20="X", TRUE, FALSE)</formula>
    </cfRule>
  </conditionalFormatting>
  <conditionalFormatting sqref="B17">
    <cfRule type="expression" dxfId="0" priority="20">
      <formula>IF($E20="X", TRUE, FALSE)</formula>
    </cfRule>
  </conditionalFormatting>
  <pageMargins left="0.25" right="0.25" top="1" bottom="0.75" header="0.3" footer="0.3"/>
  <pageSetup orientation="landscape" r:id="rId1"/>
  <headerFooter>
    <oddHeader>&amp;C&amp;"-,Bold"&amp;18Edits and Updates
&amp;"-,Bold Italic"ProjectName</oddHeader>
    <oddFooter>&amp;C&amp;G</oddFooter>
  </headerFooter>
  <drawing r:id="rId2"/>
  <legacyDrawingHF r:id="rId3"/>
  <extLst>
    <ext xmlns:x14="http://schemas.microsoft.com/office/spreadsheetml/2009/9/main" uri="{CCE6A557-97BC-4b89-ADB6-D9C93CAAB3DF}">
      <x14:dataValidations xmlns:xm="http://schemas.microsoft.com/office/excel/2006/main" disablePrompts="1" count="2">
        <x14:dataValidation type="list" allowBlank="1" showInputMessage="1" showErrorMessage="1">
          <x14:formula1>
            <xm:f>Links!$G$2:$G$3</xm:f>
          </x14:formula1>
          <xm:sqref>G4:G19</xm:sqref>
        </x14:dataValidation>
        <x14:dataValidation type="list" allowBlank="1" showInputMessage="1" showErrorMessage="1">
          <x14:formula1>
            <xm:f>Links!$I$2:$I$33</xm:f>
          </x14:formula1>
          <xm:sqref>E4 E5:E19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4"/>
  <sheetViews>
    <sheetView workbookViewId="0">
      <selection activeCell="I3" sqref="I3"/>
    </sheetView>
  </sheetViews>
  <sheetFormatPr defaultRowHeight="15" x14ac:dyDescent="0.25"/>
  <cols>
    <col min="1" max="1" width="16.28515625" bestFit="1" customWidth="1"/>
    <col min="3" max="3" width="26.85546875" bestFit="1" customWidth="1"/>
    <col min="5" max="5" width="14.85546875" bestFit="1" customWidth="1"/>
    <col min="7" max="7" width="12.42578125" bestFit="1" customWidth="1"/>
    <col min="9" max="9" width="14.85546875" customWidth="1"/>
  </cols>
  <sheetData>
    <row r="1" spans="1:9" x14ac:dyDescent="0.25">
      <c r="A1" s="26" t="s">
        <v>22</v>
      </c>
      <c r="C1" s="26" t="s">
        <v>38</v>
      </c>
      <c r="E1" s="26" t="s">
        <v>48</v>
      </c>
      <c r="G1" s="26" t="s">
        <v>49</v>
      </c>
      <c r="I1" s="26" t="s">
        <v>128</v>
      </c>
    </row>
    <row r="2" spans="1:9" x14ac:dyDescent="0.25">
      <c r="A2" t="s">
        <v>19</v>
      </c>
      <c r="C2" t="s">
        <v>39</v>
      </c>
      <c r="E2" t="s">
        <v>7</v>
      </c>
      <c r="G2" t="s">
        <v>50</v>
      </c>
      <c r="I2" t="s">
        <v>127</v>
      </c>
    </row>
    <row r="3" spans="1:9" x14ac:dyDescent="0.25">
      <c r="A3" t="s">
        <v>20</v>
      </c>
      <c r="C3" t="s">
        <v>40</v>
      </c>
      <c r="E3" t="s">
        <v>23</v>
      </c>
      <c r="I3" t="s">
        <v>129</v>
      </c>
    </row>
    <row r="4" spans="1:9" x14ac:dyDescent="0.25">
      <c r="A4" t="s">
        <v>21</v>
      </c>
      <c r="C4" t="s">
        <v>41</v>
      </c>
    </row>
  </sheetData>
  <customSheetViews>
    <customSheetView guid="{79CFC90F-9797-4F95-B835-584B9BD0A801}" state="hidden">
      <selection activeCell="G4" sqref="G4"/>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Introduction</vt:lpstr>
      <vt:lpstr>Master eLearning Project Pl (2</vt:lpstr>
      <vt:lpstr>Project Plan</vt:lpstr>
      <vt:lpstr>Calendar</vt:lpstr>
      <vt:lpstr>SME Team Members</vt:lpstr>
      <vt:lpstr>Decision Log</vt:lpstr>
      <vt:lpstr>Question Log</vt:lpstr>
      <vt:lpstr>Risk Log</vt:lpstr>
      <vt:lpstr>Storyboard Schedule</vt:lpstr>
      <vt:lpstr>(Module name) Schedule</vt:lpstr>
      <vt:lpstr>SAMPLE- module specific</vt:lpstr>
      <vt:lpstr>Edit List</vt:lpstr>
      <vt:lpstr>Links</vt:lpstr>
      <vt:lpstr>aa</vt:lpstr>
      <vt:lpstr>Calendar!Print_Area</vt:lpstr>
      <vt:lpstr>'(Module name) Schedule'!Print_Titles</vt:lpstr>
      <vt:lpstr>'Decision Log'!Print_Titles</vt:lpstr>
      <vt:lpstr>'Edit List'!Print_Titles</vt:lpstr>
      <vt:lpstr>'Master eLearning Project Pl (2'!Print_Titles</vt:lpstr>
      <vt:lpstr>'Project Plan'!Print_Titles</vt:lpstr>
      <vt:lpstr>'Question Log'!Print_Titles</vt:lpstr>
      <vt:lpstr>'Risk Log'!Print_Titles</vt:lpstr>
      <vt:lpstr>'SAMPLE- module specific'!Print_Titles</vt:lpstr>
      <vt:lpstr>'SME Team Members'!Print_Titles</vt:lpstr>
      <vt:lpstr>'Storyboard Schedule'!Print_Titles</vt:lpstr>
      <vt:lpstr>StatusDropDown</vt:lpstr>
    </vt:vector>
  </TitlesOfParts>
  <Company>WSI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 Project Plan</dc:title>
  <dc:creator>Biele, Lori</dc:creator>
  <cp:lastModifiedBy>Dean Biel</cp:lastModifiedBy>
  <dcterms:created xsi:type="dcterms:W3CDTF">2013-02-27T17:19:08Z</dcterms:created>
  <dcterms:modified xsi:type="dcterms:W3CDTF">2015-11-05T13:31:08Z</dcterms:modified>
</cp:coreProperties>
</file>